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hidePivotFieldList="1" defaultThemeVersion="124226"/>
  <mc:AlternateContent xmlns:mc="http://schemas.openxmlformats.org/markup-compatibility/2006">
    <mc:Choice Requires="x15">
      <x15ac:absPath xmlns:x15ac="http://schemas.microsoft.com/office/spreadsheetml/2010/11/ac" url="C:\Users\KristinNowak\Dropbox (Charter School Management Corporation)\Compass Charter (New)\Budgets\2023-24\Adopted\"/>
    </mc:Choice>
  </mc:AlternateContent>
  <xr:revisionPtr revIDLastSave="0" documentId="13_ncr:1_{2F024315-C4D9-4AD3-A79A-6D77D26548FE}" xr6:coauthVersionLast="47" xr6:coauthVersionMax="47" xr10:uidLastSave="{00000000-0000-0000-0000-000000000000}"/>
  <bookViews>
    <workbookView xWindow="-90" yWindow="-90" windowWidth="19380" windowHeight="10380" activeTab="1" xr2:uid="{7B03B17B-9D25-4096-849E-4D118F766D66}"/>
  </bookViews>
  <sheets>
    <sheet name="Cover Sheet" sheetId="44" r:id="rId1"/>
    <sheet name="Budget Summary w MYP" sheetId="16" r:id="rId2"/>
    <sheet name="2nd Int Budget Summary FY22-23" sheetId="51" r:id="rId3"/>
    <sheet name="Budget Summary w OCLC" sheetId="46" state="hidden" r:id="rId4"/>
    <sheet name="Student Info w MYP" sheetId="14" r:id="rId5"/>
    <sheet name="Charter Info" sheetId="33" state="hidden" r:id="rId6"/>
    <sheet name="Revenue w MYP" sheetId="15" r:id="rId7"/>
    <sheet name="Assumptions" sheetId="48" r:id="rId8"/>
    <sheet name="Expenses w MYP" sheetId="9" r:id="rId9"/>
    <sheet name="SPED 5810 details" sheetId="47" r:id="rId10"/>
    <sheet name="Expenses Input" sheetId="8" state="hidden" r:id="rId11"/>
    <sheet name="Employee Input Yr1" sheetId="1" state="hidden" r:id="rId12"/>
    <sheet name="Employee Input Yr2" sheetId="10" state="hidden" r:id="rId13"/>
    <sheet name="Employee Input Yr3" sheetId="11" state="hidden" r:id="rId14"/>
    <sheet name="Employee Input Yr4" sheetId="12" state="hidden" r:id="rId15"/>
    <sheet name="Employee Input Yr5" sheetId="13" state="hidden" r:id="rId16"/>
    <sheet name="Cash Flow %s Yr1" sheetId="17" state="hidden" r:id="rId17"/>
    <sheet name="Cash Flow %s Yr2" sheetId="26" state="hidden" r:id="rId18"/>
    <sheet name="Cash Flow %s Yr3" sheetId="27" state="hidden" r:id="rId19"/>
    <sheet name="Cash Flow %s Yr4" sheetId="28" state="hidden" r:id="rId20"/>
    <sheet name="Cash Flow %s Yr5" sheetId="29" state="hidden" r:id="rId21"/>
    <sheet name="Cash Flow $s Yr1" sheetId="18" state="hidden" r:id="rId22"/>
    <sheet name="Cash Flow $s Yr2" sheetId="19" state="hidden" r:id="rId23"/>
    <sheet name="Cash Flow $s Yr3" sheetId="20" state="hidden" r:id="rId24"/>
    <sheet name="Cash Flow $s Yr4" sheetId="21" state="hidden" r:id="rId25"/>
    <sheet name="Cash Flow $s Yr5" sheetId="22" state="hidden" r:id="rId26"/>
    <sheet name="Fiscal_Sets" sheetId="25" state="hidden" r:id="rId27"/>
    <sheet name="Cash Flow graphs" sheetId="23" state="hidden" r:id="rId28"/>
    <sheet name="CSMC COA" sheetId="30" state="hidden" r:id="rId29"/>
    <sheet name="CSMC Personnel Codes" sheetId="31" state="hidden" r:id="rId30"/>
    <sheet name="SACS Object Codes" sheetId="4" state="hidden" r:id="rId31"/>
    <sheet name="Payroll" sheetId="34" r:id="rId32"/>
    <sheet name="Distribution %" sheetId="36" r:id="rId33"/>
    <sheet name="ACTUAL %" sheetId="42" r:id="rId34"/>
    <sheet name="CONSOLIDATED CY Cash Flows" sheetId="37" r:id="rId35"/>
    <sheet name="FY ACTUALS" sheetId="38" r:id="rId36"/>
    <sheet name="PIVOT" sheetId="43" r:id="rId37"/>
    <sheet name="SAGE BREAKDOWN" sheetId="40" r:id="rId38"/>
    <sheet name="SAGE UPLOAD" sheetId="41" r:id="rId39"/>
    <sheet name="1.31 actuals" sheetId="45" r:id="rId40"/>
    <sheet name="Payroll Summary" sheetId="50"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34">[1]Month!#REF!</definedName>
    <definedName name="\A" localSheetId="0">[2]Month!#REF!</definedName>
    <definedName name="\A" localSheetId="32">[1]Month!#REF!</definedName>
    <definedName name="\A" localSheetId="40">[3]Month!#REF!</definedName>
    <definedName name="\A">[3]Month!#REF!</definedName>
    <definedName name="\B" localSheetId="34">[4]MYP!#REF!</definedName>
    <definedName name="\B" localSheetId="0">[5]MYP!#REF!</definedName>
    <definedName name="\B" localSheetId="32">[4]MYP!#REF!</definedName>
    <definedName name="\B">[6]MYP!#REF!</definedName>
    <definedName name="\E" localSheetId="34">[4]MYP!#REF!</definedName>
    <definedName name="\E" localSheetId="0">[5]MYP!#REF!</definedName>
    <definedName name="\E" localSheetId="32">[4]MYP!#REF!</definedName>
    <definedName name="\E">[6]MYP!#REF!</definedName>
    <definedName name="\N" localSheetId="34">[4]MYP!#REF!</definedName>
    <definedName name="\N" localSheetId="0">[5]MYP!#REF!</definedName>
    <definedName name="\N" localSheetId="32">[4]MYP!#REF!</definedName>
    <definedName name="\N">[6]MYP!#REF!</definedName>
    <definedName name="\P" localSheetId="34">[1]Month!#REF!</definedName>
    <definedName name="\P" localSheetId="0">[2]Month!#REF!</definedName>
    <definedName name="\P" localSheetId="32">[1]Month!#REF!</definedName>
    <definedName name="\P">[3]Month!#REF!</definedName>
    <definedName name="\R" localSheetId="34">[1]Month!#REF!</definedName>
    <definedName name="\R" localSheetId="0">[2]Month!#REF!</definedName>
    <definedName name="\R" localSheetId="32">[1]Month!#REF!</definedName>
    <definedName name="\R">[3]Month!#REF!</definedName>
    <definedName name="\RR" localSheetId="34">[7]Month!#REF!</definedName>
    <definedName name="\RR" localSheetId="0">[7]Month!#REF!</definedName>
    <definedName name="\RR" localSheetId="40">[8]Month!#REF!</definedName>
    <definedName name="\RR">[7]Month!#REF!</definedName>
    <definedName name="\t" localSheetId="34">[9]june!#REF!</definedName>
    <definedName name="\t" localSheetId="0">[10]june!#REF!</definedName>
    <definedName name="\t" localSheetId="32">[9]june!#REF!</definedName>
    <definedName name="\t">[11]june!#REF!</definedName>
    <definedName name="_2005_06_RE_CERTIFICATIO" localSheetId="34">#REF!</definedName>
    <definedName name="_2005_06_RE_CERTIFICATIO" localSheetId="0">#REF!</definedName>
    <definedName name="_2005_06_RE_CERTIFICATIO" localSheetId="32">#REF!</definedName>
    <definedName name="_2005_06_RE_CERTIFICATIO" localSheetId="40">#REF!</definedName>
    <definedName name="_2005_06_RE_CERTIFICATIO">#REF!</definedName>
    <definedName name="_xlnm._FilterDatabase" localSheetId="33" hidden="1">'ACTUAL %'!$A$3:$U$231</definedName>
    <definedName name="_xlnm._FilterDatabase" localSheetId="32" hidden="1">'Distribution %'!$A$3:$R$3</definedName>
    <definedName name="_xlnm._FilterDatabase" localSheetId="31" hidden="1">Payroll!$A$2:$AB$66</definedName>
    <definedName name="_xlnm._FilterDatabase" localSheetId="37" hidden="1">'SAGE BREAKDOWN'!$A$4:$P$76</definedName>
    <definedName name="_xlnm._FilterDatabase" localSheetId="38" hidden="1">'SAGE UPLOAD'!$A$2:$W$208</definedName>
    <definedName name="aaraa" localSheetId="34">#REF!</definedName>
    <definedName name="aaraa" localSheetId="0">#REF!</definedName>
    <definedName name="aaraa" localSheetId="32">#REF!</definedName>
    <definedName name="aaraa" localSheetId="40">#REF!</definedName>
    <definedName name="aaraa">#REF!</definedName>
    <definedName name="abc" localSheetId="34">'[12]Transfer Form'!$D$6:$D$22,'[12]Transfer Form'!$I$7:$I$16</definedName>
    <definedName name="abc" localSheetId="0">'[13]Transfer Form'!$D$6:$D$22,'[13]Transfer Form'!$I$7:$I$16</definedName>
    <definedName name="abc" localSheetId="32">'[12]Transfer Form'!$D$6:$D$22,'[12]Transfer Form'!$I$7:$I$16</definedName>
    <definedName name="abc">'[14]Transfer Form'!$D$6:$D$22,'[14]Transfer Form'!$I$7:$I$16</definedName>
    <definedName name="Account" localSheetId="34">'[15]Transfer Form'!$D$6:$D$22,'[15]Transfer Form'!$I$7:$I$16</definedName>
    <definedName name="Account" localSheetId="0">'[16]Transfer Form'!$D$6:$D$22,'[16]Transfer Form'!$I$7:$I$16</definedName>
    <definedName name="Account" localSheetId="32">'[15]Transfer Form'!$D$6:$D$22,'[15]Transfer Form'!$I$7:$I$16</definedName>
    <definedName name="Account">'[17]Transfer Form'!$D$6:$D$22,'[17]Transfer Form'!$I$7:$I$16</definedName>
    <definedName name="Accounts" localSheetId="1">'Budget Summary w MYP'!$A$8:$C$46</definedName>
    <definedName name="Accounts" localSheetId="3">'Budget Summary w OCLC'!$A$8:$C$41</definedName>
    <definedName name="Accounts" localSheetId="21">'Cash Flow $s Yr1'!$A$6:$C$166</definedName>
    <definedName name="Accounts" localSheetId="22">'Cash Flow $s Yr2'!$A$6:$C$166</definedName>
    <definedName name="Accounts" localSheetId="23">'Cash Flow $s Yr3'!$A$6:$C$166</definedName>
    <definedName name="Accounts" localSheetId="24">'Cash Flow $s Yr4'!$A$6:$C$166</definedName>
    <definedName name="Accounts" localSheetId="25">'Cash Flow $s Yr5'!$A$6:$C$166</definedName>
    <definedName name="Accounts" localSheetId="16">'Cash Flow %s Yr1'!$A$6:$C$163</definedName>
    <definedName name="Accounts" localSheetId="17">'Cash Flow %s Yr2'!$A$6:$C$163</definedName>
    <definedName name="Accounts" localSheetId="18">'Cash Flow %s Yr3'!$A$6:$C$163</definedName>
    <definedName name="Accounts" localSheetId="19">'Cash Flow %s Yr4'!$A$6:$C$163</definedName>
    <definedName name="Accounts" localSheetId="20">'Cash Flow %s Yr5'!$A$6:$C$163</definedName>
    <definedName name="Accounts" localSheetId="27">'Cash Flow graphs'!$A$6:$C$16</definedName>
    <definedName name="Accounts" localSheetId="34">#REF!</definedName>
    <definedName name="Accounts" localSheetId="0">#REF!</definedName>
    <definedName name="Accounts" localSheetId="32">#REF!</definedName>
    <definedName name="Accounts" localSheetId="10">'Expenses Input'!$A$6:$C$165</definedName>
    <definedName name="Accounts" localSheetId="8">'Expenses w MYP'!$A$6:$D$140</definedName>
    <definedName name="Accounts" localSheetId="31">#REF!</definedName>
    <definedName name="Accounts" localSheetId="40">#REF!</definedName>
    <definedName name="Accounts" localSheetId="6">'Revenue w MYP'!$A$6:$D$126</definedName>
    <definedName name="Accounts" localSheetId="4">'Student Info w MYP'!$A$6:$C$154</definedName>
    <definedName name="Accounts">#REF!</definedName>
    <definedName name="Acct" localSheetId="34">'[12]Transfer Form'!$D$6:$D$22,'[12]Transfer Form'!$I$7:$I$16</definedName>
    <definedName name="Acct" localSheetId="0">'[13]Transfer Form'!$D$6:$D$22,'[13]Transfer Form'!$I$7:$I$16</definedName>
    <definedName name="Acct" localSheetId="32">'[12]Transfer Form'!$D$6:$D$22,'[12]Transfer Form'!$I$7:$I$16</definedName>
    <definedName name="Acct">'[14]Transfer Form'!$D$6:$D$22,'[14]Transfer Form'!$I$7:$I$16</definedName>
    <definedName name="adadays" localSheetId="34">'[18]Data Input'!$C$222:$C$240,'[18]Data Input'!$V$222:$V$240,'[18]Data Input'!$AA$222:$AA$240,'[18]Data Input'!$P$222:$P$240</definedName>
    <definedName name="adadays" localSheetId="0">'[19]Data Input'!$C$222:$C$240,'[19]Data Input'!$V$222:$V$240,'[19]Data Input'!$AA$222:$AA$240,'[19]Data Input'!$P$222:$P$240</definedName>
    <definedName name="adadays" localSheetId="32">'[18]Data Input'!$C$222:$C$240,'[18]Data Input'!$V$222:$V$240,'[18]Data Input'!$AA$222:$AA$240,'[18]Data Input'!$P$222:$P$240</definedName>
    <definedName name="adadays">'[20]Data Input'!$C$222:$C$240,'[20]Data Input'!$V$222:$V$240,'[20]Data Input'!$AA$222:$AA$240,'[20]Data Input'!$P$222:$P$240</definedName>
    <definedName name="addsds" localSheetId="34">#REF!</definedName>
    <definedName name="addsds" localSheetId="0">#REF!</definedName>
    <definedName name="addsds" localSheetId="32">#REF!</definedName>
    <definedName name="addsds" localSheetId="40">#REF!</definedName>
    <definedName name="addsds">#REF!</definedName>
    <definedName name="afea" localSheetId="34">#REF!</definedName>
    <definedName name="afea" localSheetId="0">#REF!</definedName>
    <definedName name="afea" localSheetId="32">#REF!</definedName>
    <definedName name="afea" localSheetId="40">#REF!</definedName>
    <definedName name="afea">#REF!</definedName>
    <definedName name="ahem" localSheetId="34">[1]Month!#REF!</definedName>
    <definedName name="ahem" localSheetId="0">[2]Month!#REF!</definedName>
    <definedName name="ahem" localSheetId="32">[1]Month!#REF!</definedName>
    <definedName name="ahem" localSheetId="40">[3]Month!#REF!</definedName>
    <definedName name="ahem">[3]Month!#REF!</definedName>
    <definedName name="amount" localSheetId="34">'[12]Transfer Form'!$D$7:$E$22,'[12]Transfer Form'!$I$7:$J$16</definedName>
    <definedName name="amount" localSheetId="0">'[13]Transfer Form'!$D$7:$E$22,'[13]Transfer Form'!$I$7:$J$16</definedName>
    <definedName name="amount" localSheetId="32">'[12]Transfer Form'!$D$7:$E$22,'[12]Transfer Form'!$I$7:$J$16</definedName>
    <definedName name="amount">'[14]Transfer Form'!$D$7:$E$22,'[14]Transfer Form'!$I$7:$J$16</definedName>
    <definedName name="amount1" localSheetId="34">#REF!</definedName>
    <definedName name="amount1" localSheetId="0">#REF!</definedName>
    <definedName name="amount1" localSheetId="32">#REF!</definedName>
    <definedName name="amount1" localSheetId="40">#REF!</definedName>
    <definedName name="amount1">#REF!</definedName>
    <definedName name="amount2" localSheetId="34">#REF!</definedName>
    <definedName name="amount2" localSheetId="0">#REF!</definedName>
    <definedName name="amount2" localSheetId="32">#REF!</definedName>
    <definedName name="amount2" localSheetId="40">#REF!</definedName>
    <definedName name="amount2">#REF!</definedName>
    <definedName name="asssa" localSheetId="34">#REF!</definedName>
    <definedName name="asssa" localSheetId="0">#REF!</definedName>
    <definedName name="asssa" localSheetId="32">#REF!</definedName>
    <definedName name="asssa" localSheetId="40">#REF!</definedName>
    <definedName name="asssa">#REF!</definedName>
    <definedName name="cash" localSheetId="34">#REF!</definedName>
    <definedName name="cash" localSheetId="0">#REF!</definedName>
    <definedName name="cash" localSheetId="40">#REF!</definedName>
    <definedName name="cash">#REF!</definedName>
    <definedName name="CF" localSheetId="34">#REF!</definedName>
    <definedName name="CF" localSheetId="0">#REF!</definedName>
    <definedName name="CF" localSheetId="40">#REF!</definedName>
    <definedName name="CF">#REF!</definedName>
    <definedName name="col.Mulitiplier_Year_1" localSheetId="34">#REF!</definedName>
    <definedName name="col.Mulitiplier_Year_1" localSheetId="0">#REF!</definedName>
    <definedName name="col.Mulitiplier_Year_1" localSheetId="40">#REF!</definedName>
    <definedName name="col.Mulitiplier_Year_1">#REF!</definedName>
    <definedName name="col.Mulitiplier_Year_1_Trend" localSheetId="34">#REF!</definedName>
    <definedName name="col.Mulitiplier_Year_1_Trend" localSheetId="0">#REF!</definedName>
    <definedName name="col.Mulitiplier_Year_1_Trend" localSheetId="40">#REF!</definedName>
    <definedName name="col.Mulitiplier_Year_1_Trend">#REF!</definedName>
    <definedName name="col.Multiplier_Year_2" localSheetId="34">#REF!</definedName>
    <definedName name="col.Multiplier_Year_2" localSheetId="0">#REF!</definedName>
    <definedName name="col.Multiplier_Year_2" localSheetId="40">#REF!</definedName>
    <definedName name="col.Multiplier_Year_2">#REF!</definedName>
    <definedName name="col.Multiplier_Year_3" localSheetId="34">#REF!</definedName>
    <definedName name="col.Multiplier_Year_3" localSheetId="0">#REF!</definedName>
    <definedName name="col.Multiplier_Year_3" localSheetId="40">#REF!</definedName>
    <definedName name="col.Multiplier_Year_3">#REF!</definedName>
    <definedName name="col.Multiplier_Year_4" localSheetId="34">#REF!</definedName>
    <definedName name="col.Multiplier_Year_4" localSheetId="0">#REF!</definedName>
    <definedName name="col.Multiplier_Year_4" localSheetId="40">#REF!</definedName>
    <definedName name="col.Multiplier_Year_4">#REF!</definedName>
    <definedName name="col.Multiplier_Year_5" localSheetId="34">#REF!</definedName>
    <definedName name="col.Multiplier_Year_5" localSheetId="0">#REF!</definedName>
    <definedName name="col.Multiplier_Year_5" localSheetId="40">#REF!</definedName>
    <definedName name="col.Multiplier_Year_5">#REF!</definedName>
    <definedName name="cr" localSheetId="34">#REF!</definedName>
    <definedName name="cr" localSheetId="0">#REF!</definedName>
    <definedName name="cr" localSheetId="40">#REF!</definedName>
    <definedName name="cr">#REF!</definedName>
    <definedName name="_xlnm.Criteria" localSheetId="34">#REF!</definedName>
    <definedName name="_xlnm.Criteria" localSheetId="0">#REF!</definedName>
    <definedName name="_xlnm.Criteria" localSheetId="40">#REF!</definedName>
    <definedName name="_xlnm.Criteria">#REF!</definedName>
    <definedName name="Current_FY_End" localSheetId="34">#REF!</definedName>
    <definedName name="Current_FY_End" localSheetId="0">#REF!</definedName>
    <definedName name="Current_FY_End" localSheetId="40">#REF!</definedName>
    <definedName name="Current_FY_End">#REF!</definedName>
    <definedName name="d" localSheetId="34">#REF!</definedName>
    <definedName name="d" localSheetId="0">#REF!</definedName>
    <definedName name="d" localSheetId="40">#REF!</definedName>
    <definedName name="d">#REF!</definedName>
    <definedName name="_xlnm.Database" localSheetId="34">#REF!</definedName>
    <definedName name="_xlnm.Database" localSheetId="0">#REF!</definedName>
    <definedName name="_xlnm.Database" localSheetId="40">#REF!</definedName>
    <definedName name="_xlnm.Database">#REF!</definedName>
    <definedName name="db" localSheetId="34">#REF!</definedName>
    <definedName name="db" localSheetId="0">#REF!</definedName>
    <definedName name="db" localSheetId="40">#REF!</definedName>
    <definedName name="db">#REF!</definedName>
    <definedName name="dcsf" localSheetId="34">#REF!</definedName>
    <definedName name="dcsf" localSheetId="0">#REF!</definedName>
    <definedName name="dcsf" localSheetId="40">#REF!</definedName>
    <definedName name="dcsf">#REF!</definedName>
    <definedName name="ddd" localSheetId="34">#REF!</definedName>
    <definedName name="ddd" localSheetId="0">#REF!</definedName>
    <definedName name="ddd" localSheetId="40">#REF!</definedName>
    <definedName name="ddd">#REF!</definedName>
    <definedName name="ddddd" localSheetId="34">#REF!</definedName>
    <definedName name="ddddd" localSheetId="0">#REF!</definedName>
    <definedName name="ddddd" localSheetId="40">#REF!</definedName>
    <definedName name="ddddd">#REF!</definedName>
    <definedName name="dds" localSheetId="34">#REF!</definedName>
    <definedName name="dds" localSheetId="0">#REF!</definedName>
    <definedName name="dds" localSheetId="40">#REF!</definedName>
    <definedName name="dds">#REF!</definedName>
    <definedName name="deaf" localSheetId="34">#REF!</definedName>
    <definedName name="deaf" localSheetId="0">#REF!</definedName>
    <definedName name="deaf" localSheetId="40">#REF!</definedName>
    <definedName name="deaf">#REF!</definedName>
    <definedName name="dis" localSheetId="34">'[21]District Table'!$A$3:$B$23</definedName>
    <definedName name="dis" localSheetId="0">'[22]District Table'!$A$3:$B$23</definedName>
    <definedName name="dis" localSheetId="32">'[21]District Table'!$A$3:$B$23</definedName>
    <definedName name="dis">'[23]District Table'!$A$3:$B$23</definedName>
    <definedName name="District" localSheetId="34">'[24]District Table'!$A$3:$B$22</definedName>
    <definedName name="District" localSheetId="0">'[25]District Table'!$A$3:$B$22</definedName>
    <definedName name="District" localSheetId="32">'[24]District Table'!$A$3:$B$22</definedName>
    <definedName name="District">'[26]District Table'!$A$3:$B$22</definedName>
    <definedName name="do" localSheetId="34">'[21]District Table'!$A$3:$B$23</definedName>
    <definedName name="do" localSheetId="0">'[22]District Table'!$A$3:$B$23</definedName>
    <definedName name="do" localSheetId="32">'[21]District Table'!$A$3:$B$23</definedName>
    <definedName name="do">'[23]District Table'!$A$3:$B$23</definedName>
    <definedName name="DollarVarianceThreshold" localSheetId="34">#REF!</definedName>
    <definedName name="DollarVarianceThreshold" localSheetId="0">#REF!</definedName>
    <definedName name="DollarVarianceThreshold" localSheetId="32">#REF!</definedName>
    <definedName name="DollarVarianceThreshold" localSheetId="40">#REF!</definedName>
    <definedName name="DollarVarianceThreshold">#REF!</definedName>
    <definedName name="dsds" localSheetId="34">#REF!</definedName>
    <definedName name="dsds" localSheetId="0">#REF!</definedName>
    <definedName name="dsds" localSheetId="32">#REF!</definedName>
    <definedName name="dsds" localSheetId="40">#REF!</definedName>
    <definedName name="dsds">#REF!</definedName>
    <definedName name="eferfa" localSheetId="34">#REF!</definedName>
    <definedName name="eferfa" localSheetId="0">#REF!</definedName>
    <definedName name="eferfa" localSheetId="32">#REF!</definedName>
    <definedName name="eferfa" localSheetId="40">#REF!</definedName>
    <definedName name="eferfa">#REF!</definedName>
    <definedName name="effea" localSheetId="34">#REF!</definedName>
    <definedName name="effea" localSheetId="0">#REF!</definedName>
    <definedName name="effea" localSheetId="40">#REF!</definedName>
    <definedName name="effea">#REF!</definedName>
    <definedName name="EmployeeInputYr3" localSheetId="34">[9]june!#REF!</definedName>
    <definedName name="EmployeeInputYr3" localSheetId="0">[10]june!#REF!</definedName>
    <definedName name="EmployeeInputYr3" localSheetId="32">[9]june!#REF!</definedName>
    <definedName name="EmployeeInputYr3" localSheetId="40">[11]june!#REF!</definedName>
    <definedName name="EmployeeInputYr3">[11]june!#REF!</definedName>
    <definedName name="Ending_Cash_Percent_for_Green.School_Info_Sheet" localSheetId="34">#REF!</definedName>
    <definedName name="Ending_Cash_Percent_for_Green.School_Info_Sheet" localSheetId="0">#REF!</definedName>
    <definedName name="Ending_Cash_Percent_for_Green.School_Info_Sheet" localSheetId="32">#REF!</definedName>
    <definedName name="Ending_Cash_Percent_for_Green.School_Info_Sheet" localSheetId="40">#REF!</definedName>
    <definedName name="Ending_Cash_Percent_for_Green.School_Info_Sheet">#REF!</definedName>
    <definedName name="eqfqq" localSheetId="34">#REF!</definedName>
    <definedName name="eqfqq" localSheetId="0">#REF!</definedName>
    <definedName name="eqfqq" localSheetId="32">#REF!</definedName>
    <definedName name="eqfqq" localSheetId="40">#REF!</definedName>
    <definedName name="eqfqq">#REF!</definedName>
    <definedName name="ewff" localSheetId="34">#REF!</definedName>
    <definedName name="ewff" localSheetId="0">#REF!</definedName>
    <definedName name="ewff" localSheetId="32">#REF!</definedName>
    <definedName name="ewff" localSheetId="40">#REF!</definedName>
    <definedName name="ewff">#REF!</definedName>
    <definedName name="_xlnm.Extract" localSheetId="34">#REF!</definedName>
    <definedName name="_xlnm.Extract" localSheetId="0">#REF!</definedName>
    <definedName name="_xlnm.Extract" localSheetId="40">#REF!</definedName>
    <definedName name="_xlnm.Extract">#REF!</definedName>
    <definedName name="fdfdfdfd" localSheetId="34">#REF!</definedName>
    <definedName name="fdfdfdfd" localSheetId="0">#REF!</definedName>
    <definedName name="fdfdfdfd" localSheetId="40">#REF!</definedName>
    <definedName name="fdfdfdfd">#REF!</definedName>
    <definedName name="fee" localSheetId="34">#REF!</definedName>
    <definedName name="fee" localSheetId="0">#REF!</definedName>
    <definedName name="fee" localSheetId="40">#REF!</definedName>
    <definedName name="fee">#REF!</definedName>
    <definedName name="fef" localSheetId="34">#REF!</definedName>
    <definedName name="fef" localSheetId="0">#REF!</definedName>
    <definedName name="fef" localSheetId="40">#REF!</definedName>
    <definedName name="fef">#REF!</definedName>
    <definedName name="Fiscal_Sets" localSheetId="34">#REF!</definedName>
    <definedName name="Fiscal_Sets" localSheetId="0">#REF!</definedName>
    <definedName name="Fiscal_Sets" localSheetId="32">#REF!</definedName>
    <definedName name="Fiscal_Sets" localSheetId="31">#REF!</definedName>
    <definedName name="Fiscal_Sets">Fiscal_Sets!$A$1:$Q$192</definedName>
    <definedName name="fkjfkj" localSheetId="34">#REF!</definedName>
    <definedName name="fkjfkj" localSheetId="0">#REF!</definedName>
    <definedName name="fkjfkj" localSheetId="32">#REF!</definedName>
    <definedName name="fkjfkj" localSheetId="40">#REF!</definedName>
    <definedName name="fkjfkj">#REF!</definedName>
    <definedName name="fsaa" localSheetId="34">#REF!</definedName>
    <definedName name="fsaa" localSheetId="0">#REF!</definedName>
    <definedName name="fsaa" localSheetId="40">#REF!</definedName>
    <definedName name="fsaa">#REF!</definedName>
    <definedName name="Fund" localSheetId="34">'[24]District Table'!$C$3:$D$37</definedName>
    <definedName name="Fund" localSheetId="0">'[25]District Table'!$C$3:$D$37</definedName>
    <definedName name="Fund" localSheetId="32">'[24]District Table'!$C$3:$D$37</definedName>
    <definedName name="Fund">'[26]District Table'!$C$3:$D$37</definedName>
    <definedName name="fvd" localSheetId="34">#REF!</definedName>
    <definedName name="fvd" localSheetId="0">#REF!</definedName>
    <definedName name="fvd" localSheetId="32">#REF!</definedName>
    <definedName name="fvd" localSheetId="40">#REF!</definedName>
    <definedName name="fvd">#REF!</definedName>
    <definedName name="ghjhm" localSheetId="34">#REF!</definedName>
    <definedName name="ghjhm" localSheetId="0">#REF!</definedName>
    <definedName name="ghjhm" localSheetId="32">#REF!</definedName>
    <definedName name="ghjhm" localSheetId="40">#REF!</definedName>
    <definedName name="ghjhm">#REF!</definedName>
    <definedName name="ghjnb" localSheetId="34">#REF!</definedName>
    <definedName name="ghjnb" localSheetId="0">#REF!</definedName>
    <definedName name="ghjnb" localSheetId="32">#REF!</definedName>
    <definedName name="ghjnb" localSheetId="40">#REF!</definedName>
    <definedName name="ghjnb">#REF!</definedName>
    <definedName name="h" localSheetId="34">#REF!</definedName>
    <definedName name="h" localSheetId="0">#REF!</definedName>
    <definedName name="h" localSheetId="40">#REF!</definedName>
    <definedName name="h">#REF!</definedName>
    <definedName name="hjmgvh" localSheetId="34">#REF!</definedName>
    <definedName name="hjmgvh" localSheetId="0">#REF!</definedName>
    <definedName name="hjmgvh" localSheetId="40">#REF!</definedName>
    <definedName name="hjmgvh">#REF!</definedName>
    <definedName name="jb" localSheetId="34">[1]Month!#REF!</definedName>
    <definedName name="jb" localSheetId="0">[2]Month!#REF!</definedName>
    <definedName name="jb" localSheetId="32">[1]Month!#REF!</definedName>
    <definedName name="jb" localSheetId="40">[3]Month!#REF!</definedName>
    <definedName name="jb">[3]Month!#REF!</definedName>
    <definedName name="kj" localSheetId="34">#REF!</definedName>
    <definedName name="kj" localSheetId="0">#REF!</definedName>
    <definedName name="kj" localSheetId="32">#REF!</definedName>
    <definedName name="kj" localSheetId="40">#REF!</definedName>
    <definedName name="kj">#REF!</definedName>
    <definedName name="kj.jk" localSheetId="34">#REF!</definedName>
    <definedName name="kj.jk" localSheetId="0">#REF!</definedName>
    <definedName name="kj.jk" localSheetId="32">#REF!</definedName>
    <definedName name="kj.jk" localSheetId="40">#REF!</definedName>
    <definedName name="kj.jk">#REF!</definedName>
    <definedName name="klfkf" localSheetId="34">#REF!</definedName>
    <definedName name="klfkf" localSheetId="0">#REF!</definedName>
    <definedName name="klfkf" localSheetId="32">#REF!</definedName>
    <definedName name="klfkf" localSheetId="40">#REF!</definedName>
    <definedName name="klfkf">#REF!</definedName>
    <definedName name="ldsl" localSheetId="34">#REF!</definedName>
    <definedName name="ldsl" localSheetId="0">#REF!</definedName>
    <definedName name="ldsl" localSheetId="40">#REF!</definedName>
    <definedName name="ldsl">#REF!</definedName>
    <definedName name="lksldkvfrkln" localSheetId="34">#REF!</definedName>
    <definedName name="lksldkvfrkln" localSheetId="0">#REF!</definedName>
    <definedName name="lksldkvfrkln" localSheetId="40">#REF!</definedName>
    <definedName name="lksldkvfrkln">#REF!</definedName>
    <definedName name="lkwekkre" localSheetId="34">#REF!</definedName>
    <definedName name="lkwekkre" localSheetId="0">#REF!</definedName>
    <definedName name="lkwekkre" localSheetId="40">#REF!</definedName>
    <definedName name="lkwekkre">#REF!</definedName>
    <definedName name="mghmgh" localSheetId="34">#REF!</definedName>
    <definedName name="mghmgh" localSheetId="0">#REF!</definedName>
    <definedName name="mghmgh" localSheetId="40">#REF!</definedName>
    <definedName name="mghmgh">#REF!</definedName>
    <definedName name="nav.Resource_List" localSheetId="34">#REF!</definedName>
    <definedName name="nav.Resource_List" localSheetId="0">#REF!</definedName>
    <definedName name="nav.Resource_List" localSheetId="40">#REF!</definedName>
    <definedName name="nav.Resource_List">#REF!</definedName>
    <definedName name="nav_403b" localSheetId="34">#REF!</definedName>
    <definedName name="nav_403b" localSheetId="0">#REF!</definedName>
    <definedName name="nav_403b" localSheetId="40">#REF!</definedName>
    <definedName name="nav_403b">#REF!</definedName>
    <definedName name="nav_EPA" localSheetId="0">#REF!</definedName>
    <definedName name="nav_EPA" localSheetId="40">#REF!</definedName>
    <definedName name="nav_EPA">#REF!</definedName>
    <definedName name="nav_Fed_Nut" localSheetId="34">#REF!</definedName>
    <definedName name="nav_Fed_Nut" localSheetId="0">#REF!</definedName>
    <definedName name="nav_Fed_Nut" localSheetId="40">#REF!</definedName>
    <definedName name="nav_Fed_Nut">#REF!</definedName>
    <definedName name="nav_Food_Sale" localSheetId="34">#REF!</definedName>
    <definedName name="nav_Food_Sale" localSheetId="0">#REF!</definedName>
    <definedName name="nav_Food_Sale" localSheetId="40">#REF!</definedName>
    <definedName name="nav_Food_Sale">#REF!</definedName>
    <definedName name="nav_Increase_By" localSheetId="34">#REF!</definedName>
    <definedName name="nav_Increase_By" localSheetId="0">#REF!</definedName>
    <definedName name="nav_Increase_By" localSheetId="40">#REF!</definedName>
    <definedName name="nav_Increase_By">#REF!</definedName>
    <definedName name="nav_LCAP_Elements" localSheetId="34">#REF!</definedName>
    <definedName name="nav_LCAP_Elements" localSheetId="0">#REF!</definedName>
    <definedName name="nav_LCAP_Elements" localSheetId="40">#REF!</definedName>
    <definedName name="nav_LCAP_Elements">#REF!</definedName>
    <definedName name="nav_LCFF" localSheetId="0">#REF!</definedName>
    <definedName name="nav_LCFF" localSheetId="40">#REF!</definedName>
    <definedName name="nav_LCFF">#REF!</definedName>
    <definedName name="nav_Medicare" localSheetId="34">#REF!</definedName>
    <definedName name="nav_Medicare" localSheetId="0">#REF!</definedName>
    <definedName name="nav_Medicare" localSheetId="40">#REF!</definedName>
    <definedName name="nav_Medicare">#REF!</definedName>
    <definedName name="nav_OASDI" localSheetId="34">#REF!</definedName>
    <definedName name="nav_OASDI" localSheetId="0">#REF!</definedName>
    <definedName name="nav_OASDI" localSheetId="40">#REF!</definedName>
    <definedName name="nav_OASDI">#REF!</definedName>
    <definedName name="nav_PARS" localSheetId="34">#REF!</definedName>
    <definedName name="nav_PARS" localSheetId="0">#REF!</definedName>
    <definedName name="nav_PARS" localSheetId="40">#REF!</definedName>
    <definedName name="nav_PARS">#REF!</definedName>
    <definedName name="nav_PERS" localSheetId="34">#REF!</definedName>
    <definedName name="nav_PERS" localSheetId="0">#REF!</definedName>
    <definedName name="nav_PERS" localSheetId="40">#REF!</definedName>
    <definedName name="nav_PERS">#REF!</definedName>
    <definedName name="nav_PT" localSheetId="0">#REF!</definedName>
    <definedName name="nav_PT" localSheetId="40">#REF!</definedName>
    <definedName name="nav_PT">#REF!</definedName>
    <definedName name="nav_State_Nut" localSheetId="34">#REF!</definedName>
    <definedName name="nav_State_Nut" localSheetId="0">#REF!</definedName>
    <definedName name="nav_State_Nut" localSheetId="40">#REF!</definedName>
    <definedName name="nav_State_Nut">#REF!</definedName>
    <definedName name="nav_STRS" localSheetId="34">#REF!</definedName>
    <definedName name="nav_STRS" localSheetId="0">#REF!</definedName>
    <definedName name="nav_STRS" localSheetId="40">#REF!</definedName>
    <definedName name="nav_STRS">#REF!</definedName>
    <definedName name="nav_SUI" localSheetId="34">#REF!</definedName>
    <definedName name="nav_SUI" localSheetId="0">#REF!</definedName>
    <definedName name="nav_SUI" localSheetId="40">#REF!</definedName>
    <definedName name="nav_SUI">#REF!</definedName>
    <definedName name="nav_Unit_Cost_Chart" localSheetId="34">#REF!</definedName>
    <definedName name="nav_Unit_Cost_Chart" localSheetId="0">#REF!</definedName>
    <definedName name="nav_Unit_Cost_Chart" localSheetId="40">#REF!</definedName>
    <definedName name="nav_Unit_Cost_Chart">#REF!</definedName>
    <definedName name="nav_Worker_Comp_COLA" localSheetId="34">#REF!</definedName>
    <definedName name="nav_Worker_Comp_COLA" localSheetId="0">#REF!</definedName>
    <definedName name="nav_Worker_Comp_COLA" localSheetId="40">#REF!</definedName>
    <definedName name="nav_Worker_Comp_COLA">#REF!</definedName>
    <definedName name="Net_Income_Percent_for_Green.School_Info_Sheet" localSheetId="34">#REF!</definedName>
    <definedName name="Net_Income_Percent_for_Green.School_Info_Sheet" localSheetId="0">#REF!</definedName>
    <definedName name="Net_Income_Percent_for_Green.School_Info_Sheet" localSheetId="40">#REF!</definedName>
    <definedName name="Net_Income_Percent_for_Green.School_Info_Sheet">#REF!</definedName>
    <definedName name="Net_Income_Target_for_Orange.Reference_Tables_Sheet" localSheetId="34">#REF!</definedName>
    <definedName name="Net_Income_Target_for_Orange.Reference_Tables_Sheet" localSheetId="0">#REF!</definedName>
    <definedName name="Net_Income_Target_for_Orange.Reference_Tables_Sheet" localSheetId="40">#REF!</definedName>
    <definedName name="Net_Income_Target_for_Orange.Reference_Tables_Sheet">#REF!</definedName>
    <definedName name="new" localSheetId="34">#REF!</definedName>
    <definedName name="new" localSheetId="0">#REF!</definedName>
    <definedName name="new" localSheetId="40">#REF!</definedName>
    <definedName name="new">#REF!</definedName>
    <definedName name="OversightPct" localSheetId="34">#REF!</definedName>
    <definedName name="OversightPct" localSheetId="0">#REF!</definedName>
    <definedName name="OversightPct" localSheetId="40">#REF!</definedName>
    <definedName name="OversightPct">#REF!</definedName>
    <definedName name="page1" localSheetId="34">#REF!</definedName>
    <definedName name="page1" localSheetId="0">#REF!</definedName>
    <definedName name="page1" localSheetId="40">#REF!</definedName>
    <definedName name="page1">#REF!</definedName>
    <definedName name="page2" localSheetId="34">#REF!</definedName>
    <definedName name="page2" localSheetId="0">#REF!</definedName>
    <definedName name="page2" localSheetId="40">#REF!</definedName>
    <definedName name="page2">#REF!</definedName>
    <definedName name="page3" localSheetId="34">#REF!</definedName>
    <definedName name="page3" localSheetId="0">#REF!</definedName>
    <definedName name="page3" localSheetId="40">#REF!</definedName>
    <definedName name="page3">#REF!</definedName>
    <definedName name="page4" localSheetId="34">#REF!</definedName>
    <definedName name="page4" localSheetId="0">#REF!</definedName>
    <definedName name="page4" localSheetId="40">#REF!</definedName>
    <definedName name="page4">#REF!</definedName>
    <definedName name="page5" localSheetId="34">#REF!</definedName>
    <definedName name="page5" localSheetId="0">#REF!</definedName>
    <definedName name="page5" localSheetId="40">#REF!</definedName>
    <definedName name="page5">#REF!</definedName>
    <definedName name="PercentVarianceThreshold" localSheetId="34">#REF!</definedName>
    <definedName name="PercentVarianceThreshold" localSheetId="0">#REF!</definedName>
    <definedName name="PercentVarianceThreshold" localSheetId="40">#REF!</definedName>
    <definedName name="PercentVarianceThreshold">#REF!</definedName>
    <definedName name="PFY" localSheetId="34">#REF!</definedName>
    <definedName name="PFY" localSheetId="0">#REF!</definedName>
    <definedName name="PFY" localSheetId="40">#REF!</definedName>
    <definedName name="PFY">#REF!</definedName>
    <definedName name="Phase" localSheetId="34">'[27]School Info'!$K$8</definedName>
    <definedName name="Phase" localSheetId="0">'[28]School Info'!$K$8</definedName>
    <definedName name="Phase" localSheetId="32">'[27]School Info'!$K$8</definedName>
    <definedName name="Phase">'[29]School Info'!$K$8</definedName>
    <definedName name="_xlnm.Print_Area" localSheetId="1">'Budget Summary w MYP'!$A$1:$N$29</definedName>
    <definedName name="_xlnm.Print_Area" localSheetId="3">'Budget Summary w OCLC'!$A$1:$N$29</definedName>
    <definedName name="_xlnm.Print_Area" localSheetId="34">'CONSOLIDATED CY Cash Flows'!$A$1:$Y$206</definedName>
    <definedName name="_xlnm.Print_Area" localSheetId="0">'Cover Sheet'!$D$3:$O$44</definedName>
    <definedName name="_xlnm.Print_Area" localSheetId="8">'Expenses w MYP'!$C$1:$K$124</definedName>
    <definedName name="_xlnm.Print_Area" localSheetId="6">'Revenue w MYP'!$D$1:$J$52</definedName>
    <definedName name="_xlnm.Print_Area" localSheetId="4">'Student Info w MYP'!$A$1:$I$64</definedName>
    <definedName name="_xlnm.Print_Titles" localSheetId="27">'Cash Flow graphs'!$1:$3</definedName>
    <definedName name="_xlnm.Print_Titles" localSheetId="11">'Employee Input Yr1'!$B:$C</definedName>
    <definedName name="_xlnm.Print_Titles" localSheetId="12">'Employee Input Yr2'!$B:$C</definedName>
    <definedName name="_xlnm.Print_Titles" localSheetId="13">'Employee Input Yr3'!$B:$C</definedName>
    <definedName name="_xlnm.Print_Titles" localSheetId="14">'Employee Input Yr4'!$B:$C</definedName>
    <definedName name="_xlnm.Print_Titles" localSheetId="15">'Employee Input Yr5'!$B:$C</definedName>
    <definedName name="_xlnm.Print_Titles" localSheetId="6">'Revenue w MYP'!$A:$C</definedName>
    <definedName name="qergf4qg" localSheetId="34">#REF!</definedName>
    <definedName name="qergf4qg" localSheetId="0">#REF!</definedName>
    <definedName name="qergf4qg" localSheetId="32">#REF!</definedName>
    <definedName name="qergf4qg" localSheetId="40">#REF!</definedName>
    <definedName name="qergf4qg">#REF!</definedName>
    <definedName name="qq4f" localSheetId="34">#REF!</definedName>
    <definedName name="qq4f" localSheetId="0">#REF!</definedName>
    <definedName name="qq4f" localSheetId="32">#REF!</definedName>
    <definedName name="qq4f" localSheetId="40">#REF!</definedName>
    <definedName name="qq4f">#REF!</definedName>
    <definedName name="Range.Beginning_YR" localSheetId="34">#REF!</definedName>
    <definedName name="Range.Beginning_YR" localSheetId="0">#REF!</definedName>
    <definedName name="Range.Beginning_YR" localSheetId="32">#REF!</definedName>
    <definedName name="Range.Beginning_YR" localSheetId="40">#REF!</definedName>
    <definedName name="Range.Beginning_YR">#REF!</definedName>
    <definedName name="range.Benefits_Cap_Description" localSheetId="34">#REF!</definedName>
    <definedName name="range.Benefits_Cap_Description" localSheetId="0">#REF!</definedName>
    <definedName name="range.Benefits_Cap_Description" localSheetId="40">#REF!</definedName>
    <definedName name="range.Benefits_Cap_Description">#REF!</definedName>
    <definedName name="Range.District_Cash_Flow_Scenarios" localSheetId="34">#REF!</definedName>
    <definedName name="Range.District_Cash_Flow_Scenarios" localSheetId="0">#REF!</definedName>
    <definedName name="Range.District_Cash_Flow_Scenarios" localSheetId="40">#REF!</definedName>
    <definedName name="Range.District_Cash_Flow_Scenarios">#REF!</definedName>
    <definedName name="range.Employee_Calendar_List" localSheetId="34">#REF!</definedName>
    <definedName name="range.Employee_Calendar_List" localSheetId="0">#REF!</definedName>
    <definedName name="range.Employee_Calendar_List" localSheetId="40">#REF!</definedName>
    <definedName name="range.Employee_Calendar_List">#REF!</definedName>
    <definedName name="range.Fiscal_Year_List" localSheetId="34">#REF!</definedName>
    <definedName name="range.Fiscal_Year_List" localSheetId="0">#REF!</definedName>
    <definedName name="range.Fiscal_Year_List" localSheetId="40">#REF!</definedName>
    <definedName name="range.Fiscal_Year_List">#REF!</definedName>
    <definedName name="range.FY_List" localSheetId="34">#REF!</definedName>
    <definedName name="range.FY_List" localSheetId="0">#REF!</definedName>
    <definedName name="range.FY_List" localSheetId="40">#REF!</definedName>
    <definedName name="range.FY_List">#REF!</definedName>
    <definedName name="range.FYStart" localSheetId="34">#REF!</definedName>
    <definedName name="range.FYStart" localSheetId="0">#REF!</definedName>
    <definedName name="range.FYStart" localSheetId="40">#REF!</definedName>
    <definedName name="range.FYStart">#REF!</definedName>
    <definedName name="Range.Increase_by" localSheetId="34">#REF!</definedName>
    <definedName name="Range.Increase_by" localSheetId="0">#REF!</definedName>
    <definedName name="Range.Increase_by" localSheetId="40">#REF!</definedName>
    <definedName name="Range.Increase_by">#REF!</definedName>
    <definedName name="Range.Item_Description" localSheetId="34">#REF!</definedName>
    <definedName name="Range.Item_Description" localSheetId="0">#REF!</definedName>
    <definedName name="Range.Item_Description" localSheetId="40">#REF!</definedName>
    <definedName name="Range.Item_Description">#REF!</definedName>
    <definedName name="Range.LCAP_Elements" localSheetId="34">#REF!</definedName>
    <definedName name="Range.LCAP_Elements" localSheetId="0">#REF!</definedName>
    <definedName name="Range.LCAP_Elements" localSheetId="40">#REF!</definedName>
    <definedName name="Range.LCAP_Elements">#REF!</definedName>
    <definedName name="Range.Months" localSheetId="34">#REF!</definedName>
    <definedName name="Range.Months" localSheetId="0">#REF!</definedName>
    <definedName name="Range.Months" localSheetId="40">#REF!</definedName>
    <definedName name="Range.Months">#REF!</definedName>
    <definedName name="Range.New_Position_List" localSheetId="34">#REF!</definedName>
    <definedName name="Range.New_Position_List" localSheetId="0">#REF!</definedName>
    <definedName name="Range.New_Position_List" localSheetId="40">#REF!</definedName>
    <definedName name="Range.New_Position_List">#REF!</definedName>
    <definedName name="Range.PerType" localSheetId="34">#REF!</definedName>
    <definedName name="Range.PerType" localSheetId="0">#REF!</definedName>
    <definedName name="Range.PerType" localSheetId="40">#REF!</definedName>
    <definedName name="Range.PerType">#REF!</definedName>
    <definedName name="Range.Resource_Code_List" localSheetId="34">#REF!</definedName>
    <definedName name="Range.Resource_Code_List" localSheetId="0">#REF!</definedName>
    <definedName name="Range.Resource_Code_List" localSheetId="40">#REF!</definedName>
    <definedName name="Range.Resource_Code_List">#REF!</definedName>
    <definedName name="Range.State_Cashflow_Scenarios" localSheetId="34">#REF!</definedName>
    <definedName name="Range.State_Cashflow_Scenarios" localSheetId="0">#REF!</definedName>
    <definedName name="Range.State_Cashflow_Scenarios" localSheetId="40">#REF!</definedName>
    <definedName name="Range.State_Cashflow_Scenarios">#REF!</definedName>
    <definedName name="Range.Y_N" localSheetId="34">#REF!</definedName>
    <definedName name="Range.Y_N" localSheetId="0">#REF!</definedName>
    <definedName name="Range.Y_N" localSheetId="40">#REF!</definedName>
    <definedName name="Range.Y_N">#REF!</definedName>
    <definedName name="Reserve_Percent" localSheetId="34">#REF!</definedName>
    <definedName name="Reserve_Percent" localSheetId="0">#REF!</definedName>
    <definedName name="Reserve_Percent" localSheetId="40">#REF!</definedName>
    <definedName name="Reserve_Percent">#REF!</definedName>
    <definedName name="REST" comment="These are the defined Restriction Codes" localSheetId="34">'[30]Restrictor Codes'!$A$1:$A$22</definedName>
    <definedName name="REST" comment="These are the defined Restriction Codes" localSheetId="0">'[31]Restrictor Codes'!$A$1:$A$22</definedName>
    <definedName name="REST" comment="These are the defined Restriction Codes" localSheetId="32">'[30]Restrictor Codes'!$A$1:$A$22</definedName>
    <definedName name="REST" comment="These are the defined Restriction Codes" localSheetId="40">'[32]Restrictor Codes'!$A$1:$A$21</definedName>
    <definedName name="REST" comment="These are the defined Restriction Codes">'[33]Restrictor Codes'!$A$1:$A$22</definedName>
    <definedName name="rfeads" localSheetId="34">#REF!</definedName>
    <definedName name="rfeads" localSheetId="0">#REF!</definedName>
    <definedName name="rfeads" localSheetId="32">#REF!</definedName>
    <definedName name="rfeads" localSheetId="40">#REF!</definedName>
    <definedName name="rfeads">#REF!</definedName>
    <definedName name="rff" localSheetId="34">#REF!</definedName>
    <definedName name="rff" localSheetId="0">#REF!</definedName>
    <definedName name="rff" localSheetId="32">#REF!</definedName>
    <definedName name="rff" localSheetId="40">#REF!</definedName>
    <definedName name="rff">#REF!</definedName>
    <definedName name="RLdata" localSheetId="34">'[34]RL Data'!$B$4:$S$47</definedName>
    <definedName name="RLdata" localSheetId="0">'[35]RL Data'!$B$4:$S$47</definedName>
    <definedName name="RLdata" localSheetId="32">'[34]RL Data'!$B$4:$S$47</definedName>
    <definedName name="RLdata">'[36]RL Data'!$B$4:$S$47</definedName>
    <definedName name="RLdata1" localSheetId="34">'[37]RL Data'!$B$4:$S$47</definedName>
    <definedName name="RLdata1" localSheetId="0">'[38]RL Data'!$B$4:$S$47</definedName>
    <definedName name="RLdata1" localSheetId="32">'[37]RL Data'!$B$4:$S$47</definedName>
    <definedName name="RLdata1">'[39]RL Data'!$B$4:$S$47</definedName>
    <definedName name="RLdata2" localSheetId="34">'[37]RL Data'!$B$4:$S$47</definedName>
    <definedName name="RLdata2" localSheetId="0">'[38]RL Data'!$B$4:$S$47</definedName>
    <definedName name="RLdata2" localSheetId="32">'[37]RL Data'!$B$4:$S$47</definedName>
    <definedName name="RLdata2">'[39]RL Data'!$B$4:$S$47</definedName>
    <definedName name="rr" localSheetId="34">#REF!</definedName>
    <definedName name="rr" localSheetId="0">#REF!</definedName>
    <definedName name="rr" localSheetId="32">#REF!</definedName>
    <definedName name="rr" localSheetId="40">#REF!</definedName>
    <definedName name="rr">#REF!</definedName>
    <definedName name="saas" localSheetId="34">#REF!</definedName>
    <definedName name="saas" localSheetId="0">#REF!</definedName>
    <definedName name="saas" localSheetId="32">#REF!</definedName>
    <definedName name="saas" localSheetId="40">#REF!</definedName>
    <definedName name="saas">#REF!</definedName>
    <definedName name="School_has_HW_Cap?" localSheetId="34">#REF!</definedName>
    <definedName name="School_has_HW_Cap?" localSheetId="0">#REF!</definedName>
    <definedName name="School_has_HW_Cap?" localSheetId="32">#REF!</definedName>
    <definedName name="School_has_HW_Cap?" localSheetId="40">#REF!</definedName>
    <definedName name="School_has_HW_Cap?">#REF!</definedName>
    <definedName name="School_Year" localSheetId="34">'[27]Data Validation Tables'!$F$25</definedName>
    <definedName name="School_Year" localSheetId="0">'[28]Data Validation Tables'!$F$25</definedName>
    <definedName name="School_Year" localSheetId="32">'[27]Data Validation Tables'!$F$25</definedName>
    <definedName name="School_Year">'[29]Data Validation Tables'!$F$25</definedName>
    <definedName name="sdd" localSheetId="34">#REF!</definedName>
    <definedName name="sdd" localSheetId="0">#REF!</definedName>
    <definedName name="sdd" localSheetId="32">#REF!</definedName>
    <definedName name="sdd" localSheetId="40">#REF!</definedName>
    <definedName name="sdd">#REF!</definedName>
    <definedName name="SDFY20BUD" localSheetId="0">[40]ActualToBudgetForList!$A$4:$R$112</definedName>
    <definedName name="SDFY20BUD">[40]ActualToBudgetForList!$A$4:$R$112</definedName>
    <definedName name="sdsd" localSheetId="34">#REF!</definedName>
    <definedName name="sdsd" localSheetId="0">#REF!</definedName>
    <definedName name="sdsd" localSheetId="32">#REF!</definedName>
    <definedName name="sdsd" localSheetId="40">#REF!</definedName>
    <definedName name="sdsd">#REF!</definedName>
    <definedName name="sdv" localSheetId="34">#REF!</definedName>
    <definedName name="sdv" localSheetId="0">#REF!</definedName>
    <definedName name="sdv" localSheetId="32">#REF!</definedName>
    <definedName name="sdv" localSheetId="40">#REF!</definedName>
    <definedName name="sdv">#REF!</definedName>
    <definedName name="sf" localSheetId="34">#REF!</definedName>
    <definedName name="sf" localSheetId="0">#REF!</definedName>
    <definedName name="sf" localSheetId="32">#REF!</definedName>
    <definedName name="sf" localSheetId="40">#REF!</definedName>
    <definedName name="sf">#REF!</definedName>
    <definedName name="sffg" localSheetId="34">#REF!</definedName>
    <definedName name="sffg" localSheetId="0">#REF!</definedName>
    <definedName name="sffg" localSheetId="40">#REF!</definedName>
    <definedName name="sffg">#REF!</definedName>
    <definedName name="SpEd_Model" localSheetId="34">#REF!</definedName>
    <definedName name="SpEd_Model" localSheetId="0">#REF!</definedName>
    <definedName name="SpEd_Model" localSheetId="40">#REF!</definedName>
    <definedName name="SpEd_Model">#REF!</definedName>
    <definedName name="test" localSheetId="34">'[41]Transfer Form'!$D$7:$E$22,'[41]Transfer Form'!$I$7:$J$16</definedName>
    <definedName name="test" localSheetId="0">'[42]Transfer Form'!$D$7:$E$22,'[42]Transfer Form'!$I$7:$J$16</definedName>
    <definedName name="test" localSheetId="32">'[41]Transfer Form'!$D$7:$E$22,'[41]Transfer Form'!$I$7:$J$16</definedName>
    <definedName name="test">'[43]Transfer Form'!$D$7:$E$22,'[43]Transfer Form'!$I$7:$J$16</definedName>
    <definedName name="test1" localSheetId="34">'[44]5 year-1 (janupdate)'!$A$1:$L$37</definedName>
    <definedName name="test1" localSheetId="0">'[45]5 year-1 (janupdate)'!$A$1:$L$37</definedName>
    <definedName name="test1" localSheetId="32">'[44]5 year-1 (janupdate)'!$A$1:$L$37</definedName>
    <definedName name="test1">'[46]5 year-1 (janupdate)'!$A$1:$L$37</definedName>
    <definedName name="weaefe" localSheetId="34">#REF!</definedName>
    <definedName name="weaefe" localSheetId="0">#REF!</definedName>
    <definedName name="weaefe" localSheetId="32">#REF!</definedName>
    <definedName name="weaefe" localSheetId="40">#REF!</definedName>
    <definedName name="weaefe">#REF!</definedName>
    <definedName name="wee" localSheetId="34">#REF!</definedName>
    <definedName name="wee" localSheetId="0">#REF!</definedName>
    <definedName name="wee" localSheetId="32">#REF!</definedName>
    <definedName name="wee" localSheetId="40">#REF!</definedName>
    <definedName name="wee">#REF!</definedName>
    <definedName name="wef" localSheetId="34">#REF!</definedName>
    <definedName name="wef" localSheetId="0">#REF!</definedName>
    <definedName name="wef" localSheetId="32">#REF!</definedName>
    <definedName name="wef" localSheetId="40">#REF!</definedName>
    <definedName name="wef">#REF!</definedName>
    <definedName name="wefr" localSheetId="34">#REF!</definedName>
    <definedName name="wefr" localSheetId="0">#REF!</definedName>
    <definedName name="wefr" localSheetId="40">#REF!</definedName>
    <definedName name="wefr">#REF!</definedName>
    <definedName name="x" localSheetId="34">#REF!</definedName>
    <definedName name="x" localSheetId="0">'[47]Payment Schedule'!$A$1:$H$13</definedName>
    <definedName name="x" localSheetId="32">'[48]Payment Schedule'!$A$1:$H$13</definedName>
    <definedName name="x">'[49]Payment Schedule'!$A$1:$H$13</definedName>
    <definedName name="Year_Opened" localSheetId="34">#REF!</definedName>
    <definedName name="Year_Opened" localSheetId="0">#REF!</definedName>
    <definedName name="Year_Opened" localSheetId="32">#REF!</definedName>
    <definedName name="Year_Opened" localSheetId="40">#REF!</definedName>
    <definedName name="Year_Opened">#REF!</definedName>
    <definedName name="yyy" localSheetId="34">[1]Month!#REF!</definedName>
    <definedName name="yyy" localSheetId="0">[2]Month!#REF!</definedName>
    <definedName name="yyy" localSheetId="32">[1]Month!#REF!</definedName>
    <definedName name="yyy" localSheetId="40">[3]Month!#REF!</definedName>
    <definedName name="yyy">[3]Month!#REF!</definedName>
    <definedName name="yyyy" localSheetId="34">#REF!</definedName>
    <definedName name="yyyy" localSheetId="0">#REF!</definedName>
    <definedName name="yyyy" localSheetId="32">#REF!</definedName>
    <definedName name="yyyy" localSheetId="40">#REF!</definedName>
    <definedName name="yyyy">#REF!</definedName>
    <definedName name="yyyyyy" localSheetId="34">#REF!</definedName>
    <definedName name="yyyyyy" localSheetId="0">#REF!</definedName>
    <definedName name="yyyyyy" localSheetId="32">#REF!</definedName>
    <definedName name="yyyyyy" localSheetId="40">#REF!</definedName>
    <definedName name="yyyyyy">#REF!</definedName>
  </definedNames>
  <calcPr calcId="191029"/>
  <pivotCaches>
    <pivotCache cacheId="0" r:id="rId91"/>
    <pivotCache cacheId="1" r:id="rId92"/>
    <pivotCache cacheId="2" r:id="rId9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16" l="1"/>
  <c r="E38" i="16"/>
  <c r="E40" i="16" s="1"/>
  <c r="D38" i="16"/>
  <c r="J39" i="16"/>
  <c r="H39" i="16"/>
  <c r="F39" i="16"/>
  <c r="L58" i="9" l="1"/>
  <c r="L66" i="9"/>
  <c r="I69" i="9"/>
  <c r="H69" i="9"/>
  <c r="G69" i="9"/>
  <c r="Z81" i="9"/>
  <c r="L74" i="9"/>
  <c r="L67" i="9"/>
  <c r="L60" i="9"/>
  <c r="AB71" i="15"/>
  <c r="AA71" i="15"/>
  <c r="I71" i="15"/>
  <c r="AH71" i="15" s="1"/>
  <c r="H71" i="15"/>
  <c r="AG71" i="15" s="1"/>
  <c r="G71" i="15"/>
  <c r="AF71" i="15" s="1"/>
  <c r="AC70" i="15"/>
  <c r="AB70" i="15"/>
  <c r="AA70" i="15"/>
  <c r="AD70" i="15" s="1"/>
  <c r="I70" i="15"/>
  <c r="H70" i="15"/>
  <c r="G70" i="15"/>
  <c r="AD68" i="15"/>
  <c r="AD69" i="15"/>
  <c r="L70" i="15"/>
  <c r="AH65" i="15"/>
  <c r="AG65" i="15"/>
  <c r="AC65" i="15"/>
  <c r="AB65" i="15"/>
  <c r="AC71" i="15" l="1"/>
  <c r="AD71" i="15" s="1"/>
  <c r="L31" i="16"/>
  <c r="M7" i="16"/>
  <c r="N34" i="51"/>
  <c r="L34" i="51"/>
  <c r="J34" i="51"/>
  <c r="H34" i="51"/>
  <c r="F34" i="51"/>
  <c r="O23" i="15"/>
  <c r="P23" i="15"/>
  <c r="N23" i="15"/>
  <c r="O43" i="15"/>
  <c r="P43" i="15"/>
  <c r="N43" i="15"/>
  <c r="AA15" i="50" l="1"/>
  <c r="Z15" i="50"/>
  <c r="Y15" i="50"/>
  <c r="X15" i="50"/>
  <c r="W15" i="50"/>
  <c r="V15" i="50"/>
  <c r="U15" i="50"/>
  <c r="T15" i="50"/>
  <c r="S15" i="50"/>
  <c r="R15" i="50"/>
  <c r="Q15" i="50"/>
  <c r="P15" i="50"/>
  <c r="AA14" i="50"/>
  <c r="Z14" i="50"/>
  <c r="Y14" i="50"/>
  <c r="X14" i="50"/>
  <c r="W14" i="50"/>
  <c r="V14" i="50"/>
  <c r="U14" i="50"/>
  <c r="T14" i="50"/>
  <c r="S14" i="50"/>
  <c r="R14" i="50"/>
  <c r="Q14" i="50"/>
  <c r="P14" i="50"/>
  <c r="AA13" i="50"/>
  <c r="Z13" i="50"/>
  <c r="Y13" i="50"/>
  <c r="X13" i="50"/>
  <c r="W13" i="50"/>
  <c r="V13" i="50"/>
  <c r="U13" i="50"/>
  <c r="T13" i="50"/>
  <c r="S13" i="50"/>
  <c r="R13" i="50"/>
  <c r="Q13" i="50"/>
  <c r="P13" i="50"/>
  <c r="AA12" i="50"/>
  <c r="Z12" i="50"/>
  <c r="Y12" i="50"/>
  <c r="X12" i="50"/>
  <c r="W12" i="50"/>
  <c r="V12" i="50"/>
  <c r="U12" i="50"/>
  <c r="T12" i="50"/>
  <c r="S12" i="50"/>
  <c r="R12" i="50"/>
  <c r="Q12" i="50"/>
  <c r="P12" i="50"/>
  <c r="AA11" i="50"/>
  <c r="Z11" i="50"/>
  <c r="Y11" i="50"/>
  <c r="X11" i="50"/>
  <c r="W11" i="50"/>
  <c r="V11" i="50"/>
  <c r="U11" i="50"/>
  <c r="T11" i="50"/>
  <c r="S11" i="50"/>
  <c r="R11" i="50"/>
  <c r="Q11" i="50"/>
  <c r="P11" i="50"/>
  <c r="AA10" i="50"/>
  <c r="Z10" i="50"/>
  <c r="Y10" i="50"/>
  <c r="X10" i="50"/>
  <c r="W10" i="50"/>
  <c r="V10" i="50"/>
  <c r="U10" i="50"/>
  <c r="T10" i="50"/>
  <c r="S10" i="50"/>
  <c r="R10" i="50"/>
  <c r="Q10" i="50"/>
  <c r="P10" i="50"/>
  <c r="AA9" i="50"/>
  <c r="Z9" i="50"/>
  <c r="Y9" i="50"/>
  <c r="X9" i="50"/>
  <c r="W9" i="50"/>
  <c r="V9" i="50"/>
  <c r="U9" i="50"/>
  <c r="T9" i="50"/>
  <c r="S9" i="50"/>
  <c r="R9" i="50"/>
  <c r="Q9" i="50"/>
  <c r="P9" i="50"/>
  <c r="AA8" i="50"/>
  <c r="Z8" i="50"/>
  <c r="Y8" i="50"/>
  <c r="X8" i="50"/>
  <c r="W8" i="50"/>
  <c r="V8" i="50"/>
  <c r="U8" i="50"/>
  <c r="T8" i="50"/>
  <c r="S8" i="50"/>
  <c r="R8" i="50"/>
  <c r="Q8" i="50"/>
  <c r="P8" i="50"/>
  <c r="AA7" i="50"/>
  <c r="Z7" i="50"/>
  <c r="Y7" i="50"/>
  <c r="X7" i="50"/>
  <c r="W7" i="50"/>
  <c r="V7" i="50"/>
  <c r="U7" i="50"/>
  <c r="T7" i="50"/>
  <c r="S7" i="50"/>
  <c r="R7" i="50"/>
  <c r="Q7" i="50"/>
  <c r="P7" i="50"/>
  <c r="AA6" i="50"/>
  <c r="Z6" i="50"/>
  <c r="Y6" i="50"/>
  <c r="X6" i="50"/>
  <c r="W6" i="50"/>
  <c r="V6" i="50"/>
  <c r="U6" i="50"/>
  <c r="T6" i="50"/>
  <c r="S6" i="50"/>
  <c r="R6" i="50"/>
  <c r="Q6" i="50"/>
  <c r="P6" i="50"/>
  <c r="AA5" i="50"/>
  <c r="Z5" i="50"/>
  <c r="Y5" i="50"/>
  <c r="X5" i="50"/>
  <c r="W5" i="50"/>
  <c r="V5" i="50"/>
  <c r="U5" i="50"/>
  <c r="T5" i="50"/>
  <c r="S5" i="50"/>
  <c r="R5" i="50"/>
  <c r="Q5" i="50"/>
  <c r="P5" i="50"/>
  <c r="AA4" i="50"/>
  <c r="Z4" i="50"/>
  <c r="Y4" i="50"/>
  <c r="X4" i="50"/>
  <c r="W4" i="50"/>
  <c r="V4" i="50"/>
  <c r="U4" i="50"/>
  <c r="T4" i="50"/>
  <c r="S4" i="50"/>
  <c r="R4" i="50"/>
  <c r="Q4" i="50"/>
  <c r="P4" i="50"/>
  <c r="N88" i="50"/>
  <c r="M88" i="50"/>
  <c r="L88" i="50"/>
  <c r="K88" i="50"/>
  <c r="J88" i="50"/>
  <c r="I88" i="50"/>
  <c r="H88" i="50"/>
  <c r="G88" i="50"/>
  <c r="F88" i="50"/>
  <c r="E88" i="50"/>
  <c r="D88" i="50"/>
  <c r="C88" i="50"/>
  <c r="N87" i="50"/>
  <c r="M87" i="50"/>
  <c r="L87" i="50"/>
  <c r="K87" i="50"/>
  <c r="J87" i="50"/>
  <c r="I87" i="50"/>
  <c r="H87" i="50"/>
  <c r="G87" i="50"/>
  <c r="F87" i="50"/>
  <c r="E87" i="50"/>
  <c r="D87" i="50"/>
  <c r="C87" i="50"/>
  <c r="N86" i="50"/>
  <c r="M86" i="50"/>
  <c r="L86" i="50"/>
  <c r="K86" i="50"/>
  <c r="J86" i="50"/>
  <c r="I86" i="50"/>
  <c r="H86" i="50"/>
  <c r="G86" i="50"/>
  <c r="F86" i="50"/>
  <c r="E86" i="50"/>
  <c r="D86" i="50"/>
  <c r="C86" i="50"/>
  <c r="N85" i="50"/>
  <c r="M85" i="50"/>
  <c r="L85" i="50"/>
  <c r="K85" i="50"/>
  <c r="J85" i="50"/>
  <c r="I85" i="50"/>
  <c r="H85" i="50"/>
  <c r="G85" i="50"/>
  <c r="F85" i="50"/>
  <c r="E85" i="50"/>
  <c r="D85" i="50"/>
  <c r="C85" i="50"/>
  <c r="N84" i="50"/>
  <c r="M84" i="50"/>
  <c r="L84" i="50"/>
  <c r="K84" i="50"/>
  <c r="J84" i="50"/>
  <c r="I84" i="50"/>
  <c r="H84" i="50"/>
  <c r="G84" i="50"/>
  <c r="F84" i="50"/>
  <c r="E84" i="50"/>
  <c r="D84" i="50"/>
  <c r="C84" i="50"/>
  <c r="N83" i="50"/>
  <c r="M83" i="50"/>
  <c r="L83" i="50"/>
  <c r="K83" i="50"/>
  <c r="J83" i="50"/>
  <c r="I83" i="50"/>
  <c r="H83" i="50"/>
  <c r="G83" i="50"/>
  <c r="F83" i="50"/>
  <c r="E83" i="50"/>
  <c r="D83" i="50"/>
  <c r="C83" i="50"/>
  <c r="N82" i="50"/>
  <c r="M82" i="50"/>
  <c r="L82" i="50"/>
  <c r="K82" i="50"/>
  <c r="J82" i="50"/>
  <c r="I82" i="50"/>
  <c r="H82" i="50"/>
  <c r="G82" i="50"/>
  <c r="F82" i="50"/>
  <c r="E82" i="50"/>
  <c r="D82" i="50"/>
  <c r="C82" i="50"/>
  <c r="N81" i="50"/>
  <c r="M81" i="50"/>
  <c r="L81" i="50"/>
  <c r="K81" i="50"/>
  <c r="J81" i="50"/>
  <c r="I81" i="50"/>
  <c r="H81" i="50"/>
  <c r="G81" i="50"/>
  <c r="F81" i="50"/>
  <c r="E81" i="50"/>
  <c r="D81" i="50"/>
  <c r="C81" i="50"/>
  <c r="N80" i="50"/>
  <c r="M80" i="50"/>
  <c r="L80" i="50"/>
  <c r="K80" i="50"/>
  <c r="J80" i="50"/>
  <c r="I80" i="50"/>
  <c r="H80" i="50"/>
  <c r="G80" i="50"/>
  <c r="F80" i="50"/>
  <c r="E80" i="50"/>
  <c r="D80" i="50"/>
  <c r="C80" i="50"/>
  <c r="N79" i="50"/>
  <c r="M79" i="50"/>
  <c r="L79" i="50"/>
  <c r="K79" i="50"/>
  <c r="J79" i="50"/>
  <c r="I79" i="50"/>
  <c r="H79" i="50"/>
  <c r="G79" i="50"/>
  <c r="F79" i="50"/>
  <c r="E79" i="50"/>
  <c r="D79" i="50"/>
  <c r="C79" i="50"/>
  <c r="N78" i="50"/>
  <c r="M78" i="50"/>
  <c r="L78" i="50"/>
  <c r="K78" i="50"/>
  <c r="J78" i="50"/>
  <c r="I78" i="50"/>
  <c r="H78" i="50"/>
  <c r="G78" i="50"/>
  <c r="F78" i="50"/>
  <c r="E78" i="50"/>
  <c r="D78" i="50"/>
  <c r="C78" i="50"/>
  <c r="N77" i="50"/>
  <c r="M77" i="50"/>
  <c r="L77" i="50"/>
  <c r="K77" i="50"/>
  <c r="J77" i="50"/>
  <c r="I77" i="50"/>
  <c r="H77" i="50"/>
  <c r="G77" i="50"/>
  <c r="F77" i="50"/>
  <c r="E77" i="50"/>
  <c r="D77" i="50"/>
  <c r="C77" i="50"/>
  <c r="AA36" i="15" l="1"/>
  <c r="AA41" i="15"/>
  <c r="AA35" i="15"/>
  <c r="AB36" i="15"/>
  <c r="AB41" i="15"/>
  <c r="AB35" i="15"/>
  <c r="AC36" i="15"/>
  <c r="AC41" i="15"/>
  <c r="AC35" i="15"/>
  <c r="AH36" i="15" l="1"/>
  <c r="AH41" i="15"/>
  <c r="AG36" i="15"/>
  <c r="AG41" i="15"/>
  <c r="AG35" i="15"/>
  <c r="AH35" i="15"/>
  <c r="AF36" i="15"/>
  <c r="AF41" i="15"/>
  <c r="AF35" i="15"/>
  <c r="I58" i="15" l="1"/>
  <c r="J68" i="15"/>
  <c r="J69" i="15"/>
  <c r="J71" i="15"/>
  <c r="H59" i="15"/>
  <c r="G58" i="15"/>
  <c r="O15" i="15"/>
  <c r="N15" i="15"/>
  <c r="N13" i="15"/>
  <c r="Z13" i="15" s="1"/>
  <c r="G72" i="15" l="1"/>
  <c r="H72" i="15"/>
  <c r="Z83" i="9"/>
  <c r="B13" i="47"/>
  <c r="B3" i="47" s="1"/>
  <c r="D9" i="47"/>
  <c r="D11" i="47"/>
  <c r="D6" i="47"/>
  <c r="D7" i="47"/>
  <c r="D8" i="47"/>
  <c r="D5" i="47"/>
  <c r="L73" i="9"/>
  <c r="J70" i="15" l="1"/>
  <c r="D13" i="47"/>
  <c r="L87" i="9" l="1"/>
  <c r="L59" i="9"/>
  <c r="P21" i="46"/>
  <c r="P20" i="46"/>
  <c r="Q22" i="46"/>
  <c r="P13" i="46"/>
  <c r="J31" i="46"/>
  <c r="H31" i="46"/>
  <c r="F31" i="46"/>
  <c r="O19" i="46"/>
  <c r="O24" i="46"/>
  <c r="O26" i="46"/>
  <c r="O13" i="46"/>
  <c r="E33" i="46"/>
  <c r="D33" i="46"/>
  <c r="L8" i="46"/>
  <c r="J8" i="46"/>
  <c r="H8" i="46"/>
  <c r="F8" i="46"/>
  <c r="E8" i="46"/>
  <c r="D8" i="46"/>
  <c r="L7" i="46"/>
  <c r="L6" i="46"/>
  <c r="L5" i="46"/>
  <c r="A3" i="46"/>
  <c r="A1" i="46"/>
  <c r="L63" i="9"/>
  <c r="AC56" i="15"/>
  <c r="AH56" i="15" s="1"/>
  <c r="AH60" i="15" s="1"/>
  <c r="AH25" i="15" s="1"/>
  <c r="AH32" i="15" s="1"/>
  <c r="W11" i="16" s="1"/>
  <c r="AB56" i="15"/>
  <c r="AG56" i="15" s="1"/>
  <c r="AC60" i="15"/>
  <c r="AC25" i="15" s="1"/>
  <c r="AC32" i="15" s="1"/>
  <c r="R11" i="16" s="1"/>
  <c r="AA60" i="15"/>
  <c r="AB67" i="15"/>
  <c r="AC67" i="15"/>
  <c r="AA67" i="15"/>
  <c r="I72" i="15"/>
  <c r="J72" i="15" s="1"/>
  <c r="J66" i="15"/>
  <c r="E208" i="41"/>
  <c r="D208" i="41"/>
  <c r="C208" i="41"/>
  <c r="E207" i="41"/>
  <c r="D207" i="41"/>
  <c r="C207" i="41"/>
  <c r="E206" i="41"/>
  <c r="D206" i="41"/>
  <c r="C206" i="41"/>
  <c r="E205" i="41"/>
  <c r="D205" i="41"/>
  <c r="C205" i="41"/>
  <c r="E204" i="41"/>
  <c r="D204" i="41"/>
  <c r="C204" i="41"/>
  <c r="E203" i="41"/>
  <c r="D203" i="41"/>
  <c r="C203" i="41"/>
  <c r="E202" i="41"/>
  <c r="D202" i="41"/>
  <c r="C202" i="41"/>
  <c r="E201" i="41"/>
  <c r="D201" i="41"/>
  <c r="C201" i="41"/>
  <c r="E200" i="41"/>
  <c r="D200" i="41"/>
  <c r="C200" i="41"/>
  <c r="E199" i="41"/>
  <c r="D199" i="41"/>
  <c r="C199" i="41"/>
  <c r="E198" i="41"/>
  <c r="D198" i="41"/>
  <c r="C198" i="41"/>
  <c r="E197" i="41"/>
  <c r="D197" i="41"/>
  <c r="C197" i="41"/>
  <c r="E196" i="41"/>
  <c r="D196" i="41"/>
  <c r="C196" i="41"/>
  <c r="E195" i="41"/>
  <c r="D195" i="41"/>
  <c r="C195" i="41"/>
  <c r="E194" i="41"/>
  <c r="D194" i="41"/>
  <c r="C194" i="41"/>
  <c r="E193" i="41"/>
  <c r="D193" i="41"/>
  <c r="C193" i="41"/>
  <c r="E192" i="41"/>
  <c r="D192" i="41"/>
  <c r="C192" i="41"/>
  <c r="E191" i="41"/>
  <c r="D191" i="41"/>
  <c r="C191" i="41"/>
  <c r="E190" i="41"/>
  <c r="D190" i="41"/>
  <c r="C190" i="41"/>
  <c r="E189" i="41"/>
  <c r="D189" i="41"/>
  <c r="C189" i="41"/>
  <c r="E188" i="41"/>
  <c r="D188" i="41"/>
  <c r="C188" i="41"/>
  <c r="E187" i="41"/>
  <c r="D187" i="41"/>
  <c r="C187" i="41"/>
  <c r="E186" i="41"/>
  <c r="D186" i="41"/>
  <c r="C186" i="41"/>
  <c r="E185" i="41"/>
  <c r="D185" i="41"/>
  <c r="C185" i="41"/>
  <c r="E184" i="41"/>
  <c r="D184" i="41"/>
  <c r="C184" i="41"/>
  <c r="E183" i="41"/>
  <c r="D183" i="41"/>
  <c r="C183" i="41"/>
  <c r="E182" i="41"/>
  <c r="D182" i="41"/>
  <c r="C182" i="41"/>
  <c r="E181" i="41"/>
  <c r="D181" i="41"/>
  <c r="C181" i="41"/>
  <c r="E180" i="41"/>
  <c r="D180" i="41"/>
  <c r="C180" i="41"/>
  <c r="E179" i="41"/>
  <c r="D179" i="41"/>
  <c r="C179" i="41"/>
  <c r="E178" i="41"/>
  <c r="D178" i="41"/>
  <c r="C178" i="41"/>
  <c r="E177" i="41"/>
  <c r="D177" i="41"/>
  <c r="C177" i="41"/>
  <c r="E176" i="41"/>
  <c r="D176" i="41"/>
  <c r="C176" i="41"/>
  <c r="E175" i="41"/>
  <c r="D175" i="41"/>
  <c r="C175" i="41"/>
  <c r="E174" i="41"/>
  <c r="D174" i="41"/>
  <c r="C174" i="41"/>
  <c r="E173" i="41"/>
  <c r="D173" i="41"/>
  <c r="C173" i="41"/>
  <c r="E172" i="41"/>
  <c r="D172" i="41"/>
  <c r="C172" i="41"/>
  <c r="E171" i="41"/>
  <c r="D171" i="41"/>
  <c r="C171" i="41"/>
  <c r="E170" i="41"/>
  <c r="D170" i="41"/>
  <c r="C170" i="41"/>
  <c r="E169" i="41"/>
  <c r="D169" i="41"/>
  <c r="C169" i="41"/>
  <c r="E168" i="41"/>
  <c r="D168" i="41"/>
  <c r="C168" i="41"/>
  <c r="E167" i="41"/>
  <c r="D167" i="41"/>
  <c r="C167" i="41"/>
  <c r="E166" i="41"/>
  <c r="D166" i="41"/>
  <c r="C166" i="41"/>
  <c r="E165" i="41"/>
  <c r="D165" i="41"/>
  <c r="C165" i="41"/>
  <c r="E164" i="41"/>
  <c r="D164" i="41"/>
  <c r="C164" i="41"/>
  <c r="E163" i="41"/>
  <c r="D163" i="41"/>
  <c r="C163" i="41"/>
  <c r="E162" i="41"/>
  <c r="D162" i="41"/>
  <c r="C162" i="41"/>
  <c r="E161" i="41"/>
  <c r="D161" i="41"/>
  <c r="C161" i="41"/>
  <c r="E160" i="41"/>
  <c r="D160" i="41"/>
  <c r="C160" i="41"/>
  <c r="E159" i="41"/>
  <c r="D159" i="41"/>
  <c r="C159" i="41"/>
  <c r="E158" i="41"/>
  <c r="D158" i="41"/>
  <c r="C158" i="41"/>
  <c r="E157" i="41"/>
  <c r="D157" i="41"/>
  <c r="C157" i="41"/>
  <c r="E156" i="41"/>
  <c r="D156" i="41"/>
  <c r="C156" i="41"/>
  <c r="E155" i="41"/>
  <c r="D155" i="41"/>
  <c r="C155" i="41"/>
  <c r="E154" i="41"/>
  <c r="D154" i="41"/>
  <c r="C154" i="41"/>
  <c r="E153" i="41"/>
  <c r="D153" i="41"/>
  <c r="C153" i="41"/>
  <c r="E152" i="41"/>
  <c r="D152" i="41"/>
  <c r="C152" i="41"/>
  <c r="E151" i="41"/>
  <c r="D151" i="41"/>
  <c r="C151" i="41"/>
  <c r="E150" i="41"/>
  <c r="D150" i="41"/>
  <c r="C150" i="41"/>
  <c r="E149" i="41"/>
  <c r="D149" i="41"/>
  <c r="C149" i="41"/>
  <c r="E148" i="41"/>
  <c r="D148" i="41"/>
  <c r="C148" i="41"/>
  <c r="E147" i="41"/>
  <c r="D147" i="41"/>
  <c r="C147" i="41"/>
  <c r="E146" i="41"/>
  <c r="D146" i="41"/>
  <c r="C146" i="41"/>
  <c r="E145" i="41"/>
  <c r="D145" i="41"/>
  <c r="C145" i="41"/>
  <c r="E144" i="41"/>
  <c r="D144" i="41"/>
  <c r="C144" i="41"/>
  <c r="E143" i="41"/>
  <c r="D143" i="41"/>
  <c r="C143" i="41"/>
  <c r="E142" i="41"/>
  <c r="D142" i="41"/>
  <c r="C142" i="41"/>
  <c r="E141" i="41"/>
  <c r="D141" i="41"/>
  <c r="C141" i="41"/>
  <c r="E140" i="41"/>
  <c r="D140" i="41"/>
  <c r="C140" i="41"/>
  <c r="E139" i="41"/>
  <c r="D139" i="41"/>
  <c r="C139" i="41"/>
  <c r="E138" i="41"/>
  <c r="D138" i="41"/>
  <c r="C138" i="41"/>
  <c r="E137" i="41"/>
  <c r="D137" i="41"/>
  <c r="C137" i="41"/>
  <c r="E136" i="41"/>
  <c r="D136" i="41"/>
  <c r="C136" i="41"/>
  <c r="E135" i="41"/>
  <c r="D135" i="41"/>
  <c r="C135" i="41"/>
  <c r="E134" i="41"/>
  <c r="D134" i="41"/>
  <c r="C134" i="41"/>
  <c r="E133" i="41"/>
  <c r="D133" i="41"/>
  <c r="C133" i="41"/>
  <c r="E132" i="41"/>
  <c r="D132" i="41"/>
  <c r="C132" i="41"/>
  <c r="E131" i="41"/>
  <c r="D131" i="41"/>
  <c r="C131" i="41"/>
  <c r="E130" i="41"/>
  <c r="D130" i="41"/>
  <c r="C130" i="41"/>
  <c r="E129" i="41"/>
  <c r="D129" i="41"/>
  <c r="C129" i="41"/>
  <c r="E128" i="41"/>
  <c r="D128" i="41"/>
  <c r="C128" i="41"/>
  <c r="E127" i="41"/>
  <c r="D127" i="41"/>
  <c r="C127" i="41"/>
  <c r="E126" i="41"/>
  <c r="D126" i="41"/>
  <c r="C126" i="41"/>
  <c r="E125" i="41"/>
  <c r="D125" i="41"/>
  <c r="C125" i="41"/>
  <c r="E124" i="41"/>
  <c r="D124" i="41"/>
  <c r="C124" i="41"/>
  <c r="E123" i="41"/>
  <c r="D123" i="41"/>
  <c r="C123" i="41"/>
  <c r="E122" i="41"/>
  <c r="D122" i="41"/>
  <c r="C122" i="41"/>
  <c r="E121" i="41"/>
  <c r="D121" i="41"/>
  <c r="C121" i="41"/>
  <c r="E120" i="41"/>
  <c r="D120" i="41"/>
  <c r="C120" i="41"/>
  <c r="E119" i="41"/>
  <c r="D119" i="41"/>
  <c r="C119" i="41"/>
  <c r="E118" i="41"/>
  <c r="D118" i="41"/>
  <c r="C118" i="41"/>
  <c r="E117" i="41"/>
  <c r="D117" i="41"/>
  <c r="C117" i="41"/>
  <c r="E116" i="41"/>
  <c r="D116" i="41"/>
  <c r="C116" i="41"/>
  <c r="E115" i="41"/>
  <c r="D115" i="41"/>
  <c r="C115" i="41"/>
  <c r="E114" i="41"/>
  <c r="D114" i="41"/>
  <c r="C114" i="41"/>
  <c r="E113" i="41"/>
  <c r="D113" i="41"/>
  <c r="C113" i="41"/>
  <c r="E112" i="41"/>
  <c r="D112" i="41"/>
  <c r="C112" i="41"/>
  <c r="E111" i="41"/>
  <c r="D111" i="41"/>
  <c r="C111" i="41"/>
  <c r="E110" i="41"/>
  <c r="D110" i="41"/>
  <c r="C110" i="41"/>
  <c r="E109" i="41"/>
  <c r="D109" i="41"/>
  <c r="C109" i="41"/>
  <c r="E108" i="41"/>
  <c r="D108" i="41"/>
  <c r="C108" i="41"/>
  <c r="E107" i="41"/>
  <c r="D107" i="41"/>
  <c r="C107" i="41"/>
  <c r="E106" i="41"/>
  <c r="D106" i="41"/>
  <c r="C106" i="41"/>
  <c r="E105" i="41"/>
  <c r="D105" i="41"/>
  <c r="C105" i="41"/>
  <c r="E104" i="41"/>
  <c r="D104" i="41"/>
  <c r="C104" i="41"/>
  <c r="E103" i="41"/>
  <c r="D103" i="41"/>
  <c r="C103" i="41"/>
  <c r="E102" i="41"/>
  <c r="D102" i="41"/>
  <c r="C102" i="41"/>
  <c r="E101" i="41"/>
  <c r="D101" i="41"/>
  <c r="C101" i="41"/>
  <c r="E100" i="41"/>
  <c r="D100" i="41"/>
  <c r="C100" i="41"/>
  <c r="E99" i="41"/>
  <c r="D99" i="41"/>
  <c r="C99" i="41"/>
  <c r="E98" i="41"/>
  <c r="D98" i="41"/>
  <c r="C98" i="41"/>
  <c r="E97" i="41"/>
  <c r="D97" i="41"/>
  <c r="C97" i="41"/>
  <c r="E96" i="41"/>
  <c r="D96" i="41"/>
  <c r="C96" i="41"/>
  <c r="E95" i="41"/>
  <c r="D95" i="41"/>
  <c r="C95" i="41"/>
  <c r="E94" i="41"/>
  <c r="D94" i="41"/>
  <c r="C94" i="41"/>
  <c r="E93" i="41"/>
  <c r="D93" i="41"/>
  <c r="C93" i="41"/>
  <c r="E92" i="41"/>
  <c r="D92" i="41"/>
  <c r="C92" i="41"/>
  <c r="E91" i="41"/>
  <c r="D91" i="41"/>
  <c r="C91" i="41"/>
  <c r="E90" i="41"/>
  <c r="D90" i="41"/>
  <c r="C90" i="41"/>
  <c r="E89" i="41"/>
  <c r="D89" i="41"/>
  <c r="C89" i="41"/>
  <c r="E88" i="41"/>
  <c r="D88" i="41"/>
  <c r="C88" i="41"/>
  <c r="E87" i="41"/>
  <c r="D87" i="41"/>
  <c r="C87" i="41"/>
  <c r="E86" i="41"/>
  <c r="D86" i="41"/>
  <c r="C86" i="41"/>
  <c r="E85" i="41"/>
  <c r="D85" i="41"/>
  <c r="C85" i="41"/>
  <c r="E84" i="41"/>
  <c r="D84" i="41"/>
  <c r="C84" i="41"/>
  <c r="E83" i="41"/>
  <c r="D83" i="41"/>
  <c r="C83" i="41"/>
  <c r="E82" i="41"/>
  <c r="D82" i="41"/>
  <c r="C82" i="41"/>
  <c r="E81" i="41"/>
  <c r="D81" i="41"/>
  <c r="C81" i="41"/>
  <c r="E80" i="41"/>
  <c r="D80" i="41"/>
  <c r="C80" i="41"/>
  <c r="E79" i="41"/>
  <c r="D79" i="41"/>
  <c r="C79" i="41"/>
  <c r="E78" i="41"/>
  <c r="D78" i="41"/>
  <c r="C78" i="41"/>
  <c r="E77" i="41"/>
  <c r="D77" i="41"/>
  <c r="C77" i="41"/>
  <c r="E76" i="41"/>
  <c r="D76" i="41"/>
  <c r="C76" i="41"/>
  <c r="E75" i="41"/>
  <c r="D75" i="41"/>
  <c r="C75" i="41"/>
  <c r="E74" i="41"/>
  <c r="D74" i="41"/>
  <c r="C74" i="41"/>
  <c r="E73" i="41"/>
  <c r="D73" i="41"/>
  <c r="C73" i="41"/>
  <c r="E72" i="41"/>
  <c r="D72" i="41"/>
  <c r="C72" i="41"/>
  <c r="E71" i="41"/>
  <c r="D71" i="41"/>
  <c r="C71" i="41"/>
  <c r="E70" i="41"/>
  <c r="D70" i="41"/>
  <c r="C70" i="41"/>
  <c r="E69" i="41"/>
  <c r="D69" i="41"/>
  <c r="C69" i="41"/>
  <c r="E68" i="41"/>
  <c r="D68" i="41"/>
  <c r="C68" i="41"/>
  <c r="E67" i="41"/>
  <c r="D67" i="41"/>
  <c r="C67" i="41"/>
  <c r="E66" i="41"/>
  <c r="D66" i="41"/>
  <c r="C66" i="41"/>
  <c r="E65" i="41"/>
  <c r="D65" i="41"/>
  <c r="C65" i="41"/>
  <c r="E64" i="41"/>
  <c r="D64" i="41"/>
  <c r="C64" i="41"/>
  <c r="E63" i="41"/>
  <c r="D63" i="41"/>
  <c r="C63" i="41"/>
  <c r="E62" i="41"/>
  <c r="D62" i="41"/>
  <c r="C62" i="41"/>
  <c r="E61" i="41"/>
  <c r="D61" i="41"/>
  <c r="C61" i="41"/>
  <c r="E60" i="41"/>
  <c r="D60" i="41"/>
  <c r="C60" i="41"/>
  <c r="E59" i="41"/>
  <c r="D59" i="41"/>
  <c r="C59" i="41"/>
  <c r="E58" i="41"/>
  <c r="D58" i="41"/>
  <c r="C58" i="41"/>
  <c r="E57" i="41"/>
  <c r="D57" i="41"/>
  <c r="C57" i="41"/>
  <c r="E56" i="41"/>
  <c r="D56" i="41"/>
  <c r="C56" i="41"/>
  <c r="E55" i="41"/>
  <c r="D55" i="41"/>
  <c r="C55" i="41"/>
  <c r="E54" i="41"/>
  <c r="D54" i="41"/>
  <c r="C54" i="41"/>
  <c r="E53" i="41"/>
  <c r="D53" i="41"/>
  <c r="C53" i="41"/>
  <c r="E52" i="41"/>
  <c r="D52" i="41"/>
  <c r="C52" i="41"/>
  <c r="E51" i="41"/>
  <c r="D51" i="41"/>
  <c r="C51" i="41"/>
  <c r="E50" i="41"/>
  <c r="D50" i="41"/>
  <c r="C50" i="41"/>
  <c r="E49" i="41"/>
  <c r="D49" i="41"/>
  <c r="C49" i="41"/>
  <c r="E48" i="41"/>
  <c r="D48" i="41"/>
  <c r="C48" i="41"/>
  <c r="E47" i="41"/>
  <c r="D47" i="41"/>
  <c r="C47" i="41"/>
  <c r="E46" i="41"/>
  <c r="D46" i="41"/>
  <c r="C46" i="41"/>
  <c r="E45" i="41"/>
  <c r="D45" i="41"/>
  <c r="C45" i="41"/>
  <c r="E44" i="41"/>
  <c r="D44" i="41"/>
  <c r="C44" i="41"/>
  <c r="E43" i="41"/>
  <c r="D43" i="41"/>
  <c r="C43" i="41"/>
  <c r="E42" i="41"/>
  <c r="D42" i="41"/>
  <c r="C42" i="41"/>
  <c r="E41" i="41"/>
  <c r="D41" i="41"/>
  <c r="C41" i="41"/>
  <c r="E40" i="41"/>
  <c r="D40" i="41"/>
  <c r="C40" i="41"/>
  <c r="E39" i="41"/>
  <c r="D39" i="41"/>
  <c r="C39" i="41"/>
  <c r="E38" i="41"/>
  <c r="D38" i="41"/>
  <c r="C38" i="41"/>
  <c r="E37" i="41"/>
  <c r="D37" i="41"/>
  <c r="C37" i="41"/>
  <c r="E36" i="41"/>
  <c r="D36" i="41"/>
  <c r="C36" i="41"/>
  <c r="E35" i="41"/>
  <c r="D35" i="41"/>
  <c r="C35" i="41"/>
  <c r="E34" i="41"/>
  <c r="D34" i="41"/>
  <c r="C34" i="41"/>
  <c r="E33" i="41"/>
  <c r="D33" i="41"/>
  <c r="C33" i="41"/>
  <c r="E32" i="41"/>
  <c r="D32" i="41"/>
  <c r="C32" i="41"/>
  <c r="E31" i="41"/>
  <c r="D31" i="41"/>
  <c r="C31" i="41"/>
  <c r="E30" i="41"/>
  <c r="D30" i="41"/>
  <c r="C30" i="41"/>
  <c r="E29" i="41"/>
  <c r="D29" i="41"/>
  <c r="C29" i="41"/>
  <c r="E28" i="41"/>
  <c r="D28" i="41"/>
  <c r="C28" i="41"/>
  <c r="E27" i="41"/>
  <c r="D27" i="41"/>
  <c r="C27" i="41"/>
  <c r="E26" i="41"/>
  <c r="D26" i="41"/>
  <c r="C26" i="41"/>
  <c r="E25" i="41"/>
  <c r="D25" i="41"/>
  <c r="C25" i="41"/>
  <c r="E24" i="41"/>
  <c r="D24" i="41"/>
  <c r="C24" i="41"/>
  <c r="E23" i="41"/>
  <c r="D23" i="41"/>
  <c r="C23" i="41"/>
  <c r="E22" i="41"/>
  <c r="D22" i="41"/>
  <c r="C22" i="41"/>
  <c r="E21" i="41"/>
  <c r="D21" i="41"/>
  <c r="C21" i="41"/>
  <c r="E20" i="41"/>
  <c r="D20" i="41"/>
  <c r="C20" i="41"/>
  <c r="E19" i="41"/>
  <c r="D19" i="41"/>
  <c r="C19" i="41"/>
  <c r="E18" i="41"/>
  <c r="D18" i="41"/>
  <c r="C18" i="41"/>
  <c r="E17" i="41"/>
  <c r="D17" i="41"/>
  <c r="C17" i="41"/>
  <c r="E16" i="41"/>
  <c r="D16" i="41"/>
  <c r="C16" i="41"/>
  <c r="E15" i="41"/>
  <c r="D15" i="41"/>
  <c r="C15" i="41"/>
  <c r="E14" i="41"/>
  <c r="D14" i="41"/>
  <c r="C14" i="41"/>
  <c r="E13" i="41"/>
  <c r="D13" i="41"/>
  <c r="C13" i="41"/>
  <c r="E12" i="41"/>
  <c r="D12" i="41"/>
  <c r="C12" i="41"/>
  <c r="E11" i="41"/>
  <c r="D11" i="41"/>
  <c r="C11" i="41"/>
  <c r="E10" i="41"/>
  <c r="D10" i="41"/>
  <c r="C10" i="41"/>
  <c r="E9" i="41"/>
  <c r="D9" i="41"/>
  <c r="C9" i="41"/>
  <c r="E8" i="41"/>
  <c r="D8" i="41"/>
  <c r="C8" i="41"/>
  <c r="E7" i="41"/>
  <c r="D7" i="41"/>
  <c r="C7" i="41"/>
  <c r="E6" i="41"/>
  <c r="D6" i="41"/>
  <c r="C6" i="41"/>
  <c r="E5" i="41"/>
  <c r="D5" i="41"/>
  <c r="C5" i="41"/>
  <c r="E4" i="41"/>
  <c r="D4" i="41"/>
  <c r="C4" i="41"/>
  <c r="O210" i="37"/>
  <c r="O208" i="37"/>
  <c r="N208" i="37"/>
  <c r="N210" i="37"/>
  <c r="M210" i="37"/>
  <c r="M208" i="37"/>
  <c r="L210" i="37"/>
  <c r="L208" i="37"/>
  <c r="K208" i="37"/>
  <c r="K210" i="37"/>
  <c r="J210" i="37"/>
  <c r="J208" i="37"/>
  <c r="I210" i="37"/>
  <c r="I208" i="37"/>
  <c r="I207" i="37"/>
  <c r="G208" i="37"/>
  <c r="I16" i="37"/>
  <c r="J16" i="37"/>
  <c r="K16" i="37"/>
  <c r="L16" i="37"/>
  <c r="M16" i="37"/>
  <c r="N16" i="37"/>
  <c r="O16" i="37"/>
  <c r="I17" i="37"/>
  <c r="J17" i="37"/>
  <c r="K17" i="37"/>
  <c r="L17" i="37"/>
  <c r="M17" i="37"/>
  <c r="N17" i="37"/>
  <c r="O17" i="37"/>
  <c r="I18" i="37"/>
  <c r="J18" i="37"/>
  <c r="K18" i="37"/>
  <c r="L18" i="37"/>
  <c r="M18" i="37"/>
  <c r="N18" i="37"/>
  <c r="O18" i="37"/>
  <c r="O105" i="37"/>
  <c r="N105" i="37"/>
  <c r="M105" i="37"/>
  <c r="L105" i="37"/>
  <c r="K105" i="37"/>
  <c r="J105" i="37"/>
  <c r="I105" i="37"/>
  <c r="I102" i="37"/>
  <c r="J102" i="37"/>
  <c r="K102" i="37"/>
  <c r="L102" i="37"/>
  <c r="M102" i="37"/>
  <c r="N102" i="37"/>
  <c r="O102" i="37"/>
  <c r="I103" i="37"/>
  <c r="J103" i="37"/>
  <c r="K103" i="37"/>
  <c r="L103" i="37"/>
  <c r="M103" i="37"/>
  <c r="N103" i="37"/>
  <c r="O103" i="37"/>
  <c r="I104" i="37"/>
  <c r="J104" i="37"/>
  <c r="K104" i="37"/>
  <c r="L104" i="37"/>
  <c r="M104" i="37"/>
  <c r="N104" i="37"/>
  <c r="O104" i="37"/>
  <c r="R48" i="36"/>
  <c r="R46" i="36"/>
  <c r="R45" i="36"/>
  <c r="R44" i="36"/>
  <c r="J31" i="15"/>
  <c r="J9" i="15"/>
  <c r="J11" i="15"/>
  <c r="J12" i="15"/>
  <c r="J17" i="15"/>
  <c r="J18" i="15"/>
  <c r="J19" i="15"/>
  <c r="AI68" i="15"/>
  <c r="AI67" i="15"/>
  <c r="AI66" i="15"/>
  <c r="AH72" i="15"/>
  <c r="AH16" i="15" s="1"/>
  <c r="AG72" i="15"/>
  <c r="AG16" i="15" s="1"/>
  <c r="AI65" i="15"/>
  <c r="AI64" i="15"/>
  <c r="AI63" i="15"/>
  <c r="AF60" i="15"/>
  <c r="AF25" i="15" s="1"/>
  <c r="AI59" i="15"/>
  <c r="AI58" i="15"/>
  <c r="AI57" i="15"/>
  <c r="AC72" i="15"/>
  <c r="AC16" i="15" s="1"/>
  <c r="AB72" i="15"/>
  <c r="AB16" i="15" s="1"/>
  <c r="AA72" i="15"/>
  <c r="AA16" i="15" s="1"/>
  <c r="AD67" i="15"/>
  <c r="AD66" i="15"/>
  <c r="AD65" i="15"/>
  <c r="AD64" i="15"/>
  <c r="AD63" i="15"/>
  <c r="AD59" i="15"/>
  <c r="AD57" i="15"/>
  <c r="AB60" i="15"/>
  <c r="AB25" i="15" s="1"/>
  <c r="AB32" i="15" s="1"/>
  <c r="Q11" i="16" s="1"/>
  <c r="AF72" i="15"/>
  <c r="AF16" i="15" s="1"/>
  <c r="T24" i="16"/>
  <c r="AI47" i="15"/>
  <c r="AI41" i="15"/>
  <c r="AI36" i="15"/>
  <c r="AI35" i="15"/>
  <c r="AI34" i="15"/>
  <c r="AI33" i="15"/>
  <c r="AI31" i="15"/>
  <c r="AI30" i="15"/>
  <c r="AI29" i="15"/>
  <c r="AI28" i="15"/>
  <c r="AI27" i="15"/>
  <c r="AI26" i="15"/>
  <c r="AI24" i="15"/>
  <c r="AI23" i="15"/>
  <c r="AD47" i="15"/>
  <c r="AD41" i="15"/>
  <c r="AD36" i="15"/>
  <c r="AD35" i="15"/>
  <c r="AD31" i="15"/>
  <c r="AD30" i="15"/>
  <c r="AD29" i="15"/>
  <c r="AD28" i="15"/>
  <c r="AD27" i="15"/>
  <c r="AD26" i="15"/>
  <c r="AD24" i="15"/>
  <c r="AD23" i="15"/>
  <c r="AI19" i="15"/>
  <c r="AI18" i="15"/>
  <c r="AI17" i="15"/>
  <c r="AI12" i="15"/>
  <c r="AI11" i="15"/>
  <c r="AI9" i="15"/>
  <c r="AI8" i="15"/>
  <c r="AD9" i="15"/>
  <c r="AD11" i="15"/>
  <c r="AD12" i="15"/>
  <c r="AD17" i="15"/>
  <c r="AD18" i="15"/>
  <c r="AD19" i="15"/>
  <c r="AD8" i="15"/>
  <c r="U118" i="9"/>
  <c r="T118" i="9"/>
  <c r="V117" i="9"/>
  <c r="V64" i="9"/>
  <c r="T64" i="9"/>
  <c r="V52" i="9"/>
  <c r="U52" i="9"/>
  <c r="T52" i="9"/>
  <c r="V51" i="9"/>
  <c r="U51" i="9"/>
  <c r="T51" i="9"/>
  <c r="W51" i="9"/>
  <c r="W52" i="9"/>
  <c r="R52" i="9"/>
  <c r="R51" i="9"/>
  <c r="P118" i="9"/>
  <c r="O118" i="9"/>
  <c r="Q117" i="9"/>
  <c r="Q69" i="9"/>
  <c r="V69" i="9" s="1"/>
  <c r="O69" i="9"/>
  <c r="Q64" i="9"/>
  <c r="O64" i="9"/>
  <c r="Q52" i="9"/>
  <c r="P52" i="9"/>
  <c r="O52" i="9"/>
  <c r="Q51" i="9"/>
  <c r="P51" i="9"/>
  <c r="O51" i="9"/>
  <c r="S21" i="14"/>
  <c r="K9" i="14"/>
  <c r="P9" i="14" s="1"/>
  <c r="P43" i="14" s="1"/>
  <c r="L9" i="14"/>
  <c r="Q9" i="14" s="1"/>
  <c r="Q43" i="14" s="1"/>
  <c r="M9" i="14"/>
  <c r="R9" i="14" s="1"/>
  <c r="K10" i="14"/>
  <c r="K22" i="14" s="1"/>
  <c r="L10" i="14"/>
  <c r="Q10" i="14" s="1"/>
  <c r="Q44" i="14" s="1"/>
  <c r="M10" i="14"/>
  <c r="R10" i="14" s="1"/>
  <c r="K11" i="14"/>
  <c r="P11" i="14" s="1"/>
  <c r="P45" i="14" s="1"/>
  <c r="L11" i="14"/>
  <c r="Q11" i="14" s="1"/>
  <c r="Q45" i="14" s="1"/>
  <c r="M11" i="14"/>
  <c r="K12" i="14"/>
  <c r="P12" i="14" s="1"/>
  <c r="P46" i="14" s="1"/>
  <c r="L12" i="14"/>
  <c r="Q12" i="14"/>
  <c r="M12" i="14"/>
  <c r="R12" i="14" s="1"/>
  <c r="M46" i="14"/>
  <c r="K13" i="14"/>
  <c r="K47" i="14" s="1"/>
  <c r="L13" i="14"/>
  <c r="Q13" i="14" s="1"/>
  <c r="Q47" i="14" s="1"/>
  <c r="M13" i="14"/>
  <c r="R13" i="14" s="1"/>
  <c r="K14" i="14"/>
  <c r="K48" i="14" s="1"/>
  <c r="L14" i="14"/>
  <c r="L48" i="14" s="1"/>
  <c r="M14" i="14"/>
  <c r="R14" i="14"/>
  <c r="R48" i="14" s="1"/>
  <c r="K15" i="14"/>
  <c r="P15" i="14" s="1"/>
  <c r="P49" i="14" s="1"/>
  <c r="P61" i="14" s="1"/>
  <c r="L15" i="14"/>
  <c r="L49" i="14" s="1"/>
  <c r="M15" i="14"/>
  <c r="K16" i="14"/>
  <c r="P16" i="14"/>
  <c r="P50" i="14"/>
  <c r="L16" i="14"/>
  <c r="L50" i="14"/>
  <c r="M16" i="14"/>
  <c r="M50" i="14" s="1"/>
  <c r="K17" i="14"/>
  <c r="P17" i="14" s="1"/>
  <c r="P51" i="14" s="1"/>
  <c r="L17" i="14"/>
  <c r="Q17" i="14" s="1"/>
  <c r="Q51" i="14" s="1"/>
  <c r="M17" i="14"/>
  <c r="M51" i="14"/>
  <c r="K18" i="14"/>
  <c r="P18" i="14"/>
  <c r="P52" i="14" s="1"/>
  <c r="L18" i="14"/>
  <c r="L52" i="14" s="1"/>
  <c r="M18" i="14"/>
  <c r="R18" i="14" s="1"/>
  <c r="K19" i="14"/>
  <c r="K53" i="14" s="1"/>
  <c r="P19" i="14"/>
  <c r="P53" i="14" s="1"/>
  <c r="L19" i="14"/>
  <c r="M19" i="14"/>
  <c r="R19" i="14" s="1"/>
  <c r="K20" i="14"/>
  <c r="P20" i="14" s="1"/>
  <c r="P54" i="14" s="1"/>
  <c r="L20" i="14"/>
  <c r="Q20" i="14" s="1"/>
  <c r="Q54" i="14" s="1"/>
  <c r="M20" i="14"/>
  <c r="M54" i="14" s="1"/>
  <c r="L8" i="14"/>
  <c r="L42" i="14" s="1"/>
  <c r="M8" i="14"/>
  <c r="R8" i="14"/>
  <c r="R42" i="14" s="1"/>
  <c r="K8" i="14"/>
  <c r="P8" i="14" s="1"/>
  <c r="R70" i="14"/>
  <c r="Q70" i="14"/>
  <c r="P70" i="14"/>
  <c r="S69" i="14"/>
  <c r="S67" i="14"/>
  <c r="R67" i="14"/>
  <c r="Q67" i="14"/>
  <c r="P67" i="14"/>
  <c r="R55" i="14"/>
  <c r="S55" i="14" s="1"/>
  <c r="Q55" i="14"/>
  <c r="P55" i="14"/>
  <c r="R39" i="14"/>
  <c r="Q39" i="14"/>
  <c r="P39" i="14"/>
  <c r="M70" i="14"/>
  <c r="L70" i="14"/>
  <c r="K70" i="14"/>
  <c r="N69" i="14"/>
  <c r="N67" i="14"/>
  <c r="M67" i="14"/>
  <c r="L67" i="14"/>
  <c r="K67" i="14"/>
  <c r="M55" i="14"/>
  <c r="L55" i="14"/>
  <c r="K55" i="14"/>
  <c r="M53" i="14"/>
  <c r="M48" i="14"/>
  <c r="K45" i="14"/>
  <c r="K43" i="14"/>
  <c r="M39" i="14"/>
  <c r="L39" i="14"/>
  <c r="K39" i="14"/>
  <c r="J65" i="15"/>
  <c r="G16" i="15"/>
  <c r="J59" i="15"/>
  <c r="J58" i="15"/>
  <c r="J57" i="15"/>
  <c r="J56" i="15"/>
  <c r="J67" i="15"/>
  <c r="J64" i="15"/>
  <c r="I60" i="15"/>
  <c r="I25" i="15" s="1"/>
  <c r="H60" i="15"/>
  <c r="H25" i="15" s="1"/>
  <c r="G60" i="15"/>
  <c r="G25" i="15" s="1"/>
  <c r="P62" i="9"/>
  <c r="U62" i="9" s="1"/>
  <c r="K46" i="14"/>
  <c r="M52" i="14"/>
  <c r="M47" i="14"/>
  <c r="M44" i="14"/>
  <c r="M43" i="14"/>
  <c r="R16" i="14"/>
  <c r="R50" i="14" s="1"/>
  <c r="L47" i="14"/>
  <c r="K54" i="14"/>
  <c r="K51" i="14"/>
  <c r="K50" i="14"/>
  <c r="K42" i="14"/>
  <c r="K49" i="14"/>
  <c r="R15" i="14"/>
  <c r="R49" i="14" s="1"/>
  <c r="L54" i="14"/>
  <c r="P14" i="14"/>
  <c r="P48" i="14" s="1"/>
  <c r="R17" i="14"/>
  <c r="R51" i="14" s="1"/>
  <c r="L46" i="14"/>
  <c r="N46" i="14" s="1"/>
  <c r="P13" i="14"/>
  <c r="P47" i="14" s="1"/>
  <c r="N8" i="14"/>
  <c r="L51" i="14"/>
  <c r="N51" i="14" s="1"/>
  <c r="L43" i="14"/>
  <c r="Q14" i="14"/>
  <c r="Q48" i="14" s="1"/>
  <c r="Q46" i="14"/>
  <c r="N12" i="14"/>
  <c r="Q19" i="14"/>
  <c r="Q53" i="14" s="1"/>
  <c r="Q16" i="14"/>
  <c r="N17" i="14"/>
  <c r="N9" i="14"/>
  <c r="Q8" i="14"/>
  <c r="Q22" i="14" s="1"/>
  <c r="Q18" i="14"/>
  <c r="Q52" i="14" s="1"/>
  <c r="Q15" i="14"/>
  <c r="Q49" i="14" s="1"/>
  <c r="N15" i="14"/>
  <c r="K52" i="14"/>
  <c r="L44" i="14"/>
  <c r="M49" i="14"/>
  <c r="L45" i="14"/>
  <c r="L53" i="14"/>
  <c r="M42" i="14"/>
  <c r="Q42" i="14"/>
  <c r="Q50" i="14"/>
  <c r="L6" i="16"/>
  <c r="L5" i="16"/>
  <c r="T67" i="34"/>
  <c r="S67" i="34"/>
  <c r="R67" i="34"/>
  <c r="H127" i="14"/>
  <c r="H110" i="14"/>
  <c r="H93" i="14"/>
  <c r="I179" i="37"/>
  <c r="J179" i="37"/>
  <c r="K179" i="37"/>
  <c r="L179" i="37"/>
  <c r="M179" i="37"/>
  <c r="R123" i="36"/>
  <c r="R122" i="36"/>
  <c r="M9" i="37"/>
  <c r="J9" i="37"/>
  <c r="K9" i="37"/>
  <c r="L9" i="37"/>
  <c r="O9" i="40"/>
  <c r="I9" i="40"/>
  <c r="C5" i="40"/>
  <c r="R227" i="36"/>
  <c r="R101" i="36"/>
  <c r="M120" i="37"/>
  <c r="L120" i="37"/>
  <c r="K120" i="37"/>
  <c r="J120" i="37"/>
  <c r="F120" i="37"/>
  <c r="R57" i="36"/>
  <c r="M118" i="37"/>
  <c r="L118" i="37"/>
  <c r="K118" i="37"/>
  <c r="J118" i="37"/>
  <c r="M117" i="37"/>
  <c r="L117" i="37"/>
  <c r="K117" i="37"/>
  <c r="J117" i="37"/>
  <c r="R55" i="36"/>
  <c r="R54" i="36"/>
  <c r="F118" i="37"/>
  <c r="F117" i="37"/>
  <c r="I6" i="15"/>
  <c r="A96" i="9"/>
  <c r="B96" i="9"/>
  <c r="D88" i="9"/>
  <c r="D89" i="9"/>
  <c r="D90" i="9"/>
  <c r="A89" i="9"/>
  <c r="B89" i="9"/>
  <c r="A90" i="9"/>
  <c r="B90" i="9"/>
  <c r="P69" i="9"/>
  <c r="U69" i="9" s="1"/>
  <c r="H64" i="9"/>
  <c r="P64" i="9" s="1"/>
  <c r="C62" i="9"/>
  <c r="A62" i="9"/>
  <c r="B62" i="9"/>
  <c r="D62" i="9"/>
  <c r="C60" i="9"/>
  <c r="A60" i="9"/>
  <c r="B60" i="9"/>
  <c r="D60" i="9"/>
  <c r="C59" i="9"/>
  <c r="A59" i="9"/>
  <c r="B59" i="9"/>
  <c r="D59" i="9"/>
  <c r="C58" i="9"/>
  <c r="J36" i="15"/>
  <c r="J35" i="15"/>
  <c r="J41" i="15"/>
  <c r="J47" i="15"/>
  <c r="O13" i="15"/>
  <c r="P13" i="15" s="1"/>
  <c r="E3" i="41"/>
  <c r="D3" i="41"/>
  <c r="C3" i="41"/>
  <c r="D3" i="15"/>
  <c r="D5" i="15"/>
  <c r="O6" i="40"/>
  <c r="O7" i="40"/>
  <c r="O8"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5" i="40"/>
  <c r="I6" i="40"/>
  <c r="I7" i="40"/>
  <c r="I8"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5" i="40"/>
  <c r="C6" i="40"/>
  <c r="C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A45" i="9"/>
  <c r="B45" i="9"/>
  <c r="A46" i="9"/>
  <c r="B46" i="9"/>
  <c r="A47" i="9"/>
  <c r="B47" i="9"/>
  <c r="A48" i="9"/>
  <c r="A49" i="9"/>
  <c r="B49" i="9"/>
  <c r="A50" i="9"/>
  <c r="A33" i="9"/>
  <c r="B33" i="9"/>
  <c r="A34" i="9"/>
  <c r="B34" i="9"/>
  <c r="A35" i="9"/>
  <c r="B35" i="9"/>
  <c r="A36" i="9"/>
  <c r="A37" i="9"/>
  <c r="B37" i="9"/>
  <c r="A38" i="9"/>
  <c r="B38" i="9"/>
  <c r="A39" i="9"/>
  <c r="B39" i="9"/>
  <c r="A40" i="9"/>
  <c r="A41" i="9"/>
  <c r="B41" i="9"/>
  <c r="A42" i="9"/>
  <c r="B42" i="9"/>
  <c r="A43" i="9"/>
  <c r="B43" i="9"/>
  <c r="A44" i="9"/>
  <c r="B44" i="9"/>
  <c r="F96" i="37"/>
  <c r="F97" i="37"/>
  <c r="F98" i="37"/>
  <c r="F99" i="37"/>
  <c r="F100" i="37"/>
  <c r="F101" i="37"/>
  <c r="F102" i="37"/>
  <c r="F103" i="37"/>
  <c r="F104" i="37"/>
  <c r="F105" i="37"/>
  <c r="F106" i="37"/>
  <c r="F107" i="37"/>
  <c r="R42" i="36"/>
  <c r="R41" i="36"/>
  <c r="R39" i="36"/>
  <c r="R38" i="36"/>
  <c r="R36" i="36"/>
  <c r="R35" i="36"/>
  <c r="R32" i="36"/>
  <c r="R31" i="36"/>
  <c r="B48" i="9"/>
  <c r="B40" i="9"/>
  <c r="B50" i="9"/>
  <c r="B36" i="9"/>
  <c r="X67" i="9"/>
  <c r="X65" i="9"/>
  <c r="R124" i="36"/>
  <c r="R125" i="36"/>
  <c r="S173" i="42"/>
  <c r="F173" i="42" s="1"/>
  <c r="S174" i="42"/>
  <c r="C174" i="42" s="1"/>
  <c r="S175" i="42"/>
  <c r="D175" i="42" s="1"/>
  <c r="S176" i="42"/>
  <c r="E176" i="42" s="1"/>
  <c r="S177" i="42"/>
  <c r="D177" i="42" s="1"/>
  <c r="S178" i="42"/>
  <c r="E178" i="42" s="1"/>
  <c r="S188" i="42"/>
  <c r="S189" i="42"/>
  <c r="K189" i="42"/>
  <c r="S190" i="42"/>
  <c r="G190" i="42" s="1"/>
  <c r="S191" i="42"/>
  <c r="D191" i="42" s="1"/>
  <c r="S192" i="42"/>
  <c r="E192" i="42" s="1"/>
  <c r="S193" i="42"/>
  <c r="K193" i="42" s="1"/>
  <c r="S202" i="42"/>
  <c r="G202" i="42" s="1"/>
  <c r="S203" i="42"/>
  <c r="E203" i="42" s="1"/>
  <c r="S204" i="42"/>
  <c r="J204" i="42" s="1"/>
  <c r="S205" i="42"/>
  <c r="K205" i="42" s="1"/>
  <c r="S206" i="42"/>
  <c r="G206" i="42" s="1"/>
  <c r="S207" i="42"/>
  <c r="F207" i="42" s="1"/>
  <c r="S208" i="42"/>
  <c r="F208" i="42" s="1"/>
  <c r="S209" i="42"/>
  <c r="K209" i="42" s="1"/>
  <c r="S210" i="42"/>
  <c r="G210" i="42" s="1"/>
  <c r="S211" i="42"/>
  <c r="C211" i="42" s="1"/>
  <c r="S227" i="42"/>
  <c r="M227" i="42" s="1"/>
  <c r="S228" i="42"/>
  <c r="E228" i="42" s="1"/>
  <c r="S229" i="42"/>
  <c r="S230" i="42"/>
  <c r="C230" i="42" s="1"/>
  <c r="S231" i="42"/>
  <c r="F231" i="42" s="1"/>
  <c r="S11" i="42"/>
  <c r="C11" i="42" s="1"/>
  <c r="S12" i="42"/>
  <c r="D12" i="42" s="1"/>
  <c r="S13" i="42"/>
  <c r="H13" i="42" s="1"/>
  <c r="S14" i="42"/>
  <c r="E14" i="42" s="1"/>
  <c r="S15" i="42"/>
  <c r="C15" i="42" s="1"/>
  <c r="S16" i="42"/>
  <c r="D16" i="42" s="1"/>
  <c r="S22" i="42"/>
  <c r="S23" i="42"/>
  <c r="S24" i="42"/>
  <c r="H24" i="42" s="1"/>
  <c r="S25" i="42"/>
  <c r="N25" i="42" s="1"/>
  <c r="S26" i="42"/>
  <c r="S27" i="42"/>
  <c r="S28" i="42"/>
  <c r="L28" i="42" s="1"/>
  <c r="S48" i="42"/>
  <c r="P48" i="42" s="1"/>
  <c r="S49" i="42"/>
  <c r="S50" i="42"/>
  <c r="L50" i="42" s="1"/>
  <c r="S51" i="42"/>
  <c r="P51" i="42" s="1"/>
  <c r="S52" i="42"/>
  <c r="D52" i="42" s="1"/>
  <c r="S72" i="42"/>
  <c r="S73" i="42"/>
  <c r="S74" i="42"/>
  <c r="S75" i="42"/>
  <c r="S76" i="42"/>
  <c r="S77" i="42"/>
  <c r="H77" i="42" s="1"/>
  <c r="S78" i="42"/>
  <c r="S79" i="42"/>
  <c r="I79" i="42" s="1"/>
  <c r="S80" i="42"/>
  <c r="S123" i="42"/>
  <c r="Q123" i="42" s="1"/>
  <c r="S124" i="42"/>
  <c r="J124" i="42" s="1"/>
  <c r="S125" i="42"/>
  <c r="L125" i="42" s="1"/>
  <c r="S126" i="42"/>
  <c r="J126" i="42" s="1"/>
  <c r="S127" i="42"/>
  <c r="Q127" i="42" s="1"/>
  <c r="S128" i="42"/>
  <c r="E128" i="42" s="1"/>
  <c r="S129" i="42"/>
  <c r="D129" i="42" s="1"/>
  <c r="S130" i="42"/>
  <c r="F130" i="42" s="1"/>
  <c r="S131" i="42"/>
  <c r="E131" i="42" s="1"/>
  <c r="S132" i="42"/>
  <c r="F132" i="42" s="1"/>
  <c r="S133" i="42"/>
  <c r="P133" i="42" s="1"/>
  <c r="S134" i="42"/>
  <c r="H134" i="42" s="1"/>
  <c r="S135" i="42"/>
  <c r="Q135" i="42" s="1"/>
  <c r="S136" i="42"/>
  <c r="F136" i="42" s="1"/>
  <c r="S137" i="42"/>
  <c r="C137" i="42" s="1"/>
  <c r="S138" i="42"/>
  <c r="Q138" i="42" s="1"/>
  <c r="S139" i="42"/>
  <c r="H139" i="42" s="1"/>
  <c r="S140" i="42"/>
  <c r="O140" i="42" s="1"/>
  <c r="S141" i="42"/>
  <c r="D141" i="42" s="1"/>
  <c r="S142" i="42"/>
  <c r="L142" i="42" s="1"/>
  <c r="S143" i="42"/>
  <c r="J143" i="42" s="1"/>
  <c r="S144" i="42"/>
  <c r="H144" i="42" s="1"/>
  <c r="S145" i="42"/>
  <c r="L145" i="42" s="1"/>
  <c r="S146" i="42"/>
  <c r="H146" i="42" s="1"/>
  <c r="S147" i="42"/>
  <c r="Q147" i="42" s="1"/>
  <c r="S148" i="42"/>
  <c r="S149" i="42"/>
  <c r="M149" i="42" s="1"/>
  <c r="S150" i="42"/>
  <c r="D150" i="42" s="1"/>
  <c r="S151" i="42"/>
  <c r="J151" i="42" s="1"/>
  <c r="S152" i="42"/>
  <c r="N152" i="42" s="1"/>
  <c r="S153" i="42"/>
  <c r="N153" i="42" s="1"/>
  <c r="S154" i="42"/>
  <c r="M154" i="42" s="1"/>
  <c r="S155" i="42"/>
  <c r="O155" i="42" s="1"/>
  <c r="S156" i="42"/>
  <c r="C156" i="42" s="1"/>
  <c r="S158" i="42"/>
  <c r="Q158" i="42" s="1"/>
  <c r="S159" i="42"/>
  <c r="E159" i="42" s="1"/>
  <c r="S160" i="42"/>
  <c r="S161" i="42"/>
  <c r="L161" i="42" s="1"/>
  <c r="S164" i="42"/>
  <c r="G164" i="42" s="1"/>
  <c r="S165" i="42"/>
  <c r="S166" i="42"/>
  <c r="Q166" i="42" s="1"/>
  <c r="S167" i="42"/>
  <c r="C167" i="42" s="1"/>
  <c r="S168" i="42"/>
  <c r="G168" i="42" s="1"/>
  <c r="C188" i="42"/>
  <c r="G72" i="42"/>
  <c r="N202" i="42"/>
  <c r="M230" i="42"/>
  <c r="H207" i="42"/>
  <c r="C191" i="42"/>
  <c r="J211" i="42"/>
  <c r="N191" i="42"/>
  <c r="K203" i="42"/>
  <c r="K176" i="42"/>
  <c r="L228" i="42"/>
  <c r="P176" i="42"/>
  <c r="H176" i="42"/>
  <c r="F193" i="42"/>
  <c r="O176" i="42"/>
  <c r="G176" i="42"/>
  <c r="C176" i="42"/>
  <c r="M231" i="42"/>
  <c r="L176" i="42"/>
  <c r="D176" i="42"/>
  <c r="M208" i="42"/>
  <c r="Q204" i="42"/>
  <c r="K208" i="42"/>
  <c r="O204" i="42"/>
  <c r="N188" i="42"/>
  <c r="G227" i="42"/>
  <c r="Q207" i="42"/>
  <c r="F204" i="42"/>
  <c r="O192" i="42"/>
  <c r="Q177" i="42"/>
  <c r="N190" i="42"/>
  <c r="K177" i="42"/>
  <c r="D228" i="42"/>
  <c r="C210" i="42"/>
  <c r="K231" i="42"/>
  <c r="I227" i="42"/>
  <c r="Q209" i="42"/>
  <c r="I188" i="42"/>
  <c r="G230" i="42"/>
  <c r="F211" i="42"/>
  <c r="P207" i="42"/>
  <c r="H203" i="42"/>
  <c r="K191" i="42"/>
  <c r="L178" i="42"/>
  <c r="N211" i="42"/>
  <c r="E211" i="42"/>
  <c r="M207" i="42"/>
  <c r="C206" i="42"/>
  <c r="P203" i="42"/>
  <c r="G203" i="42"/>
  <c r="G191" i="42"/>
  <c r="C190" i="42"/>
  <c r="K178" i="42"/>
  <c r="F177" i="42"/>
  <c r="E207" i="42"/>
  <c r="M211" i="42"/>
  <c r="N210" i="42"/>
  <c r="I207" i="42"/>
  <c r="O203" i="42"/>
  <c r="C203" i="42"/>
  <c r="O191" i="42"/>
  <c r="F191" i="42"/>
  <c r="G178" i="42"/>
  <c r="J174" i="42"/>
  <c r="K228" i="42"/>
  <c r="C228" i="42"/>
  <c r="G209" i="42"/>
  <c r="Q205" i="42"/>
  <c r="Q189" i="42"/>
  <c r="G231" i="42"/>
  <c r="P228" i="42"/>
  <c r="H228" i="42"/>
  <c r="N227" i="42"/>
  <c r="C227" i="42"/>
  <c r="F209" i="42"/>
  <c r="G208" i="42"/>
  <c r="G205" i="42"/>
  <c r="K204" i="42"/>
  <c r="Q193" i="42"/>
  <c r="J192" i="42"/>
  <c r="G189" i="42"/>
  <c r="Q231" i="42"/>
  <c r="O228" i="42"/>
  <c r="G228" i="42"/>
  <c r="Q211" i="42"/>
  <c r="I211" i="42"/>
  <c r="Q208" i="42"/>
  <c r="L207" i="42"/>
  <c r="D207" i="42"/>
  <c r="F205" i="42"/>
  <c r="L203" i="42"/>
  <c r="D203" i="42"/>
  <c r="G193" i="42"/>
  <c r="J191" i="42"/>
  <c r="F189" i="42"/>
  <c r="P178" i="42"/>
  <c r="F178" i="42"/>
  <c r="Q174" i="42"/>
  <c r="D231" i="42"/>
  <c r="C231" i="42"/>
  <c r="I231" i="42"/>
  <c r="N231" i="42"/>
  <c r="E231" i="42"/>
  <c r="J231" i="42"/>
  <c r="O231" i="42"/>
  <c r="D227" i="42"/>
  <c r="E227" i="42"/>
  <c r="J227" i="42"/>
  <c r="O227" i="42"/>
  <c r="F227" i="42"/>
  <c r="K227" i="42"/>
  <c r="Q227" i="42"/>
  <c r="D208" i="42"/>
  <c r="C208" i="42"/>
  <c r="I208" i="42"/>
  <c r="N208" i="42"/>
  <c r="E208" i="42"/>
  <c r="J208" i="42"/>
  <c r="O208" i="42"/>
  <c r="D204" i="42"/>
  <c r="G204" i="42"/>
  <c r="M204" i="42"/>
  <c r="C204" i="42"/>
  <c r="I204" i="42"/>
  <c r="N204" i="42"/>
  <c r="E204" i="42"/>
  <c r="D192" i="42"/>
  <c r="F192" i="42"/>
  <c r="K192" i="42"/>
  <c r="Q192" i="42"/>
  <c r="G192" i="42"/>
  <c r="M192" i="42"/>
  <c r="C192" i="42"/>
  <c r="I192" i="42"/>
  <c r="N192" i="42"/>
  <c r="D188" i="42"/>
  <c r="E188" i="42"/>
  <c r="J188" i="42"/>
  <c r="O188" i="42"/>
  <c r="F188" i="42"/>
  <c r="K188" i="42"/>
  <c r="Q188" i="42"/>
  <c r="G188" i="42"/>
  <c r="M188" i="42"/>
  <c r="P174" i="42"/>
  <c r="H174" i="42"/>
  <c r="P211" i="42"/>
  <c r="L211" i="42"/>
  <c r="H211" i="42"/>
  <c r="D211" i="42"/>
  <c r="O207" i="42"/>
  <c r="K207" i="42"/>
  <c r="G207" i="42"/>
  <c r="C207" i="42"/>
  <c r="N203" i="42"/>
  <c r="J203" i="42"/>
  <c r="F203" i="42"/>
  <c r="Q191" i="42"/>
  <c r="M191" i="42"/>
  <c r="I191" i="42"/>
  <c r="E191" i="42"/>
  <c r="O178" i="42"/>
  <c r="J178" i="42"/>
  <c r="D178" i="42"/>
  <c r="M174" i="42"/>
  <c r="F174" i="42"/>
  <c r="O211" i="42"/>
  <c r="K211" i="42"/>
  <c r="G211" i="42"/>
  <c r="N207" i="42"/>
  <c r="J207" i="42"/>
  <c r="N206" i="42"/>
  <c r="Q203" i="42"/>
  <c r="M203" i="42"/>
  <c r="I203" i="42"/>
  <c r="C202" i="42"/>
  <c r="P191" i="42"/>
  <c r="L191" i="42"/>
  <c r="H191" i="42"/>
  <c r="N178" i="42"/>
  <c r="H178" i="42"/>
  <c r="C178" i="42"/>
  <c r="N175" i="42"/>
  <c r="L174" i="42"/>
  <c r="E174" i="42"/>
  <c r="I175" i="42"/>
  <c r="C175" i="42"/>
  <c r="L173" i="42"/>
  <c r="E173" i="42"/>
  <c r="L210" i="42"/>
  <c r="L206" i="42"/>
  <c r="L202" i="42"/>
  <c r="L190" i="42"/>
  <c r="O177" i="42"/>
  <c r="J177" i="42"/>
  <c r="E177" i="42"/>
  <c r="M175" i="42"/>
  <c r="G175" i="42"/>
  <c r="Q173" i="42"/>
  <c r="K173" i="42"/>
  <c r="D173" i="42"/>
  <c r="N228" i="42"/>
  <c r="J228" i="42"/>
  <c r="F228" i="42"/>
  <c r="H210" i="42"/>
  <c r="M209" i="42"/>
  <c r="H206" i="42"/>
  <c r="M205" i="42"/>
  <c r="H202" i="42"/>
  <c r="M193" i="42"/>
  <c r="H190" i="42"/>
  <c r="M189" i="42"/>
  <c r="N177" i="42"/>
  <c r="I177" i="42"/>
  <c r="C177" i="42"/>
  <c r="N176" i="42"/>
  <c r="J176" i="42"/>
  <c r="F176" i="42"/>
  <c r="Q175" i="42"/>
  <c r="K175" i="42"/>
  <c r="F175" i="42"/>
  <c r="P173" i="42"/>
  <c r="I173" i="42"/>
  <c r="P231" i="42"/>
  <c r="L231" i="42"/>
  <c r="H231" i="42"/>
  <c r="Q228" i="42"/>
  <c r="M228" i="42"/>
  <c r="I228" i="42"/>
  <c r="P227" i="42"/>
  <c r="L227" i="42"/>
  <c r="H227" i="42"/>
  <c r="P208" i="42"/>
  <c r="L208" i="42"/>
  <c r="H208" i="42"/>
  <c r="P204" i="42"/>
  <c r="L204" i="42"/>
  <c r="H204" i="42"/>
  <c r="P192" i="42"/>
  <c r="L192" i="42"/>
  <c r="H192" i="42"/>
  <c r="P188" i="42"/>
  <c r="L188" i="42"/>
  <c r="H188" i="42"/>
  <c r="M177" i="42"/>
  <c r="G177" i="42"/>
  <c r="Q176" i="42"/>
  <c r="M176" i="42"/>
  <c r="I176" i="42"/>
  <c r="O175" i="42"/>
  <c r="J175" i="42"/>
  <c r="E175" i="42"/>
  <c r="O173" i="42"/>
  <c r="G173" i="42"/>
  <c r="P175" i="42"/>
  <c r="L175" i="42"/>
  <c r="H175" i="42"/>
  <c r="N174" i="42"/>
  <c r="I174" i="42"/>
  <c r="D174" i="42"/>
  <c r="M173" i="42"/>
  <c r="H173" i="42"/>
  <c r="C173" i="42"/>
  <c r="O174" i="42"/>
  <c r="K174" i="42"/>
  <c r="G174" i="42"/>
  <c r="N173" i="42"/>
  <c r="J173" i="42"/>
  <c r="E11" i="42"/>
  <c r="J15" i="42"/>
  <c r="F12" i="42"/>
  <c r="N16" i="42"/>
  <c r="N11" i="42"/>
  <c r="M15" i="42"/>
  <c r="F11" i="42"/>
  <c r="G16" i="42"/>
  <c r="O12" i="42"/>
  <c r="F16" i="42"/>
  <c r="F15" i="42"/>
  <c r="N12" i="42"/>
  <c r="M11" i="42"/>
  <c r="O16" i="42"/>
  <c r="N15" i="42"/>
  <c r="E15" i="42"/>
  <c r="G12" i="42"/>
  <c r="J11" i="42"/>
  <c r="C50" i="42"/>
  <c r="I50" i="42"/>
  <c r="C80" i="42"/>
  <c r="K80" i="42"/>
  <c r="F80" i="42"/>
  <c r="N49" i="42"/>
  <c r="C49" i="42"/>
  <c r="C13" i="42"/>
  <c r="L13" i="42"/>
  <c r="D13" i="42"/>
  <c r="P13" i="42"/>
  <c r="K13" i="42"/>
  <c r="P27" i="42"/>
  <c r="E27" i="42"/>
  <c r="G73" i="42"/>
  <c r="M73" i="42"/>
  <c r="L23" i="42"/>
  <c r="P23" i="42"/>
  <c r="K76" i="42"/>
  <c r="L14" i="42"/>
  <c r="M14" i="42"/>
  <c r="D14" i="42"/>
  <c r="E28" i="42"/>
  <c r="K16" i="42"/>
  <c r="C16" i="42"/>
  <c r="K12" i="42"/>
  <c r="C12" i="42"/>
  <c r="J16" i="42"/>
  <c r="Q15" i="42"/>
  <c r="I15" i="42"/>
  <c r="J12" i="42"/>
  <c r="Q11" i="42"/>
  <c r="I11" i="42"/>
  <c r="D75" i="42"/>
  <c r="H75" i="42"/>
  <c r="L75" i="42"/>
  <c r="P75" i="42"/>
  <c r="F75" i="42"/>
  <c r="K75" i="42"/>
  <c r="Q75" i="42"/>
  <c r="G75" i="42"/>
  <c r="M75" i="42"/>
  <c r="J75" i="42"/>
  <c r="C75" i="42"/>
  <c r="N75" i="42"/>
  <c r="I75" i="42"/>
  <c r="O75" i="42"/>
  <c r="D48" i="42"/>
  <c r="H48" i="42"/>
  <c r="L48" i="42"/>
  <c r="C48" i="42"/>
  <c r="I48" i="42"/>
  <c r="N48" i="42"/>
  <c r="E48" i="42"/>
  <c r="J48" i="42"/>
  <c r="O48" i="42"/>
  <c r="M48" i="42"/>
  <c r="Q48" i="42"/>
  <c r="G48" i="42"/>
  <c r="K48" i="42"/>
  <c r="E26" i="42"/>
  <c r="I26" i="42"/>
  <c r="M26" i="42"/>
  <c r="Q26" i="42"/>
  <c r="F26" i="42"/>
  <c r="K26" i="42"/>
  <c r="P26" i="42"/>
  <c r="G26" i="42"/>
  <c r="L26" i="42"/>
  <c r="D26" i="42"/>
  <c r="O26" i="42"/>
  <c r="H26" i="42"/>
  <c r="C26" i="42"/>
  <c r="J26" i="42"/>
  <c r="N26" i="42"/>
  <c r="J123" i="42"/>
  <c r="N123" i="42"/>
  <c r="O123" i="42"/>
  <c r="I123" i="42"/>
  <c r="H123" i="42"/>
  <c r="E75" i="42"/>
  <c r="M130" i="42"/>
  <c r="N130" i="42"/>
  <c r="F14" i="42"/>
  <c r="J14" i="42"/>
  <c r="N14" i="42"/>
  <c r="C14" i="42"/>
  <c r="G14" i="42"/>
  <c r="K14" i="42"/>
  <c r="O14" i="42"/>
  <c r="E22" i="42"/>
  <c r="I22" i="42"/>
  <c r="M22" i="42"/>
  <c r="Q22" i="42"/>
  <c r="G22" i="42"/>
  <c r="L22" i="42"/>
  <c r="C22" i="42"/>
  <c r="H22" i="42"/>
  <c r="N22" i="42"/>
  <c r="F22" i="42"/>
  <c r="K22" i="42"/>
  <c r="D22" i="42"/>
  <c r="O22" i="42"/>
  <c r="J22" i="42"/>
  <c r="P22" i="42"/>
  <c r="O74" i="42"/>
  <c r="E74" i="42"/>
  <c r="J74" i="42"/>
  <c r="D74" i="42"/>
  <c r="N74" i="42"/>
  <c r="I74" i="42"/>
  <c r="D25" i="42"/>
  <c r="H25" i="42"/>
  <c r="L25" i="42"/>
  <c r="P25" i="42"/>
  <c r="E25" i="42"/>
  <c r="J25" i="42"/>
  <c r="O25" i="42"/>
  <c r="F25" i="42"/>
  <c r="K25" i="42"/>
  <c r="Q25" i="42"/>
  <c r="I25" i="42"/>
  <c r="M25" i="42"/>
  <c r="C25" i="42"/>
  <c r="G25" i="42"/>
  <c r="E126" i="42"/>
  <c r="I126" i="42"/>
  <c r="M126" i="42"/>
  <c r="Q126" i="42"/>
  <c r="F126" i="42"/>
  <c r="N126" i="42"/>
  <c r="D126" i="42"/>
  <c r="L126" i="42"/>
  <c r="G126" i="42"/>
  <c r="O126" i="42"/>
  <c r="C126" i="42"/>
  <c r="K126" i="42"/>
  <c r="Q14" i="42"/>
  <c r="I14" i="42"/>
  <c r="E13" i="42"/>
  <c r="I13" i="42"/>
  <c r="M13" i="42"/>
  <c r="Q13" i="42"/>
  <c r="F13" i="42"/>
  <c r="J13" i="42"/>
  <c r="N13" i="42"/>
  <c r="P14" i="42"/>
  <c r="H14" i="42"/>
  <c r="O13" i="42"/>
  <c r="G13" i="42"/>
  <c r="P126" i="42"/>
  <c r="N77" i="42"/>
  <c r="C77" i="42"/>
  <c r="E77" i="42"/>
  <c r="P77" i="42"/>
  <c r="F73" i="42"/>
  <c r="J73" i="42"/>
  <c r="N73" i="42"/>
  <c r="D73" i="42"/>
  <c r="I73" i="42"/>
  <c r="O73" i="42"/>
  <c r="E73" i="42"/>
  <c r="K73" i="42"/>
  <c r="P73" i="42"/>
  <c r="H73" i="42"/>
  <c r="L73" i="42"/>
  <c r="F50" i="42"/>
  <c r="J50" i="42"/>
  <c r="N50" i="42"/>
  <c r="E50" i="42"/>
  <c r="K50" i="42"/>
  <c r="P50" i="42"/>
  <c r="G50" i="42"/>
  <c r="Q50" i="42"/>
  <c r="D50" i="42"/>
  <c r="O50" i="42"/>
  <c r="H50" i="42"/>
  <c r="C28" i="42"/>
  <c r="G28" i="42"/>
  <c r="K28" i="42"/>
  <c r="O28" i="42"/>
  <c r="H28" i="42"/>
  <c r="M28" i="42"/>
  <c r="D28" i="42"/>
  <c r="I28" i="42"/>
  <c r="N28" i="42"/>
  <c r="F28" i="42"/>
  <c r="Q28" i="42"/>
  <c r="J28" i="42"/>
  <c r="C24" i="42"/>
  <c r="G24" i="42"/>
  <c r="K24" i="42"/>
  <c r="O24" i="42"/>
  <c r="D24" i="42"/>
  <c r="I24" i="42"/>
  <c r="N24" i="42"/>
  <c r="E24" i="42"/>
  <c r="J24" i="42"/>
  <c r="P24" i="42"/>
  <c r="M24" i="42"/>
  <c r="F24" i="42"/>
  <c r="Q24" i="42"/>
  <c r="Q16" i="42"/>
  <c r="M16" i="42"/>
  <c r="I16" i="42"/>
  <c r="E16" i="42"/>
  <c r="P15" i="42"/>
  <c r="L15" i="42"/>
  <c r="H15" i="42"/>
  <c r="D15" i="42"/>
  <c r="Q12" i="42"/>
  <c r="M12" i="42"/>
  <c r="I12" i="42"/>
  <c r="E12" i="42"/>
  <c r="P11" i="42"/>
  <c r="L11" i="42"/>
  <c r="H11" i="42"/>
  <c r="D11" i="42"/>
  <c r="C73" i="42"/>
  <c r="D80" i="42"/>
  <c r="H80" i="42"/>
  <c r="L80" i="42"/>
  <c r="P80" i="42"/>
  <c r="E80" i="42"/>
  <c r="I80" i="42"/>
  <c r="M80" i="42"/>
  <c r="Q80" i="42"/>
  <c r="G80" i="42"/>
  <c r="O80" i="42"/>
  <c r="J80" i="42"/>
  <c r="I76" i="42"/>
  <c r="L76" i="42"/>
  <c r="C76" i="42"/>
  <c r="E72" i="42"/>
  <c r="I72" i="42"/>
  <c r="M72" i="42"/>
  <c r="Q72" i="42"/>
  <c r="C72" i="42"/>
  <c r="H72" i="42"/>
  <c r="N72" i="42"/>
  <c r="D72" i="42"/>
  <c r="J72" i="42"/>
  <c r="O72" i="42"/>
  <c r="L72" i="42"/>
  <c r="F72" i="42"/>
  <c r="P72" i="42"/>
  <c r="E49" i="42"/>
  <c r="I49" i="42"/>
  <c r="M49" i="42"/>
  <c r="Q49" i="42"/>
  <c r="D49" i="42"/>
  <c r="J49" i="42"/>
  <c r="O49" i="42"/>
  <c r="F49" i="42"/>
  <c r="K49" i="42"/>
  <c r="P49" i="42"/>
  <c r="H49" i="42"/>
  <c r="L49" i="42"/>
  <c r="F27" i="42"/>
  <c r="J27" i="42"/>
  <c r="N27" i="42"/>
  <c r="G27" i="42"/>
  <c r="L27" i="42"/>
  <c r="Q27" i="42"/>
  <c r="C27" i="42"/>
  <c r="H27" i="42"/>
  <c r="M27" i="42"/>
  <c r="K27" i="42"/>
  <c r="D27" i="42"/>
  <c r="O27" i="42"/>
  <c r="F23" i="42"/>
  <c r="J23" i="42"/>
  <c r="N23" i="42"/>
  <c r="C23" i="42"/>
  <c r="H23" i="42"/>
  <c r="M23" i="42"/>
  <c r="D23" i="42"/>
  <c r="I23" i="42"/>
  <c r="O23" i="42"/>
  <c r="G23" i="42"/>
  <c r="Q23" i="42"/>
  <c r="K23" i="42"/>
  <c r="P16" i="42"/>
  <c r="L16" i="42"/>
  <c r="H16" i="42"/>
  <c r="O15" i="42"/>
  <c r="K15" i="42"/>
  <c r="G15" i="42"/>
  <c r="P12" i="42"/>
  <c r="L12" i="42"/>
  <c r="H12" i="42"/>
  <c r="O11" i="42"/>
  <c r="K11" i="42"/>
  <c r="G11" i="42"/>
  <c r="N80" i="42"/>
  <c r="Q73" i="42"/>
  <c r="K72" i="42"/>
  <c r="M50" i="42"/>
  <c r="G49" i="42"/>
  <c r="P28" i="42"/>
  <c r="I27" i="42"/>
  <c r="L24" i="42"/>
  <c r="E23" i="42"/>
  <c r="D229" i="42"/>
  <c r="H229" i="42"/>
  <c r="L229" i="42"/>
  <c r="P229" i="42"/>
  <c r="E229" i="42"/>
  <c r="I229" i="42"/>
  <c r="M229" i="42"/>
  <c r="Q229" i="42"/>
  <c r="D209" i="42"/>
  <c r="H209" i="42"/>
  <c r="L209" i="42"/>
  <c r="P209" i="42"/>
  <c r="C209" i="42"/>
  <c r="I209" i="42"/>
  <c r="N209" i="42"/>
  <c r="E209" i="42"/>
  <c r="J209" i="42"/>
  <c r="O209" i="42"/>
  <c r="D205" i="42"/>
  <c r="H205" i="42"/>
  <c r="L205" i="42"/>
  <c r="P205" i="42"/>
  <c r="C205" i="42"/>
  <c r="I205" i="42"/>
  <c r="N205" i="42"/>
  <c r="E205" i="42"/>
  <c r="J205" i="42"/>
  <c r="O205" i="42"/>
  <c r="D193" i="42"/>
  <c r="H193" i="42"/>
  <c r="L193" i="42"/>
  <c r="P193" i="42"/>
  <c r="C193" i="42"/>
  <c r="I193" i="42"/>
  <c r="N193" i="42"/>
  <c r="E193" i="42"/>
  <c r="J193" i="42"/>
  <c r="O193" i="42"/>
  <c r="D189" i="42"/>
  <c r="H189" i="42"/>
  <c r="L189" i="42"/>
  <c r="P189" i="42"/>
  <c r="C189" i="42"/>
  <c r="I189" i="42"/>
  <c r="N189" i="42"/>
  <c r="E189" i="42"/>
  <c r="J189" i="42"/>
  <c r="O189" i="42"/>
  <c r="F229" i="42"/>
  <c r="P230" i="42"/>
  <c r="K230" i="42"/>
  <c r="J229" i="42"/>
  <c r="N229" i="42"/>
  <c r="E230" i="42"/>
  <c r="I230" i="42"/>
  <c r="F230" i="42"/>
  <c r="J230" i="42"/>
  <c r="N230" i="42"/>
  <c r="Q230" i="42"/>
  <c r="L230" i="42"/>
  <c r="D230" i="42"/>
  <c r="K229" i="42"/>
  <c r="C229" i="42"/>
  <c r="O230" i="42"/>
  <c r="H230" i="42"/>
  <c r="O229" i="42"/>
  <c r="G229" i="42"/>
  <c r="E210" i="42"/>
  <c r="I210" i="42"/>
  <c r="M210" i="42"/>
  <c r="Q210" i="42"/>
  <c r="D210" i="42"/>
  <c r="J210" i="42"/>
  <c r="O210" i="42"/>
  <c r="F210" i="42"/>
  <c r="K210" i="42"/>
  <c r="P210" i="42"/>
  <c r="E206" i="42"/>
  <c r="I206" i="42"/>
  <c r="M206" i="42"/>
  <c r="Q206" i="42"/>
  <c r="D206" i="42"/>
  <c r="J206" i="42"/>
  <c r="O206" i="42"/>
  <c r="F206" i="42"/>
  <c r="K206" i="42"/>
  <c r="P206" i="42"/>
  <c r="E202" i="42"/>
  <c r="I202" i="42"/>
  <c r="M202" i="42"/>
  <c r="Q202" i="42"/>
  <c r="D202" i="42"/>
  <c r="J202" i="42"/>
  <c r="O202" i="42"/>
  <c r="F202" i="42"/>
  <c r="K202" i="42"/>
  <c r="P202" i="42"/>
  <c r="E190" i="42"/>
  <c r="I190" i="42"/>
  <c r="M190" i="42"/>
  <c r="Q190" i="42"/>
  <c r="D190" i="42"/>
  <c r="J190" i="42"/>
  <c r="O190" i="42"/>
  <c r="F190" i="42"/>
  <c r="K190" i="42"/>
  <c r="P190" i="42"/>
  <c r="Q178" i="42"/>
  <c r="M178" i="42"/>
  <c r="I178" i="42"/>
  <c r="P177" i="42"/>
  <c r="L177" i="42"/>
  <c r="H177" i="42"/>
  <c r="D1" i="42"/>
  <c r="E1" i="42"/>
  <c r="F1" i="42"/>
  <c r="G1" i="42"/>
  <c r="H1" i="42"/>
  <c r="I1" i="42"/>
  <c r="J1" i="42"/>
  <c r="K1" i="42"/>
  <c r="L1" i="42"/>
  <c r="M1" i="42"/>
  <c r="N1" i="42"/>
  <c r="O1" i="42"/>
  <c r="P1" i="42"/>
  <c r="Q1" i="42"/>
  <c r="C1" i="42"/>
  <c r="N213" i="37"/>
  <c r="F162" i="37"/>
  <c r="F58" i="37"/>
  <c r="F181" i="37"/>
  <c r="F184" i="37"/>
  <c r="X88" i="9"/>
  <c r="X92" i="9"/>
  <c r="X93" i="9"/>
  <c r="X97" i="9"/>
  <c r="X98" i="9"/>
  <c r="X100" i="9"/>
  <c r="X102" i="9"/>
  <c r="A46" i="15"/>
  <c r="B46" i="15" s="1"/>
  <c r="L213" i="37"/>
  <c r="M213" i="37"/>
  <c r="O213" i="37"/>
  <c r="P213" i="37"/>
  <c r="Q213" i="37"/>
  <c r="R213" i="37"/>
  <c r="S213" i="37"/>
  <c r="T213" i="37"/>
  <c r="U213" i="37"/>
  <c r="V213" i="37"/>
  <c r="W213" i="37"/>
  <c r="I225" i="37"/>
  <c r="I222" i="37"/>
  <c r="I221" i="37"/>
  <c r="I220" i="37"/>
  <c r="I226" i="37"/>
  <c r="J226" i="37"/>
  <c r="K226" i="37"/>
  <c r="L226" i="37"/>
  <c r="M226" i="37"/>
  <c r="N226" i="37"/>
  <c r="O226" i="37"/>
  <c r="P226" i="37"/>
  <c r="Q226" i="37"/>
  <c r="R226" i="37"/>
  <c r="S226" i="37"/>
  <c r="T226" i="37"/>
  <c r="U226" i="37"/>
  <c r="V226" i="37"/>
  <c r="W226" i="37"/>
  <c r="F59" i="37"/>
  <c r="F73" i="37"/>
  <c r="F69" i="37"/>
  <c r="I227" i="37"/>
  <c r="J222" i="37"/>
  <c r="J225" i="37"/>
  <c r="I213" i="37"/>
  <c r="J221" i="37"/>
  <c r="J220" i="37"/>
  <c r="I223" i="37"/>
  <c r="K222" i="37"/>
  <c r="L222" i="37"/>
  <c r="M222" i="37"/>
  <c r="N222" i="37"/>
  <c r="O222" i="37"/>
  <c r="P222" i="37"/>
  <c r="Q222" i="37"/>
  <c r="R222" i="37"/>
  <c r="S222" i="37"/>
  <c r="T222" i="37"/>
  <c r="U222" i="37"/>
  <c r="V222" i="37"/>
  <c r="W222" i="37"/>
  <c r="K221" i="37"/>
  <c r="L221" i="37"/>
  <c r="M221" i="37"/>
  <c r="N221" i="37"/>
  <c r="O221" i="37"/>
  <c r="P221" i="37"/>
  <c r="Q221" i="37"/>
  <c r="R221" i="37"/>
  <c r="S221" i="37"/>
  <c r="T221" i="37"/>
  <c r="U221" i="37"/>
  <c r="V221" i="37"/>
  <c r="W221" i="37"/>
  <c r="J213" i="37"/>
  <c r="K225" i="37"/>
  <c r="L225" i="37"/>
  <c r="M225" i="37"/>
  <c r="N225" i="37"/>
  <c r="J227" i="37"/>
  <c r="J223" i="37"/>
  <c r="K213" i="37"/>
  <c r="M227" i="37"/>
  <c r="L227" i="37"/>
  <c r="K220" i="37"/>
  <c r="K227" i="37"/>
  <c r="O225" i="37"/>
  <c r="N227" i="37"/>
  <c r="L220" i="37"/>
  <c r="K223" i="37"/>
  <c r="P225" i="37"/>
  <c r="O227" i="37"/>
  <c r="L223" i="37"/>
  <c r="M220" i="37"/>
  <c r="Q225" i="37"/>
  <c r="P227" i="37"/>
  <c r="M223" i="37"/>
  <c r="N220" i="37"/>
  <c r="Q227" i="37"/>
  <c r="R225" i="37"/>
  <c r="N223" i="37"/>
  <c r="O220" i="37"/>
  <c r="S225" i="37"/>
  <c r="R227" i="37"/>
  <c r="P220" i="37"/>
  <c r="O223" i="37"/>
  <c r="T225" i="37"/>
  <c r="S227" i="37"/>
  <c r="Q220" i="37"/>
  <c r="P223" i="37"/>
  <c r="U225" i="37"/>
  <c r="T227" i="37"/>
  <c r="Q223" i="37"/>
  <c r="R220" i="37"/>
  <c r="U227" i="37"/>
  <c r="V225" i="37"/>
  <c r="S220" i="37"/>
  <c r="R223" i="37"/>
  <c r="W225" i="37"/>
  <c r="W227" i="37"/>
  <c r="V227" i="37"/>
  <c r="T220" i="37"/>
  <c r="S223" i="37"/>
  <c r="R9" i="36"/>
  <c r="R104" i="36"/>
  <c r="F180" i="37"/>
  <c r="F179" i="37"/>
  <c r="F178" i="37"/>
  <c r="F177" i="37"/>
  <c r="F176" i="37"/>
  <c r="F175" i="37"/>
  <c r="F174" i="37"/>
  <c r="F173" i="37"/>
  <c r="F172" i="37"/>
  <c r="F171" i="37"/>
  <c r="F170" i="37"/>
  <c r="F169" i="37"/>
  <c r="F168" i="37"/>
  <c r="F167" i="37"/>
  <c r="F166" i="37"/>
  <c r="F165" i="37"/>
  <c r="F164" i="37"/>
  <c r="F163" i="37"/>
  <c r="F161" i="37"/>
  <c r="F160" i="37"/>
  <c r="F159" i="37"/>
  <c r="F158" i="37"/>
  <c r="F157" i="37"/>
  <c r="F156" i="37"/>
  <c r="F155" i="37"/>
  <c r="F154" i="37"/>
  <c r="F153" i="37"/>
  <c r="F152" i="37"/>
  <c r="F151" i="37"/>
  <c r="F150" i="37"/>
  <c r="F149" i="37"/>
  <c r="F148" i="37"/>
  <c r="F147" i="37"/>
  <c r="F146" i="37"/>
  <c r="F145" i="37"/>
  <c r="F144" i="37"/>
  <c r="F143" i="37"/>
  <c r="F142" i="37"/>
  <c r="F134" i="37"/>
  <c r="F133" i="37"/>
  <c r="F132" i="37"/>
  <c r="F131" i="37"/>
  <c r="F130" i="37"/>
  <c r="F129" i="37"/>
  <c r="F128" i="37"/>
  <c r="F127" i="37"/>
  <c r="F126" i="37"/>
  <c r="F125" i="37"/>
  <c r="F124" i="37"/>
  <c r="F123" i="37"/>
  <c r="F122" i="37"/>
  <c r="F121" i="37"/>
  <c r="F119" i="37"/>
  <c r="F116" i="37"/>
  <c r="F95" i="37"/>
  <c r="F94" i="37"/>
  <c r="F93" i="37"/>
  <c r="F92" i="37"/>
  <c r="F91" i="37"/>
  <c r="F90" i="37"/>
  <c r="F89" i="37"/>
  <c r="F83" i="37"/>
  <c r="F82" i="37"/>
  <c r="F81" i="37"/>
  <c r="F80" i="37"/>
  <c r="F79" i="37"/>
  <c r="F74" i="37"/>
  <c r="F72" i="37"/>
  <c r="F71" i="37"/>
  <c r="F70" i="37"/>
  <c r="F68" i="37"/>
  <c r="F57" i="37"/>
  <c r="F56" i="37"/>
  <c r="F55" i="37"/>
  <c r="F54" i="37"/>
  <c r="F53" i="37"/>
  <c r="F52" i="37"/>
  <c r="F51" i="37"/>
  <c r="F50" i="37"/>
  <c r="F49" i="37"/>
  <c r="F48" i="37"/>
  <c r="F47" i="37"/>
  <c r="F46" i="37"/>
  <c r="F45" i="37"/>
  <c r="F38" i="37"/>
  <c r="F37" i="37"/>
  <c r="F36" i="37"/>
  <c r="F35" i="37"/>
  <c r="F34" i="37"/>
  <c r="F33" i="37"/>
  <c r="F32" i="37"/>
  <c r="F31" i="37"/>
  <c r="F24" i="37"/>
  <c r="F23" i="37"/>
  <c r="F22" i="37"/>
  <c r="F21" i="37"/>
  <c r="F20" i="37"/>
  <c r="F19" i="37"/>
  <c r="F18" i="37"/>
  <c r="F17" i="37"/>
  <c r="F16" i="37"/>
  <c r="F10" i="37"/>
  <c r="F11" i="37"/>
  <c r="F12" i="37"/>
  <c r="F9" i="37"/>
  <c r="A102" i="9"/>
  <c r="B102" i="9"/>
  <c r="A100" i="9"/>
  <c r="B100" i="9"/>
  <c r="A98" i="9"/>
  <c r="B98" i="9"/>
  <c r="A97" i="9"/>
  <c r="B97" i="9"/>
  <c r="A93" i="9"/>
  <c r="B93" i="9"/>
  <c r="A92" i="9"/>
  <c r="B92" i="9"/>
  <c r="A88" i="9"/>
  <c r="B88" i="9"/>
  <c r="A67" i="9"/>
  <c r="B67" i="9"/>
  <c r="A65" i="9"/>
  <c r="B65" i="9"/>
  <c r="A32" i="9"/>
  <c r="A28" i="9"/>
  <c r="A27" i="9"/>
  <c r="A26" i="9"/>
  <c r="A25" i="9"/>
  <c r="A24" i="9"/>
  <c r="A23" i="9"/>
  <c r="A22" i="9"/>
  <c r="A21" i="9"/>
  <c r="A20" i="9"/>
  <c r="A19" i="9"/>
  <c r="A15" i="9"/>
  <c r="A14" i="9"/>
  <c r="A13" i="9"/>
  <c r="A12" i="9"/>
  <c r="A11" i="9"/>
  <c r="A10" i="9"/>
  <c r="A9" i="9"/>
  <c r="A8" i="9"/>
  <c r="A36" i="15"/>
  <c r="B36" i="15" s="1"/>
  <c r="A37" i="15"/>
  <c r="B37" i="15" s="1"/>
  <c r="A38" i="15"/>
  <c r="B38" i="15" s="1"/>
  <c r="A39" i="15"/>
  <c r="B39" i="15" s="1"/>
  <c r="A40" i="15"/>
  <c r="B40" i="15" s="1"/>
  <c r="A41" i="15"/>
  <c r="B41" i="15" s="1"/>
  <c r="A42" i="15"/>
  <c r="B42" i="15"/>
  <c r="A43" i="15"/>
  <c r="B43" i="15" s="1"/>
  <c r="A44" i="15"/>
  <c r="B44" i="15" s="1"/>
  <c r="A45" i="15"/>
  <c r="B45" i="15"/>
  <c r="A47" i="15"/>
  <c r="A35" i="15"/>
  <c r="B35" i="15" s="1"/>
  <c r="A24" i="15"/>
  <c r="B24" i="15" s="1"/>
  <c r="A25" i="15"/>
  <c r="B25" i="15" s="1"/>
  <c r="A26" i="15"/>
  <c r="B26" i="15" s="1"/>
  <c r="A27" i="15"/>
  <c r="B27" i="15" s="1"/>
  <c r="A28" i="15"/>
  <c r="B28" i="15" s="1"/>
  <c r="A29" i="15"/>
  <c r="B29" i="15" s="1"/>
  <c r="A30" i="15"/>
  <c r="B30" i="15" s="1"/>
  <c r="A31" i="15"/>
  <c r="B31" i="15"/>
  <c r="A23" i="15"/>
  <c r="B23" i="15" s="1"/>
  <c r="A9" i="15"/>
  <c r="B9" i="15" s="1"/>
  <c r="A10" i="15"/>
  <c r="B10" i="15" s="1"/>
  <c r="A11" i="15"/>
  <c r="B11" i="15" s="1"/>
  <c r="A12" i="15"/>
  <c r="B12" i="15" s="1"/>
  <c r="A15" i="15"/>
  <c r="B15" i="15"/>
  <c r="A16" i="15"/>
  <c r="A17" i="15"/>
  <c r="B17" i="15" s="1"/>
  <c r="A18" i="15"/>
  <c r="B18" i="15" s="1"/>
  <c r="A19" i="15"/>
  <c r="B19" i="15"/>
  <c r="A8" i="15"/>
  <c r="H12" i="37" s="1"/>
  <c r="S172" i="42" s="1"/>
  <c r="D172" i="42" s="1"/>
  <c r="B13" i="15"/>
  <c r="B14" i="15"/>
  <c r="X198" i="37"/>
  <c r="Z198" i="37"/>
  <c r="W185" i="37"/>
  <c r="X185" i="37"/>
  <c r="Z185" i="37"/>
  <c r="X88" i="37"/>
  <c r="Z88" i="37"/>
  <c r="X75" i="37"/>
  <c r="Z75" i="37"/>
  <c r="Y61" i="37"/>
  <c r="J5" i="37"/>
  <c r="K5" i="37"/>
  <c r="L5" i="37"/>
  <c r="M5" i="37"/>
  <c r="N5" i="37"/>
  <c r="V5" i="37"/>
  <c r="B15" i="9"/>
  <c r="B26" i="9"/>
  <c r="B9" i="9"/>
  <c r="B20" i="9"/>
  <c r="B28" i="9"/>
  <c r="B22" i="9"/>
  <c r="B21" i="9"/>
  <c r="B12" i="9"/>
  <c r="B23" i="9"/>
  <c r="B32" i="9"/>
  <c r="B13" i="9"/>
  <c r="B24" i="9"/>
  <c r="B10" i="9"/>
  <c r="B14" i="9"/>
  <c r="B25" i="9"/>
  <c r="B19" i="9"/>
  <c r="B27" i="9"/>
  <c r="B16" i="15"/>
  <c r="B8" i="9"/>
  <c r="B11" i="9"/>
  <c r="B47" i="15"/>
  <c r="K50" i="37"/>
  <c r="U220" i="37"/>
  <c r="T223" i="37"/>
  <c r="K49" i="37"/>
  <c r="K47" i="37"/>
  <c r="K46" i="37"/>
  <c r="S5" i="37"/>
  <c r="O5" i="37"/>
  <c r="U5" i="37"/>
  <c r="P5" i="37"/>
  <c r="R5" i="37"/>
  <c r="T5" i="37"/>
  <c r="Q5" i="37"/>
  <c r="W5" i="37"/>
  <c r="R94" i="36"/>
  <c r="R37" i="36"/>
  <c r="R70" i="36"/>
  <c r="R17" i="36"/>
  <c r="R8" i="36"/>
  <c r="R16" i="36"/>
  <c r="R21" i="36"/>
  <c r="R4" i="36"/>
  <c r="R6" i="36"/>
  <c r="R10" i="36"/>
  <c r="R12" i="36"/>
  <c r="R14" i="36"/>
  <c r="R20" i="36"/>
  <c r="R23" i="36"/>
  <c r="R25" i="36"/>
  <c r="R27" i="36"/>
  <c r="R29" i="36"/>
  <c r="R33" i="36"/>
  <c r="R97" i="36"/>
  <c r="R100" i="36"/>
  <c r="R111" i="36"/>
  <c r="R130" i="36"/>
  <c r="R109" i="36"/>
  <c r="R121" i="36"/>
  <c r="R126" i="36"/>
  <c r="R106" i="36"/>
  <c r="R43" i="36"/>
  <c r="R47" i="36"/>
  <c r="R49" i="36"/>
  <c r="R51" i="36"/>
  <c r="R53" i="36"/>
  <c r="R58" i="36"/>
  <c r="R60" i="36"/>
  <c r="R62" i="36"/>
  <c r="R64" i="36"/>
  <c r="R66" i="36"/>
  <c r="R68" i="36"/>
  <c r="R72" i="36"/>
  <c r="R74" i="36"/>
  <c r="R76" i="36"/>
  <c r="R78" i="36"/>
  <c r="R80" i="36"/>
  <c r="R82" i="36"/>
  <c r="R84" i="36"/>
  <c r="R86" i="36"/>
  <c r="R88" i="36"/>
  <c r="R90" i="36"/>
  <c r="R92" i="36"/>
  <c r="R99" i="36"/>
  <c r="R103" i="36"/>
  <c r="R117" i="36"/>
  <c r="R119" i="36"/>
  <c r="R134" i="36"/>
  <c r="R137" i="36"/>
  <c r="R146" i="36"/>
  <c r="R151" i="36"/>
  <c r="R156" i="36"/>
  <c r="R149" i="36"/>
  <c r="R152" i="36"/>
  <c r="R154" i="36"/>
  <c r="R113" i="36"/>
  <c r="R116" i="36"/>
  <c r="R129" i="36"/>
  <c r="R132" i="36"/>
  <c r="R140" i="36"/>
  <c r="R145" i="36"/>
  <c r="R148" i="36"/>
  <c r="R155" i="36"/>
  <c r="R157" i="36"/>
  <c r="R159" i="36"/>
  <c r="R178" i="36"/>
  <c r="R162" i="36"/>
  <c r="R164" i="36"/>
  <c r="R167" i="36"/>
  <c r="R169" i="36"/>
  <c r="R184" i="36"/>
  <c r="R180" i="36"/>
  <c r="R191" i="36"/>
  <c r="R153" i="36"/>
  <c r="R158" i="36"/>
  <c r="R161" i="36"/>
  <c r="R175" i="36"/>
  <c r="R177" i="36"/>
  <c r="R188" i="36"/>
  <c r="R200" i="36"/>
  <c r="R166" i="36"/>
  <c r="R171" i="36"/>
  <c r="R174" i="36"/>
  <c r="R179" i="36"/>
  <c r="R182" i="36"/>
  <c r="R187" i="36"/>
  <c r="R190" i="36"/>
  <c r="R195" i="36"/>
  <c r="R197" i="36"/>
  <c r="R214" i="36"/>
  <c r="R194" i="36"/>
  <c r="R199" i="36"/>
  <c r="R208" i="36"/>
  <c r="R228" i="36"/>
  <c r="R224" i="36"/>
  <c r="R217" i="36"/>
  <c r="R221" i="36"/>
  <c r="R225" i="36"/>
  <c r="R229" i="36"/>
  <c r="R230" i="36"/>
  <c r="R203" i="36"/>
  <c r="R205" i="36"/>
  <c r="R207" i="36"/>
  <c r="R209" i="36"/>
  <c r="R211" i="36"/>
  <c r="R215" i="36"/>
  <c r="R219" i="36"/>
  <c r="R223" i="36"/>
  <c r="R231" i="36"/>
  <c r="R232" i="36"/>
  <c r="K90" i="37"/>
  <c r="J59" i="37"/>
  <c r="J46" i="37"/>
  <c r="J50" i="37"/>
  <c r="J47" i="37"/>
  <c r="J49" i="37"/>
  <c r="J54" i="37"/>
  <c r="J51" i="37"/>
  <c r="J53" i="37"/>
  <c r="J36" i="37"/>
  <c r="J57" i="37"/>
  <c r="J90" i="37"/>
  <c r="U223" i="37"/>
  <c r="V220" i="37"/>
  <c r="K57" i="37"/>
  <c r="K54" i="37"/>
  <c r="K36" i="37"/>
  <c r="K53" i="37"/>
  <c r="K51" i="37"/>
  <c r="K59" i="37"/>
  <c r="X190" i="37"/>
  <c r="Z190" i="37"/>
  <c r="X135" i="37"/>
  <c r="Z135" i="37"/>
  <c r="X26" i="37"/>
  <c r="Z26" i="37"/>
  <c r="X137" i="37"/>
  <c r="Z137" i="37"/>
  <c r="X60" i="37"/>
  <c r="Z60" i="37"/>
  <c r="X40" i="37"/>
  <c r="Z40" i="37"/>
  <c r="X39" i="37"/>
  <c r="Z39" i="37"/>
  <c r="X138" i="37"/>
  <c r="Z138" i="37"/>
  <c r="X25" i="37"/>
  <c r="Z25" i="37"/>
  <c r="X136" i="37"/>
  <c r="Z136" i="37"/>
  <c r="X197" i="37"/>
  <c r="Z197" i="37"/>
  <c r="X12" i="37"/>
  <c r="X41" i="37"/>
  <c r="Z41" i="37"/>
  <c r="X27" i="37"/>
  <c r="Z27" i="37"/>
  <c r="X191" i="37"/>
  <c r="R193" i="36"/>
  <c r="R115" i="36"/>
  <c r="R52" i="36"/>
  <c r="R107" i="36"/>
  <c r="R220" i="36"/>
  <c r="R173" i="36"/>
  <c r="R160" i="36"/>
  <c r="R165" i="36"/>
  <c r="R139" i="36"/>
  <c r="R127" i="36"/>
  <c r="R147" i="36"/>
  <c r="R131" i="36"/>
  <c r="R108" i="36"/>
  <c r="R150" i="36"/>
  <c r="R118" i="36"/>
  <c r="R87" i="36"/>
  <c r="R73" i="36"/>
  <c r="R59" i="36"/>
  <c r="R40" i="36"/>
  <c r="R98" i="36"/>
  <c r="R133" i="36"/>
  <c r="R85" i="36"/>
  <c r="R67" i="36"/>
  <c r="R5" i="36"/>
  <c r="R212" i="36"/>
  <c r="R172" i="36"/>
  <c r="R83" i="36"/>
  <c r="R69" i="36"/>
  <c r="R30" i="36"/>
  <c r="R79" i="36"/>
  <c r="R63" i="36"/>
  <c r="R192" i="36"/>
  <c r="R204" i="36"/>
  <c r="R210" i="36"/>
  <c r="R202" i="36"/>
  <c r="R216" i="36"/>
  <c r="R201" i="36"/>
  <c r="R196" i="36"/>
  <c r="R183" i="36"/>
  <c r="R186" i="36"/>
  <c r="R176" i="36"/>
  <c r="R142" i="36"/>
  <c r="R114" i="36"/>
  <c r="R112" i="36"/>
  <c r="R141" i="36"/>
  <c r="R128" i="36"/>
  <c r="R105" i="36"/>
  <c r="R96" i="36"/>
  <c r="R91" i="36"/>
  <c r="R77" i="36"/>
  <c r="R61" i="36"/>
  <c r="R138" i="36"/>
  <c r="R135" i="36"/>
  <c r="R34" i="36"/>
  <c r="R26" i="36"/>
  <c r="R89" i="36"/>
  <c r="R71" i="36"/>
  <c r="R50" i="36"/>
  <c r="R13" i="36"/>
  <c r="R22" i="36"/>
  <c r="R163" i="36"/>
  <c r="R120" i="36"/>
  <c r="R110" i="36"/>
  <c r="R11" i="36"/>
  <c r="R206" i="36"/>
  <c r="R168" i="36"/>
  <c r="R213" i="36"/>
  <c r="R226" i="36"/>
  <c r="R222" i="36"/>
  <c r="R218" i="36"/>
  <c r="R185" i="36"/>
  <c r="R170" i="36"/>
  <c r="R189" i="36"/>
  <c r="R181" i="36"/>
  <c r="R198" i="36"/>
  <c r="R136" i="36"/>
  <c r="R144" i="36"/>
  <c r="R95" i="36"/>
  <c r="R81" i="36"/>
  <c r="R65" i="36"/>
  <c r="R143" i="36"/>
  <c r="R102" i="36"/>
  <c r="R28" i="36"/>
  <c r="R93" i="36"/>
  <c r="R75" i="36"/>
  <c r="R56" i="36"/>
  <c r="R19" i="36"/>
  <c r="R15" i="36"/>
  <c r="R7" i="36"/>
  <c r="R24" i="36"/>
  <c r="R18" i="36"/>
  <c r="L47" i="37"/>
  <c r="L90" i="37"/>
  <c r="L50" i="37"/>
  <c r="L46" i="37"/>
  <c r="L49" i="37"/>
  <c r="W220" i="37"/>
  <c r="W223" i="37"/>
  <c r="V223" i="37"/>
  <c r="L51" i="37"/>
  <c r="L54" i="37"/>
  <c r="L36" i="37"/>
  <c r="L57" i="37"/>
  <c r="L59" i="37"/>
  <c r="L53" i="37"/>
  <c r="M49" i="37"/>
  <c r="M50" i="37"/>
  <c r="M51" i="37"/>
  <c r="M90" i="37"/>
  <c r="M46" i="37"/>
  <c r="M47" i="37"/>
  <c r="M53" i="37"/>
  <c r="M57" i="37"/>
  <c r="M54" i="37"/>
  <c r="M36" i="37"/>
  <c r="M59" i="37"/>
  <c r="J30" i="15"/>
  <c r="K30" i="15" s="1"/>
  <c r="J23" i="37"/>
  <c r="J37" i="37"/>
  <c r="J35" i="37"/>
  <c r="K23" i="37"/>
  <c r="K37" i="37"/>
  <c r="K35" i="37"/>
  <c r="L23" i="37"/>
  <c r="L35" i="37"/>
  <c r="L37" i="37"/>
  <c r="M23" i="37"/>
  <c r="M37" i="37"/>
  <c r="M35" i="37"/>
  <c r="J29" i="15"/>
  <c r="K29" i="15" s="1"/>
  <c r="J22" i="37"/>
  <c r="K22" i="37"/>
  <c r="F54" i="14"/>
  <c r="G54" i="14"/>
  <c r="H54" i="14"/>
  <c r="G43" i="14"/>
  <c r="J8" i="16"/>
  <c r="R66" i="34"/>
  <c r="S66" i="34"/>
  <c r="T66" i="34"/>
  <c r="A34" i="23"/>
  <c r="A27" i="23"/>
  <c r="A20" i="23"/>
  <c r="A13" i="23"/>
  <c r="C11" i="23"/>
  <c r="C39" i="23"/>
  <c r="A6" i="23"/>
  <c r="A3" i="23"/>
  <c r="A1" i="23"/>
  <c r="C158" i="22"/>
  <c r="C157" i="22"/>
  <c r="C156" i="22"/>
  <c r="C155" i="22"/>
  <c r="R151" i="22"/>
  <c r="Q151" i="22"/>
  <c r="Q152" i="22"/>
  <c r="Q157" i="22"/>
  <c r="P151" i="22"/>
  <c r="R146" i="22"/>
  <c r="Q146" i="22"/>
  <c r="P146" i="22"/>
  <c r="R142" i="22"/>
  <c r="Q142" i="22"/>
  <c r="P142" i="22"/>
  <c r="C134" i="22"/>
  <c r="B134" i="22"/>
  <c r="C132" i="22"/>
  <c r="B132" i="22"/>
  <c r="C130" i="22"/>
  <c r="B130" i="22"/>
  <c r="C129" i="22"/>
  <c r="B129" i="22"/>
  <c r="C126" i="22"/>
  <c r="B126" i="22"/>
  <c r="C124" i="22"/>
  <c r="B124" i="22"/>
  <c r="R106" i="22"/>
  <c r="R152" i="22"/>
  <c r="R157" i="22"/>
  <c r="Q106" i="22"/>
  <c r="P106" i="22"/>
  <c r="C93" i="22"/>
  <c r="B93" i="22"/>
  <c r="R86" i="22"/>
  <c r="Q86" i="22"/>
  <c r="P86" i="22"/>
  <c r="C85" i="22"/>
  <c r="B85" i="22"/>
  <c r="C84" i="22"/>
  <c r="B84" i="22"/>
  <c r="C83" i="22"/>
  <c r="B83" i="22"/>
  <c r="C82" i="22"/>
  <c r="B82" i="22"/>
  <c r="C81" i="22"/>
  <c r="B81" i="22"/>
  <c r="C80" i="22"/>
  <c r="B80" i="22"/>
  <c r="C79" i="22"/>
  <c r="B79" i="22"/>
  <c r="C78" i="22"/>
  <c r="B78" i="22"/>
  <c r="C77" i="22"/>
  <c r="B77" i="22"/>
  <c r="R74" i="22"/>
  <c r="Q74" i="22"/>
  <c r="P74" i="22"/>
  <c r="C73" i="22"/>
  <c r="B73" i="22"/>
  <c r="C72" i="22"/>
  <c r="B72" i="22"/>
  <c r="C71" i="22"/>
  <c r="B71" i="22"/>
  <c r="C70" i="22"/>
  <c r="B70" i="22"/>
  <c r="C69" i="22"/>
  <c r="B69" i="22"/>
  <c r="C68" i="22"/>
  <c r="B68" i="22"/>
  <c r="C67" i="22"/>
  <c r="B67" i="22"/>
  <c r="C66" i="22"/>
  <c r="B66" i="22"/>
  <c r="C65" i="22"/>
  <c r="B65" i="22"/>
  <c r="C64" i="22"/>
  <c r="B64" i="22"/>
  <c r="R61" i="22"/>
  <c r="Q61" i="22"/>
  <c r="P61" i="22"/>
  <c r="C60" i="22"/>
  <c r="B60" i="22"/>
  <c r="C59" i="22"/>
  <c r="B59" i="22"/>
  <c r="C58" i="22"/>
  <c r="B58" i="22"/>
  <c r="C57" i="22"/>
  <c r="B57" i="22"/>
  <c r="C56" i="22"/>
  <c r="B56" i="22"/>
  <c r="C55" i="22"/>
  <c r="B55" i="22"/>
  <c r="C54" i="22"/>
  <c r="B54" i="22"/>
  <c r="C53" i="22"/>
  <c r="B53" i="22"/>
  <c r="C47" i="22"/>
  <c r="B47" i="22"/>
  <c r="C46" i="22"/>
  <c r="B46" i="22"/>
  <c r="C45" i="22"/>
  <c r="B45" i="22"/>
  <c r="C44" i="22"/>
  <c r="B44" i="22"/>
  <c r="C43" i="22"/>
  <c r="B43" i="22"/>
  <c r="C42" i="22"/>
  <c r="B42" i="22"/>
  <c r="C41" i="22"/>
  <c r="B41" i="22"/>
  <c r="C40" i="22"/>
  <c r="B40" i="22"/>
  <c r="C39" i="22"/>
  <c r="B39" i="22"/>
  <c r="C38" i="22"/>
  <c r="B38" i="22"/>
  <c r="C37" i="22"/>
  <c r="B37" i="22"/>
  <c r="C36" i="22"/>
  <c r="B36" i="22"/>
  <c r="R32" i="22"/>
  <c r="Q32" i="22"/>
  <c r="P32" i="22"/>
  <c r="O32" i="22"/>
  <c r="N32" i="22"/>
  <c r="M32" i="22"/>
  <c r="L32" i="22"/>
  <c r="K32" i="22"/>
  <c r="J32" i="22"/>
  <c r="I32" i="22"/>
  <c r="H32" i="22"/>
  <c r="G32" i="22"/>
  <c r="F32" i="22"/>
  <c r="E32" i="22"/>
  <c r="D32" i="22"/>
  <c r="C32" i="22"/>
  <c r="B32" i="22"/>
  <c r="C31" i="22"/>
  <c r="B31" i="22"/>
  <c r="R30" i="22"/>
  <c r="Q30" i="22"/>
  <c r="P30" i="22"/>
  <c r="O30" i="22"/>
  <c r="N30" i="22"/>
  <c r="M30" i="22"/>
  <c r="L30" i="22"/>
  <c r="K30" i="22"/>
  <c r="J30" i="22"/>
  <c r="I30" i="22"/>
  <c r="H30" i="22"/>
  <c r="G30" i="22"/>
  <c r="F30" i="22"/>
  <c r="E30" i="22"/>
  <c r="D30" i="22"/>
  <c r="C30" i="22"/>
  <c r="B30" i="22"/>
  <c r="C29" i="22"/>
  <c r="B29" i="22"/>
  <c r="C28" i="22"/>
  <c r="B28" i="22"/>
  <c r="Q27" i="22"/>
  <c r="P27" i="22"/>
  <c r="O27" i="22"/>
  <c r="M27" i="22"/>
  <c r="L27" i="22"/>
  <c r="K27" i="22"/>
  <c r="I27" i="22"/>
  <c r="H27" i="22"/>
  <c r="G27" i="22"/>
  <c r="E27" i="22"/>
  <c r="D27" i="22"/>
  <c r="C27" i="22"/>
  <c r="B27" i="22"/>
  <c r="R26" i="22"/>
  <c r="Q26" i="22"/>
  <c r="P26" i="22"/>
  <c r="O26" i="22"/>
  <c r="N26" i="22"/>
  <c r="M26" i="22"/>
  <c r="L26" i="22"/>
  <c r="K26" i="22"/>
  <c r="J26" i="22"/>
  <c r="I26" i="22"/>
  <c r="H26" i="22"/>
  <c r="G26" i="22"/>
  <c r="F26" i="22"/>
  <c r="E26" i="22"/>
  <c r="D26" i="22"/>
  <c r="C26" i="22"/>
  <c r="B26" i="22"/>
  <c r="C25" i="22"/>
  <c r="B25" i="22"/>
  <c r="C21" i="22"/>
  <c r="B21" i="22"/>
  <c r="C20" i="22"/>
  <c r="B20" i="22"/>
  <c r="C19" i="22"/>
  <c r="B19" i="22"/>
  <c r="C18" i="22"/>
  <c r="B18" i="22"/>
  <c r="C17" i="22"/>
  <c r="B17" i="22"/>
  <c r="R16" i="22"/>
  <c r="Q16" i="22"/>
  <c r="P16" i="22"/>
  <c r="O16" i="22"/>
  <c r="N16" i="22"/>
  <c r="M16" i="22"/>
  <c r="L16" i="22"/>
  <c r="K16" i="22"/>
  <c r="J16" i="22"/>
  <c r="I16" i="22"/>
  <c r="H16" i="22"/>
  <c r="G16" i="22"/>
  <c r="F16" i="22"/>
  <c r="E16" i="22"/>
  <c r="D16" i="22"/>
  <c r="C16" i="22"/>
  <c r="B16" i="22"/>
  <c r="R15" i="22"/>
  <c r="Q15" i="22"/>
  <c r="P15" i="22"/>
  <c r="O15" i="22"/>
  <c r="N15" i="22"/>
  <c r="M15" i="22"/>
  <c r="L15" i="22"/>
  <c r="K15" i="22"/>
  <c r="J15" i="22"/>
  <c r="I15" i="22"/>
  <c r="H15" i="22"/>
  <c r="G15" i="22"/>
  <c r="C15" i="22"/>
  <c r="B15" i="22"/>
  <c r="C14" i="22"/>
  <c r="B14" i="22"/>
  <c r="C13" i="22"/>
  <c r="B13" i="22"/>
  <c r="C12" i="22"/>
  <c r="B12" i="22"/>
  <c r="A3" i="22"/>
  <c r="A3" i="29"/>
  <c r="A1" i="22"/>
  <c r="C158" i="21"/>
  <c r="C157" i="21"/>
  <c r="C156" i="21"/>
  <c r="C155" i="21"/>
  <c r="R151" i="21"/>
  <c r="Q151" i="21"/>
  <c r="P151" i="21"/>
  <c r="O150" i="21"/>
  <c r="N150" i="21"/>
  <c r="M150" i="21"/>
  <c r="L150" i="21"/>
  <c r="K150" i="21"/>
  <c r="J150" i="21"/>
  <c r="I150" i="21"/>
  <c r="H150" i="21"/>
  <c r="G150" i="21"/>
  <c r="F150" i="21"/>
  <c r="E150" i="21"/>
  <c r="D150" i="21"/>
  <c r="R146" i="21"/>
  <c r="Q146" i="21"/>
  <c r="P146" i="21"/>
  <c r="R142" i="21"/>
  <c r="Q142" i="21"/>
  <c r="P142" i="21"/>
  <c r="C134" i="21"/>
  <c r="B134" i="21"/>
  <c r="C132" i="21"/>
  <c r="B132" i="21"/>
  <c r="C130" i="21"/>
  <c r="B130" i="21"/>
  <c r="C129" i="21"/>
  <c r="B129" i="21"/>
  <c r="C126" i="21"/>
  <c r="B126" i="21"/>
  <c r="C124" i="21"/>
  <c r="B124" i="21"/>
  <c r="R106" i="21"/>
  <c r="Q106" i="21"/>
  <c r="P106" i="21"/>
  <c r="C93" i="21"/>
  <c r="B93" i="21"/>
  <c r="R86" i="21"/>
  <c r="Q86" i="21"/>
  <c r="P86" i="21"/>
  <c r="C85" i="21"/>
  <c r="B85" i="21"/>
  <c r="C84" i="21"/>
  <c r="B84" i="21"/>
  <c r="C83" i="21"/>
  <c r="B83" i="21"/>
  <c r="C82" i="21"/>
  <c r="B82" i="21"/>
  <c r="C81" i="21"/>
  <c r="B81" i="21"/>
  <c r="C80" i="21"/>
  <c r="B80" i="21"/>
  <c r="C79" i="21"/>
  <c r="B79" i="21"/>
  <c r="C78" i="21"/>
  <c r="B78" i="21"/>
  <c r="C77" i="21"/>
  <c r="B77" i="21"/>
  <c r="R74" i="21"/>
  <c r="Q74" i="21"/>
  <c r="P74" i="21"/>
  <c r="C73" i="21"/>
  <c r="B73" i="21"/>
  <c r="C72" i="21"/>
  <c r="B72" i="21"/>
  <c r="C71" i="21"/>
  <c r="B71" i="21"/>
  <c r="C70" i="21"/>
  <c r="B70" i="21"/>
  <c r="C69" i="21"/>
  <c r="B69" i="21"/>
  <c r="C68" i="21"/>
  <c r="B68" i="21"/>
  <c r="C67" i="21"/>
  <c r="B67" i="21"/>
  <c r="C66" i="21"/>
  <c r="B66" i="21"/>
  <c r="C65" i="21"/>
  <c r="B65" i="21"/>
  <c r="C64" i="21"/>
  <c r="B64" i="21"/>
  <c r="R61" i="21"/>
  <c r="Q61" i="21"/>
  <c r="P61" i="21"/>
  <c r="C60" i="21"/>
  <c r="B60" i="21"/>
  <c r="C59" i="21"/>
  <c r="B59" i="21"/>
  <c r="C58" i="21"/>
  <c r="B58" i="21"/>
  <c r="C57" i="21"/>
  <c r="B57" i="21"/>
  <c r="C56" i="21"/>
  <c r="B56" i="21"/>
  <c r="C55" i="21"/>
  <c r="B55" i="21"/>
  <c r="C54" i="21"/>
  <c r="B54" i="21"/>
  <c r="C53" i="21"/>
  <c r="B53" i="21"/>
  <c r="C47" i="21"/>
  <c r="B47" i="21"/>
  <c r="C46" i="21"/>
  <c r="B46" i="21"/>
  <c r="C45" i="21"/>
  <c r="B45" i="21"/>
  <c r="C44" i="21"/>
  <c r="B44" i="21"/>
  <c r="C43" i="21"/>
  <c r="B43" i="21"/>
  <c r="C42" i="21"/>
  <c r="B42" i="21"/>
  <c r="C41" i="21"/>
  <c r="B41" i="21"/>
  <c r="C40" i="21"/>
  <c r="B40" i="21"/>
  <c r="C39" i="21"/>
  <c r="B39" i="21"/>
  <c r="C38" i="21"/>
  <c r="B38" i="21"/>
  <c r="C37" i="21"/>
  <c r="B37" i="21"/>
  <c r="C36" i="21"/>
  <c r="B36" i="21"/>
  <c r="R32" i="21"/>
  <c r="Q32" i="21"/>
  <c r="P32" i="21"/>
  <c r="O32" i="21"/>
  <c r="N32" i="21"/>
  <c r="M32" i="21"/>
  <c r="L32" i="21"/>
  <c r="K32" i="21"/>
  <c r="J32" i="21"/>
  <c r="I32" i="21"/>
  <c r="H32" i="21"/>
  <c r="G32" i="21"/>
  <c r="F32" i="21"/>
  <c r="E32" i="21"/>
  <c r="D32" i="21"/>
  <c r="C32" i="21"/>
  <c r="B32" i="21"/>
  <c r="C31" i="21"/>
  <c r="B31" i="21"/>
  <c r="R30" i="21"/>
  <c r="Q30" i="21"/>
  <c r="P30" i="21"/>
  <c r="O30" i="21"/>
  <c r="N30" i="21"/>
  <c r="M30" i="21"/>
  <c r="L30" i="21"/>
  <c r="K30" i="21"/>
  <c r="J30" i="21"/>
  <c r="I30" i="21"/>
  <c r="H30" i="21"/>
  <c r="G30" i="21"/>
  <c r="F30" i="21"/>
  <c r="E30" i="21"/>
  <c r="D30" i="21"/>
  <c r="C30" i="21"/>
  <c r="B30" i="21"/>
  <c r="C29" i="21"/>
  <c r="B29" i="21"/>
  <c r="C28" i="21"/>
  <c r="B28" i="21"/>
  <c r="R27" i="21"/>
  <c r="P27" i="21"/>
  <c r="O27" i="21"/>
  <c r="N27" i="21"/>
  <c r="L27" i="21"/>
  <c r="K27" i="21"/>
  <c r="J27" i="21"/>
  <c r="H27" i="21"/>
  <c r="G27" i="21"/>
  <c r="F27" i="21"/>
  <c r="D27" i="21"/>
  <c r="C27" i="21"/>
  <c r="B27" i="21"/>
  <c r="R26" i="21"/>
  <c r="Q26" i="21"/>
  <c r="P26" i="21"/>
  <c r="O26" i="21"/>
  <c r="N26" i="21"/>
  <c r="M26" i="21"/>
  <c r="L26" i="21"/>
  <c r="K26" i="21"/>
  <c r="J26" i="21"/>
  <c r="I26" i="21"/>
  <c r="H26" i="21"/>
  <c r="G26" i="21"/>
  <c r="F26" i="21"/>
  <c r="E26" i="21"/>
  <c r="D26" i="21"/>
  <c r="C26" i="21"/>
  <c r="B26" i="21"/>
  <c r="C25" i="21"/>
  <c r="B25" i="21"/>
  <c r="C21" i="21"/>
  <c r="B21" i="21"/>
  <c r="C20" i="21"/>
  <c r="B20" i="21"/>
  <c r="C19" i="21"/>
  <c r="B19" i="21"/>
  <c r="C18" i="21"/>
  <c r="B18" i="21"/>
  <c r="C17" i="21"/>
  <c r="B17" i="21"/>
  <c r="R16" i="21"/>
  <c r="Q16" i="21"/>
  <c r="P16" i="21"/>
  <c r="O16" i="21"/>
  <c r="N16" i="21"/>
  <c r="M16" i="21"/>
  <c r="L16" i="21"/>
  <c r="K16" i="21"/>
  <c r="J16" i="21"/>
  <c r="I16" i="21"/>
  <c r="H16" i="21"/>
  <c r="G16" i="21"/>
  <c r="F16" i="21"/>
  <c r="E16" i="21"/>
  <c r="D16" i="21"/>
  <c r="C16" i="21"/>
  <c r="B16" i="21"/>
  <c r="R15" i="21"/>
  <c r="Q15" i="21"/>
  <c r="P15" i="21"/>
  <c r="O15" i="21"/>
  <c r="N15" i="21"/>
  <c r="M15" i="21"/>
  <c r="L15" i="21"/>
  <c r="K15" i="21"/>
  <c r="J15" i="21"/>
  <c r="I15" i="21"/>
  <c r="H15" i="21"/>
  <c r="G15" i="21"/>
  <c r="C15" i="21"/>
  <c r="B15" i="21"/>
  <c r="C14" i="21"/>
  <c r="B14" i="21"/>
  <c r="C13" i="21"/>
  <c r="B13" i="21"/>
  <c r="C12" i="21"/>
  <c r="B12" i="21"/>
  <c r="A3" i="21"/>
  <c r="A3" i="28"/>
  <c r="A1" i="21"/>
  <c r="C158" i="20"/>
  <c r="C157" i="20"/>
  <c r="C156" i="20"/>
  <c r="C155" i="20"/>
  <c r="R151" i="20"/>
  <c r="Q151" i="20"/>
  <c r="P151" i="20"/>
  <c r="O150" i="20"/>
  <c r="N150" i="20"/>
  <c r="M150" i="20"/>
  <c r="L150" i="20"/>
  <c r="K150" i="20"/>
  <c r="J150" i="20"/>
  <c r="I150" i="20"/>
  <c r="H150" i="20"/>
  <c r="G150" i="20"/>
  <c r="F150" i="20"/>
  <c r="E150" i="20"/>
  <c r="D150" i="20"/>
  <c r="R146" i="20"/>
  <c r="Q146" i="20"/>
  <c r="P146" i="20"/>
  <c r="R142" i="20"/>
  <c r="Q142" i="20"/>
  <c r="P142" i="20"/>
  <c r="C134" i="20"/>
  <c r="B134" i="20"/>
  <c r="C132" i="20"/>
  <c r="B132" i="20"/>
  <c r="C130" i="20"/>
  <c r="B130" i="20"/>
  <c r="C129" i="20"/>
  <c r="B129" i="20"/>
  <c r="C126" i="20"/>
  <c r="B126" i="20"/>
  <c r="C124" i="20"/>
  <c r="B124" i="20"/>
  <c r="R106" i="20"/>
  <c r="Q106" i="20"/>
  <c r="P106" i="20"/>
  <c r="C93" i="20"/>
  <c r="B93" i="20"/>
  <c r="R86" i="20"/>
  <c r="Q86" i="20"/>
  <c r="P86" i="20"/>
  <c r="C85" i="20"/>
  <c r="B85" i="20"/>
  <c r="C84" i="20"/>
  <c r="B84" i="20"/>
  <c r="C83" i="20"/>
  <c r="B83" i="20"/>
  <c r="C82" i="20"/>
  <c r="B82" i="20"/>
  <c r="C81" i="20"/>
  <c r="B81" i="20"/>
  <c r="C80" i="20"/>
  <c r="B80" i="20"/>
  <c r="C79" i="20"/>
  <c r="B79" i="20"/>
  <c r="C78" i="20"/>
  <c r="B78" i="20"/>
  <c r="C77" i="20"/>
  <c r="B77" i="20"/>
  <c r="R74" i="20"/>
  <c r="Q74" i="20"/>
  <c r="P74" i="20"/>
  <c r="C73" i="20"/>
  <c r="B73" i="20"/>
  <c r="C72" i="20"/>
  <c r="B72" i="20"/>
  <c r="C71" i="20"/>
  <c r="B71" i="20"/>
  <c r="C70" i="20"/>
  <c r="B70" i="20"/>
  <c r="C69" i="20"/>
  <c r="B69" i="20"/>
  <c r="C68" i="20"/>
  <c r="B68" i="20"/>
  <c r="C67" i="20"/>
  <c r="B67" i="20"/>
  <c r="C66" i="20"/>
  <c r="B66" i="20"/>
  <c r="C65" i="20"/>
  <c r="B65" i="20"/>
  <c r="C64" i="20"/>
  <c r="B64" i="20"/>
  <c r="R61" i="20"/>
  <c r="Q61" i="20"/>
  <c r="P61" i="20"/>
  <c r="C60" i="20"/>
  <c r="B60" i="20"/>
  <c r="C59" i="20"/>
  <c r="B59" i="20"/>
  <c r="C58" i="20"/>
  <c r="B58" i="20"/>
  <c r="C57" i="20"/>
  <c r="B57" i="20"/>
  <c r="C56" i="20"/>
  <c r="B56" i="20"/>
  <c r="C55" i="20"/>
  <c r="B55" i="20"/>
  <c r="C54" i="20"/>
  <c r="B54" i="20"/>
  <c r="C53" i="20"/>
  <c r="B53" i="20"/>
  <c r="C47" i="20"/>
  <c r="B47" i="20"/>
  <c r="C46" i="20"/>
  <c r="B46" i="20"/>
  <c r="C45" i="20"/>
  <c r="B45" i="20"/>
  <c r="C44" i="20"/>
  <c r="B44" i="20"/>
  <c r="C43" i="20"/>
  <c r="B43" i="20"/>
  <c r="C42" i="20"/>
  <c r="B42" i="20"/>
  <c r="C41" i="20"/>
  <c r="B41" i="20"/>
  <c r="C40" i="20"/>
  <c r="B40" i="20"/>
  <c r="C39" i="20"/>
  <c r="B39" i="20"/>
  <c r="C38" i="20"/>
  <c r="B38" i="20"/>
  <c r="C37" i="20"/>
  <c r="B37" i="20"/>
  <c r="C36" i="20"/>
  <c r="B36" i="20"/>
  <c r="R32" i="20"/>
  <c r="Q32" i="20"/>
  <c r="P32" i="20"/>
  <c r="O32" i="20"/>
  <c r="N32" i="20"/>
  <c r="M32" i="20"/>
  <c r="L32" i="20"/>
  <c r="K32" i="20"/>
  <c r="J32" i="20"/>
  <c r="I32" i="20"/>
  <c r="H32" i="20"/>
  <c r="G32" i="20"/>
  <c r="F32" i="20"/>
  <c r="E32" i="20"/>
  <c r="D32" i="20"/>
  <c r="C32" i="20"/>
  <c r="B32" i="20"/>
  <c r="C31" i="20"/>
  <c r="B31" i="20"/>
  <c r="R30" i="20"/>
  <c r="Q30" i="20"/>
  <c r="P30" i="20"/>
  <c r="O30" i="20"/>
  <c r="N30" i="20"/>
  <c r="M30" i="20"/>
  <c r="L30" i="20"/>
  <c r="K30" i="20"/>
  <c r="J30" i="20"/>
  <c r="I30" i="20"/>
  <c r="H30" i="20"/>
  <c r="G30" i="20"/>
  <c r="F30" i="20"/>
  <c r="E30" i="20"/>
  <c r="D30" i="20"/>
  <c r="C30" i="20"/>
  <c r="B30" i="20"/>
  <c r="C29" i="20"/>
  <c r="B29" i="20"/>
  <c r="C28" i="20"/>
  <c r="B28" i="20"/>
  <c r="C27" i="20"/>
  <c r="B27" i="20"/>
  <c r="R26" i="20"/>
  <c r="Q26" i="20"/>
  <c r="P26" i="20"/>
  <c r="O26" i="20"/>
  <c r="N26" i="20"/>
  <c r="M26" i="20"/>
  <c r="L26" i="20"/>
  <c r="K26" i="20"/>
  <c r="J26" i="20"/>
  <c r="I26" i="20"/>
  <c r="H26" i="20"/>
  <c r="G26" i="20"/>
  <c r="F26" i="20"/>
  <c r="E26" i="20"/>
  <c r="D26" i="20"/>
  <c r="C26" i="20"/>
  <c r="B26" i="20"/>
  <c r="C25" i="20"/>
  <c r="B25" i="20"/>
  <c r="C21" i="20"/>
  <c r="B21" i="20"/>
  <c r="C20" i="20"/>
  <c r="B20" i="20"/>
  <c r="C19" i="20"/>
  <c r="B19" i="20"/>
  <c r="C18" i="20"/>
  <c r="B18" i="20"/>
  <c r="C17" i="20"/>
  <c r="B17" i="20"/>
  <c r="R16" i="20"/>
  <c r="Q16" i="20"/>
  <c r="P16" i="20"/>
  <c r="O16" i="20"/>
  <c r="N16" i="20"/>
  <c r="M16" i="20"/>
  <c r="L16" i="20"/>
  <c r="K16" i="20"/>
  <c r="J16" i="20"/>
  <c r="I16" i="20"/>
  <c r="H16" i="20"/>
  <c r="G16" i="20"/>
  <c r="F16" i="20"/>
  <c r="E16" i="20"/>
  <c r="D16" i="20"/>
  <c r="C16" i="20"/>
  <c r="B16" i="20"/>
  <c r="R15" i="20"/>
  <c r="Q15" i="20"/>
  <c r="P15" i="20"/>
  <c r="O15" i="20"/>
  <c r="N15" i="20"/>
  <c r="M15" i="20"/>
  <c r="L15" i="20"/>
  <c r="K15" i="20"/>
  <c r="J15" i="20"/>
  <c r="I15" i="20"/>
  <c r="H15" i="20"/>
  <c r="G15" i="20"/>
  <c r="C15" i="20"/>
  <c r="B15" i="20"/>
  <c r="C14" i="20"/>
  <c r="B14" i="20"/>
  <c r="C13" i="20"/>
  <c r="B13" i="20"/>
  <c r="C12" i="20"/>
  <c r="B12" i="20"/>
  <c r="A3" i="20"/>
  <c r="A3" i="27"/>
  <c r="A1" i="20"/>
  <c r="C158" i="19"/>
  <c r="C157" i="19"/>
  <c r="C156" i="19"/>
  <c r="C155" i="19"/>
  <c r="R151" i="19"/>
  <c r="Q151" i="19"/>
  <c r="P151" i="19"/>
  <c r="O150" i="19"/>
  <c r="N150" i="19"/>
  <c r="M150" i="19"/>
  <c r="L150" i="19"/>
  <c r="K150" i="19"/>
  <c r="J150" i="19"/>
  <c r="I150" i="19"/>
  <c r="H150" i="19"/>
  <c r="G150" i="19"/>
  <c r="F150" i="19"/>
  <c r="E150" i="19"/>
  <c r="D150" i="19"/>
  <c r="O149" i="19"/>
  <c r="N149" i="19"/>
  <c r="M149" i="19"/>
  <c r="L149" i="19"/>
  <c r="K149" i="19"/>
  <c r="J149" i="19"/>
  <c r="I149" i="19"/>
  <c r="H149" i="19"/>
  <c r="G149" i="19"/>
  <c r="F149" i="19"/>
  <c r="E149" i="19"/>
  <c r="D149" i="19"/>
  <c r="R146" i="19"/>
  <c r="Q146" i="19"/>
  <c r="P146" i="19"/>
  <c r="R142" i="19"/>
  <c r="Q142" i="19"/>
  <c r="P142" i="19"/>
  <c r="O141" i="19"/>
  <c r="N141" i="19"/>
  <c r="M141" i="19"/>
  <c r="L141" i="19"/>
  <c r="K141" i="19"/>
  <c r="J141" i="19"/>
  <c r="I141" i="19"/>
  <c r="H141" i="19"/>
  <c r="G141" i="19"/>
  <c r="F141" i="19"/>
  <c r="E141" i="19"/>
  <c r="D141" i="19"/>
  <c r="O140" i="19"/>
  <c r="N140" i="19"/>
  <c r="M140" i="19"/>
  <c r="L140" i="19"/>
  <c r="K140" i="19"/>
  <c r="J140" i="19"/>
  <c r="I140" i="19"/>
  <c r="H140" i="19"/>
  <c r="G140" i="19"/>
  <c r="F140" i="19"/>
  <c r="E140" i="19"/>
  <c r="D140" i="19"/>
  <c r="O139" i="19"/>
  <c r="N139" i="19"/>
  <c r="M139" i="19"/>
  <c r="L139" i="19"/>
  <c r="K139" i="19"/>
  <c r="J139" i="19"/>
  <c r="I139" i="19"/>
  <c r="H139" i="19"/>
  <c r="G139" i="19"/>
  <c r="F139" i="19"/>
  <c r="E139" i="19"/>
  <c r="D139" i="19"/>
  <c r="O138" i="19"/>
  <c r="N138" i="19"/>
  <c r="M138" i="19"/>
  <c r="L138" i="19"/>
  <c r="K138" i="19"/>
  <c r="J138" i="19"/>
  <c r="I138" i="19"/>
  <c r="H138" i="19"/>
  <c r="G138" i="19"/>
  <c r="F138" i="19"/>
  <c r="E138" i="19"/>
  <c r="D138" i="19"/>
  <c r="O137" i="19"/>
  <c r="N137" i="19"/>
  <c r="M137" i="19"/>
  <c r="L137" i="19"/>
  <c r="K137" i="19"/>
  <c r="J137" i="19"/>
  <c r="I137" i="19"/>
  <c r="H137" i="19"/>
  <c r="G137" i="19"/>
  <c r="F137" i="19"/>
  <c r="E137" i="19"/>
  <c r="D137" i="19"/>
  <c r="O136" i="19"/>
  <c r="N136" i="19"/>
  <c r="M136" i="19"/>
  <c r="L136" i="19"/>
  <c r="K136" i="19"/>
  <c r="J136" i="19"/>
  <c r="I136" i="19"/>
  <c r="H136" i="19"/>
  <c r="G136" i="19"/>
  <c r="F136" i="19"/>
  <c r="E136" i="19"/>
  <c r="D136" i="19"/>
  <c r="O135" i="19"/>
  <c r="N135" i="19"/>
  <c r="M135" i="19"/>
  <c r="L135" i="19"/>
  <c r="K135" i="19"/>
  <c r="J135" i="19"/>
  <c r="I135" i="19"/>
  <c r="H135" i="19"/>
  <c r="G135" i="19"/>
  <c r="F135" i="19"/>
  <c r="E135" i="19"/>
  <c r="D135" i="19"/>
  <c r="O134" i="19"/>
  <c r="N134" i="19"/>
  <c r="M134" i="19"/>
  <c r="L134" i="19"/>
  <c r="K134" i="19"/>
  <c r="J134" i="19"/>
  <c r="I134" i="19"/>
  <c r="H134" i="19"/>
  <c r="G134" i="19"/>
  <c r="F134" i="19"/>
  <c r="E134" i="19"/>
  <c r="D134" i="19"/>
  <c r="C134" i="19"/>
  <c r="B134" i="19"/>
  <c r="O133" i="19"/>
  <c r="N133" i="19"/>
  <c r="M133" i="19"/>
  <c r="L133" i="19"/>
  <c r="K133" i="19"/>
  <c r="J133" i="19"/>
  <c r="I133" i="19"/>
  <c r="H133" i="19"/>
  <c r="G133" i="19"/>
  <c r="F133" i="19"/>
  <c r="E133" i="19"/>
  <c r="D133" i="19"/>
  <c r="O132" i="19"/>
  <c r="N132" i="19"/>
  <c r="M132" i="19"/>
  <c r="L132" i="19"/>
  <c r="K132" i="19"/>
  <c r="J132" i="19"/>
  <c r="I132" i="19"/>
  <c r="H132" i="19"/>
  <c r="G132" i="19"/>
  <c r="F132" i="19"/>
  <c r="E132" i="19"/>
  <c r="D132" i="19"/>
  <c r="C132" i="19"/>
  <c r="B132" i="19"/>
  <c r="O131" i="19"/>
  <c r="N131" i="19"/>
  <c r="M131" i="19"/>
  <c r="L131" i="19"/>
  <c r="K131" i="19"/>
  <c r="J131" i="19"/>
  <c r="I131" i="19"/>
  <c r="H131" i="19"/>
  <c r="G131" i="19"/>
  <c r="F131" i="19"/>
  <c r="E131" i="19"/>
  <c r="D131" i="19"/>
  <c r="O130" i="19"/>
  <c r="N130" i="19"/>
  <c r="M130" i="19"/>
  <c r="L130" i="19"/>
  <c r="K130" i="19"/>
  <c r="J130" i="19"/>
  <c r="I130" i="19"/>
  <c r="H130" i="19"/>
  <c r="G130" i="19"/>
  <c r="F130" i="19"/>
  <c r="E130" i="19"/>
  <c r="D130" i="19"/>
  <c r="C130" i="19"/>
  <c r="B130" i="19"/>
  <c r="O129" i="19"/>
  <c r="N129" i="19"/>
  <c r="M129" i="19"/>
  <c r="L129" i="19"/>
  <c r="K129" i="19"/>
  <c r="J129" i="19"/>
  <c r="I129" i="19"/>
  <c r="H129" i="19"/>
  <c r="G129" i="19"/>
  <c r="F129" i="19"/>
  <c r="E129" i="19"/>
  <c r="D129" i="19"/>
  <c r="C129" i="19"/>
  <c r="B129" i="19"/>
  <c r="O128" i="19"/>
  <c r="N128" i="19"/>
  <c r="M128" i="19"/>
  <c r="L128" i="19"/>
  <c r="K128" i="19"/>
  <c r="J128" i="19"/>
  <c r="I128" i="19"/>
  <c r="H128" i="19"/>
  <c r="G128" i="19"/>
  <c r="F128" i="19"/>
  <c r="E128" i="19"/>
  <c r="D128" i="19"/>
  <c r="O127" i="19"/>
  <c r="N127" i="19"/>
  <c r="M127" i="19"/>
  <c r="L127" i="19"/>
  <c r="K127" i="19"/>
  <c r="J127" i="19"/>
  <c r="I127" i="19"/>
  <c r="H127" i="19"/>
  <c r="G127" i="19"/>
  <c r="F127" i="19"/>
  <c r="E127" i="19"/>
  <c r="D127" i="19"/>
  <c r="O126" i="19"/>
  <c r="N126" i="19"/>
  <c r="M126" i="19"/>
  <c r="L126" i="19"/>
  <c r="K126" i="19"/>
  <c r="J126" i="19"/>
  <c r="I126" i="19"/>
  <c r="H126" i="19"/>
  <c r="G126" i="19"/>
  <c r="F126" i="19"/>
  <c r="E126" i="19"/>
  <c r="D126" i="19"/>
  <c r="C126" i="19"/>
  <c r="B126" i="19"/>
  <c r="O125" i="19"/>
  <c r="N125" i="19"/>
  <c r="M125" i="19"/>
  <c r="L125" i="19"/>
  <c r="K125" i="19"/>
  <c r="J125" i="19"/>
  <c r="I125" i="19"/>
  <c r="H125" i="19"/>
  <c r="G125" i="19"/>
  <c r="F125" i="19"/>
  <c r="E125" i="19"/>
  <c r="D125" i="19"/>
  <c r="O124" i="19"/>
  <c r="N124" i="19"/>
  <c r="M124" i="19"/>
  <c r="L124" i="19"/>
  <c r="K124" i="19"/>
  <c r="J124" i="19"/>
  <c r="I124" i="19"/>
  <c r="H124" i="19"/>
  <c r="G124" i="19"/>
  <c r="F124" i="19"/>
  <c r="E124" i="19"/>
  <c r="D124" i="19"/>
  <c r="C124" i="19"/>
  <c r="B124" i="19"/>
  <c r="O123" i="19"/>
  <c r="N123" i="19"/>
  <c r="M123" i="19"/>
  <c r="L123" i="19"/>
  <c r="K123" i="19"/>
  <c r="J123" i="19"/>
  <c r="I123" i="19"/>
  <c r="H123" i="19"/>
  <c r="G123" i="19"/>
  <c r="F123" i="19"/>
  <c r="E123" i="19"/>
  <c r="D123" i="19"/>
  <c r="O122" i="19"/>
  <c r="N122" i="19"/>
  <c r="M122" i="19"/>
  <c r="L122" i="19"/>
  <c r="K122" i="19"/>
  <c r="J122" i="19"/>
  <c r="I122" i="19"/>
  <c r="H122" i="19"/>
  <c r="G122" i="19"/>
  <c r="F122" i="19"/>
  <c r="E122" i="19"/>
  <c r="D122" i="19"/>
  <c r="O121" i="19"/>
  <c r="N121" i="19"/>
  <c r="M121" i="19"/>
  <c r="L121" i="19"/>
  <c r="K121" i="19"/>
  <c r="J121" i="19"/>
  <c r="I121" i="19"/>
  <c r="H121" i="19"/>
  <c r="G121" i="19"/>
  <c r="F121" i="19"/>
  <c r="E121" i="19"/>
  <c r="D121" i="19"/>
  <c r="O120" i="19"/>
  <c r="N120" i="19"/>
  <c r="M120" i="19"/>
  <c r="L120" i="19"/>
  <c r="K120" i="19"/>
  <c r="J120" i="19"/>
  <c r="I120" i="19"/>
  <c r="H120" i="19"/>
  <c r="G120" i="19"/>
  <c r="F120" i="19"/>
  <c r="E120" i="19"/>
  <c r="D120" i="19"/>
  <c r="O119" i="19"/>
  <c r="N119" i="19"/>
  <c r="M119" i="19"/>
  <c r="L119" i="19"/>
  <c r="K119" i="19"/>
  <c r="J119" i="19"/>
  <c r="I119" i="19"/>
  <c r="H119" i="19"/>
  <c r="G119" i="19"/>
  <c r="F119" i="19"/>
  <c r="E119" i="19"/>
  <c r="D119" i="19"/>
  <c r="O118" i="19"/>
  <c r="N118" i="19"/>
  <c r="M118" i="19"/>
  <c r="L118" i="19"/>
  <c r="K118" i="19"/>
  <c r="J118" i="19"/>
  <c r="I118" i="19"/>
  <c r="H118" i="19"/>
  <c r="G118" i="19"/>
  <c r="F118" i="19"/>
  <c r="E118" i="19"/>
  <c r="D118" i="19"/>
  <c r="O117" i="19"/>
  <c r="N117" i="19"/>
  <c r="M117" i="19"/>
  <c r="L117" i="19"/>
  <c r="K117" i="19"/>
  <c r="J117" i="19"/>
  <c r="I117" i="19"/>
  <c r="H117" i="19"/>
  <c r="G117" i="19"/>
  <c r="F117" i="19"/>
  <c r="E117" i="19"/>
  <c r="D117" i="19"/>
  <c r="O116" i="19"/>
  <c r="N116" i="19"/>
  <c r="M116" i="19"/>
  <c r="L116" i="19"/>
  <c r="K116" i="19"/>
  <c r="J116" i="19"/>
  <c r="I116" i="19"/>
  <c r="H116" i="19"/>
  <c r="G116" i="19"/>
  <c r="F116" i="19"/>
  <c r="E116" i="19"/>
  <c r="D116" i="19"/>
  <c r="O115" i="19"/>
  <c r="N115" i="19"/>
  <c r="M115" i="19"/>
  <c r="L115" i="19"/>
  <c r="K115" i="19"/>
  <c r="J115" i="19"/>
  <c r="I115" i="19"/>
  <c r="H115" i="19"/>
  <c r="G115" i="19"/>
  <c r="F115" i="19"/>
  <c r="E115" i="19"/>
  <c r="D115" i="19"/>
  <c r="O114" i="19"/>
  <c r="N114" i="19"/>
  <c r="M114" i="19"/>
  <c r="L114" i="19"/>
  <c r="K114" i="19"/>
  <c r="J114" i="19"/>
  <c r="I114" i="19"/>
  <c r="H114" i="19"/>
  <c r="G114" i="19"/>
  <c r="F114" i="19"/>
  <c r="E114" i="19"/>
  <c r="D114" i="19"/>
  <c r="O113" i="19"/>
  <c r="N113" i="19"/>
  <c r="M113" i="19"/>
  <c r="L113" i="19"/>
  <c r="K113" i="19"/>
  <c r="J113" i="19"/>
  <c r="I113" i="19"/>
  <c r="H113" i="19"/>
  <c r="G113" i="19"/>
  <c r="F113" i="19"/>
  <c r="E113" i="19"/>
  <c r="D113" i="19"/>
  <c r="O112" i="19"/>
  <c r="N112" i="19"/>
  <c r="M112" i="19"/>
  <c r="L112" i="19"/>
  <c r="K112" i="19"/>
  <c r="J112" i="19"/>
  <c r="I112" i="19"/>
  <c r="H112" i="19"/>
  <c r="G112" i="19"/>
  <c r="F112" i="19"/>
  <c r="E112" i="19"/>
  <c r="D112" i="19"/>
  <c r="O111" i="19"/>
  <c r="N111" i="19"/>
  <c r="M111" i="19"/>
  <c r="L111" i="19"/>
  <c r="K111" i="19"/>
  <c r="J111" i="19"/>
  <c r="I111" i="19"/>
  <c r="H111" i="19"/>
  <c r="G111" i="19"/>
  <c r="F111" i="19"/>
  <c r="E111" i="19"/>
  <c r="D111" i="19"/>
  <c r="O110" i="19"/>
  <c r="N110" i="19"/>
  <c r="M110" i="19"/>
  <c r="L110" i="19"/>
  <c r="K110" i="19"/>
  <c r="J110" i="19"/>
  <c r="I110" i="19"/>
  <c r="H110" i="19"/>
  <c r="G110" i="19"/>
  <c r="F110" i="19"/>
  <c r="E110" i="19"/>
  <c r="D110" i="19"/>
  <c r="O109" i="19"/>
  <c r="N109" i="19"/>
  <c r="M109" i="19"/>
  <c r="L109" i="19"/>
  <c r="K109" i="19"/>
  <c r="J109" i="19"/>
  <c r="I109" i="19"/>
  <c r="H109" i="19"/>
  <c r="G109" i="19"/>
  <c r="F109" i="19"/>
  <c r="E109" i="19"/>
  <c r="D109" i="19"/>
  <c r="R106" i="19"/>
  <c r="Q106" i="19"/>
  <c r="P106" i="19"/>
  <c r="O105" i="19"/>
  <c r="N105" i="19"/>
  <c r="M105" i="19"/>
  <c r="L105" i="19"/>
  <c r="K105" i="19"/>
  <c r="J105" i="19"/>
  <c r="I105" i="19"/>
  <c r="H105" i="19"/>
  <c r="G105" i="19"/>
  <c r="F105" i="19"/>
  <c r="E105" i="19"/>
  <c r="D105" i="19"/>
  <c r="O104" i="19"/>
  <c r="N104" i="19"/>
  <c r="M104" i="19"/>
  <c r="L104" i="19"/>
  <c r="K104" i="19"/>
  <c r="J104" i="19"/>
  <c r="I104" i="19"/>
  <c r="H104" i="19"/>
  <c r="G104" i="19"/>
  <c r="F104" i="19"/>
  <c r="E104" i="19"/>
  <c r="D104" i="19"/>
  <c r="O103" i="19"/>
  <c r="N103" i="19"/>
  <c r="M103" i="19"/>
  <c r="L103" i="19"/>
  <c r="K103" i="19"/>
  <c r="J103" i="19"/>
  <c r="I103" i="19"/>
  <c r="H103" i="19"/>
  <c r="G103" i="19"/>
  <c r="F103" i="19"/>
  <c r="E103" i="19"/>
  <c r="D103" i="19"/>
  <c r="O102" i="19"/>
  <c r="N102" i="19"/>
  <c r="M102" i="19"/>
  <c r="L102" i="19"/>
  <c r="K102" i="19"/>
  <c r="J102" i="19"/>
  <c r="I102" i="19"/>
  <c r="H102" i="19"/>
  <c r="G102" i="19"/>
  <c r="F102" i="19"/>
  <c r="E102" i="19"/>
  <c r="D102" i="19"/>
  <c r="O101" i="19"/>
  <c r="N101" i="19"/>
  <c r="M101" i="19"/>
  <c r="L101" i="19"/>
  <c r="K101" i="19"/>
  <c r="J101" i="19"/>
  <c r="I101" i="19"/>
  <c r="H101" i="19"/>
  <c r="G101" i="19"/>
  <c r="F101" i="19"/>
  <c r="E101" i="19"/>
  <c r="D101" i="19"/>
  <c r="O100" i="19"/>
  <c r="N100" i="19"/>
  <c r="M100" i="19"/>
  <c r="L100" i="19"/>
  <c r="K100" i="19"/>
  <c r="J100" i="19"/>
  <c r="I100" i="19"/>
  <c r="H100" i="19"/>
  <c r="G100" i="19"/>
  <c r="F100" i="19"/>
  <c r="E100" i="19"/>
  <c r="D100" i="19"/>
  <c r="O99" i="19"/>
  <c r="N99" i="19"/>
  <c r="M99" i="19"/>
  <c r="L99" i="19"/>
  <c r="K99" i="19"/>
  <c r="J99" i="19"/>
  <c r="I99" i="19"/>
  <c r="H99" i="19"/>
  <c r="G99" i="19"/>
  <c r="F99" i="19"/>
  <c r="E99" i="19"/>
  <c r="D99" i="19"/>
  <c r="O98" i="19"/>
  <c r="N98" i="19"/>
  <c r="M98" i="19"/>
  <c r="L98" i="19"/>
  <c r="K98" i="19"/>
  <c r="J98" i="19"/>
  <c r="I98" i="19"/>
  <c r="H98" i="19"/>
  <c r="G98" i="19"/>
  <c r="F98" i="19"/>
  <c r="E98" i="19"/>
  <c r="D98" i="19"/>
  <c r="O97" i="19"/>
  <c r="N97" i="19"/>
  <c r="M97" i="19"/>
  <c r="L97" i="19"/>
  <c r="K97" i="19"/>
  <c r="J97" i="19"/>
  <c r="I97" i="19"/>
  <c r="H97" i="19"/>
  <c r="G97" i="19"/>
  <c r="F97" i="19"/>
  <c r="E97" i="19"/>
  <c r="D97" i="19"/>
  <c r="O96" i="19"/>
  <c r="N96" i="19"/>
  <c r="M96" i="19"/>
  <c r="L96" i="19"/>
  <c r="K96" i="19"/>
  <c r="J96" i="19"/>
  <c r="I96" i="19"/>
  <c r="H96" i="19"/>
  <c r="G96" i="19"/>
  <c r="F96" i="19"/>
  <c r="E96" i="19"/>
  <c r="D96" i="19"/>
  <c r="O95" i="19"/>
  <c r="N95" i="19"/>
  <c r="M95" i="19"/>
  <c r="L95" i="19"/>
  <c r="K95" i="19"/>
  <c r="J95" i="19"/>
  <c r="I95" i="19"/>
  <c r="H95" i="19"/>
  <c r="G95" i="19"/>
  <c r="F95" i="19"/>
  <c r="E95" i="19"/>
  <c r="D95" i="19"/>
  <c r="O94" i="19"/>
  <c r="N94" i="19"/>
  <c r="M94" i="19"/>
  <c r="L94" i="19"/>
  <c r="K94" i="19"/>
  <c r="J94" i="19"/>
  <c r="I94" i="19"/>
  <c r="H94" i="19"/>
  <c r="G94" i="19"/>
  <c r="F94" i="19"/>
  <c r="E94" i="19"/>
  <c r="D94" i="19"/>
  <c r="O93" i="19"/>
  <c r="N93" i="19"/>
  <c r="M93" i="19"/>
  <c r="L93" i="19"/>
  <c r="K93" i="19"/>
  <c r="J93" i="19"/>
  <c r="I93" i="19"/>
  <c r="H93" i="19"/>
  <c r="G93" i="19"/>
  <c r="F93" i="19"/>
  <c r="E93" i="19"/>
  <c r="D93" i="19"/>
  <c r="C93" i="19"/>
  <c r="B93" i="19"/>
  <c r="O92" i="19"/>
  <c r="N92" i="19"/>
  <c r="M92" i="19"/>
  <c r="L92" i="19"/>
  <c r="K92" i="19"/>
  <c r="J92" i="19"/>
  <c r="I92" i="19"/>
  <c r="H92" i="19"/>
  <c r="G92" i="19"/>
  <c r="F92" i="19"/>
  <c r="E92" i="19"/>
  <c r="D92" i="19"/>
  <c r="O91" i="19"/>
  <c r="N91" i="19"/>
  <c r="M91" i="19"/>
  <c r="L91" i="19"/>
  <c r="K91" i="19"/>
  <c r="J91" i="19"/>
  <c r="I91" i="19"/>
  <c r="H91" i="19"/>
  <c r="G91" i="19"/>
  <c r="F91" i="19"/>
  <c r="E91" i="19"/>
  <c r="D91" i="19"/>
  <c r="O90" i="19"/>
  <c r="N90" i="19"/>
  <c r="M90" i="19"/>
  <c r="L90" i="19"/>
  <c r="K90" i="19"/>
  <c r="J90" i="19"/>
  <c r="I90" i="19"/>
  <c r="H90" i="19"/>
  <c r="G90" i="19"/>
  <c r="F90" i="19"/>
  <c r="E90" i="19"/>
  <c r="D90" i="19"/>
  <c r="O89" i="19"/>
  <c r="N89" i="19"/>
  <c r="M89" i="19"/>
  <c r="L89" i="19"/>
  <c r="K89" i="19"/>
  <c r="J89" i="19"/>
  <c r="I89" i="19"/>
  <c r="H89" i="19"/>
  <c r="G89" i="19"/>
  <c r="F89" i="19"/>
  <c r="E89" i="19"/>
  <c r="D89" i="19"/>
  <c r="R86" i="19"/>
  <c r="Q86" i="19"/>
  <c r="P86" i="19"/>
  <c r="O85" i="19"/>
  <c r="N85" i="19"/>
  <c r="M85" i="19"/>
  <c r="L85" i="19"/>
  <c r="K85" i="19"/>
  <c r="J85" i="19"/>
  <c r="I85" i="19"/>
  <c r="H85" i="19"/>
  <c r="G85" i="19"/>
  <c r="F85" i="19"/>
  <c r="E85" i="19"/>
  <c r="D85" i="19"/>
  <c r="C85" i="19"/>
  <c r="B85" i="19"/>
  <c r="O84" i="19"/>
  <c r="N84" i="19"/>
  <c r="M84" i="19"/>
  <c r="L84" i="19"/>
  <c r="K84" i="19"/>
  <c r="J84" i="19"/>
  <c r="I84" i="19"/>
  <c r="H84" i="19"/>
  <c r="G84" i="19"/>
  <c r="F84" i="19"/>
  <c r="E84" i="19"/>
  <c r="D84" i="19"/>
  <c r="C84" i="19"/>
  <c r="B84" i="19"/>
  <c r="O83" i="19"/>
  <c r="N83" i="19"/>
  <c r="M83" i="19"/>
  <c r="L83" i="19"/>
  <c r="K83" i="19"/>
  <c r="J83" i="19"/>
  <c r="I83" i="19"/>
  <c r="H83" i="19"/>
  <c r="G83" i="19"/>
  <c r="F83" i="19"/>
  <c r="E83" i="19"/>
  <c r="D83" i="19"/>
  <c r="C83" i="19"/>
  <c r="B83" i="19"/>
  <c r="O82" i="19"/>
  <c r="N82" i="19"/>
  <c r="M82" i="19"/>
  <c r="L82" i="19"/>
  <c r="K82" i="19"/>
  <c r="J82" i="19"/>
  <c r="I82" i="19"/>
  <c r="H82" i="19"/>
  <c r="G82" i="19"/>
  <c r="F82" i="19"/>
  <c r="E82" i="19"/>
  <c r="D82" i="19"/>
  <c r="C82" i="19"/>
  <c r="B82" i="19"/>
  <c r="O81" i="19"/>
  <c r="N81" i="19"/>
  <c r="M81" i="19"/>
  <c r="L81" i="19"/>
  <c r="K81" i="19"/>
  <c r="J81" i="19"/>
  <c r="I81" i="19"/>
  <c r="H81" i="19"/>
  <c r="G81" i="19"/>
  <c r="F81" i="19"/>
  <c r="E81" i="19"/>
  <c r="D81" i="19"/>
  <c r="C81" i="19"/>
  <c r="B81" i="19"/>
  <c r="O80" i="19"/>
  <c r="N80" i="19"/>
  <c r="M80" i="19"/>
  <c r="L80" i="19"/>
  <c r="K80" i="19"/>
  <c r="J80" i="19"/>
  <c r="I80" i="19"/>
  <c r="H80" i="19"/>
  <c r="G80" i="19"/>
  <c r="F80" i="19"/>
  <c r="E80" i="19"/>
  <c r="D80" i="19"/>
  <c r="C80" i="19"/>
  <c r="B80" i="19"/>
  <c r="O79" i="19"/>
  <c r="N79" i="19"/>
  <c r="M79" i="19"/>
  <c r="L79" i="19"/>
  <c r="K79" i="19"/>
  <c r="J79" i="19"/>
  <c r="I79" i="19"/>
  <c r="H79" i="19"/>
  <c r="G79" i="19"/>
  <c r="F79" i="19"/>
  <c r="E79" i="19"/>
  <c r="D79" i="19"/>
  <c r="C79" i="19"/>
  <c r="B79" i="19"/>
  <c r="O78" i="19"/>
  <c r="N78" i="19"/>
  <c r="M78" i="19"/>
  <c r="L78" i="19"/>
  <c r="K78" i="19"/>
  <c r="J78" i="19"/>
  <c r="I78" i="19"/>
  <c r="H78" i="19"/>
  <c r="G78" i="19"/>
  <c r="F78" i="19"/>
  <c r="E78" i="19"/>
  <c r="D78" i="19"/>
  <c r="C78" i="19"/>
  <c r="B78" i="19"/>
  <c r="O77" i="19"/>
  <c r="N77" i="19"/>
  <c r="M77" i="19"/>
  <c r="L77" i="19"/>
  <c r="K77" i="19"/>
  <c r="J77" i="19"/>
  <c r="I77" i="19"/>
  <c r="H77" i="19"/>
  <c r="G77" i="19"/>
  <c r="F77" i="19"/>
  <c r="E77" i="19"/>
  <c r="D77" i="19"/>
  <c r="C77" i="19"/>
  <c r="B77" i="19"/>
  <c r="R74" i="19"/>
  <c r="Q74" i="19"/>
  <c r="P74" i="19"/>
  <c r="O73" i="19"/>
  <c r="N73" i="19"/>
  <c r="M73" i="19"/>
  <c r="L73" i="19"/>
  <c r="K73" i="19"/>
  <c r="J73" i="19"/>
  <c r="I73" i="19"/>
  <c r="H73" i="19"/>
  <c r="G73" i="19"/>
  <c r="F73" i="19"/>
  <c r="E73" i="19"/>
  <c r="D73" i="19"/>
  <c r="C73" i="19"/>
  <c r="B73" i="19"/>
  <c r="O72" i="19"/>
  <c r="N72" i="19"/>
  <c r="M72" i="19"/>
  <c r="L72" i="19"/>
  <c r="K72" i="19"/>
  <c r="J72" i="19"/>
  <c r="I72" i="19"/>
  <c r="H72" i="19"/>
  <c r="G72" i="19"/>
  <c r="F72" i="19"/>
  <c r="E72" i="19"/>
  <c r="D72" i="19"/>
  <c r="C72" i="19"/>
  <c r="B72" i="19"/>
  <c r="O71" i="19"/>
  <c r="N71" i="19"/>
  <c r="M71" i="19"/>
  <c r="L71" i="19"/>
  <c r="K71" i="19"/>
  <c r="J71" i="19"/>
  <c r="I71" i="19"/>
  <c r="H71" i="19"/>
  <c r="G71" i="19"/>
  <c r="F71" i="19"/>
  <c r="E71" i="19"/>
  <c r="D71" i="19"/>
  <c r="C71" i="19"/>
  <c r="B71" i="19"/>
  <c r="O70" i="19"/>
  <c r="N70" i="19"/>
  <c r="M70" i="19"/>
  <c r="L70" i="19"/>
  <c r="K70" i="19"/>
  <c r="J70" i="19"/>
  <c r="I70" i="19"/>
  <c r="H70" i="19"/>
  <c r="G70" i="19"/>
  <c r="F70" i="19"/>
  <c r="E70" i="19"/>
  <c r="D70" i="19"/>
  <c r="C70" i="19"/>
  <c r="B70" i="19"/>
  <c r="O69" i="19"/>
  <c r="N69" i="19"/>
  <c r="M69" i="19"/>
  <c r="L69" i="19"/>
  <c r="K69" i="19"/>
  <c r="J69" i="19"/>
  <c r="I69" i="19"/>
  <c r="H69" i="19"/>
  <c r="G69" i="19"/>
  <c r="F69" i="19"/>
  <c r="E69" i="19"/>
  <c r="D69" i="19"/>
  <c r="C69" i="19"/>
  <c r="B69" i="19"/>
  <c r="O68" i="19"/>
  <c r="N68" i="19"/>
  <c r="M68" i="19"/>
  <c r="L68" i="19"/>
  <c r="K68" i="19"/>
  <c r="J68" i="19"/>
  <c r="I68" i="19"/>
  <c r="H68" i="19"/>
  <c r="G68" i="19"/>
  <c r="F68" i="19"/>
  <c r="E68" i="19"/>
  <c r="D68" i="19"/>
  <c r="C68" i="19"/>
  <c r="B68" i="19"/>
  <c r="O67" i="19"/>
  <c r="N67" i="19"/>
  <c r="M67" i="19"/>
  <c r="L67" i="19"/>
  <c r="K67" i="19"/>
  <c r="J67" i="19"/>
  <c r="I67" i="19"/>
  <c r="H67" i="19"/>
  <c r="G67" i="19"/>
  <c r="F67" i="19"/>
  <c r="E67" i="19"/>
  <c r="D67" i="19"/>
  <c r="C67" i="19"/>
  <c r="B67" i="19"/>
  <c r="O66" i="19"/>
  <c r="N66" i="19"/>
  <c r="M66" i="19"/>
  <c r="L66" i="19"/>
  <c r="K66" i="19"/>
  <c r="J66" i="19"/>
  <c r="I66" i="19"/>
  <c r="H66" i="19"/>
  <c r="G66" i="19"/>
  <c r="F66" i="19"/>
  <c r="E66" i="19"/>
  <c r="D66" i="19"/>
  <c r="C66" i="19"/>
  <c r="B66" i="19"/>
  <c r="O65" i="19"/>
  <c r="N65" i="19"/>
  <c r="M65" i="19"/>
  <c r="L65" i="19"/>
  <c r="K65" i="19"/>
  <c r="J65" i="19"/>
  <c r="I65" i="19"/>
  <c r="H65" i="19"/>
  <c r="G65" i="19"/>
  <c r="F65" i="19"/>
  <c r="E65" i="19"/>
  <c r="D65" i="19"/>
  <c r="C65" i="19"/>
  <c r="B65" i="19"/>
  <c r="O64" i="19"/>
  <c r="N64" i="19"/>
  <c r="M64" i="19"/>
  <c r="L64" i="19"/>
  <c r="K64" i="19"/>
  <c r="J64" i="19"/>
  <c r="I64" i="19"/>
  <c r="H64" i="19"/>
  <c r="G64" i="19"/>
  <c r="F64" i="19"/>
  <c r="E64" i="19"/>
  <c r="D64" i="19"/>
  <c r="C64" i="19"/>
  <c r="B64" i="19"/>
  <c r="R61" i="19"/>
  <c r="Q61" i="19"/>
  <c r="P61" i="19"/>
  <c r="O60" i="19"/>
  <c r="N60" i="19"/>
  <c r="M60" i="19"/>
  <c r="L60" i="19"/>
  <c r="K60" i="19"/>
  <c r="J60" i="19"/>
  <c r="I60" i="19"/>
  <c r="H60" i="19"/>
  <c r="G60" i="19"/>
  <c r="F60" i="19"/>
  <c r="E60" i="19"/>
  <c r="D60" i="19"/>
  <c r="C60" i="19"/>
  <c r="B60" i="19"/>
  <c r="O59" i="19"/>
  <c r="N59" i="19"/>
  <c r="M59" i="19"/>
  <c r="L59" i="19"/>
  <c r="K59" i="19"/>
  <c r="J59" i="19"/>
  <c r="I59" i="19"/>
  <c r="H59" i="19"/>
  <c r="G59" i="19"/>
  <c r="F59" i="19"/>
  <c r="E59" i="19"/>
  <c r="D59" i="19"/>
  <c r="C59" i="19"/>
  <c r="B59" i="19"/>
  <c r="O58" i="19"/>
  <c r="N58" i="19"/>
  <c r="M58" i="19"/>
  <c r="L58" i="19"/>
  <c r="K58" i="19"/>
  <c r="J58" i="19"/>
  <c r="I58" i="19"/>
  <c r="H58" i="19"/>
  <c r="G58" i="19"/>
  <c r="F58" i="19"/>
  <c r="E58" i="19"/>
  <c r="D58" i="19"/>
  <c r="C58" i="19"/>
  <c r="B58" i="19"/>
  <c r="O57" i="19"/>
  <c r="N57" i="19"/>
  <c r="M57" i="19"/>
  <c r="L57" i="19"/>
  <c r="K57" i="19"/>
  <c r="J57" i="19"/>
  <c r="I57" i="19"/>
  <c r="H57" i="19"/>
  <c r="G57" i="19"/>
  <c r="F57" i="19"/>
  <c r="E57" i="19"/>
  <c r="D57" i="19"/>
  <c r="C57" i="19"/>
  <c r="B57" i="19"/>
  <c r="O56" i="19"/>
  <c r="N56" i="19"/>
  <c r="M56" i="19"/>
  <c r="L56" i="19"/>
  <c r="K56" i="19"/>
  <c r="J56" i="19"/>
  <c r="I56" i="19"/>
  <c r="H56" i="19"/>
  <c r="G56" i="19"/>
  <c r="F56" i="19"/>
  <c r="E56" i="19"/>
  <c r="D56" i="19"/>
  <c r="C56" i="19"/>
  <c r="B56" i="19"/>
  <c r="O55" i="19"/>
  <c r="N55" i="19"/>
  <c r="M55" i="19"/>
  <c r="L55" i="19"/>
  <c r="K55" i="19"/>
  <c r="J55" i="19"/>
  <c r="I55" i="19"/>
  <c r="H55" i="19"/>
  <c r="G55" i="19"/>
  <c r="F55" i="19"/>
  <c r="E55" i="19"/>
  <c r="D55" i="19"/>
  <c r="C55" i="19"/>
  <c r="B55" i="19"/>
  <c r="O54" i="19"/>
  <c r="N54" i="19"/>
  <c r="M54" i="19"/>
  <c r="L54" i="19"/>
  <c r="K54" i="19"/>
  <c r="J54" i="19"/>
  <c r="I54" i="19"/>
  <c r="H54" i="19"/>
  <c r="G54" i="19"/>
  <c r="F54" i="19"/>
  <c r="E54" i="19"/>
  <c r="D54" i="19"/>
  <c r="C54" i="19"/>
  <c r="B54" i="19"/>
  <c r="O53" i="19"/>
  <c r="N53" i="19"/>
  <c r="M53" i="19"/>
  <c r="L53" i="19"/>
  <c r="K53" i="19"/>
  <c r="J53" i="19"/>
  <c r="I53" i="19"/>
  <c r="H53" i="19"/>
  <c r="G53" i="19"/>
  <c r="F53" i="19"/>
  <c r="E53" i="19"/>
  <c r="D53" i="19"/>
  <c r="C53" i="19"/>
  <c r="B53" i="19"/>
  <c r="R47" i="19"/>
  <c r="Q47" i="19"/>
  <c r="P47" i="19"/>
  <c r="O47" i="19"/>
  <c r="N47" i="19"/>
  <c r="M47" i="19"/>
  <c r="L47" i="19"/>
  <c r="K47" i="19"/>
  <c r="J47" i="19"/>
  <c r="I47" i="19"/>
  <c r="H47" i="19"/>
  <c r="G47" i="19"/>
  <c r="F47" i="19"/>
  <c r="E47" i="19"/>
  <c r="D47" i="19"/>
  <c r="C47" i="19"/>
  <c r="B47" i="19"/>
  <c r="R46" i="19"/>
  <c r="Q46" i="19"/>
  <c r="P46" i="19"/>
  <c r="O46" i="19"/>
  <c r="N46" i="19"/>
  <c r="M46" i="19"/>
  <c r="L46" i="19"/>
  <c r="K46" i="19"/>
  <c r="J46" i="19"/>
  <c r="I46" i="19"/>
  <c r="H46" i="19"/>
  <c r="G46" i="19"/>
  <c r="F46" i="19"/>
  <c r="E46" i="19"/>
  <c r="D46" i="19"/>
  <c r="C46" i="19"/>
  <c r="B46" i="19"/>
  <c r="R45" i="19"/>
  <c r="Q45" i="19"/>
  <c r="P45" i="19"/>
  <c r="O45" i="19"/>
  <c r="N45" i="19"/>
  <c r="M45" i="19"/>
  <c r="L45" i="19"/>
  <c r="K45" i="19"/>
  <c r="J45" i="19"/>
  <c r="I45" i="19"/>
  <c r="H45" i="19"/>
  <c r="G45" i="19"/>
  <c r="F45" i="19"/>
  <c r="E45" i="19"/>
  <c r="D45" i="19"/>
  <c r="C45" i="19"/>
  <c r="B45" i="19"/>
  <c r="R44" i="19"/>
  <c r="Q44" i="19"/>
  <c r="P44" i="19"/>
  <c r="O44" i="19"/>
  <c r="N44" i="19"/>
  <c r="M44" i="19"/>
  <c r="L44" i="19"/>
  <c r="K44" i="19"/>
  <c r="J44" i="19"/>
  <c r="I44" i="19"/>
  <c r="H44" i="19"/>
  <c r="G44" i="19"/>
  <c r="F44" i="19"/>
  <c r="E44" i="19"/>
  <c r="D44" i="19"/>
  <c r="C44" i="19"/>
  <c r="B44" i="19"/>
  <c r="R43" i="19"/>
  <c r="Q43" i="19"/>
  <c r="P43" i="19"/>
  <c r="O43" i="19"/>
  <c r="N43" i="19"/>
  <c r="M43" i="19"/>
  <c r="L43" i="19"/>
  <c r="K43" i="19"/>
  <c r="J43" i="19"/>
  <c r="I43" i="19"/>
  <c r="H43" i="19"/>
  <c r="G43" i="19"/>
  <c r="F43" i="19"/>
  <c r="E43" i="19"/>
  <c r="D43" i="19"/>
  <c r="C43" i="19"/>
  <c r="B43" i="19"/>
  <c r="R42" i="19"/>
  <c r="Q42" i="19"/>
  <c r="P42" i="19"/>
  <c r="O42" i="19"/>
  <c r="N42" i="19"/>
  <c r="M42" i="19"/>
  <c r="L42" i="19"/>
  <c r="K42" i="19"/>
  <c r="J42" i="19"/>
  <c r="I42" i="19"/>
  <c r="H42" i="19"/>
  <c r="G42" i="19"/>
  <c r="F42" i="19"/>
  <c r="E42" i="19"/>
  <c r="D42" i="19"/>
  <c r="C42" i="19"/>
  <c r="B42" i="19"/>
  <c r="R41" i="19"/>
  <c r="Q41" i="19"/>
  <c r="P41" i="19"/>
  <c r="O41" i="19"/>
  <c r="N41" i="19"/>
  <c r="M41" i="19"/>
  <c r="L41" i="19"/>
  <c r="K41" i="19"/>
  <c r="J41" i="19"/>
  <c r="I41" i="19"/>
  <c r="H41" i="19"/>
  <c r="G41" i="19"/>
  <c r="F41" i="19"/>
  <c r="E41" i="19"/>
  <c r="D41" i="19"/>
  <c r="C41" i="19"/>
  <c r="B41" i="19"/>
  <c r="R40" i="19"/>
  <c r="Q40" i="19"/>
  <c r="P40" i="19"/>
  <c r="O40" i="19"/>
  <c r="N40" i="19"/>
  <c r="M40" i="19"/>
  <c r="L40" i="19"/>
  <c r="K40" i="19"/>
  <c r="J40" i="19"/>
  <c r="I40" i="19"/>
  <c r="H40" i="19"/>
  <c r="G40" i="19"/>
  <c r="F40" i="19"/>
  <c r="E40" i="19"/>
  <c r="D40" i="19"/>
  <c r="C40" i="19"/>
  <c r="B40" i="19"/>
  <c r="R39" i="19"/>
  <c r="Q39" i="19"/>
  <c r="P39" i="19"/>
  <c r="O39" i="19"/>
  <c r="N39" i="19"/>
  <c r="M39" i="19"/>
  <c r="L39" i="19"/>
  <c r="K39" i="19"/>
  <c r="J39" i="19"/>
  <c r="I39" i="19"/>
  <c r="H39" i="19"/>
  <c r="G39" i="19"/>
  <c r="F39" i="19"/>
  <c r="E39" i="19"/>
  <c r="D39" i="19"/>
  <c r="C39" i="19"/>
  <c r="B39" i="19"/>
  <c r="R38" i="19"/>
  <c r="Q38" i="19"/>
  <c r="P38" i="19"/>
  <c r="O38" i="19"/>
  <c r="N38" i="19"/>
  <c r="M38" i="19"/>
  <c r="L38" i="19"/>
  <c r="K38" i="19"/>
  <c r="J38" i="19"/>
  <c r="I38" i="19"/>
  <c r="H38" i="19"/>
  <c r="G38" i="19"/>
  <c r="F38" i="19"/>
  <c r="E38" i="19"/>
  <c r="D38" i="19"/>
  <c r="C38" i="19"/>
  <c r="B38" i="19"/>
  <c r="R37" i="19"/>
  <c r="Q37" i="19"/>
  <c r="P37" i="19"/>
  <c r="O37" i="19"/>
  <c r="N37" i="19"/>
  <c r="M37" i="19"/>
  <c r="L37" i="19"/>
  <c r="K37" i="19"/>
  <c r="J37" i="19"/>
  <c r="I37" i="19"/>
  <c r="H37" i="19"/>
  <c r="G37" i="19"/>
  <c r="F37" i="19"/>
  <c r="E37" i="19"/>
  <c r="D37" i="19"/>
  <c r="C37" i="19"/>
  <c r="B37" i="19"/>
  <c r="R36" i="19"/>
  <c r="Q36" i="19"/>
  <c r="P36" i="19"/>
  <c r="O36" i="19"/>
  <c r="N36" i="19"/>
  <c r="M36" i="19"/>
  <c r="L36" i="19"/>
  <c r="K36" i="19"/>
  <c r="J36" i="19"/>
  <c r="I36" i="19"/>
  <c r="H36" i="19"/>
  <c r="G36" i="19"/>
  <c r="F36" i="19"/>
  <c r="E36" i="19"/>
  <c r="D36" i="19"/>
  <c r="C36" i="19"/>
  <c r="B36" i="19"/>
  <c r="R32" i="19"/>
  <c r="Q32" i="19"/>
  <c r="P32" i="19"/>
  <c r="O32" i="19"/>
  <c r="N32" i="19"/>
  <c r="M32" i="19"/>
  <c r="L32" i="19"/>
  <c r="K32" i="19"/>
  <c r="J32" i="19"/>
  <c r="I32" i="19"/>
  <c r="H32" i="19"/>
  <c r="G32" i="19"/>
  <c r="F32" i="19"/>
  <c r="E32" i="19"/>
  <c r="D32" i="19"/>
  <c r="C32" i="19"/>
  <c r="B32" i="19"/>
  <c r="R31" i="19"/>
  <c r="Q31" i="19"/>
  <c r="P31" i="19"/>
  <c r="O31" i="19"/>
  <c r="N31" i="19"/>
  <c r="M31" i="19"/>
  <c r="L31" i="19"/>
  <c r="K31" i="19"/>
  <c r="J31" i="19"/>
  <c r="I31" i="19"/>
  <c r="H31" i="19"/>
  <c r="G31" i="19"/>
  <c r="F31" i="19"/>
  <c r="E31" i="19"/>
  <c r="D31" i="19"/>
  <c r="C31" i="19"/>
  <c r="B31" i="19"/>
  <c r="R30" i="19"/>
  <c r="Q30" i="19"/>
  <c r="P30" i="19"/>
  <c r="O30" i="19"/>
  <c r="N30" i="19"/>
  <c r="M30" i="19"/>
  <c r="L30" i="19"/>
  <c r="K30" i="19"/>
  <c r="J30" i="19"/>
  <c r="I30" i="19"/>
  <c r="H30" i="19"/>
  <c r="G30" i="19"/>
  <c r="F30" i="19"/>
  <c r="E30" i="19"/>
  <c r="D30" i="19"/>
  <c r="C30" i="19"/>
  <c r="B30" i="19"/>
  <c r="R29" i="19"/>
  <c r="Q29" i="19"/>
  <c r="P29" i="19"/>
  <c r="O29" i="19"/>
  <c r="N29" i="19"/>
  <c r="M29" i="19"/>
  <c r="L29" i="19"/>
  <c r="K29" i="19"/>
  <c r="J29" i="19"/>
  <c r="I29" i="19"/>
  <c r="H29" i="19"/>
  <c r="G29" i="19"/>
  <c r="F29" i="19"/>
  <c r="E29" i="19"/>
  <c r="D29" i="19"/>
  <c r="C29" i="19"/>
  <c r="B29" i="19"/>
  <c r="R28" i="19"/>
  <c r="Q28" i="19"/>
  <c r="P28" i="19"/>
  <c r="O28" i="19"/>
  <c r="N28" i="19"/>
  <c r="M28" i="19"/>
  <c r="L28" i="19"/>
  <c r="K28" i="19"/>
  <c r="J28" i="19"/>
  <c r="I28" i="19"/>
  <c r="H28" i="19"/>
  <c r="G28" i="19"/>
  <c r="F28" i="19"/>
  <c r="E28" i="19"/>
  <c r="D28" i="19"/>
  <c r="C28" i="19"/>
  <c r="B28" i="19"/>
  <c r="R27" i="19"/>
  <c r="Q27" i="19"/>
  <c r="P27" i="19"/>
  <c r="O27" i="19"/>
  <c r="N27" i="19"/>
  <c r="M27" i="19"/>
  <c r="L27" i="19"/>
  <c r="K27" i="19"/>
  <c r="J27" i="19"/>
  <c r="I27" i="19"/>
  <c r="H27" i="19"/>
  <c r="G27" i="19"/>
  <c r="F27" i="19"/>
  <c r="E27" i="19"/>
  <c r="D27" i="19"/>
  <c r="C27" i="19"/>
  <c r="B27" i="19"/>
  <c r="R26" i="19"/>
  <c r="Q26" i="19"/>
  <c r="P26" i="19"/>
  <c r="O26" i="19"/>
  <c r="N26" i="19"/>
  <c r="M26" i="19"/>
  <c r="L26" i="19"/>
  <c r="K26" i="19"/>
  <c r="J26" i="19"/>
  <c r="I26" i="19"/>
  <c r="H26" i="19"/>
  <c r="G26" i="19"/>
  <c r="F26" i="19"/>
  <c r="E26" i="19"/>
  <c r="D26" i="19"/>
  <c r="C26" i="19"/>
  <c r="B26" i="19"/>
  <c r="R25" i="19"/>
  <c r="Q25" i="19"/>
  <c r="P25" i="19"/>
  <c r="O25" i="19"/>
  <c r="N25" i="19"/>
  <c r="M25" i="19"/>
  <c r="L25" i="19"/>
  <c r="K25" i="19"/>
  <c r="J25" i="19"/>
  <c r="I25" i="19"/>
  <c r="H25" i="19"/>
  <c r="G25" i="19"/>
  <c r="F25" i="19"/>
  <c r="E25" i="19"/>
  <c r="D25" i="19"/>
  <c r="C25" i="19"/>
  <c r="B25" i="19"/>
  <c r="R21" i="19"/>
  <c r="Q21" i="19"/>
  <c r="P21" i="19"/>
  <c r="O21" i="19"/>
  <c r="N21" i="19"/>
  <c r="M21" i="19"/>
  <c r="L21" i="19"/>
  <c r="K21" i="19"/>
  <c r="J21" i="19"/>
  <c r="I21" i="19"/>
  <c r="H21" i="19"/>
  <c r="G21" i="19"/>
  <c r="F21" i="19"/>
  <c r="E21" i="19"/>
  <c r="D21" i="19"/>
  <c r="C21" i="19"/>
  <c r="B21" i="19"/>
  <c r="R20" i="19"/>
  <c r="Q20" i="19"/>
  <c r="P20" i="19"/>
  <c r="O20" i="19"/>
  <c r="N20" i="19"/>
  <c r="M20" i="19"/>
  <c r="L20" i="19"/>
  <c r="K20" i="19"/>
  <c r="J20" i="19"/>
  <c r="I20" i="19"/>
  <c r="H20" i="19"/>
  <c r="G20" i="19"/>
  <c r="F20" i="19"/>
  <c r="E20" i="19"/>
  <c r="D20" i="19"/>
  <c r="C20" i="19"/>
  <c r="B20" i="19"/>
  <c r="R19" i="19"/>
  <c r="Q19" i="19"/>
  <c r="P19" i="19"/>
  <c r="O19" i="19"/>
  <c r="N19" i="19"/>
  <c r="M19" i="19"/>
  <c r="L19" i="19"/>
  <c r="K19" i="19"/>
  <c r="J19" i="19"/>
  <c r="I19" i="19"/>
  <c r="H19" i="19"/>
  <c r="G19" i="19"/>
  <c r="F19" i="19"/>
  <c r="E19" i="19"/>
  <c r="D19" i="19"/>
  <c r="C19" i="19"/>
  <c r="B19" i="19"/>
  <c r="C18" i="19"/>
  <c r="B18" i="19"/>
  <c r="R17" i="19"/>
  <c r="Q17" i="19"/>
  <c r="P17" i="19"/>
  <c r="O17" i="19"/>
  <c r="N17" i="19"/>
  <c r="M17" i="19"/>
  <c r="L17" i="19"/>
  <c r="K17" i="19"/>
  <c r="J17" i="19"/>
  <c r="I17" i="19"/>
  <c r="H17" i="19"/>
  <c r="G17" i="19"/>
  <c r="F17" i="19"/>
  <c r="E17" i="19"/>
  <c r="D17" i="19"/>
  <c r="C17" i="19"/>
  <c r="B17" i="19"/>
  <c r="R16" i="19"/>
  <c r="Q16" i="19"/>
  <c r="P16" i="19"/>
  <c r="O16" i="19"/>
  <c r="N16" i="19"/>
  <c r="M16" i="19"/>
  <c r="L16" i="19"/>
  <c r="K16" i="19"/>
  <c r="J16" i="19"/>
  <c r="I16" i="19"/>
  <c r="H16" i="19"/>
  <c r="G16" i="19"/>
  <c r="F16" i="19"/>
  <c r="E16" i="19"/>
  <c r="D16" i="19"/>
  <c r="C16" i="19"/>
  <c r="B16" i="19"/>
  <c r="R15" i="19"/>
  <c r="Q15" i="19"/>
  <c r="P15" i="19"/>
  <c r="O15" i="19"/>
  <c r="N15" i="19"/>
  <c r="M15" i="19"/>
  <c r="L15" i="19"/>
  <c r="K15" i="19"/>
  <c r="J15" i="19"/>
  <c r="I15" i="19"/>
  <c r="H15" i="19"/>
  <c r="G15" i="19"/>
  <c r="C15" i="19"/>
  <c r="B15" i="19"/>
  <c r="P14" i="19"/>
  <c r="O14" i="19"/>
  <c r="N14" i="19"/>
  <c r="M14" i="19"/>
  <c r="L14" i="19"/>
  <c r="K14" i="19"/>
  <c r="J14" i="19"/>
  <c r="I14" i="19"/>
  <c r="H14" i="19"/>
  <c r="G14" i="19"/>
  <c r="F14" i="19"/>
  <c r="E14" i="19"/>
  <c r="D14" i="19"/>
  <c r="C14" i="19"/>
  <c r="B14" i="19"/>
  <c r="P13" i="19"/>
  <c r="O13" i="19"/>
  <c r="N13" i="19"/>
  <c r="M13" i="19"/>
  <c r="L13" i="19"/>
  <c r="K13" i="19"/>
  <c r="J13" i="19"/>
  <c r="I13" i="19"/>
  <c r="H13" i="19"/>
  <c r="G13" i="19"/>
  <c r="F13" i="19"/>
  <c r="E13" i="19"/>
  <c r="D13" i="19"/>
  <c r="C13" i="19"/>
  <c r="B13" i="19"/>
  <c r="P12" i="19"/>
  <c r="O12" i="19"/>
  <c r="N12" i="19"/>
  <c r="M12" i="19"/>
  <c r="L12" i="19"/>
  <c r="K12" i="19"/>
  <c r="J12" i="19"/>
  <c r="I12" i="19"/>
  <c r="H12" i="19"/>
  <c r="G12" i="19"/>
  <c r="F12" i="19"/>
  <c r="E12" i="19"/>
  <c r="D12" i="19"/>
  <c r="C12" i="19"/>
  <c r="B12" i="19"/>
  <c r="A3" i="19"/>
  <c r="A1" i="19"/>
  <c r="E158" i="18"/>
  <c r="D158" i="18"/>
  <c r="C158" i="18"/>
  <c r="O157" i="18"/>
  <c r="N157" i="18"/>
  <c r="M157" i="18"/>
  <c r="L157" i="18"/>
  <c r="K157" i="18"/>
  <c r="J157" i="18"/>
  <c r="I157" i="18"/>
  <c r="H157" i="18"/>
  <c r="G157" i="18"/>
  <c r="F157" i="18"/>
  <c r="E157" i="18"/>
  <c r="D157" i="18"/>
  <c r="C157" i="18"/>
  <c r="O156" i="18"/>
  <c r="N156" i="18"/>
  <c r="M156" i="18"/>
  <c r="L156" i="18"/>
  <c r="K156" i="18"/>
  <c r="J156" i="18"/>
  <c r="I156" i="18"/>
  <c r="H156" i="18"/>
  <c r="G156" i="18"/>
  <c r="F156" i="18"/>
  <c r="E156" i="18"/>
  <c r="D156" i="18"/>
  <c r="C156" i="18"/>
  <c r="D155" i="18"/>
  <c r="C155" i="18"/>
  <c r="R151" i="18"/>
  <c r="Q151" i="18"/>
  <c r="P151" i="18"/>
  <c r="O150" i="18"/>
  <c r="N150" i="18"/>
  <c r="M150" i="18"/>
  <c r="L150" i="18"/>
  <c r="K150" i="18"/>
  <c r="J150" i="18"/>
  <c r="I150" i="18"/>
  <c r="H150" i="18"/>
  <c r="G150" i="18"/>
  <c r="F150" i="18"/>
  <c r="E150" i="18"/>
  <c r="D150" i="18"/>
  <c r="O149" i="18"/>
  <c r="N149" i="18"/>
  <c r="M149" i="18"/>
  <c r="L149" i="18"/>
  <c r="K149" i="18"/>
  <c r="J149" i="18"/>
  <c r="I149" i="18"/>
  <c r="H149" i="18"/>
  <c r="G149" i="18"/>
  <c r="F149" i="18"/>
  <c r="E149" i="18"/>
  <c r="D149" i="18"/>
  <c r="R146" i="18"/>
  <c r="Q146" i="18"/>
  <c r="P146" i="18"/>
  <c r="R142" i="18"/>
  <c r="Q142" i="18"/>
  <c r="P142" i="18"/>
  <c r="O141" i="18"/>
  <c r="N141" i="18"/>
  <c r="M141" i="18"/>
  <c r="L141" i="18"/>
  <c r="K141" i="18"/>
  <c r="J141" i="18"/>
  <c r="I141" i="18"/>
  <c r="H141" i="18"/>
  <c r="G141" i="18"/>
  <c r="F141" i="18"/>
  <c r="E141" i="18"/>
  <c r="D141" i="18"/>
  <c r="O140" i="18"/>
  <c r="N140" i="18"/>
  <c r="M140" i="18"/>
  <c r="L140" i="18"/>
  <c r="K140" i="18"/>
  <c r="J140" i="18"/>
  <c r="I140" i="18"/>
  <c r="H140" i="18"/>
  <c r="G140" i="18"/>
  <c r="F140" i="18"/>
  <c r="E140" i="18"/>
  <c r="D140" i="18"/>
  <c r="O139" i="18"/>
  <c r="N139" i="18"/>
  <c r="M139" i="18"/>
  <c r="L139" i="18"/>
  <c r="K139" i="18"/>
  <c r="J139" i="18"/>
  <c r="I139" i="18"/>
  <c r="H139" i="18"/>
  <c r="G139" i="18"/>
  <c r="F139" i="18"/>
  <c r="E139" i="18"/>
  <c r="D139" i="18"/>
  <c r="O138" i="18"/>
  <c r="N138" i="18"/>
  <c r="M138" i="18"/>
  <c r="L138" i="18"/>
  <c r="K138" i="18"/>
  <c r="J138" i="18"/>
  <c r="I138" i="18"/>
  <c r="H138" i="18"/>
  <c r="G138" i="18"/>
  <c r="F138" i="18"/>
  <c r="E138" i="18"/>
  <c r="D138" i="18"/>
  <c r="O137" i="18"/>
  <c r="N137" i="18"/>
  <c r="M137" i="18"/>
  <c r="L137" i="18"/>
  <c r="K137" i="18"/>
  <c r="J137" i="18"/>
  <c r="I137" i="18"/>
  <c r="H137" i="18"/>
  <c r="G137" i="18"/>
  <c r="F137" i="18"/>
  <c r="E137" i="18"/>
  <c r="D137" i="18"/>
  <c r="O136" i="18"/>
  <c r="N136" i="18"/>
  <c r="M136" i="18"/>
  <c r="L136" i="18"/>
  <c r="K136" i="18"/>
  <c r="J136" i="18"/>
  <c r="I136" i="18"/>
  <c r="H136" i="18"/>
  <c r="G136" i="18"/>
  <c r="F136" i="18"/>
  <c r="E136" i="18"/>
  <c r="D136" i="18"/>
  <c r="O135" i="18"/>
  <c r="N135" i="18"/>
  <c r="M135" i="18"/>
  <c r="L135" i="18"/>
  <c r="K135" i="18"/>
  <c r="J135" i="18"/>
  <c r="I135" i="18"/>
  <c r="H135" i="18"/>
  <c r="G135" i="18"/>
  <c r="F135" i="18"/>
  <c r="E135" i="18"/>
  <c r="D135" i="18"/>
  <c r="O134" i="18"/>
  <c r="N134" i="18"/>
  <c r="M134" i="18"/>
  <c r="L134" i="18"/>
  <c r="K134" i="18"/>
  <c r="J134" i="18"/>
  <c r="I134" i="18"/>
  <c r="H134" i="18"/>
  <c r="G134" i="18"/>
  <c r="F134" i="18"/>
  <c r="E134" i="18"/>
  <c r="D134" i="18"/>
  <c r="C134" i="18"/>
  <c r="B134" i="18"/>
  <c r="O133" i="18"/>
  <c r="N133" i="18"/>
  <c r="M133" i="18"/>
  <c r="L133" i="18"/>
  <c r="K133" i="18"/>
  <c r="J133" i="18"/>
  <c r="I133" i="18"/>
  <c r="H133" i="18"/>
  <c r="G133" i="18"/>
  <c r="F133" i="18"/>
  <c r="E133" i="18"/>
  <c r="D133" i="18"/>
  <c r="O132" i="18"/>
  <c r="N132" i="18"/>
  <c r="M132" i="18"/>
  <c r="L132" i="18"/>
  <c r="K132" i="18"/>
  <c r="J132" i="18"/>
  <c r="I132" i="18"/>
  <c r="H132" i="18"/>
  <c r="G132" i="18"/>
  <c r="F132" i="18"/>
  <c r="E132" i="18"/>
  <c r="D132" i="18"/>
  <c r="C132" i="18"/>
  <c r="B132" i="18"/>
  <c r="O131" i="18"/>
  <c r="N131" i="18"/>
  <c r="M131" i="18"/>
  <c r="L131" i="18"/>
  <c r="K131" i="18"/>
  <c r="J131" i="18"/>
  <c r="I131" i="18"/>
  <c r="H131" i="18"/>
  <c r="G131" i="18"/>
  <c r="F131" i="18"/>
  <c r="E131" i="18"/>
  <c r="D131" i="18"/>
  <c r="O130" i="18"/>
  <c r="N130" i="18"/>
  <c r="M130" i="18"/>
  <c r="L130" i="18"/>
  <c r="K130" i="18"/>
  <c r="J130" i="18"/>
  <c r="I130" i="18"/>
  <c r="H130" i="18"/>
  <c r="G130" i="18"/>
  <c r="F130" i="18"/>
  <c r="E130" i="18"/>
  <c r="D130" i="18"/>
  <c r="C130" i="18"/>
  <c r="B130" i="18"/>
  <c r="O129" i="18"/>
  <c r="N129" i="18"/>
  <c r="M129" i="18"/>
  <c r="L129" i="18"/>
  <c r="K129" i="18"/>
  <c r="J129" i="18"/>
  <c r="I129" i="18"/>
  <c r="H129" i="18"/>
  <c r="G129" i="18"/>
  <c r="F129" i="18"/>
  <c r="E129" i="18"/>
  <c r="D129" i="18"/>
  <c r="C129" i="18"/>
  <c r="B129" i="18"/>
  <c r="O128" i="18"/>
  <c r="N128" i="18"/>
  <c r="M128" i="18"/>
  <c r="L128" i="18"/>
  <c r="K128" i="18"/>
  <c r="J128" i="18"/>
  <c r="I128" i="18"/>
  <c r="H128" i="18"/>
  <c r="G128" i="18"/>
  <c r="F128" i="18"/>
  <c r="E128" i="18"/>
  <c r="D128" i="18"/>
  <c r="O127" i="18"/>
  <c r="N127" i="18"/>
  <c r="M127" i="18"/>
  <c r="L127" i="18"/>
  <c r="K127" i="18"/>
  <c r="J127" i="18"/>
  <c r="I127" i="18"/>
  <c r="H127" i="18"/>
  <c r="G127" i="18"/>
  <c r="F127" i="18"/>
  <c r="E127" i="18"/>
  <c r="D127" i="18"/>
  <c r="O126" i="18"/>
  <c r="N126" i="18"/>
  <c r="M126" i="18"/>
  <c r="L126" i="18"/>
  <c r="K126" i="18"/>
  <c r="J126" i="18"/>
  <c r="I126" i="18"/>
  <c r="H126" i="18"/>
  <c r="G126" i="18"/>
  <c r="F126" i="18"/>
  <c r="E126" i="18"/>
  <c r="D126" i="18"/>
  <c r="C126" i="18"/>
  <c r="B126" i="18"/>
  <c r="O125" i="18"/>
  <c r="N125" i="18"/>
  <c r="M125" i="18"/>
  <c r="L125" i="18"/>
  <c r="K125" i="18"/>
  <c r="J125" i="18"/>
  <c r="I125" i="18"/>
  <c r="H125" i="18"/>
  <c r="G125" i="18"/>
  <c r="F125" i="18"/>
  <c r="E125" i="18"/>
  <c r="D125" i="18"/>
  <c r="O124" i="18"/>
  <c r="N124" i="18"/>
  <c r="M124" i="18"/>
  <c r="L124" i="18"/>
  <c r="K124" i="18"/>
  <c r="J124" i="18"/>
  <c r="I124" i="18"/>
  <c r="H124" i="18"/>
  <c r="G124" i="18"/>
  <c r="F124" i="18"/>
  <c r="E124" i="18"/>
  <c r="D124" i="18"/>
  <c r="C124" i="18"/>
  <c r="B124" i="18"/>
  <c r="O123" i="18"/>
  <c r="N123" i="18"/>
  <c r="M123" i="18"/>
  <c r="L123" i="18"/>
  <c r="K123" i="18"/>
  <c r="J123" i="18"/>
  <c r="I123" i="18"/>
  <c r="H123" i="18"/>
  <c r="G123" i="18"/>
  <c r="F123" i="18"/>
  <c r="E123" i="18"/>
  <c r="D123" i="18"/>
  <c r="O122" i="18"/>
  <c r="N122" i="18"/>
  <c r="M122" i="18"/>
  <c r="L122" i="18"/>
  <c r="K122" i="18"/>
  <c r="J122" i="18"/>
  <c r="I122" i="18"/>
  <c r="H122" i="18"/>
  <c r="G122" i="18"/>
  <c r="F122" i="18"/>
  <c r="E122" i="18"/>
  <c r="D122" i="18"/>
  <c r="O121" i="18"/>
  <c r="N121" i="18"/>
  <c r="M121" i="18"/>
  <c r="L121" i="18"/>
  <c r="K121" i="18"/>
  <c r="J121" i="18"/>
  <c r="I121" i="18"/>
  <c r="H121" i="18"/>
  <c r="G121" i="18"/>
  <c r="F121" i="18"/>
  <c r="E121" i="18"/>
  <c r="D121" i="18"/>
  <c r="O120" i="18"/>
  <c r="N120" i="18"/>
  <c r="M120" i="18"/>
  <c r="L120" i="18"/>
  <c r="K120" i="18"/>
  <c r="J120" i="18"/>
  <c r="I120" i="18"/>
  <c r="H120" i="18"/>
  <c r="G120" i="18"/>
  <c r="F120" i="18"/>
  <c r="E120" i="18"/>
  <c r="D120" i="18"/>
  <c r="O119" i="18"/>
  <c r="N119" i="18"/>
  <c r="M119" i="18"/>
  <c r="L119" i="18"/>
  <c r="K119" i="18"/>
  <c r="J119" i="18"/>
  <c r="I119" i="18"/>
  <c r="H119" i="18"/>
  <c r="G119" i="18"/>
  <c r="F119" i="18"/>
  <c r="E119" i="18"/>
  <c r="D119" i="18"/>
  <c r="O118" i="18"/>
  <c r="N118" i="18"/>
  <c r="M118" i="18"/>
  <c r="L118" i="18"/>
  <c r="K118" i="18"/>
  <c r="J118" i="18"/>
  <c r="I118" i="18"/>
  <c r="H118" i="18"/>
  <c r="G118" i="18"/>
  <c r="F118" i="18"/>
  <c r="E118" i="18"/>
  <c r="D118" i="18"/>
  <c r="O117" i="18"/>
  <c r="N117" i="18"/>
  <c r="M117" i="18"/>
  <c r="L117" i="18"/>
  <c r="K117" i="18"/>
  <c r="J117" i="18"/>
  <c r="I117" i="18"/>
  <c r="H117" i="18"/>
  <c r="G117" i="18"/>
  <c r="F117" i="18"/>
  <c r="E117" i="18"/>
  <c r="D117" i="18"/>
  <c r="O116" i="18"/>
  <c r="N116" i="18"/>
  <c r="M116" i="18"/>
  <c r="L116" i="18"/>
  <c r="K116" i="18"/>
  <c r="J116" i="18"/>
  <c r="I116" i="18"/>
  <c r="H116" i="18"/>
  <c r="G116" i="18"/>
  <c r="F116" i="18"/>
  <c r="E116" i="18"/>
  <c r="D116" i="18"/>
  <c r="O115" i="18"/>
  <c r="N115" i="18"/>
  <c r="M115" i="18"/>
  <c r="L115" i="18"/>
  <c r="K115" i="18"/>
  <c r="J115" i="18"/>
  <c r="I115" i="18"/>
  <c r="H115" i="18"/>
  <c r="G115" i="18"/>
  <c r="F115" i="18"/>
  <c r="E115" i="18"/>
  <c r="D115" i="18"/>
  <c r="O114" i="18"/>
  <c r="N114" i="18"/>
  <c r="M114" i="18"/>
  <c r="L114" i="18"/>
  <c r="K114" i="18"/>
  <c r="J114" i="18"/>
  <c r="I114" i="18"/>
  <c r="H114" i="18"/>
  <c r="G114" i="18"/>
  <c r="F114" i="18"/>
  <c r="E114" i="18"/>
  <c r="D114" i="18"/>
  <c r="O113" i="18"/>
  <c r="N113" i="18"/>
  <c r="M113" i="18"/>
  <c r="L113" i="18"/>
  <c r="K113" i="18"/>
  <c r="J113" i="18"/>
  <c r="I113" i="18"/>
  <c r="H113" i="18"/>
  <c r="G113" i="18"/>
  <c r="F113" i="18"/>
  <c r="E113" i="18"/>
  <c r="D113" i="18"/>
  <c r="O112" i="18"/>
  <c r="N112" i="18"/>
  <c r="M112" i="18"/>
  <c r="L112" i="18"/>
  <c r="K112" i="18"/>
  <c r="J112" i="18"/>
  <c r="I112" i="18"/>
  <c r="H112" i="18"/>
  <c r="G112" i="18"/>
  <c r="F112" i="18"/>
  <c r="E112" i="18"/>
  <c r="D112" i="18"/>
  <c r="O111" i="18"/>
  <c r="N111" i="18"/>
  <c r="M111" i="18"/>
  <c r="L111" i="18"/>
  <c r="K111" i="18"/>
  <c r="J111" i="18"/>
  <c r="I111" i="18"/>
  <c r="H111" i="18"/>
  <c r="G111" i="18"/>
  <c r="F111" i="18"/>
  <c r="E111" i="18"/>
  <c r="D111" i="18"/>
  <c r="O110" i="18"/>
  <c r="N110" i="18"/>
  <c r="M110" i="18"/>
  <c r="L110" i="18"/>
  <c r="K110" i="18"/>
  <c r="J110" i="18"/>
  <c r="I110" i="18"/>
  <c r="H110" i="18"/>
  <c r="G110" i="18"/>
  <c r="F110" i="18"/>
  <c r="E110" i="18"/>
  <c r="D110" i="18"/>
  <c r="O109" i="18"/>
  <c r="N109" i="18"/>
  <c r="M109" i="18"/>
  <c r="L109" i="18"/>
  <c r="K109" i="18"/>
  <c r="J109" i="18"/>
  <c r="I109" i="18"/>
  <c r="H109" i="18"/>
  <c r="G109" i="18"/>
  <c r="F109" i="18"/>
  <c r="E109" i="18"/>
  <c r="D109" i="18"/>
  <c r="R106" i="18"/>
  <c r="Q106" i="18"/>
  <c r="P106" i="18"/>
  <c r="O105" i="18"/>
  <c r="N105" i="18"/>
  <c r="M105" i="18"/>
  <c r="L105" i="18"/>
  <c r="K105" i="18"/>
  <c r="J105" i="18"/>
  <c r="I105" i="18"/>
  <c r="H105" i="18"/>
  <c r="G105" i="18"/>
  <c r="F105" i="18"/>
  <c r="E105" i="18"/>
  <c r="D105" i="18"/>
  <c r="O104" i="18"/>
  <c r="N104" i="18"/>
  <c r="M104" i="18"/>
  <c r="L104" i="18"/>
  <c r="K104" i="18"/>
  <c r="J104" i="18"/>
  <c r="I104" i="18"/>
  <c r="H104" i="18"/>
  <c r="G104" i="18"/>
  <c r="F104" i="18"/>
  <c r="E104" i="18"/>
  <c r="D104" i="18"/>
  <c r="O103" i="18"/>
  <c r="N103" i="18"/>
  <c r="M103" i="18"/>
  <c r="L103" i="18"/>
  <c r="K103" i="18"/>
  <c r="J103" i="18"/>
  <c r="I103" i="18"/>
  <c r="H103" i="18"/>
  <c r="G103" i="18"/>
  <c r="F103" i="18"/>
  <c r="E103" i="18"/>
  <c r="D103" i="18"/>
  <c r="O102" i="18"/>
  <c r="N102" i="18"/>
  <c r="M102" i="18"/>
  <c r="L102" i="18"/>
  <c r="K102" i="18"/>
  <c r="J102" i="18"/>
  <c r="I102" i="18"/>
  <c r="H102" i="18"/>
  <c r="G102" i="18"/>
  <c r="F102" i="18"/>
  <c r="E102" i="18"/>
  <c r="D102" i="18"/>
  <c r="O101" i="18"/>
  <c r="N101" i="18"/>
  <c r="M101" i="18"/>
  <c r="L101" i="18"/>
  <c r="K101" i="18"/>
  <c r="J101" i="18"/>
  <c r="I101" i="18"/>
  <c r="H101" i="18"/>
  <c r="G101" i="18"/>
  <c r="F101" i="18"/>
  <c r="E101" i="18"/>
  <c r="D101" i="18"/>
  <c r="O100" i="18"/>
  <c r="N100" i="18"/>
  <c r="M100" i="18"/>
  <c r="L100" i="18"/>
  <c r="K100" i="18"/>
  <c r="J100" i="18"/>
  <c r="I100" i="18"/>
  <c r="H100" i="18"/>
  <c r="G100" i="18"/>
  <c r="F100" i="18"/>
  <c r="E100" i="18"/>
  <c r="D100" i="18"/>
  <c r="O99" i="18"/>
  <c r="N99" i="18"/>
  <c r="M99" i="18"/>
  <c r="L99" i="18"/>
  <c r="K99" i="18"/>
  <c r="J99" i="18"/>
  <c r="I99" i="18"/>
  <c r="H99" i="18"/>
  <c r="G99" i="18"/>
  <c r="F99" i="18"/>
  <c r="E99" i="18"/>
  <c r="D99" i="18"/>
  <c r="O98" i="18"/>
  <c r="N98" i="18"/>
  <c r="M98" i="18"/>
  <c r="L98" i="18"/>
  <c r="K98" i="18"/>
  <c r="J98" i="18"/>
  <c r="I98" i="18"/>
  <c r="H98" i="18"/>
  <c r="G98" i="18"/>
  <c r="F98" i="18"/>
  <c r="E98" i="18"/>
  <c r="D98" i="18"/>
  <c r="O97" i="18"/>
  <c r="N97" i="18"/>
  <c r="M97" i="18"/>
  <c r="L97" i="18"/>
  <c r="K97" i="18"/>
  <c r="J97" i="18"/>
  <c r="I97" i="18"/>
  <c r="H97" i="18"/>
  <c r="G97" i="18"/>
  <c r="F97" i="18"/>
  <c r="E97" i="18"/>
  <c r="D97" i="18"/>
  <c r="O96" i="18"/>
  <c r="N96" i="18"/>
  <c r="M96" i="18"/>
  <c r="L96" i="18"/>
  <c r="K96" i="18"/>
  <c r="J96" i="18"/>
  <c r="I96" i="18"/>
  <c r="H96" i="18"/>
  <c r="G96" i="18"/>
  <c r="F96" i="18"/>
  <c r="E96" i="18"/>
  <c r="D96" i="18"/>
  <c r="O95" i="18"/>
  <c r="N95" i="18"/>
  <c r="M95" i="18"/>
  <c r="L95" i="18"/>
  <c r="K95" i="18"/>
  <c r="J95" i="18"/>
  <c r="I95" i="18"/>
  <c r="H95" i="18"/>
  <c r="G95" i="18"/>
  <c r="F95" i="18"/>
  <c r="E95" i="18"/>
  <c r="D95" i="18"/>
  <c r="O94" i="18"/>
  <c r="N94" i="18"/>
  <c r="M94" i="18"/>
  <c r="L94" i="18"/>
  <c r="K94" i="18"/>
  <c r="J94" i="18"/>
  <c r="I94" i="18"/>
  <c r="H94" i="18"/>
  <c r="G94" i="18"/>
  <c r="F94" i="18"/>
  <c r="E94" i="18"/>
  <c r="D94" i="18"/>
  <c r="O93" i="18"/>
  <c r="N93" i="18"/>
  <c r="M93" i="18"/>
  <c r="L93" i="18"/>
  <c r="K93" i="18"/>
  <c r="J93" i="18"/>
  <c r="I93" i="18"/>
  <c r="H93" i="18"/>
  <c r="G93" i="18"/>
  <c r="F93" i="18"/>
  <c r="E93" i="18"/>
  <c r="D93" i="18"/>
  <c r="C93" i="18"/>
  <c r="B93" i="18"/>
  <c r="O92" i="18"/>
  <c r="N92" i="18"/>
  <c r="M92" i="18"/>
  <c r="L92" i="18"/>
  <c r="K92" i="18"/>
  <c r="J92" i="18"/>
  <c r="I92" i="18"/>
  <c r="H92" i="18"/>
  <c r="G92" i="18"/>
  <c r="F92" i="18"/>
  <c r="E92" i="18"/>
  <c r="D92" i="18"/>
  <c r="O91" i="18"/>
  <c r="N91" i="18"/>
  <c r="M91" i="18"/>
  <c r="L91" i="18"/>
  <c r="K91" i="18"/>
  <c r="J91" i="18"/>
  <c r="I91" i="18"/>
  <c r="H91" i="18"/>
  <c r="G91" i="18"/>
  <c r="F91" i="18"/>
  <c r="E91" i="18"/>
  <c r="D91" i="18"/>
  <c r="O90" i="18"/>
  <c r="N90" i="18"/>
  <c r="M90" i="18"/>
  <c r="L90" i="18"/>
  <c r="K90" i="18"/>
  <c r="J90" i="18"/>
  <c r="I90" i="18"/>
  <c r="H90" i="18"/>
  <c r="G90" i="18"/>
  <c r="F90" i="18"/>
  <c r="E90" i="18"/>
  <c r="D90" i="18"/>
  <c r="O89" i="18"/>
  <c r="N89" i="18"/>
  <c r="M89" i="18"/>
  <c r="L89" i="18"/>
  <c r="K89" i="18"/>
  <c r="J89" i="18"/>
  <c r="I89" i="18"/>
  <c r="H89" i="18"/>
  <c r="G89" i="18"/>
  <c r="F89" i="18"/>
  <c r="E89" i="18"/>
  <c r="D89" i="18"/>
  <c r="R86" i="18"/>
  <c r="Q86" i="18"/>
  <c r="P86" i="18"/>
  <c r="O85" i="18"/>
  <c r="N85" i="18"/>
  <c r="M85" i="18"/>
  <c r="L85" i="18"/>
  <c r="K85" i="18"/>
  <c r="J85" i="18"/>
  <c r="I85" i="18"/>
  <c r="H85" i="18"/>
  <c r="G85" i="18"/>
  <c r="F85" i="18"/>
  <c r="E85" i="18"/>
  <c r="D85" i="18"/>
  <c r="C85" i="18"/>
  <c r="B85" i="18"/>
  <c r="O84" i="18"/>
  <c r="N84" i="18"/>
  <c r="M84" i="18"/>
  <c r="L84" i="18"/>
  <c r="K84" i="18"/>
  <c r="J84" i="18"/>
  <c r="I84" i="18"/>
  <c r="H84" i="18"/>
  <c r="G84" i="18"/>
  <c r="F84" i="18"/>
  <c r="E84" i="18"/>
  <c r="D84" i="18"/>
  <c r="C84" i="18"/>
  <c r="B84" i="18"/>
  <c r="O83" i="18"/>
  <c r="N83" i="18"/>
  <c r="M83" i="18"/>
  <c r="L83" i="18"/>
  <c r="K83" i="18"/>
  <c r="J83" i="18"/>
  <c r="I83" i="18"/>
  <c r="H83" i="18"/>
  <c r="G83" i="18"/>
  <c r="F83" i="18"/>
  <c r="E83" i="18"/>
  <c r="D83" i="18"/>
  <c r="C83" i="18"/>
  <c r="B83" i="18"/>
  <c r="O82" i="18"/>
  <c r="N82" i="18"/>
  <c r="M82" i="18"/>
  <c r="L82" i="18"/>
  <c r="K82" i="18"/>
  <c r="J82" i="18"/>
  <c r="I82" i="18"/>
  <c r="H82" i="18"/>
  <c r="G82" i="18"/>
  <c r="F82" i="18"/>
  <c r="E82" i="18"/>
  <c r="D82" i="18"/>
  <c r="C82" i="18"/>
  <c r="B82" i="18"/>
  <c r="O81" i="18"/>
  <c r="N81" i="18"/>
  <c r="M81" i="18"/>
  <c r="L81" i="18"/>
  <c r="K81" i="18"/>
  <c r="J81" i="18"/>
  <c r="I81" i="18"/>
  <c r="H81" i="18"/>
  <c r="G81" i="18"/>
  <c r="F81" i="18"/>
  <c r="E81" i="18"/>
  <c r="D81" i="18"/>
  <c r="C81" i="18"/>
  <c r="B81" i="18"/>
  <c r="O80" i="18"/>
  <c r="N80" i="18"/>
  <c r="M80" i="18"/>
  <c r="L80" i="18"/>
  <c r="K80" i="18"/>
  <c r="J80" i="18"/>
  <c r="I80" i="18"/>
  <c r="H80" i="18"/>
  <c r="G80" i="18"/>
  <c r="F80" i="18"/>
  <c r="E80" i="18"/>
  <c r="D80" i="18"/>
  <c r="C80" i="18"/>
  <c r="B80" i="18"/>
  <c r="O79" i="18"/>
  <c r="N79" i="18"/>
  <c r="M79" i="18"/>
  <c r="L79" i="18"/>
  <c r="K79" i="18"/>
  <c r="J79" i="18"/>
  <c r="I79" i="18"/>
  <c r="H79" i="18"/>
  <c r="G79" i="18"/>
  <c r="F79" i="18"/>
  <c r="E79" i="18"/>
  <c r="D79" i="18"/>
  <c r="C79" i="18"/>
  <c r="B79" i="18"/>
  <c r="O78" i="18"/>
  <c r="N78" i="18"/>
  <c r="M78" i="18"/>
  <c r="L78" i="18"/>
  <c r="K78" i="18"/>
  <c r="J78" i="18"/>
  <c r="I78" i="18"/>
  <c r="H78" i="18"/>
  <c r="G78" i="18"/>
  <c r="F78" i="18"/>
  <c r="E78" i="18"/>
  <c r="D78" i="18"/>
  <c r="C78" i="18"/>
  <c r="B78" i="18"/>
  <c r="O77" i="18"/>
  <c r="N77" i="18"/>
  <c r="M77" i="18"/>
  <c r="L77" i="18"/>
  <c r="K77" i="18"/>
  <c r="J77" i="18"/>
  <c r="I77" i="18"/>
  <c r="H77" i="18"/>
  <c r="G77" i="18"/>
  <c r="F77" i="18"/>
  <c r="E77" i="18"/>
  <c r="D77" i="18"/>
  <c r="C77" i="18"/>
  <c r="B77" i="18"/>
  <c r="R74" i="18"/>
  <c r="Q74" i="18"/>
  <c r="P74" i="18"/>
  <c r="O73" i="18"/>
  <c r="N73" i="18"/>
  <c r="M73" i="18"/>
  <c r="L73" i="18"/>
  <c r="K73" i="18"/>
  <c r="J73" i="18"/>
  <c r="I73" i="18"/>
  <c r="H73" i="18"/>
  <c r="G73" i="18"/>
  <c r="F73" i="18"/>
  <c r="E73" i="18"/>
  <c r="D73" i="18"/>
  <c r="C73" i="18"/>
  <c r="B73" i="18"/>
  <c r="O72" i="18"/>
  <c r="N72" i="18"/>
  <c r="M72" i="18"/>
  <c r="L72" i="18"/>
  <c r="K72" i="18"/>
  <c r="J72" i="18"/>
  <c r="I72" i="18"/>
  <c r="H72" i="18"/>
  <c r="G72" i="18"/>
  <c r="F72" i="18"/>
  <c r="E72" i="18"/>
  <c r="D72" i="18"/>
  <c r="C72" i="18"/>
  <c r="B72" i="18"/>
  <c r="O71" i="18"/>
  <c r="N71" i="18"/>
  <c r="M71" i="18"/>
  <c r="L71" i="18"/>
  <c r="K71" i="18"/>
  <c r="J71" i="18"/>
  <c r="I71" i="18"/>
  <c r="H71" i="18"/>
  <c r="G71" i="18"/>
  <c r="F71" i="18"/>
  <c r="E71" i="18"/>
  <c r="D71" i="18"/>
  <c r="C71" i="18"/>
  <c r="B71" i="18"/>
  <c r="O70" i="18"/>
  <c r="N70" i="18"/>
  <c r="M70" i="18"/>
  <c r="L70" i="18"/>
  <c r="K70" i="18"/>
  <c r="J70" i="18"/>
  <c r="I70" i="18"/>
  <c r="H70" i="18"/>
  <c r="G70" i="18"/>
  <c r="F70" i="18"/>
  <c r="E70" i="18"/>
  <c r="D70" i="18"/>
  <c r="C70" i="18"/>
  <c r="B70" i="18"/>
  <c r="O69" i="18"/>
  <c r="N69" i="18"/>
  <c r="M69" i="18"/>
  <c r="L69" i="18"/>
  <c r="K69" i="18"/>
  <c r="J69" i="18"/>
  <c r="I69" i="18"/>
  <c r="H69" i="18"/>
  <c r="G69" i="18"/>
  <c r="F69" i="18"/>
  <c r="E69" i="18"/>
  <c r="D69" i="18"/>
  <c r="C69" i="18"/>
  <c r="B69" i="18"/>
  <c r="O68" i="18"/>
  <c r="N68" i="18"/>
  <c r="M68" i="18"/>
  <c r="L68" i="18"/>
  <c r="K68" i="18"/>
  <c r="J68" i="18"/>
  <c r="I68" i="18"/>
  <c r="H68" i="18"/>
  <c r="G68" i="18"/>
  <c r="F68" i="18"/>
  <c r="E68" i="18"/>
  <c r="D68" i="18"/>
  <c r="C68" i="18"/>
  <c r="B68" i="18"/>
  <c r="O67" i="18"/>
  <c r="N67" i="18"/>
  <c r="M67" i="18"/>
  <c r="L67" i="18"/>
  <c r="K67" i="18"/>
  <c r="J67" i="18"/>
  <c r="I67" i="18"/>
  <c r="H67" i="18"/>
  <c r="G67" i="18"/>
  <c r="F67" i="18"/>
  <c r="E67" i="18"/>
  <c r="D67" i="18"/>
  <c r="C67" i="18"/>
  <c r="B67" i="18"/>
  <c r="O66" i="18"/>
  <c r="N66" i="18"/>
  <c r="M66" i="18"/>
  <c r="L66" i="18"/>
  <c r="K66" i="18"/>
  <c r="J66" i="18"/>
  <c r="I66" i="18"/>
  <c r="H66" i="18"/>
  <c r="G66" i="18"/>
  <c r="F66" i="18"/>
  <c r="E66" i="18"/>
  <c r="D66" i="18"/>
  <c r="C66" i="18"/>
  <c r="B66" i="18"/>
  <c r="O65" i="18"/>
  <c r="N65" i="18"/>
  <c r="M65" i="18"/>
  <c r="L65" i="18"/>
  <c r="K65" i="18"/>
  <c r="J65" i="18"/>
  <c r="I65" i="18"/>
  <c r="H65" i="18"/>
  <c r="G65" i="18"/>
  <c r="F65" i="18"/>
  <c r="E65" i="18"/>
  <c r="D65" i="18"/>
  <c r="C65" i="18"/>
  <c r="B65" i="18"/>
  <c r="O64" i="18"/>
  <c r="N64" i="18"/>
  <c r="M64" i="18"/>
  <c r="L64" i="18"/>
  <c r="K64" i="18"/>
  <c r="J64" i="18"/>
  <c r="I64" i="18"/>
  <c r="H64" i="18"/>
  <c r="G64" i="18"/>
  <c r="F64" i="18"/>
  <c r="E64" i="18"/>
  <c r="D64" i="18"/>
  <c r="C64" i="18"/>
  <c r="B64" i="18"/>
  <c r="R61" i="18"/>
  <c r="Q61" i="18"/>
  <c r="P61" i="18"/>
  <c r="O60" i="18"/>
  <c r="N60" i="18"/>
  <c r="M60" i="18"/>
  <c r="L60" i="18"/>
  <c r="K60" i="18"/>
  <c r="J60" i="18"/>
  <c r="I60" i="18"/>
  <c r="H60" i="18"/>
  <c r="G60" i="18"/>
  <c r="F60" i="18"/>
  <c r="E60" i="18"/>
  <c r="D60" i="18"/>
  <c r="C60" i="18"/>
  <c r="B60" i="18"/>
  <c r="O59" i="18"/>
  <c r="N59" i="18"/>
  <c r="M59" i="18"/>
  <c r="L59" i="18"/>
  <c r="K59" i="18"/>
  <c r="J59" i="18"/>
  <c r="I59" i="18"/>
  <c r="H59" i="18"/>
  <c r="G59" i="18"/>
  <c r="F59" i="18"/>
  <c r="E59" i="18"/>
  <c r="D59" i="18"/>
  <c r="C59" i="18"/>
  <c r="B59" i="18"/>
  <c r="O58" i="18"/>
  <c r="N58" i="18"/>
  <c r="M58" i="18"/>
  <c r="L58" i="18"/>
  <c r="K58" i="18"/>
  <c r="J58" i="18"/>
  <c r="I58" i="18"/>
  <c r="H58" i="18"/>
  <c r="G58" i="18"/>
  <c r="F58" i="18"/>
  <c r="E58" i="18"/>
  <c r="D58" i="18"/>
  <c r="C58" i="18"/>
  <c r="B58" i="18"/>
  <c r="O57" i="18"/>
  <c r="N57" i="18"/>
  <c r="M57" i="18"/>
  <c r="L57" i="18"/>
  <c r="K57" i="18"/>
  <c r="J57" i="18"/>
  <c r="I57" i="18"/>
  <c r="H57" i="18"/>
  <c r="G57" i="18"/>
  <c r="F57" i="18"/>
  <c r="E57" i="18"/>
  <c r="D57" i="18"/>
  <c r="C57" i="18"/>
  <c r="B57" i="18"/>
  <c r="O56" i="18"/>
  <c r="N56" i="18"/>
  <c r="M56" i="18"/>
  <c r="L56" i="18"/>
  <c r="K56" i="18"/>
  <c r="J56" i="18"/>
  <c r="I56" i="18"/>
  <c r="H56" i="18"/>
  <c r="G56" i="18"/>
  <c r="F56" i="18"/>
  <c r="E56" i="18"/>
  <c r="D56" i="18"/>
  <c r="C56" i="18"/>
  <c r="B56" i="18"/>
  <c r="O55" i="18"/>
  <c r="N55" i="18"/>
  <c r="M55" i="18"/>
  <c r="L55" i="18"/>
  <c r="K55" i="18"/>
  <c r="J55" i="18"/>
  <c r="I55" i="18"/>
  <c r="H55" i="18"/>
  <c r="G55" i="18"/>
  <c r="F55" i="18"/>
  <c r="E55" i="18"/>
  <c r="D55" i="18"/>
  <c r="C55" i="18"/>
  <c r="B55" i="18"/>
  <c r="O54" i="18"/>
  <c r="N54" i="18"/>
  <c r="M54" i="18"/>
  <c r="L54" i="18"/>
  <c r="K54" i="18"/>
  <c r="J54" i="18"/>
  <c r="I54" i="18"/>
  <c r="H54" i="18"/>
  <c r="G54" i="18"/>
  <c r="F54" i="18"/>
  <c r="E54" i="18"/>
  <c r="D54" i="18"/>
  <c r="C54" i="18"/>
  <c r="B54" i="18"/>
  <c r="O53" i="18"/>
  <c r="N53" i="18"/>
  <c r="M53" i="18"/>
  <c r="L53" i="18"/>
  <c r="K53" i="18"/>
  <c r="J53" i="18"/>
  <c r="I53" i="18"/>
  <c r="H53" i="18"/>
  <c r="G53" i="18"/>
  <c r="F53" i="18"/>
  <c r="E53" i="18"/>
  <c r="D53" i="18"/>
  <c r="C53" i="18"/>
  <c r="B53" i="18"/>
  <c r="R47" i="18"/>
  <c r="Q47" i="18"/>
  <c r="P47" i="18"/>
  <c r="O47" i="18"/>
  <c r="N47" i="18"/>
  <c r="M47" i="18"/>
  <c r="L47" i="18"/>
  <c r="K47" i="18"/>
  <c r="J47" i="18"/>
  <c r="I47" i="18"/>
  <c r="H47" i="18"/>
  <c r="G47" i="18"/>
  <c r="F47" i="18"/>
  <c r="E47" i="18"/>
  <c r="D47" i="18"/>
  <c r="C47" i="18"/>
  <c r="B47" i="18"/>
  <c r="R46" i="18"/>
  <c r="Q46" i="18"/>
  <c r="P46" i="18"/>
  <c r="O46" i="18"/>
  <c r="N46" i="18"/>
  <c r="M46" i="18"/>
  <c r="L46" i="18"/>
  <c r="K46" i="18"/>
  <c r="J46" i="18"/>
  <c r="I46" i="18"/>
  <c r="H46" i="18"/>
  <c r="G46" i="18"/>
  <c r="F46" i="18"/>
  <c r="E46" i="18"/>
  <c r="D46" i="18"/>
  <c r="C46" i="18"/>
  <c r="B46" i="18"/>
  <c r="R45" i="18"/>
  <c r="Q45" i="18"/>
  <c r="P45" i="18"/>
  <c r="O45" i="18"/>
  <c r="N45" i="18"/>
  <c r="M45" i="18"/>
  <c r="L45" i="18"/>
  <c r="K45" i="18"/>
  <c r="J45" i="18"/>
  <c r="I45" i="18"/>
  <c r="H45" i="18"/>
  <c r="G45" i="18"/>
  <c r="F45" i="18"/>
  <c r="E45" i="18"/>
  <c r="D45" i="18"/>
  <c r="C45" i="18"/>
  <c r="B45" i="18"/>
  <c r="R44" i="18"/>
  <c r="Q44" i="18"/>
  <c r="P44" i="18"/>
  <c r="O44" i="18"/>
  <c r="N44" i="18"/>
  <c r="M44" i="18"/>
  <c r="L44" i="18"/>
  <c r="K44" i="18"/>
  <c r="J44" i="18"/>
  <c r="I44" i="18"/>
  <c r="H44" i="18"/>
  <c r="G44" i="18"/>
  <c r="F44" i="18"/>
  <c r="E44" i="18"/>
  <c r="D44" i="18"/>
  <c r="C44" i="18"/>
  <c r="B44" i="18"/>
  <c r="R43" i="18"/>
  <c r="Q43" i="18"/>
  <c r="P43" i="18"/>
  <c r="O43" i="18"/>
  <c r="N43" i="18"/>
  <c r="M43" i="18"/>
  <c r="L43" i="18"/>
  <c r="K43" i="18"/>
  <c r="J43" i="18"/>
  <c r="I43" i="18"/>
  <c r="H43" i="18"/>
  <c r="G43" i="18"/>
  <c r="F43" i="18"/>
  <c r="E43" i="18"/>
  <c r="D43" i="18"/>
  <c r="C43" i="18"/>
  <c r="B43" i="18"/>
  <c r="R42" i="18"/>
  <c r="Q42" i="18"/>
  <c r="P42" i="18"/>
  <c r="O42" i="18"/>
  <c r="N42" i="18"/>
  <c r="M42" i="18"/>
  <c r="L42" i="18"/>
  <c r="K42" i="18"/>
  <c r="J42" i="18"/>
  <c r="I42" i="18"/>
  <c r="H42" i="18"/>
  <c r="G42" i="18"/>
  <c r="F42" i="18"/>
  <c r="E42" i="18"/>
  <c r="D42" i="18"/>
  <c r="C42" i="18"/>
  <c r="B42" i="18"/>
  <c r="R41" i="18"/>
  <c r="Q41" i="18"/>
  <c r="P41" i="18"/>
  <c r="O41" i="18"/>
  <c r="N41" i="18"/>
  <c r="M41" i="18"/>
  <c r="L41" i="18"/>
  <c r="K41" i="18"/>
  <c r="J41" i="18"/>
  <c r="I41" i="18"/>
  <c r="H41" i="18"/>
  <c r="G41" i="18"/>
  <c r="F41" i="18"/>
  <c r="E41" i="18"/>
  <c r="D41" i="18"/>
  <c r="C41" i="18"/>
  <c r="B41" i="18"/>
  <c r="R40" i="18"/>
  <c r="Q40" i="18"/>
  <c r="P40" i="18"/>
  <c r="O40" i="18"/>
  <c r="N40" i="18"/>
  <c r="M40" i="18"/>
  <c r="L40" i="18"/>
  <c r="K40" i="18"/>
  <c r="J40" i="18"/>
  <c r="I40" i="18"/>
  <c r="H40" i="18"/>
  <c r="G40" i="18"/>
  <c r="F40" i="18"/>
  <c r="E40" i="18"/>
  <c r="D40" i="18"/>
  <c r="C40" i="18"/>
  <c r="B40" i="18"/>
  <c r="R39" i="18"/>
  <c r="Q39" i="18"/>
  <c r="P39" i="18"/>
  <c r="O39" i="18"/>
  <c r="N39" i="18"/>
  <c r="M39" i="18"/>
  <c r="L39" i="18"/>
  <c r="K39" i="18"/>
  <c r="J39" i="18"/>
  <c r="I39" i="18"/>
  <c r="H39" i="18"/>
  <c r="G39" i="18"/>
  <c r="F39" i="18"/>
  <c r="E39" i="18"/>
  <c r="D39" i="18"/>
  <c r="C39" i="18"/>
  <c r="B39" i="18"/>
  <c r="R38" i="18"/>
  <c r="Q38" i="18"/>
  <c r="P38" i="18"/>
  <c r="O38" i="18"/>
  <c r="N38" i="18"/>
  <c r="M38" i="18"/>
  <c r="L38" i="18"/>
  <c r="K38" i="18"/>
  <c r="J38" i="18"/>
  <c r="I38" i="18"/>
  <c r="H38" i="18"/>
  <c r="G38" i="18"/>
  <c r="F38" i="18"/>
  <c r="E38" i="18"/>
  <c r="D38" i="18"/>
  <c r="C38" i="18"/>
  <c r="B38" i="18"/>
  <c r="R37" i="18"/>
  <c r="Q37" i="18"/>
  <c r="P37" i="18"/>
  <c r="O37" i="18"/>
  <c r="N37" i="18"/>
  <c r="M37" i="18"/>
  <c r="L37" i="18"/>
  <c r="K37" i="18"/>
  <c r="J37" i="18"/>
  <c r="I37" i="18"/>
  <c r="H37" i="18"/>
  <c r="G37" i="18"/>
  <c r="F37" i="18"/>
  <c r="E37" i="18"/>
  <c r="D37" i="18"/>
  <c r="C37" i="18"/>
  <c r="B37" i="18"/>
  <c r="R36" i="18"/>
  <c r="Q36" i="18"/>
  <c r="P36" i="18"/>
  <c r="O36" i="18"/>
  <c r="N36" i="18"/>
  <c r="M36" i="18"/>
  <c r="L36" i="18"/>
  <c r="K36" i="18"/>
  <c r="J36" i="18"/>
  <c r="I36" i="18"/>
  <c r="H36" i="18"/>
  <c r="G36" i="18"/>
  <c r="F36" i="18"/>
  <c r="E36" i="18"/>
  <c r="D36" i="18"/>
  <c r="C36" i="18"/>
  <c r="B36" i="18"/>
  <c r="R32" i="18"/>
  <c r="Q32" i="18"/>
  <c r="P32" i="18"/>
  <c r="O32" i="18"/>
  <c r="N32" i="18"/>
  <c r="M32" i="18"/>
  <c r="L32" i="18"/>
  <c r="K32" i="18"/>
  <c r="J32" i="18"/>
  <c r="I32" i="18"/>
  <c r="H32" i="18"/>
  <c r="G32" i="18"/>
  <c r="F32" i="18"/>
  <c r="E32" i="18"/>
  <c r="D32" i="18"/>
  <c r="C32" i="18"/>
  <c r="B32" i="18"/>
  <c r="R31" i="18"/>
  <c r="Q31" i="18"/>
  <c r="P31" i="18"/>
  <c r="O31" i="18"/>
  <c r="N31" i="18"/>
  <c r="M31" i="18"/>
  <c r="L31" i="18"/>
  <c r="K31" i="18"/>
  <c r="J31" i="18"/>
  <c r="I31" i="18"/>
  <c r="H31" i="18"/>
  <c r="G31" i="18"/>
  <c r="F31" i="18"/>
  <c r="E31" i="18"/>
  <c r="D31" i="18"/>
  <c r="C31" i="18"/>
  <c r="B31" i="18"/>
  <c r="R30" i="18"/>
  <c r="Q30" i="18"/>
  <c r="P30" i="18"/>
  <c r="O30" i="18"/>
  <c r="N30" i="18"/>
  <c r="M30" i="18"/>
  <c r="L30" i="18"/>
  <c r="K30" i="18"/>
  <c r="J30" i="18"/>
  <c r="I30" i="18"/>
  <c r="H30" i="18"/>
  <c r="G30" i="18"/>
  <c r="F30" i="18"/>
  <c r="E30" i="18"/>
  <c r="D30" i="18"/>
  <c r="C30" i="18"/>
  <c r="B30" i="18"/>
  <c r="R29" i="18"/>
  <c r="Q29" i="18"/>
  <c r="P29" i="18"/>
  <c r="O29" i="18"/>
  <c r="N29" i="18"/>
  <c r="M29" i="18"/>
  <c r="L29" i="18"/>
  <c r="K29" i="18"/>
  <c r="J29" i="18"/>
  <c r="I29" i="18"/>
  <c r="H29" i="18"/>
  <c r="G29" i="18"/>
  <c r="F29" i="18"/>
  <c r="E29" i="18"/>
  <c r="D29" i="18"/>
  <c r="C29" i="18"/>
  <c r="B29" i="18"/>
  <c r="R28" i="18"/>
  <c r="Q28" i="18"/>
  <c r="P28" i="18"/>
  <c r="O28" i="18"/>
  <c r="N28" i="18"/>
  <c r="M28" i="18"/>
  <c r="L28" i="18"/>
  <c r="K28" i="18"/>
  <c r="J28" i="18"/>
  <c r="I28" i="18"/>
  <c r="H28" i="18"/>
  <c r="G28" i="18"/>
  <c r="F28" i="18"/>
  <c r="E28" i="18"/>
  <c r="D28" i="18"/>
  <c r="C28" i="18"/>
  <c r="B28" i="18"/>
  <c r="R27" i="18"/>
  <c r="Q27" i="18"/>
  <c r="P27" i="18"/>
  <c r="O27" i="18"/>
  <c r="N27" i="18"/>
  <c r="M27" i="18"/>
  <c r="L27" i="18"/>
  <c r="K27" i="18"/>
  <c r="J27" i="18"/>
  <c r="I27" i="18"/>
  <c r="H27" i="18"/>
  <c r="G27" i="18"/>
  <c r="F27" i="18"/>
  <c r="E27" i="18"/>
  <c r="D27" i="18"/>
  <c r="C27" i="18"/>
  <c r="B27" i="18"/>
  <c r="R26" i="18"/>
  <c r="Q26" i="18"/>
  <c r="P26" i="18"/>
  <c r="O26" i="18"/>
  <c r="N26" i="18"/>
  <c r="M26" i="18"/>
  <c r="L26" i="18"/>
  <c r="K26" i="18"/>
  <c r="J26" i="18"/>
  <c r="I26" i="18"/>
  <c r="H26" i="18"/>
  <c r="G26" i="18"/>
  <c r="F26" i="18"/>
  <c r="E26" i="18"/>
  <c r="D26" i="18"/>
  <c r="C26" i="18"/>
  <c r="B26" i="18"/>
  <c r="R25" i="18"/>
  <c r="Q25" i="18"/>
  <c r="P25" i="18"/>
  <c r="O25" i="18"/>
  <c r="N25" i="18"/>
  <c r="M25" i="18"/>
  <c r="L25" i="18"/>
  <c r="K25" i="18"/>
  <c r="J25" i="18"/>
  <c r="I25" i="18"/>
  <c r="H25" i="18"/>
  <c r="G25" i="18"/>
  <c r="F25" i="18"/>
  <c r="E25" i="18"/>
  <c r="D25" i="18"/>
  <c r="C25" i="18"/>
  <c r="B25" i="18"/>
  <c r="R21" i="18"/>
  <c r="Q21" i="18"/>
  <c r="P21" i="18"/>
  <c r="O21" i="18"/>
  <c r="N21" i="18"/>
  <c r="M21" i="18"/>
  <c r="L21" i="18"/>
  <c r="K21" i="18"/>
  <c r="J21" i="18"/>
  <c r="I21" i="18"/>
  <c r="H21" i="18"/>
  <c r="G21" i="18"/>
  <c r="F21" i="18"/>
  <c r="E21" i="18"/>
  <c r="D21" i="18"/>
  <c r="C21" i="18"/>
  <c r="B21" i="18"/>
  <c r="R20" i="18"/>
  <c r="Q20" i="18"/>
  <c r="P20" i="18"/>
  <c r="O20" i="18"/>
  <c r="N20" i="18"/>
  <c r="M20" i="18"/>
  <c r="L20" i="18"/>
  <c r="K20" i="18"/>
  <c r="J20" i="18"/>
  <c r="I20" i="18"/>
  <c r="H20" i="18"/>
  <c r="G20" i="18"/>
  <c r="F20" i="18"/>
  <c r="E20" i="18"/>
  <c r="D20" i="18"/>
  <c r="C20" i="18"/>
  <c r="B20" i="18"/>
  <c r="R19" i="18"/>
  <c r="Q19" i="18"/>
  <c r="P19" i="18"/>
  <c r="O19" i="18"/>
  <c r="N19" i="18"/>
  <c r="M19" i="18"/>
  <c r="L19" i="18"/>
  <c r="K19" i="18"/>
  <c r="J19" i="18"/>
  <c r="I19" i="18"/>
  <c r="H19" i="18"/>
  <c r="G19" i="18"/>
  <c r="F19" i="18"/>
  <c r="E19" i="18"/>
  <c r="D19" i="18"/>
  <c r="C19" i="18"/>
  <c r="B19" i="18"/>
  <c r="C18" i="18"/>
  <c r="B18" i="18"/>
  <c r="R17" i="18"/>
  <c r="Q17" i="18"/>
  <c r="P17" i="18"/>
  <c r="O17" i="18"/>
  <c r="N17" i="18"/>
  <c r="M17" i="18"/>
  <c r="L17" i="18"/>
  <c r="K17" i="18"/>
  <c r="J17" i="18"/>
  <c r="I17" i="18"/>
  <c r="H17" i="18"/>
  <c r="G17" i="18"/>
  <c r="F17" i="18"/>
  <c r="E17" i="18"/>
  <c r="D17" i="18"/>
  <c r="C17" i="18"/>
  <c r="B17" i="18"/>
  <c r="R16" i="18"/>
  <c r="Q16" i="18"/>
  <c r="P16" i="18"/>
  <c r="O16" i="18"/>
  <c r="N16" i="18"/>
  <c r="M16" i="18"/>
  <c r="L16" i="18"/>
  <c r="K16" i="18"/>
  <c r="J16" i="18"/>
  <c r="I16" i="18"/>
  <c r="H16" i="18"/>
  <c r="G16" i="18"/>
  <c r="F16" i="18"/>
  <c r="E16" i="18"/>
  <c r="D16" i="18"/>
  <c r="C16" i="18"/>
  <c r="B16" i="18"/>
  <c r="R15" i="18"/>
  <c r="Q15" i="18"/>
  <c r="P15" i="18"/>
  <c r="O15" i="18"/>
  <c r="N15" i="18"/>
  <c r="M15" i="18"/>
  <c r="L15" i="18"/>
  <c r="K15" i="18"/>
  <c r="J15" i="18"/>
  <c r="I15" i="18"/>
  <c r="H15" i="18"/>
  <c r="G15" i="18"/>
  <c r="F15" i="18"/>
  <c r="E15" i="18"/>
  <c r="D15" i="18"/>
  <c r="C15" i="18"/>
  <c r="B15" i="18"/>
  <c r="P14" i="18"/>
  <c r="O14" i="18"/>
  <c r="N14" i="18"/>
  <c r="M14" i="18"/>
  <c r="L14" i="18"/>
  <c r="K14" i="18"/>
  <c r="J14" i="18"/>
  <c r="I14" i="18"/>
  <c r="H14" i="18"/>
  <c r="G14" i="18"/>
  <c r="F14" i="18"/>
  <c r="E14" i="18"/>
  <c r="D14" i="18"/>
  <c r="C14" i="18"/>
  <c r="B14" i="18"/>
  <c r="P13" i="18"/>
  <c r="O13" i="18"/>
  <c r="N13" i="18"/>
  <c r="M13" i="18"/>
  <c r="L13" i="18"/>
  <c r="K13" i="18"/>
  <c r="J13" i="18"/>
  <c r="I13" i="18"/>
  <c r="H13" i="18"/>
  <c r="G13" i="18"/>
  <c r="F13" i="18"/>
  <c r="E13" i="18"/>
  <c r="D13" i="18"/>
  <c r="C13" i="18"/>
  <c r="B13" i="18"/>
  <c r="P12" i="18"/>
  <c r="O12" i="18"/>
  <c r="N12" i="18"/>
  <c r="M12" i="18"/>
  <c r="L12" i="18"/>
  <c r="K12" i="18"/>
  <c r="J12" i="18"/>
  <c r="I12" i="18"/>
  <c r="H12" i="18"/>
  <c r="G12" i="18"/>
  <c r="F12" i="18"/>
  <c r="E12" i="18"/>
  <c r="D12" i="18"/>
  <c r="C12" i="18"/>
  <c r="B12" i="18"/>
  <c r="A3" i="18"/>
  <c r="A3" i="17"/>
  <c r="T153" i="17"/>
  <c r="A1" i="18"/>
  <c r="C134" i="29"/>
  <c r="B134" i="29"/>
  <c r="C132" i="29"/>
  <c r="B132" i="29"/>
  <c r="C130" i="29"/>
  <c r="B130" i="29"/>
  <c r="C129" i="29"/>
  <c r="B129" i="29"/>
  <c r="C126" i="29"/>
  <c r="B126" i="29"/>
  <c r="C124" i="29"/>
  <c r="B124" i="29"/>
  <c r="C93" i="29"/>
  <c r="B93" i="29"/>
  <c r="C85" i="29"/>
  <c r="B85" i="29"/>
  <c r="C84" i="29"/>
  <c r="B84" i="29"/>
  <c r="C83" i="29"/>
  <c r="B83" i="29"/>
  <c r="C82" i="29"/>
  <c r="B82" i="29"/>
  <c r="C81" i="29"/>
  <c r="B81" i="29"/>
  <c r="C80" i="29"/>
  <c r="B80" i="29"/>
  <c r="C79" i="29"/>
  <c r="B79" i="29"/>
  <c r="C78" i="29"/>
  <c r="B78" i="29"/>
  <c r="C77" i="29"/>
  <c r="B77" i="29"/>
  <c r="C73" i="29"/>
  <c r="B73" i="29"/>
  <c r="C72" i="29"/>
  <c r="B72" i="29"/>
  <c r="C71" i="29"/>
  <c r="B71" i="29"/>
  <c r="C70" i="29"/>
  <c r="B70" i="29"/>
  <c r="C69" i="29"/>
  <c r="B69" i="29"/>
  <c r="C68" i="29"/>
  <c r="B68" i="29"/>
  <c r="C67" i="29"/>
  <c r="B67" i="29"/>
  <c r="C66" i="29"/>
  <c r="B66" i="29"/>
  <c r="C65" i="29"/>
  <c r="B65" i="29"/>
  <c r="C64" i="29"/>
  <c r="B64" i="29"/>
  <c r="C60" i="29"/>
  <c r="B60" i="29"/>
  <c r="C59" i="29"/>
  <c r="B59" i="29"/>
  <c r="C58" i="29"/>
  <c r="B58" i="29"/>
  <c r="C57" i="29"/>
  <c r="B57" i="29"/>
  <c r="C56" i="29"/>
  <c r="B56" i="29"/>
  <c r="C55" i="29"/>
  <c r="B55" i="29"/>
  <c r="C54" i="29"/>
  <c r="B54" i="29"/>
  <c r="C53" i="29"/>
  <c r="B53" i="29"/>
  <c r="C47" i="29"/>
  <c r="B47" i="29"/>
  <c r="C46" i="29"/>
  <c r="B46" i="29"/>
  <c r="C45" i="29"/>
  <c r="B45" i="29"/>
  <c r="C44" i="29"/>
  <c r="B44" i="29"/>
  <c r="C43" i="29"/>
  <c r="B43" i="29"/>
  <c r="C42" i="29"/>
  <c r="B42" i="29"/>
  <c r="C41" i="29"/>
  <c r="B41" i="29"/>
  <c r="C40" i="29"/>
  <c r="B40" i="29"/>
  <c r="C39" i="29"/>
  <c r="B39" i="29"/>
  <c r="C38" i="29"/>
  <c r="B38" i="29"/>
  <c r="C37" i="29"/>
  <c r="B37" i="29"/>
  <c r="C36" i="29"/>
  <c r="B36" i="29"/>
  <c r="C32" i="29"/>
  <c r="B32" i="29"/>
  <c r="C31" i="29"/>
  <c r="B31" i="29"/>
  <c r="C30" i="29"/>
  <c r="B30" i="29"/>
  <c r="C29" i="29"/>
  <c r="B29" i="29"/>
  <c r="C28" i="29"/>
  <c r="B28" i="29"/>
  <c r="C27" i="29"/>
  <c r="B27" i="29"/>
  <c r="C26" i="29"/>
  <c r="B26" i="29"/>
  <c r="C25" i="29"/>
  <c r="B25" i="29"/>
  <c r="C21" i="29"/>
  <c r="B21" i="29"/>
  <c r="C20" i="29"/>
  <c r="B20" i="29"/>
  <c r="C19" i="29"/>
  <c r="B19" i="29"/>
  <c r="C18" i="29"/>
  <c r="B18" i="29"/>
  <c r="C17" i="29"/>
  <c r="B17" i="29"/>
  <c r="C16" i="29"/>
  <c r="B16" i="29"/>
  <c r="C15" i="29"/>
  <c r="B15" i="29"/>
  <c r="C14" i="29"/>
  <c r="B14" i="29"/>
  <c r="S13" i="29"/>
  <c r="C13" i="29"/>
  <c r="B13" i="29"/>
  <c r="C12" i="29"/>
  <c r="B12" i="29"/>
  <c r="A1" i="29"/>
  <c r="C134" i="28"/>
  <c r="B134" i="28"/>
  <c r="C132" i="28"/>
  <c r="B132" i="28"/>
  <c r="C130" i="28"/>
  <c r="B130" i="28"/>
  <c r="C129" i="28"/>
  <c r="B129" i="28"/>
  <c r="C126" i="28"/>
  <c r="B126" i="28"/>
  <c r="C124" i="28"/>
  <c r="B124" i="28"/>
  <c r="C93" i="28"/>
  <c r="B93" i="28"/>
  <c r="C85" i="28"/>
  <c r="B85" i="28"/>
  <c r="C84" i="28"/>
  <c r="B84" i="28"/>
  <c r="C83" i="28"/>
  <c r="B83" i="28"/>
  <c r="C82" i="28"/>
  <c r="B82" i="28"/>
  <c r="C81" i="28"/>
  <c r="B81" i="28"/>
  <c r="C80" i="28"/>
  <c r="B80" i="28"/>
  <c r="C79" i="28"/>
  <c r="B79" i="28"/>
  <c r="C78" i="28"/>
  <c r="B78" i="28"/>
  <c r="C77" i="28"/>
  <c r="B77" i="28"/>
  <c r="C73" i="28"/>
  <c r="B73" i="28"/>
  <c r="C72" i="28"/>
  <c r="B72" i="28"/>
  <c r="C71" i="28"/>
  <c r="B71" i="28"/>
  <c r="C70" i="28"/>
  <c r="B70" i="28"/>
  <c r="C69" i="28"/>
  <c r="B69" i="28"/>
  <c r="C68" i="28"/>
  <c r="B68" i="28"/>
  <c r="C67" i="28"/>
  <c r="B67" i="28"/>
  <c r="C66" i="28"/>
  <c r="B66" i="28"/>
  <c r="C65" i="28"/>
  <c r="B65" i="28"/>
  <c r="C64" i="28"/>
  <c r="B64" i="28"/>
  <c r="C60" i="28"/>
  <c r="B60" i="28"/>
  <c r="C59" i="28"/>
  <c r="B59" i="28"/>
  <c r="C58" i="28"/>
  <c r="B58" i="28"/>
  <c r="C57" i="28"/>
  <c r="B57" i="28"/>
  <c r="C56" i="28"/>
  <c r="B56" i="28"/>
  <c r="C55" i="28"/>
  <c r="B55" i="28"/>
  <c r="C54" i="28"/>
  <c r="B54" i="28"/>
  <c r="C53" i="28"/>
  <c r="B53" i="28"/>
  <c r="C47" i="28"/>
  <c r="B47" i="28"/>
  <c r="C46" i="28"/>
  <c r="B46" i="28"/>
  <c r="C45" i="28"/>
  <c r="B45" i="28"/>
  <c r="C44" i="28"/>
  <c r="B44" i="28"/>
  <c r="C43" i="28"/>
  <c r="B43" i="28"/>
  <c r="C42" i="28"/>
  <c r="B42" i="28"/>
  <c r="C41" i="28"/>
  <c r="B41" i="28"/>
  <c r="C40" i="28"/>
  <c r="B40" i="28"/>
  <c r="C39" i="28"/>
  <c r="B39" i="28"/>
  <c r="C38" i="28"/>
  <c r="B38" i="28"/>
  <c r="C37" i="28"/>
  <c r="B37" i="28"/>
  <c r="C36" i="28"/>
  <c r="B36" i="28"/>
  <c r="C32" i="28"/>
  <c r="B32" i="28"/>
  <c r="C31" i="28"/>
  <c r="B31" i="28"/>
  <c r="C30" i="28"/>
  <c r="B30" i="28"/>
  <c r="C29" i="28"/>
  <c r="B29" i="28"/>
  <c r="C28" i="28"/>
  <c r="B28" i="28"/>
  <c r="C27" i="28"/>
  <c r="B27" i="28"/>
  <c r="C26" i="28"/>
  <c r="B26" i="28"/>
  <c r="C25" i="28"/>
  <c r="B25" i="28"/>
  <c r="C21" i="28"/>
  <c r="B21" i="28"/>
  <c r="C20" i="28"/>
  <c r="B20" i="28"/>
  <c r="C19" i="28"/>
  <c r="B19" i="28"/>
  <c r="C18" i="28"/>
  <c r="B18" i="28"/>
  <c r="C17" i="28"/>
  <c r="B17" i="28"/>
  <c r="C16" i="28"/>
  <c r="B16" i="28"/>
  <c r="C15" i="28"/>
  <c r="B15" i="28"/>
  <c r="C14" i="28"/>
  <c r="B14" i="28"/>
  <c r="S13" i="28"/>
  <c r="C13" i="28"/>
  <c r="B13" i="28"/>
  <c r="C12" i="28"/>
  <c r="B12" i="28"/>
  <c r="T10" i="28"/>
  <c r="T10" i="29"/>
  <c r="A1" i="28"/>
  <c r="C134" i="27"/>
  <c r="B134" i="27"/>
  <c r="C132" i="27"/>
  <c r="B132" i="27"/>
  <c r="C130" i="27"/>
  <c r="B130" i="27"/>
  <c r="C129" i="27"/>
  <c r="B129" i="27"/>
  <c r="C126" i="27"/>
  <c r="B126" i="27"/>
  <c r="C124" i="27"/>
  <c r="B124" i="27"/>
  <c r="C93" i="27"/>
  <c r="B93" i="27"/>
  <c r="C85" i="27"/>
  <c r="B85" i="27"/>
  <c r="C84" i="27"/>
  <c r="B84" i="27"/>
  <c r="C83" i="27"/>
  <c r="B83" i="27"/>
  <c r="C82" i="27"/>
  <c r="B82" i="27"/>
  <c r="C81" i="27"/>
  <c r="B81" i="27"/>
  <c r="C80" i="27"/>
  <c r="B80" i="27"/>
  <c r="C79" i="27"/>
  <c r="B79" i="27"/>
  <c r="C78" i="27"/>
  <c r="B78" i="27"/>
  <c r="C77" i="27"/>
  <c r="B77" i="27"/>
  <c r="C73" i="27"/>
  <c r="B73" i="27"/>
  <c r="C72" i="27"/>
  <c r="B72" i="27"/>
  <c r="C71" i="27"/>
  <c r="B71" i="27"/>
  <c r="C70" i="27"/>
  <c r="B70" i="27"/>
  <c r="C69" i="27"/>
  <c r="B69" i="27"/>
  <c r="C68" i="27"/>
  <c r="B68" i="27"/>
  <c r="C67" i="27"/>
  <c r="B67" i="27"/>
  <c r="C66" i="27"/>
  <c r="B66" i="27"/>
  <c r="C65" i="27"/>
  <c r="B65" i="27"/>
  <c r="C64" i="27"/>
  <c r="B64" i="27"/>
  <c r="C60" i="27"/>
  <c r="B60" i="27"/>
  <c r="C59" i="27"/>
  <c r="B59" i="27"/>
  <c r="C58" i="27"/>
  <c r="B58" i="27"/>
  <c r="C57" i="27"/>
  <c r="B57" i="27"/>
  <c r="C56" i="27"/>
  <c r="B56" i="27"/>
  <c r="C55" i="27"/>
  <c r="B55" i="27"/>
  <c r="C54" i="27"/>
  <c r="B54" i="27"/>
  <c r="C53" i="27"/>
  <c r="B53" i="27"/>
  <c r="C47" i="27"/>
  <c r="B47" i="27"/>
  <c r="C46" i="27"/>
  <c r="B46" i="27"/>
  <c r="C45" i="27"/>
  <c r="B45" i="27"/>
  <c r="C44" i="27"/>
  <c r="B44" i="27"/>
  <c r="C43" i="27"/>
  <c r="B43" i="27"/>
  <c r="C42" i="27"/>
  <c r="B42" i="27"/>
  <c r="C41" i="27"/>
  <c r="B41" i="27"/>
  <c r="C40" i="27"/>
  <c r="B40" i="27"/>
  <c r="C39" i="27"/>
  <c r="B39" i="27"/>
  <c r="C38" i="27"/>
  <c r="B38" i="27"/>
  <c r="C37" i="27"/>
  <c r="B37" i="27"/>
  <c r="C36" i="27"/>
  <c r="B36" i="27"/>
  <c r="C32" i="27"/>
  <c r="B32" i="27"/>
  <c r="C31" i="27"/>
  <c r="B31" i="27"/>
  <c r="C30" i="27"/>
  <c r="B30" i="27"/>
  <c r="C29" i="27"/>
  <c r="B29" i="27"/>
  <c r="C28" i="27"/>
  <c r="B28" i="27"/>
  <c r="C27" i="27"/>
  <c r="B27" i="27"/>
  <c r="C26" i="27"/>
  <c r="B26" i="27"/>
  <c r="C25" i="27"/>
  <c r="B25" i="27"/>
  <c r="C21" i="27"/>
  <c r="B21" i="27"/>
  <c r="C20" i="27"/>
  <c r="B20" i="27"/>
  <c r="C19" i="27"/>
  <c r="B19" i="27"/>
  <c r="C18" i="27"/>
  <c r="B18" i="27"/>
  <c r="C17" i="27"/>
  <c r="B17" i="27"/>
  <c r="C16" i="27"/>
  <c r="B16" i="27"/>
  <c r="C15" i="27"/>
  <c r="B15" i="27"/>
  <c r="C14" i="27"/>
  <c r="B14" i="27"/>
  <c r="S13" i="27"/>
  <c r="C13" i="27"/>
  <c r="B13" i="27"/>
  <c r="C12" i="27"/>
  <c r="B12" i="27"/>
  <c r="R9" i="27"/>
  <c r="Q9" i="27"/>
  <c r="Q9" i="28"/>
  <c r="P9" i="27"/>
  <c r="A1" i="27"/>
  <c r="R157" i="26"/>
  <c r="R157" i="27"/>
  <c r="R157" i="28"/>
  <c r="R157" i="29"/>
  <c r="Q157" i="26"/>
  <c r="Q157" i="27"/>
  <c r="Q157" i="28"/>
  <c r="Q157" i="29"/>
  <c r="P157" i="26"/>
  <c r="P157" i="27"/>
  <c r="P157" i="28"/>
  <c r="P157" i="29"/>
  <c r="E157" i="26"/>
  <c r="E157" i="27"/>
  <c r="E157" i="28"/>
  <c r="E157" i="29"/>
  <c r="D157" i="26"/>
  <c r="D157" i="27"/>
  <c r="R156" i="26"/>
  <c r="R156" i="27"/>
  <c r="R156" i="28"/>
  <c r="R156" i="29"/>
  <c r="Q156" i="26"/>
  <c r="Q156" i="27"/>
  <c r="Q156" i="28"/>
  <c r="Q156" i="29"/>
  <c r="P156" i="26"/>
  <c r="O156" i="26"/>
  <c r="N156" i="26"/>
  <c r="M156" i="26"/>
  <c r="L156" i="26"/>
  <c r="K156" i="26"/>
  <c r="J156" i="26"/>
  <c r="I156" i="26"/>
  <c r="H156" i="26"/>
  <c r="G156" i="26"/>
  <c r="F156" i="26"/>
  <c r="E156" i="26"/>
  <c r="D156" i="26"/>
  <c r="R155" i="26"/>
  <c r="R155" i="27"/>
  <c r="R155" i="28"/>
  <c r="R155" i="29"/>
  <c r="Q155" i="26"/>
  <c r="Q155" i="27"/>
  <c r="Q155" i="28"/>
  <c r="Q155" i="29"/>
  <c r="P155" i="26"/>
  <c r="P155" i="27"/>
  <c r="P155" i="28"/>
  <c r="P155" i="29"/>
  <c r="O155" i="26"/>
  <c r="N155" i="26"/>
  <c r="M155" i="26"/>
  <c r="L155" i="26"/>
  <c r="K155" i="26"/>
  <c r="J155" i="26"/>
  <c r="I155" i="26"/>
  <c r="H155" i="26"/>
  <c r="G155" i="26"/>
  <c r="S155" i="26"/>
  <c r="F155" i="26"/>
  <c r="E155" i="26"/>
  <c r="D155" i="26"/>
  <c r="R154" i="26"/>
  <c r="R154" i="27"/>
  <c r="R154" i="28"/>
  <c r="R154" i="29"/>
  <c r="Q154" i="26"/>
  <c r="Q154" i="27"/>
  <c r="Q154" i="28"/>
  <c r="Q154" i="29"/>
  <c r="P154" i="26"/>
  <c r="P154" i="27"/>
  <c r="P154" i="28"/>
  <c r="P154" i="29"/>
  <c r="O154" i="26"/>
  <c r="O154" i="27"/>
  <c r="O154" i="28"/>
  <c r="N154" i="26"/>
  <c r="N154" i="27"/>
  <c r="N154" i="28"/>
  <c r="M154" i="26"/>
  <c r="M154" i="27"/>
  <c r="M154" i="28"/>
  <c r="M154" i="29"/>
  <c r="M155" i="22"/>
  <c r="L154" i="26"/>
  <c r="L154" i="27"/>
  <c r="L154" i="28"/>
  <c r="K154" i="26"/>
  <c r="K154" i="27"/>
  <c r="K154" i="28"/>
  <c r="J154" i="26"/>
  <c r="J154" i="27"/>
  <c r="J154" i="28"/>
  <c r="I154" i="26"/>
  <c r="I154" i="27"/>
  <c r="I154" i="28"/>
  <c r="H154" i="26"/>
  <c r="H154" i="27"/>
  <c r="H154" i="28"/>
  <c r="G154" i="26"/>
  <c r="G154" i="27"/>
  <c r="G154" i="28"/>
  <c r="F154" i="26"/>
  <c r="F154" i="27"/>
  <c r="F154" i="28"/>
  <c r="E154" i="26"/>
  <c r="E154" i="27"/>
  <c r="E154" i="28"/>
  <c r="D154" i="26"/>
  <c r="D154" i="27"/>
  <c r="R150" i="26"/>
  <c r="Q150" i="26"/>
  <c r="Q150" i="27"/>
  <c r="Q150" i="28"/>
  <c r="Q150" i="29"/>
  <c r="P150" i="26"/>
  <c r="P150" i="27"/>
  <c r="P150" i="28"/>
  <c r="P150" i="29"/>
  <c r="O150" i="26"/>
  <c r="O150" i="27"/>
  <c r="O150" i="28"/>
  <c r="O150" i="29"/>
  <c r="N150" i="26"/>
  <c r="N150" i="27"/>
  <c r="N150" i="28"/>
  <c r="N150" i="29"/>
  <c r="M150" i="26"/>
  <c r="M150" i="27"/>
  <c r="L150" i="26"/>
  <c r="L150" i="27"/>
  <c r="L150" i="28"/>
  <c r="L150" i="29"/>
  <c r="K150" i="26"/>
  <c r="K150" i="27"/>
  <c r="K150" i="28"/>
  <c r="K150" i="29"/>
  <c r="J150" i="26"/>
  <c r="J150" i="27"/>
  <c r="J150" i="28"/>
  <c r="J150" i="29"/>
  <c r="I150" i="26"/>
  <c r="I150" i="27"/>
  <c r="I150" i="28"/>
  <c r="I150" i="29"/>
  <c r="H150" i="26"/>
  <c r="H150" i="27"/>
  <c r="H150" i="28"/>
  <c r="H150" i="29"/>
  <c r="G150" i="26"/>
  <c r="G150" i="27"/>
  <c r="G150" i="28"/>
  <c r="G150" i="29"/>
  <c r="F150" i="26"/>
  <c r="F150" i="27"/>
  <c r="F150" i="28"/>
  <c r="F150" i="29"/>
  <c r="E150" i="26"/>
  <c r="E150" i="27"/>
  <c r="E150" i="28"/>
  <c r="E150" i="29"/>
  <c r="D150" i="26"/>
  <c r="D150" i="27"/>
  <c r="R149" i="26"/>
  <c r="R149" i="27"/>
  <c r="R149" i="28"/>
  <c r="R149" i="29"/>
  <c r="Q149" i="26"/>
  <c r="Q149" i="27"/>
  <c r="Q149" i="28"/>
  <c r="Q149" i="29"/>
  <c r="P149" i="26"/>
  <c r="P149" i="27"/>
  <c r="P149" i="28"/>
  <c r="P149" i="29"/>
  <c r="O149" i="26"/>
  <c r="O149" i="27"/>
  <c r="O149" i="28"/>
  <c r="O149" i="29"/>
  <c r="O149" i="22"/>
  <c r="N149" i="26"/>
  <c r="N149" i="27"/>
  <c r="N149" i="28"/>
  <c r="N149" i="29"/>
  <c r="N149" i="22"/>
  <c r="M149" i="26"/>
  <c r="M149" i="27"/>
  <c r="M149" i="28"/>
  <c r="M149" i="29"/>
  <c r="M149" i="22"/>
  <c r="L149" i="26"/>
  <c r="L149" i="27"/>
  <c r="L149" i="28"/>
  <c r="L149" i="29"/>
  <c r="L149" i="22"/>
  <c r="K149" i="26"/>
  <c r="K149" i="27"/>
  <c r="K149" i="28"/>
  <c r="K149" i="29"/>
  <c r="K149" i="22"/>
  <c r="J149" i="26"/>
  <c r="J149" i="27"/>
  <c r="J149" i="28"/>
  <c r="J149" i="29"/>
  <c r="J149" i="22"/>
  <c r="I149" i="26"/>
  <c r="I149" i="27"/>
  <c r="I149" i="28"/>
  <c r="I149" i="29"/>
  <c r="I149" i="22"/>
  <c r="H149" i="26"/>
  <c r="H149" i="27"/>
  <c r="H149" i="28"/>
  <c r="H149" i="29"/>
  <c r="H149" i="22"/>
  <c r="G149" i="26"/>
  <c r="G149" i="27"/>
  <c r="G149" i="28"/>
  <c r="G149" i="29"/>
  <c r="G149" i="22"/>
  <c r="F149" i="26"/>
  <c r="F149" i="27"/>
  <c r="F149" i="28"/>
  <c r="F149" i="29"/>
  <c r="F149" i="22"/>
  <c r="E149" i="26"/>
  <c r="E149" i="27"/>
  <c r="E149" i="28"/>
  <c r="E149" i="29"/>
  <c r="E149" i="22"/>
  <c r="D149" i="26"/>
  <c r="D149" i="27"/>
  <c r="R145" i="26"/>
  <c r="R145" i="27"/>
  <c r="R145" i="28"/>
  <c r="R145" i="29"/>
  <c r="Q145" i="26"/>
  <c r="Q145" i="27"/>
  <c r="Q145" i="28"/>
  <c r="Q145" i="29"/>
  <c r="P145" i="26"/>
  <c r="P145" i="27"/>
  <c r="P145" i="28"/>
  <c r="P145" i="29"/>
  <c r="O145" i="26"/>
  <c r="O145" i="27"/>
  <c r="O145" i="28"/>
  <c r="O145" i="29"/>
  <c r="N145" i="26"/>
  <c r="N145" i="27"/>
  <c r="N145" i="28"/>
  <c r="N145" i="29"/>
  <c r="M145" i="26"/>
  <c r="M145" i="27"/>
  <c r="M145" i="28"/>
  <c r="M145" i="29"/>
  <c r="L145" i="26"/>
  <c r="L145" i="27"/>
  <c r="L145" i="28"/>
  <c r="L145" i="29"/>
  <c r="K145" i="26"/>
  <c r="K145" i="27"/>
  <c r="K145" i="28"/>
  <c r="K145" i="29"/>
  <c r="J145" i="26"/>
  <c r="J145" i="27"/>
  <c r="J145" i="28"/>
  <c r="J145" i="29"/>
  <c r="I145" i="26"/>
  <c r="I145" i="27"/>
  <c r="I145" i="28"/>
  <c r="I145" i="29"/>
  <c r="H145" i="26"/>
  <c r="H145" i="27"/>
  <c r="H145" i="28"/>
  <c r="H145" i="29"/>
  <c r="G145" i="26"/>
  <c r="G145" i="27"/>
  <c r="G145" i="28"/>
  <c r="G145" i="29"/>
  <c r="F145" i="26"/>
  <c r="F145" i="27"/>
  <c r="F145" i="28"/>
  <c r="F145" i="29"/>
  <c r="E145" i="26"/>
  <c r="E145" i="27"/>
  <c r="E145" i="28"/>
  <c r="E145" i="29"/>
  <c r="D145" i="26"/>
  <c r="D145" i="27"/>
  <c r="R141" i="26"/>
  <c r="R141" i="27"/>
  <c r="R141" i="28"/>
  <c r="R141" i="29"/>
  <c r="Q141" i="26"/>
  <c r="Q141" i="27"/>
  <c r="Q141" i="28"/>
  <c r="Q141" i="29"/>
  <c r="P141" i="26"/>
  <c r="P141" i="27"/>
  <c r="P141" i="28"/>
  <c r="P141" i="29"/>
  <c r="O141" i="26"/>
  <c r="O141" i="27"/>
  <c r="O141" i="28"/>
  <c r="O141" i="29"/>
  <c r="N141" i="26"/>
  <c r="N141" i="27"/>
  <c r="N141" i="28"/>
  <c r="N141" i="29"/>
  <c r="M141" i="26"/>
  <c r="M141" i="27"/>
  <c r="M141" i="28"/>
  <c r="M141" i="29"/>
  <c r="L141" i="26"/>
  <c r="L141" i="27"/>
  <c r="L141" i="28"/>
  <c r="L141" i="29"/>
  <c r="K141" i="26"/>
  <c r="K141" i="27"/>
  <c r="K141" i="28"/>
  <c r="K141" i="29"/>
  <c r="J141" i="26"/>
  <c r="J141" i="27"/>
  <c r="J141" i="28"/>
  <c r="J141" i="29"/>
  <c r="I141" i="26"/>
  <c r="I141" i="27"/>
  <c r="I141" i="28"/>
  <c r="I141" i="29"/>
  <c r="H141" i="26"/>
  <c r="H141" i="27"/>
  <c r="H141" i="28"/>
  <c r="H141" i="29"/>
  <c r="G141" i="26"/>
  <c r="G141" i="27"/>
  <c r="G141" i="28"/>
  <c r="G141" i="29"/>
  <c r="F141" i="26"/>
  <c r="F141" i="27"/>
  <c r="F141" i="28"/>
  <c r="F141" i="29"/>
  <c r="E141" i="26"/>
  <c r="E141" i="27"/>
  <c r="E141" i="28"/>
  <c r="E141" i="29"/>
  <c r="D141" i="26"/>
  <c r="D141" i="27"/>
  <c r="R140" i="26"/>
  <c r="R140" i="27"/>
  <c r="R140" i="28"/>
  <c r="R140" i="29"/>
  <c r="Q140" i="26"/>
  <c r="Q140" i="27"/>
  <c r="Q140" i="28"/>
  <c r="Q140" i="29"/>
  <c r="P140" i="26"/>
  <c r="P140" i="27"/>
  <c r="P140" i="28"/>
  <c r="P140" i="29"/>
  <c r="O140" i="26"/>
  <c r="O140" i="27"/>
  <c r="O140" i="28"/>
  <c r="O140" i="29"/>
  <c r="N140" i="26"/>
  <c r="N140" i="27"/>
  <c r="N140" i="28"/>
  <c r="N140" i="29"/>
  <c r="M140" i="26"/>
  <c r="M140" i="27"/>
  <c r="M140" i="28"/>
  <c r="M140" i="29"/>
  <c r="L140" i="26"/>
  <c r="L140" i="27"/>
  <c r="L140" i="28"/>
  <c r="L140" i="29"/>
  <c r="K140" i="26"/>
  <c r="K140" i="27"/>
  <c r="K140" i="28"/>
  <c r="K140" i="29"/>
  <c r="J140" i="26"/>
  <c r="J140" i="27"/>
  <c r="J140" i="28"/>
  <c r="J140" i="29"/>
  <c r="I140" i="26"/>
  <c r="I140" i="27"/>
  <c r="I140" i="28"/>
  <c r="I140" i="29"/>
  <c r="H140" i="26"/>
  <c r="H140" i="27"/>
  <c r="H140" i="28"/>
  <c r="H140" i="29"/>
  <c r="G140" i="26"/>
  <c r="G140" i="27"/>
  <c r="G140" i="28"/>
  <c r="G140" i="29"/>
  <c r="F140" i="26"/>
  <c r="F140" i="27"/>
  <c r="F140" i="28"/>
  <c r="F140" i="29"/>
  <c r="E140" i="26"/>
  <c r="E140" i="27"/>
  <c r="E140" i="28"/>
  <c r="E140" i="29"/>
  <c r="D140" i="26"/>
  <c r="D140" i="27"/>
  <c r="R139" i="26"/>
  <c r="R139" i="27"/>
  <c r="R139" i="28"/>
  <c r="R139" i="29"/>
  <c r="Q139" i="26"/>
  <c r="Q139" i="27"/>
  <c r="Q139" i="28"/>
  <c r="Q139" i="29"/>
  <c r="P139" i="26"/>
  <c r="P139" i="27"/>
  <c r="P139" i="28"/>
  <c r="P139" i="29"/>
  <c r="O139" i="26"/>
  <c r="O139" i="27"/>
  <c r="O139" i="28"/>
  <c r="O139" i="29"/>
  <c r="N139" i="26"/>
  <c r="N139" i="27"/>
  <c r="N139" i="28"/>
  <c r="N139" i="29"/>
  <c r="M139" i="26"/>
  <c r="M139" i="27"/>
  <c r="M139" i="28"/>
  <c r="M139" i="29"/>
  <c r="L139" i="26"/>
  <c r="L139" i="27"/>
  <c r="L139" i="28"/>
  <c r="L139" i="29"/>
  <c r="K139" i="26"/>
  <c r="K139" i="27"/>
  <c r="K139" i="28"/>
  <c r="K139" i="29"/>
  <c r="J139" i="26"/>
  <c r="J139" i="27"/>
  <c r="J139" i="28"/>
  <c r="J139" i="29"/>
  <c r="I139" i="26"/>
  <c r="I139" i="27"/>
  <c r="I139" i="28"/>
  <c r="I139" i="29"/>
  <c r="H139" i="26"/>
  <c r="H139" i="27"/>
  <c r="H139" i="28"/>
  <c r="H139" i="29"/>
  <c r="G139" i="26"/>
  <c r="G139" i="27"/>
  <c r="G139" i="28"/>
  <c r="G139" i="29"/>
  <c r="F139" i="26"/>
  <c r="F139" i="27"/>
  <c r="F139" i="28"/>
  <c r="F139" i="29"/>
  <c r="E139" i="26"/>
  <c r="E139" i="27"/>
  <c r="E139" i="28"/>
  <c r="E139" i="29"/>
  <c r="D139" i="26"/>
  <c r="D139" i="27"/>
  <c r="R138" i="26"/>
  <c r="R138" i="27"/>
  <c r="R138" i="28"/>
  <c r="R138" i="29"/>
  <c r="Q138" i="26"/>
  <c r="Q138" i="27"/>
  <c r="Q138" i="28"/>
  <c r="Q138" i="29"/>
  <c r="P138" i="26"/>
  <c r="P138" i="27"/>
  <c r="P138" i="28"/>
  <c r="P138" i="29"/>
  <c r="O138" i="26"/>
  <c r="O138" i="27"/>
  <c r="O138" i="28"/>
  <c r="O138" i="29"/>
  <c r="N138" i="26"/>
  <c r="N138" i="27"/>
  <c r="N138" i="28"/>
  <c r="N138" i="29"/>
  <c r="M138" i="26"/>
  <c r="M138" i="27"/>
  <c r="M138" i="28"/>
  <c r="M138" i="29"/>
  <c r="L138" i="26"/>
  <c r="L138" i="27"/>
  <c r="L138" i="28"/>
  <c r="L138" i="29"/>
  <c r="K138" i="26"/>
  <c r="K138" i="27"/>
  <c r="K138" i="28"/>
  <c r="K138" i="29"/>
  <c r="J138" i="26"/>
  <c r="J138" i="27"/>
  <c r="J138" i="28"/>
  <c r="J138" i="29"/>
  <c r="I138" i="26"/>
  <c r="I138" i="27"/>
  <c r="I138" i="28"/>
  <c r="I138" i="29"/>
  <c r="H138" i="26"/>
  <c r="H138" i="27"/>
  <c r="H138" i="28"/>
  <c r="H138" i="29"/>
  <c r="G138" i="26"/>
  <c r="G138" i="27"/>
  <c r="G138" i="28"/>
  <c r="G138" i="29"/>
  <c r="F138" i="26"/>
  <c r="F138" i="27"/>
  <c r="F138" i="28"/>
  <c r="F138" i="29"/>
  <c r="E138" i="26"/>
  <c r="E138" i="27"/>
  <c r="E138" i="28"/>
  <c r="E138" i="29"/>
  <c r="D138" i="26"/>
  <c r="D138" i="27"/>
  <c r="R137" i="26"/>
  <c r="R137" i="27"/>
  <c r="R137" i="28"/>
  <c r="R137" i="29"/>
  <c r="Q137" i="26"/>
  <c r="Q137" i="27"/>
  <c r="Q137" i="28"/>
  <c r="Q137" i="29"/>
  <c r="P137" i="26"/>
  <c r="P137" i="27"/>
  <c r="P137" i="28"/>
  <c r="P137" i="29"/>
  <c r="O137" i="26"/>
  <c r="O137" i="27"/>
  <c r="O137" i="28"/>
  <c r="O137" i="29"/>
  <c r="N137" i="26"/>
  <c r="N137" i="27"/>
  <c r="N137" i="28"/>
  <c r="N137" i="29"/>
  <c r="M137" i="26"/>
  <c r="M137" i="27"/>
  <c r="M137" i="28"/>
  <c r="M137" i="29"/>
  <c r="L137" i="26"/>
  <c r="L137" i="27"/>
  <c r="L137" i="28"/>
  <c r="L137" i="29"/>
  <c r="K137" i="26"/>
  <c r="K137" i="27"/>
  <c r="K137" i="28"/>
  <c r="K137" i="29"/>
  <c r="J137" i="26"/>
  <c r="J137" i="27"/>
  <c r="J137" i="28"/>
  <c r="J137" i="29"/>
  <c r="I137" i="26"/>
  <c r="I137" i="27"/>
  <c r="I137" i="28"/>
  <c r="I137" i="29"/>
  <c r="H137" i="26"/>
  <c r="H137" i="27"/>
  <c r="H137" i="28"/>
  <c r="H137" i="29"/>
  <c r="G137" i="26"/>
  <c r="G137" i="27"/>
  <c r="G137" i="28"/>
  <c r="G137" i="29"/>
  <c r="F137" i="26"/>
  <c r="F137" i="27"/>
  <c r="F137" i="28"/>
  <c r="F137" i="29"/>
  <c r="E137" i="26"/>
  <c r="E137" i="27"/>
  <c r="E137" i="28"/>
  <c r="E137" i="29"/>
  <c r="D137" i="26"/>
  <c r="D137" i="27"/>
  <c r="R136" i="26"/>
  <c r="R136" i="27"/>
  <c r="R136" i="28"/>
  <c r="R136" i="29"/>
  <c r="Q136" i="26"/>
  <c r="Q136" i="27"/>
  <c r="Q136" i="28"/>
  <c r="Q136" i="29"/>
  <c r="P136" i="26"/>
  <c r="P136" i="27"/>
  <c r="P136" i="28"/>
  <c r="P136" i="29"/>
  <c r="O136" i="26"/>
  <c r="O136" i="27"/>
  <c r="O136" i="28"/>
  <c r="O136" i="29"/>
  <c r="N136" i="26"/>
  <c r="N136" i="27"/>
  <c r="N136" i="28"/>
  <c r="N136" i="29"/>
  <c r="M136" i="26"/>
  <c r="M136" i="27"/>
  <c r="M136" i="28"/>
  <c r="M136" i="29"/>
  <c r="L136" i="26"/>
  <c r="L136" i="27"/>
  <c r="L136" i="28"/>
  <c r="L136" i="29"/>
  <c r="K136" i="26"/>
  <c r="K136" i="27"/>
  <c r="K136" i="28"/>
  <c r="K136" i="29"/>
  <c r="J136" i="26"/>
  <c r="J136" i="27"/>
  <c r="J136" i="28"/>
  <c r="J136" i="29"/>
  <c r="I136" i="26"/>
  <c r="I136" i="27"/>
  <c r="I136" i="28"/>
  <c r="I136" i="29"/>
  <c r="H136" i="26"/>
  <c r="H136" i="27"/>
  <c r="H136" i="28"/>
  <c r="H136" i="29"/>
  <c r="G136" i="26"/>
  <c r="G136" i="27"/>
  <c r="G136" i="28"/>
  <c r="G136" i="29"/>
  <c r="F136" i="26"/>
  <c r="F136" i="27"/>
  <c r="F136" i="28"/>
  <c r="F136" i="29"/>
  <c r="E136" i="26"/>
  <c r="E136" i="27"/>
  <c r="E136" i="28"/>
  <c r="E136" i="29"/>
  <c r="D136" i="26"/>
  <c r="D136" i="27"/>
  <c r="R135" i="26"/>
  <c r="R135" i="27"/>
  <c r="R135" i="28"/>
  <c r="R135" i="29"/>
  <c r="Q135" i="26"/>
  <c r="Q135" i="27"/>
  <c r="Q135" i="28"/>
  <c r="Q135" i="29"/>
  <c r="P135" i="26"/>
  <c r="P135" i="27"/>
  <c r="P135" i="28"/>
  <c r="P135" i="29"/>
  <c r="O135" i="26"/>
  <c r="O135" i="27"/>
  <c r="O135" i="28"/>
  <c r="O135" i="29"/>
  <c r="N135" i="26"/>
  <c r="N135" i="27"/>
  <c r="N135" i="28"/>
  <c r="N135" i="29"/>
  <c r="M135" i="26"/>
  <c r="M135" i="27"/>
  <c r="M135" i="28"/>
  <c r="M135" i="29"/>
  <c r="L135" i="26"/>
  <c r="L135" i="27"/>
  <c r="L135" i="28"/>
  <c r="L135" i="29"/>
  <c r="K135" i="26"/>
  <c r="K135" i="27"/>
  <c r="K135" i="28"/>
  <c r="K135" i="29"/>
  <c r="J135" i="26"/>
  <c r="J135" i="27"/>
  <c r="J135" i="28"/>
  <c r="J135" i="29"/>
  <c r="I135" i="26"/>
  <c r="I135" i="27"/>
  <c r="I135" i="28"/>
  <c r="I135" i="29"/>
  <c r="H135" i="26"/>
  <c r="H135" i="27"/>
  <c r="H135" i="28"/>
  <c r="H135" i="29"/>
  <c r="G135" i="26"/>
  <c r="G135" i="27"/>
  <c r="G135" i="28"/>
  <c r="G135" i="29"/>
  <c r="F135" i="26"/>
  <c r="F135" i="27"/>
  <c r="F135" i="28"/>
  <c r="F135" i="29"/>
  <c r="E135" i="26"/>
  <c r="E135" i="27"/>
  <c r="E135" i="28"/>
  <c r="E135" i="29"/>
  <c r="D135" i="26"/>
  <c r="D135" i="27"/>
  <c r="R134" i="26"/>
  <c r="R134" i="27"/>
  <c r="R134" i="28"/>
  <c r="R134" i="29"/>
  <c r="Q134" i="26"/>
  <c r="Q134" i="27"/>
  <c r="Q134" i="28"/>
  <c r="Q134" i="29"/>
  <c r="P134" i="26"/>
  <c r="P134" i="27"/>
  <c r="P134" i="28"/>
  <c r="P134" i="29"/>
  <c r="O134" i="26"/>
  <c r="O134" i="27"/>
  <c r="O134" i="28"/>
  <c r="O134" i="29"/>
  <c r="N134" i="26"/>
  <c r="N134" i="27"/>
  <c r="N134" i="28"/>
  <c r="N134" i="29"/>
  <c r="M134" i="26"/>
  <c r="M134" i="27"/>
  <c r="M134" i="28"/>
  <c r="M134" i="29"/>
  <c r="L134" i="26"/>
  <c r="L134" i="27"/>
  <c r="L134" i="28"/>
  <c r="L134" i="29"/>
  <c r="K134" i="26"/>
  <c r="K134" i="27"/>
  <c r="K134" i="28"/>
  <c r="K134" i="29"/>
  <c r="J134" i="26"/>
  <c r="J134" i="27"/>
  <c r="J134" i="28"/>
  <c r="J134" i="29"/>
  <c r="I134" i="26"/>
  <c r="I134" i="27"/>
  <c r="I134" i="28"/>
  <c r="I134" i="29"/>
  <c r="H134" i="26"/>
  <c r="H134" i="27"/>
  <c r="H134" i="28"/>
  <c r="H134" i="29"/>
  <c r="G134" i="26"/>
  <c r="G134" i="27"/>
  <c r="G134" i="28"/>
  <c r="G134" i="29"/>
  <c r="F134" i="26"/>
  <c r="F134" i="27"/>
  <c r="F134" i="28"/>
  <c r="F134" i="29"/>
  <c r="E134" i="26"/>
  <c r="E134" i="27"/>
  <c r="E134" i="28"/>
  <c r="E134" i="29"/>
  <c r="D134" i="26"/>
  <c r="D134" i="27"/>
  <c r="C134" i="26"/>
  <c r="B134" i="26"/>
  <c r="R133" i="26"/>
  <c r="R133" i="27"/>
  <c r="R133" i="28"/>
  <c r="R133" i="29"/>
  <c r="Q133" i="26"/>
  <c r="Q133" i="27"/>
  <c r="Q133" i="28"/>
  <c r="P133" i="26"/>
  <c r="P133" i="27"/>
  <c r="P133" i="28"/>
  <c r="P133" i="29"/>
  <c r="O133" i="26"/>
  <c r="O133" i="27"/>
  <c r="O133" i="28"/>
  <c r="O133" i="29"/>
  <c r="N133" i="26"/>
  <c r="N133" i="27"/>
  <c r="N133" i="28"/>
  <c r="N133" i="29"/>
  <c r="M133" i="26"/>
  <c r="M133" i="27"/>
  <c r="M133" i="28"/>
  <c r="M133" i="29"/>
  <c r="L133" i="26"/>
  <c r="L133" i="27"/>
  <c r="L133" i="28"/>
  <c r="L133" i="29"/>
  <c r="K133" i="26"/>
  <c r="K133" i="27"/>
  <c r="K133" i="28"/>
  <c r="K133" i="29"/>
  <c r="J133" i="26"/>
  <c r="J133" i="27"/>
  <c r="J133" i="28"/>
  <c r="J133" i="29"/>
  <c r="I133" i="26"/>
  <c r="I133" i="27"/>
  <c r="I133" i="28"/>
  <c r="I133" i="29"/>
  <c r="H133" i="26"/>
  <c r="H133" i="27"/>
  <c r="H133" i="28"/>
  <c r="H133" i="29"/>
  <c r="G133" i="26"/>
  <c r="G133" i="27"/>
  <c r="G133" i="28"/>
  <c r="G133" i="29"/>
  <c r="F133" i="26"/>
  <c r="F133" i="27"/>
  <c r="F133" i="28"/>
  <c r="F133" i="29"/>
  <c r="E133" i="26"/>
  <c r="E133" i="27"/>
  <c r="E133" i="28"/>
  <c r="E133" i="29"/>
  <c r="D133" i="26"/>
  <c r="D133" i="27"/>
  <c r="R132" i="26"/>
  <c r="R132" i="27"/>
  <c r="R132" i="28"/>
  <c r="R132" i="29"/>
  <c r="Q132" i="26"/>
  <c r="Q132" i="27"/>
  <c r="Q132" i="28"/>
  <c r="Q132" i="29"/>
  <c r="P132" i="26"/>
  <c r="P132" i="27"/>
  <c r="P132" i="28"/>
  <c r="P132" i="29"/>
  <c r="O132" i="26"/>
  <c r="O132" i="27"/>
  <c r="O132" i="28"/>
  <c r="O132" i="29"/>
  <c r="N132" i="26"/>
  <c r="N132" i="27"/>
  <c r="N132" i="28"/>
  <c r="N132" i="29"/>
  <c r="M132" i="26"/>
  <c r="M132" i="27"/>
  <c r="M132" i="28"/>
  <c r="M132" i="29"/>
  <c r="L132" i="26"/>
  <c r="L132" i="27"/>
  <c r="L132" i="28"/>
  <c r="L132" i="29"/>
  <c r="K132" i="26"/>
  <c r="K132" i="27"/>
  <c r="K132" i="28"/>
  <c r="K132" i="29"/>
  <c r="J132" i="26"/>
  <c r="J132" i="27"/>
  <c r="J132" i="28"/>
  <c r="J132" i="29"/>
  <c r="I132" i="26"/>
  <c r="I132" i="27"/>
  <c r="I132" i="28"/>
  <c r="I132" i="29"/>
  <c r="H132" i="26"/>
  <c r="H132" i="27"/>
  <c r="H132" i="28"/>
  <c r="H132" i="29"/>
  <c r="G132" i="26"/>
  <c r="G132" i="27"/>
  <c r="G132" i="28"/>
  <c r="G132" i="29"/>
  <c r="F132" i="26"/>
  <c r="F132" i="27"/>
  <c r="F132" i="28"/>
  <c r="F132" i="29"/>
  <c r="E132" i="26"/>
  <c r="E132" i="27"/>
  <c r="E132" i="28"/>
  <c r="E132" i="29"/>
  <c r="D132" i="26"/>
  <c r="D132" i="27"/>
  <c r="C132" i="26"/>
  <c r="B132" i="26"/>
  <c r="R131" i="26"/>
  <c r="R131" i="27"/>
  <c r="R131" i="28"/>
  <c r="R131" i="29"/>
  <c r="Q131" i="26"/>
  <c r="Q131" i="27"/>
  <c r="Q131" i="28"/>
  <c r="Q131" i="29"/>
  <c r="P131" i="26"/>
  <c r="P131" i="27"/>
  <c r="P131" i="28"/>
  <c r="P131" i="29"/>
  <c r="O131" i="26"/>
  <c r="O131" i="27"/>
  <c r="O131" i="28"/>
  <c r="O131" i="29"/>
  <c r="N131" i="26"/>
  <c r="N131" i="27"/>
  <c r="N131" i="28"/>
  <c r="N131" i="29"/>
  <c r="M131" i="26"/>
  <c r="M131" i="27"/>
  <c r="M131" i="28"/>
  <c r="M131" i="29"/>
  <c r="L131" i="26"/>
  <c r="L131" i="27"/>
  <c r="L131" i="28"/>
  <c r="L131" i="29"/>
  <c r="K131" i="26"/>
  <c r="K131" i="27"/>
  <c r="K131" i="28"/>
  <c r="K131" i="29"/>
  <c r="J131" i="26"/>
  <c r="J131" i="27"/>
  <c r="J131" i="28"/>
  <c r="J131" i="29"/>
  <c r="I131" i="26"/>
  <c r="I131" i="27"/>
  <c r="I131" i="28"/>
  <c r="I131" i="29"/>
  <c r="H131" i="26"/>
  <c r="H131" i="27"/>
  <c r="H131" i="28"/>
  <c r="H131" i="29"/>
  <c r="G131" i="26"/>
  <c r="G131" i="27"/>
  <c r="G131" i="28"/>
  <c r="G131" i="29"/>
  <c r="F131" i="26"/>
  <c r="F131" i="27"/>
  <c r="F131" i="28"/>
  <c r="F131" i="29"/>
  <c r="E131" i="26"/>
  <c r="E131" i="27"/>
  <c r="E131" i="28"/>
  <c r="E131" i="29"/>
  <c r="D131" i="26"/>
  <c r="D131" i="27"/>
  <c r="R130" i="26"/>
  <c r="R130" i="27"/>
  <c r="R130" i="28"/>
  <c r="R130" i="29"/>
  <c r="Q130" i="26"/>
  <c r="Q130" i="27"/>
  <c r="Q130" i="28"/>
  <c r="Q130" i="29"/>
  <c r="P130" i="26"/>
  <c r="P130" i="27"/>
  <c r="P130" i="28"/>
  <c r="P130" i="29"/>
  <c r="O130" i="26"/>
  <c r="O130" i="27"/>
  <c r="O130" i="28"/>
  <c r="O130" i="29"/>
  <c r="N130" i="26"/>
  <c r="N130" i="27"/>
  <c r="N130" i="28"/>
  <c r="N130" i="29"/>
  <c r="M130" i="26"/>
  <c r="M130" i="27"/>
  <c r="M130" i="28"/>
  <c r="M130" i="29"/>
  <c r="L130" i="26"/>
  <c r="L130" i="27"/>
  <c r="L130" i="28"/>
  <c r="L130" i="29"/>
  <c r="K130" i="26"/>
  <c r="K130" i="27"/>
  <c r="K130" i="28"/>
  <c r="K130" i="29"/>
  <c r="J130" i="26"/>
  <c r="J130" i="27"/>
  <c r="J130" i="28"/>
  <c r="J130" i="29"/>
  <c r="I130" i="26"/>
  <c r="I130" i="27"/>
  <c r="I130" i="28"/>
  <c r="I130" i="29"/>
  <c r="H130" i="26"/>
  <c r="H130" i="27"/>
  <c r="H130" i="28"/>
  <c r="H130" i="29"/>
  <c r="G130" i="26"/>
  <c r="G130" i="27"/>
  <c r="G130" i="28"/>
  <c r="G130" i="29"/>
  <c r="F130" i="26"/>
  <c r="F130" i="27"/>
  <c r="F130" i="28"/>
  <c r="F130" i="29"/>
  <c r="E130" i="26"/>
  <c r="E130" i="27"/>
  <c r="E130" i="28"/>
  <c r="E130" i="29"/>
  <c r="D130" i="26"/>
  <c r="D130" i="27"/>
  <c r="C130" i="26"/>
  <c r="B130" i="26"/>
  <c r="R129" i="26"/>
  <c r="R129" i="27"/>
  <c r="R129" i="28"/>
  <c r="R129" i="29"/>
  <c r="Q129" i="26"/>
  <c r="Q129" i="27"/>
  <c r="Q129" i="28"/>
  <c r="Q129" i="29"/>
  <c r="P129" i="26"/>
  <c r="P129" i="27"/>
  <c r="P129" i="28"/>
  <c r="P129" i="29"/>
  <c r="O129" i="26"/>
  <c r="O129" i="27"/>
  <c r="O129" i="28"/>
  <c r="O129" i="29"/>
  <c r="N129" i="26"/>
  <c r="N129" i="27"/>
  <c r="N129" i="28"/>
  <c r="N129" i="29"/>
  <c r="M129" i="26"/>
  <c r="M129" i="27"/>
  <c r="M129" i="28"/>
  <c r="M129" i="29"/>
  <c r="L129" i="26"/>
  <c r="L129" i="27"/>
  <c r="L129" i="28"/>
  <c r="L129" i="29"/>
  <c r="K129" i="26"/>
  <c r="K129" i="27"/>
  <c r="K129" i="28"/>
  <c r="K129" i="29"/>
  <c r="J129" i="26"/>
  <c r="J129" i="27"/>
  <c r="J129" i="28"/>
  <c r="J129" i="29"/>
  <c r="I129" i="26"/>
  <c r="I129" i="27"/>
  <c r="I129" i="28"/>
  <c r="I129" i="29"/>
  <c r="H129" i="26"/>
  <c r="H129" i="27"/>
  <c r="H129" i="28"/>
  <c r="H129" i="29"/>
  <c r="G129" i="26"/>
  <c r="G129" i="27"/>
  <c r="G129" i="28"/>
  <c r="G129" i="29"/>
  <c r="F129" i="26"/>
  <c r="F129" i="27"/>
  <c r="F129" i="28"/>
  <c r="F129" i="29"/>
  <c r="E129" i="26"/>
  <c r="E129" i="27"/>
  <c r="E129" i="28"/>
  <c r="E129" i="29"/>
  <c r="D129" i="26"/>
  <c r="D129" i="27"/>
  <c r="C129" i="26"/>
  <c r="B129" i="26"/>
  <c r="R128" i="26"/>
  <c r="R128" i="27"/>
  <c r="R128" i="28"/>
  <c r="R128" i="29"/>
  <c r="Q128" i="26"/>
  <c r="Q128" i="27"/>
  <c r="Q128" i="28"/>
  <c r="Q128" i="29"/>
  <c r="P128" i="26"/>
  <c r="P128" i="27"/>
  <c r="P128" i="28"/>
  <c r="P128" i="29"/>
  <c r="O128" i="26"/>
  <c r="O128" i="27"/>
  <c r="O128" i="28"/>
  <c r="O128" i="29"/>
  <c r="N128" i="26"/>
  <c r="N128" i="27"/>
  <c r="N128" i="28"/>
  <c r="N128" i="29"/>
  <c r="M128" i="26"/>
  <c r="L128" i="26"/>
  <c r="L128" i="27"/>
  <c r="L128" i="28"/>
  <c r="L128" i="29"/>
  <c r="K128" i="26"/>
  <c r="K128" i="27"/>
  <c r="K128" i="28"/>
  <c r="K128" i="29"/>
  <c r="J128" i="26"/>
  <c r="J128" i="27"/>
  <c r="J128" i="28"/>
  <c r="J128" i="29"/>
  <c r="I128" i="26"/>
  <c r="I128" i="27"/>
  <c r="I128" i="28"/>
  <c r="I128" i="29"/>
  <c r="H128" i="26"/>
  <c r="H128" i="27"/>
  <c r="H128" i="28"/>
  <c r="H128" i="29"/>
  <c r="G128" i="26"/>
  <c r="G128" i="27"/>
  <c r="G128" i="28"/>
  <c r="G128" i="29"/>
  <c r="F128" i="26"/>
  <c r="F128" i="27"/>
  <c r="F128" i="28"/>
  <c r="F128" i="29"/>
  <c r="E128" i="26"/>
  <c r="E128" i="27"/>
  <c r="E128" i="28"/>
  <c r="E128" i="29"/>
  <c r="D128" i="26"/>
  <c r="D128" i="27"/>
  <c r="R127" i="26"/>
  <c r="R127" i="27"/>
  <c r="R127" i="28"/>
  <c r="R127" i="29"/>
  <c r="Q127" i="26"/>
  <c r="Q127" i="27"/>
  <c r="Q127" i="28"/>
  <c r="Q127" i="29"/>
  <c r="P127" i="26"/>
  <c r="P127" i="27"/>
  <c r="P127" i="28"/>
  <c r="P127" i="29"/>
  <c r="O127" i="26"/>
  <c r="O127" i="27"/>
  <c r="O127" i="28"/>
  <c r="O127" i="29"/>
  <c r="N127" i="26"/>
  <c r="N127" i="27"/>
  <c r="N127" i="28"/>
  <c r="N127" i="29"/>
  <c r="M127" i="26"/>
  <c r="M127" i="27"/>
  <c r="M127" i="28"/>
  <c r="M127" i="29"/>
  <c r="L127" i="26"/>
  <c r="L127" i="27"/>
  <c r="L127" i="28"/>
  <c r="L127" i="29"/>
  <c r="K127" i="26"/>
  <c r="K127" i="27"/>
  <c r="K127" i="28"/>
  <c r="K127" i="29"/>
  <c r="J127" i="26"/>
  <c r="J127" i="27"/>
  <c r="J127" i="28"/>
  <c r="J127" i="29"/>
  <c r="I127" i="26"/>
  <c r="I127" i="27"/>
  <c r="I127" i="28"/>
  <c r="I127" i="29"/>
  <c r="H127" i="26"/>
  <c r="H127" i="27"/>
  <c r="H127" i="28"/>
  <c r="H127" i="29"/>
  <c r="G127" i="26"/>
  <c r="G127" i="27"/>
  <c r="G127" i="28"/>
  <c r="G127" i="29"/>
  <c r="F127" i="26"/>
  <c r="E127" i="26"/>
  <c r="E127" i="27"/>
  <c r="E127" i="28"/>
  <c r="E127" i="29"/>
  <c r="D127" i="26"/>
  <c r="D127" i="27"/>
  <c r="R126" i="26"/>
  <c r="R126" i="27"/>
  <c r="R126" i="28"/>
  <c r="R126" i="29"/>
  <c r="Q126" i="26"/>
  <c r="Q126" i="27"/>
  <c r="Q126" i="28"/>
  <c r="Q126" i="29"/>
  <c r="P126" i="26"/>
  <c r="P126" i="27"/>
  <c r="P126" i="28"/>
  <c r="P126" i="29"/>
  <c r="O126" i="26"/>
  <c r="O126" i="27"/>
  <c r="O126" i="28"/>
  <c r="O126" i="29"/>
  <c r="N126" i="26"/>
  <c r="N126" i="27"/>
  <c r="N126" i="28"/>
  <c r="N126" i="29"/>
  <c r="M126" i="26"/>
  <c r="M126" i="27"/>
  <c r="M126" i="28"/>
  <c r="M126" i="29"/>
  <c r="L126" i="26"/>
  <c r="L126" i="27"/>
  <c r="L126" i="28"/>
  <c r="L126" i="29"/>
  <c r="K126" i="26"/>
  <c r="K126" i="27"/>
  <c r="K126" i="28"/>
  <c r="K126" i="29"/>
  <c r="J126" i="26"/>
  <c r="J126" i="27"/>
  <c r="J126" i="28"/>
  <c r="J126" i="29"/>
  <c r="I126" i="26"/>
  <c r="I126" i="27"/>
  <c r="I126" i="28"/>
  <c r="I126" i="29"/>
  <c r="H126" i="26"/>
  <c r="H126" i="27"/>
  <c r="H126" i="28"/>
  <c r="H126" i="29"/>
  <c r="G126" i="26"/>
  <c r="G126" i="27"/>
  <c r="G126" i="28"/>
  <c r="G126" i="29"/>
  <c r="F126" i="26"/>
  <c r="F126" i="27"/>
  <c r="F126" i="28"/>
  <c r="F126" i="29"/>
  <c r="E126" i="26"/>
  <c r="E126" i="27"/>
  <c r="E126" i="28"/>
  <c r="E126" i="29"/>
  <c r="D126" i="26"/>
  <c r="D126" i="27"/>
  <c r="C126" i="26"/>
  <c r="B126" i="26"/>
  <c r="R125" i="26"/>
  <c r="R125" i="27"/>
  <c r="R125" i="28"/>
  <c r="R125" i="29"/>
  <c r="Q125" i="26"/>
  <c r="Q125" i="27"/>
  <c r="Q125" i="28"/>
  <c r="Q125" i="29"/>
  <c r="P125" i="26"/>
  <c r="P125" i="27"/>
  <c r="P125" i="28"/>
  <c r="P125" i="29"/>
  <c r="O125" i="26"/>
  <c r="O125" i="27"/>
  <c r="O125" i="28"/>
  <c r="O125" i="29"/>
  <c r="N125" i="26"/>
  <c r="N125" i="27"/>
  <c r="N125" i="28"/>
  <c r="N125" i="29"/>
  <c r="M125" i="26"/>
  <c r="M125" i="27"/>
  <c r="M125" i="28"/>
  <c r="M125" i="29"/>
  <c r="L125" i="26"/>
  <c r="L125" i="27"/>
  <c r="L125" i="28"/>
  <c r="L125" i="29"/>
  <c r="K125" i="26"/>
  <c r="K125" i="27"/>
  <c r="K125" i="28"/>
  <c r="K125" i="29"/>
  <c r="J125" i="26"/>
  <c r="J125" i="27"/>
  <c r="J125" i="28"/>
  <c r="J125" i="29"/>
  <c r="I125" i="26"/>
  <c r="I125" i="27"/>
  <c r="I125" i="28"/>
  <c r="I125" i="29"/>
  <c r="H125" i="26"/>
  <c r="H125" i="27"/>
  <c r="H125" i="28"/>
  <c r="H125" i="29"/>
  <c r="G125" i="26"/>
  <c r="G125" i="27"/>
  <c r="G125" i="28"/>
  <c r="G125" i="29"/>
  <c r="F125" i="26"/>
  <c r="F125" i="27"/>
  <c r="F125" i="28"/>
  <c r="F125" i="29"/>
  <c r="E125" i="26"/>
  <c r="E125" i="27"/>
  <c r="E125" i="28"/>
  <c r="E125" i="29"/>
  <c r="D125" i="26"/>
  <c r="D125" i="27"/>
  <c r="R124" i="26"/>
  <c r="R124" i="27"/>
  <c r="R124" i="28"/>
  <c r="R124" i="29"/>
  <c r="Q124" i="26"/>
  <c r="Q124" i="27"/>
  <c r="Q124" i="28"/>
  <c r="Q124" i="29"/>
  <c r="P124" i="26"/>
  <c r="P124" i="27"/>
  <c r="P124" i="28"/>
  <c r="P124" i="29"/>
  <c r="O124" i="26"/>
  <c r="O124" i="27"/>
  <c r="O124" i="28"/>
  <c r="O124" i="29"/>
  <c r="N124" i="26"/>
  <c r="N124" i="27"/>
  <c r="N124" i="28"/>
  <c r="N124" i="29"/>
  <c r="M124" i="26"/>
  <c r="M124" i="27"/>
  <c r="M124" i="28"/>
  <c r="M124" i="29"/>
  <c r="L124" i="26"/>
  <c r="L124" i="27"/>
  <c r="L124" i="28"/>
  <c r="L124" i="29"/>
  <c r="K124" i="26"/>
  <c r="K124" i="27"/>
  <c r="K124" i="28"/>
  <c r="K124" i="29"/>
  <c r="J124" i="26"/>
  <c r="J124" i="27"/>
  <c r="J124" i="28"/>
  <c r="J124" i="29"/>
  <c r="I124" i="26"/>
  <c r="I124" i="27"/>
  <c r="I124" i="28"/>
  <c r="I124" i="29"/>
  <c r="H124" i="26"/>
  <c r="H124" i="27"/>
  <c r="H124" i="28"/>
  <c r="H124" i="29"/>
  <c r="G124" i="26"/>
  <c r="G124" i="27"/>
  <c r="G124" i="28"/>
  <c r="G124" i="29"/>
  <c r="F124" i="26"/>
  <c r="F124" i="27"/>
  <c r="F124" i="28"/>
  <c r="F124" i="29"/>
  <c r="E124" i="26"/>
  <c r="E124" i="27"/>
  <c r="E124" i="28"/>
  <c r="E124" i="29"/>
  <c r="D124" i="26"/>
  <c r="D124" i="27"/>
  <c r="C124" i="26"/>
  <c r="B124" i="26"/>
  <c r="R123" i="26"/>
  <c r="R123" i="27"/>
  <c r="R123" i="28"/>
  <c r="R123" i="29"/>
  <c r="Q123" i="26"/>
  <c r="Q123" i="27"/>
  <c r="Q123" i="28"/>
  <c r="Q123" i="29"/>
  <c r="P123" i="26"/>
  <c r="P123" i="27"/>
  <c r="P123" i="28"/>
  <c r="P123" i="29"/>
  <c r="O123" i="26"/>
  <c r="O123" i="27"/>
  <c r="O123" i="28"/>
  <c r="O123" i="29"/>
  <c r="N123" i="26"/>
  <c r="N123" i="27"/>
  <c r="N123" i="28"/>
  <c r="N123" i="29"/>
  <c r="M123" i="26"/>
  <c r="M123" i="27"/>
  <c r="M123" i="28"/>
  <c r="M123" i="29"/>
  <c r="L123" i="26"/>
  <c r="L123" i="27"/>
  <c r="L123" i="28"/>
  <c r="L123" i="29"/>
  <c r="K123" i="26"/>
  <c r="K123" i="27"/>
  <c r="K123" i="28"/>
  <c r="K123" i="29"/>
  <c r="J123" i="26"/>
  <c r="J123" i="27"/>
  <c r="J123" i="28"/>
  <c r="J123" i="29"/>
  <c r="I123" i="26"/>
  <c r="I123" i="27"/>
  <c r="I123" i="28"/>
  <c r="I123" i="29"/>
  <c r="H123" i="26"/>
  <c r="H123" i="27"/>
  <c r="H123" i="28"/>
  <c r="H123" i="29"/>
  <c r="G123" i="26"/>
  <c r="G123" i="27"/>
  <c r="G123" i="28"/>
  <c r="G123" i="29"/>
  <c r="F123" i="26"/>
  <c r="F123" i="27"/>
  <c r="F123" i="28"/>
  <c r="F123" i="29"/>
  <c r="E123" i="26"/>
  <c r="E123" i="27"/>
  <c r="E123" i="28"/>
  <c r="E123" i="29"/>
  <c r="D123" i="26"/>
  <c r="R122" i="26"/>
  <c r="R122" i="27"/>
  <c r="R122" i="28"/>
  <c r="R122" i="29"/>
  <c r="Q122" i="26"/>
  <c r="Q122" i="27"/>
  <c r="Q122" i="28"/>
  <c r="Q122" i="29"/>
  <c r="P122" i="26"/>
  <c r="P122" i="27"/>
  <c r="P122" i="28"/>
  <c r="P122" i="29"/>
  <c r="O122" i="26"/>
  <c r="O122" i="27"/>
  <c r="O122" i="28"/>
  <c r="O122" i="29"/>
  <c r="N122" i="26"/>
  <c r="N122" i="27"/>
  <c r="N122" i="28"/>
  <c r="N122" i="29"/>
  <c r="M122" i="26"/>
  <c r="M122" i="27"/>
  <c r="M122" i="28"/>
  <c r="M122" i="29"/>
  <c r="L122" i="26"/>
  <c r="L122" i="27"/>
  <c r="L122" i="28"/>
  <c r="L122" i="29"/>
  <c r="K122" i="26"/>
  <c r="K122" i="27"/>
  <c r="K122" i="28"/>
  <c r="K122" i="29"/>
  <c r="J122" i="26"/>
  <c r="J122" i="27"/>
  <c r="J122" i="28"/>
  <c r="J122" i="29"/>
  <c r="I122" i="26"/>
  <c r="I122" i="27"/>
  <c r="I122" i="28"/>
  <c r="I122" i="29"/>
  <c r="H122" i="26"/>
  <c r="H122" i="27"/>
  <c r="H122" i="28"/>
  <c r="H122" i="29"/>
  <c r="G122" i="26"/>
  <c r="G122" i="27"/>
  <c r="G122" i="28"/>
  <c r="G122" i="29"/>
  <c r="F122" i="26"/>
  <c r="F122" i="27"/>
  <c r="F122" i="28"/>
  <c r="F122" i="29"/>
  <c r="E122" i="26"/>
  <c r="E122" i="27"/>
  <c r="E122" i="28"/>
  <c r="E122" i="29"/>
  <c r="D122" i="26"/>
  <c r="D122" i="27"/>
  <c r="R121" i="26"/>
  <c r="R121" i="27"/>
  <c r="R121" i="28"/>
  <c r="R121" i="29"/>
  <c r="Q121" i="26"/>
  <c r="Q121" i="27"/>
  <c r="Q121" i="28"/>
  <c r="Q121" i="29"/>
  <c r="P121" i="26"/>
  <c r="P121" i="27"/>
  <c r="P121" i="28"/>
  <c r="P121" i="29"/>
  <c r="O121" i="26"/>
  <c r="O121" i="27"/>
  <c r="O121" i="28"/>
  <c r="O121" i="29"/>
  <c r="N121" i="26"/>
  <c r="N121" i="27"/>
  <c r="N121" i="28"/>
  <c r="N121" i="29"/>
  <c r="M121" i="26"/>
  <c r="M121" i="27"/>
  <c r="M121" i="28"/>
  <c r="M121" i="29"/>
  <c r="L121" i="26"/>
  <c r="L121" i="27"/>
  <c r="L121" i="28"/>
  <c r="L121" i="29"/>
  <c r="K121" i="26"/>
  <c r="K121" i="27"/>
  <c r="K121" i="28"/>
  <c r="K121" i="29"/>
  <c r="J121" i="26"/>
  <c r="J121" i="27"/>
  <c r="J121" i="28"/>
  <c r="J121" i="29"/>
  <c r="I121" i="26"/>
  <c r="I121" i="27"/>
  <c r="I121" i="28"/>
  <c r="I121" i="29"/>
  <c r="H121" i="26"/>
  <c r="H121" i="27"/>
  <c r="H121" i="28"/>
  <c r="H121" i="29"/>
  <c r="G121" i="26"/>
  <c r="G121" i="27"/>
  <c r="G121" i="28"/>
  <c r="G121" i="29"/>
  <c r="F121" i="26"/>
  <c r="F121" i="27"/>
  <c r="F121" i="28"/>
  <c r="F121" i="29"/>
  <c r="E121" i="26"/>
  <c r="E121" i="27"/>
  <c r="D121" i="26"/>
  <c r="D121" i="27"/>
  <c r="R120" i="26"/>
  <c r="R120" i="27"/>
  <c r="R120" i="28"/>
  <c r="R120" i="29"/>
  <c r="Q120" i="26"/>
  <c r="P120" i="26"/>
  <c r="P120" i="27"/>
  <c r="P120" i="28"/>
  <c r="P120" i="29"/>
  <c r="O120" i="26"/>
  <c r="O120" i="27"/>
  <c r="O120" i="28"/>
  <c r="O120" i="29"/>
  <c r="N120" i="26"/>
  <c r="N120" i="27"/>
  <c r="N120" i="28"/>
  <c r="N120" i="29"/>
  <c r="M120" i="26"/>
  <c r="M120" i="27"/>
  <c r="M120" i="28"/>
  <c r="M120" i="29"/>
  <c r="L120" i="26"/>
  <c r="L120" i="27"/>
  <c r="L120" i="28"/>
  <c r="L120" i="29"/>
  <c r="K120" i="26"/>
  <c r="K120" i="27"/>
  <c r="K120" i="28"/>
  <c r="K120" i="29"/>
  <c r="J120" i="26"/>
  <c r="J120" i="27"/>
  <c r="J120" i="28"/>
  <c r="J120" i="29"/>
  <c r="I120" i="26"/>
  <c r="I120" i="27"/>
  <c r="I120" i="28"/>
  <c r="I120" i="29"/>
  <c r="H120" i="26"/>
  <c r="H120" i="27"/>
  <c r="H120" i="28"/>
  <c r="H120" i="29"/>
  <c r="G120" i="26"/>
  <c r="G120" i="27"/>
  <c r="G120" i="28"/>
  <c r="G120" i="29"/>
  <c r="F120" i="26"/>
  <c r="F120" i="27"/>
  <c r="F120" i="28"/>
  <c r="F120" i="29"/>
  <c r="E120" i="26"/>
  <c r="E120" i="27"/>
  <c r="E120" i="28"/>
  <c r="E120" i="29"/>
  <c r="D120" i="26"/>
  <c r="D120" i="27"/>
  <c r="R119" i="26"/>
  <c r="R119" i="27"/>
  <c r="R119" i="28"/>
  <c r="R119" i="29"/>
  <c r="Q119" i="26"/>
  <c r="Q119" i="27"/>
  <c r="Q119" i="28"/>
  <c r="Q119" i="29"/>
  <c r="P119" i="26"/>
  <c r="P119" i="27"/>
  <c r="P119" i="28"/>
  <c r="P119" i="29"/>
  <c r="O119" i="26"/>
  <c r="O119" i="27"/>
  <c r="O119" i="28"/>
  <c r="O119" i="29"/>
  <c r="N119" i="26"/>
  <c r="N119" i="27"/>
  <c r="N119" i="28"/>
  <c r="N119" i="29"/>
  <c r="M119" i="26"/>
  <c r="M119" i="27"/>
  <c r="M119" i="28"/>
  <c r="M119" i="29"/>
  <c r="L119" i="26"/>
  <c r="L119" i="27"/>
  <c r="L119" i="28"/>
  <c r="L119" i="29"/>
  <c r="K119" i="26"/>
  <c r="K119" i="27"/>
  <c r="K119" i="28"/>
  <c r="K119" i="29"/>
  <c r="J119" i="26"/>
  <c r="J119" i="27"/>
  <c r="J119" i="28"/>
  <c r="J119" i="29"/>
  <c r="I119" i="26"/>
  <c r="I119" i="27"/>
  <c r="I119" i="28"/>
  <c r="I119" i="29"/>
  <c r="H119" i="26"/>
  <c r="H119" i="27"/>
  <c r="H119" i="28"/>
  <c r="H119" i="29"/>
  <c r="G119" i="26"/>
  <c r="G119" i="27"/>
  <c r="G119" i="28"/>
  <c r="G119" i="29"/>
  <c r="F119" i="26"/>
  <c r="F119" i="27"/>
  <c r="F119" i="28"/>
  <c r="F119" i="29"/>
  <c r="E119" i="26"/>
  <c r="E119" i="27"/>
  <c r="E119" i="28"/>
  <c r="D119" i="26"/>
  <c r="D119" i="27"/>
  <c r="R118" i="26"/>
  <c r="R118" i="27"/>
  <c r="R118" i="28"/>
  <c r="R118" i="29"/>
  <c r="Q118" i="26"/>
  <c r="Q118" i="27"/>
  <c r="Q118" i="28"/>
  <c r="Q118" i="29"/>
  <c r="P118" i="26"/>
  <c r="P118" i="27"/>
  <c r="P118" i="28"/>
  <c r="P118" i="29"/>
  <c r="O118" i="26"/>
  <c r="O118" i="27"/>
  <c r="O118" i="28"/>
  <c r="O118" i="29"/>
  <c r="N118" i="26"/>
  <c r="M118" i="26"/>
  <c r="M118" i="27"/>
  <c r="M118" i="28"/>
  <c r="M118" i="29"/>
  <c r="L118" i="26"/>
  <c r="L118" i="27"/>
  <c r="L118" i="28"/>
  <c r="L118" i="29"/>
  <c r="K118" i="26"/>
  <c r="K118" i="27"/>
  <c r="K118" i="28"/>
  <c r="K118" i="29"/>
  <c r="J118" i="26"/>
  <c r="J118" i="27"/>
  <c r="J118" i="28"/>
  <c r="J118" i="29"/>
  <c r="I118" i="26"/>
  <c r="I118" i="27"/>
  <c r="I118" i="28"/>
  <c r="I118" i="29"/>
  <c r="H118" i="26"/>
  <c r="H118" i="27"/>
  <c r="H118" i="28"/>
  <c r="H118" i="29"/>
  <c r="G118" i="26"/>
  <c r="G118" i="27"/>
  <c r="G118" i="28"/>
  <c r="G118" i="29"/>
  <c r="F118" i="26"/>
  <c r="F118" i="27"/>
  <c r="F118" i="28"/>
  <c r="F118" i="29"/>
  <c r="E118" i="26"/>
  <c r="E118" i="27"/>
  <c r="E118" i="28"/>
  <c r="E118" i="29"/>
  <c r="D118" i="26"/>
  <c r="D118" i="27"/>
  <c r="R117" i="26"/>
  <c r="R117" i="27"/>
  <c r="R117" i="28"/>
  <c r="R117" i="29"/>
  <c r="Q117" i="26"/>
  <c r="Q117" i="27"/>
  <c r="Q117" i="28"/>
  <c r="Q117" i="29"/>
  <c r="P117" i="26"/>
  <c r="P117" i="27"/>
  <c r="P117" i="28"/>
  <c r="P117" i="29"/>
  <c r="O117" i="26"/>
  <c r="O117" i="27"/>
  <c r="O117" i="28"/>
  <c r="O117" i="29"/>
  <c r="N117" i="26"/>
  <c r="N117" i="27"/>
  <c r="N117" i="28"/>
  <c r="N117" i="29"/>
  <c r="M117" i="26"/>
  <c r="M117" i="27"/>
  <c r="M117" i="28"/>
  <c r="M117" i="29"/>
  <c r="L117" i="26"/>
  <c r="L117" i="27"/>
  <c r="L117" i="28"/>
  <c r="L117" i="29"/>
  <c r="K117" i="26"/>
  <c r="K117" i="27"/>
  <c r="K117" i="28"/>
  <c r="K117" i="29"/>
  <c r="J117" i="26"/>
  <c r="J117" i="27"/>
  <c r="J117" i="28"/>
  <c r="J117" i="29"/>
  <c r="I117" i="26"/>
  <c r="I117" i="27"/>
  <c r="I117" i="28"/>
  <c r="I117" i="29"/>
  <c r="H117" i="26"/>
  <c r="H117" i="27"/>
  <c r="H117" i="28"/>
  <c r="H117" i="29"/>
  <c r="G117" i="26"/>
  <c r="G117" i="27"/>
  <c r="G117" i="28"/>
  <c r="G117" i="29"/>
  <c r="F117" i="26"/>
  <c r="F117" i="27"/>
  <c r="F117" i="28"/>
  <c r="F117" i="29"/>
  <c r="E117" i="26"/>
  <c r="E117" i="27"/>
  <c r="E117" i="28"/>
  <c r="E117" i="29"/>
  <c r="D117" i="26"/>
  <c r="D117" i="27"/>
  <c r="R116" i="26"/>
  <c r="R116" i="27"/>
  <c r="R116" i="28"/>
  <c r="R116" i="29"/>
  <c r="Q116" i="26"/>
  <c r="Q116" i="27"/>
  <c r="Q116" i="28"/>
  <c r="Q116" i="29"/>
  <c r="P116" i="26"/>
  <c r="P116" i="27"/>
  <c r="P116" i="28"/>
  <c r="P116" i="29"/>
  <c r="O116" i="26"/>
  <c r="O116" i="27"/>
  <c r="O116" i="28"/>
  <c r="O116" i="29"/>
  <c r="N116" i="26"/>
  <c r="N116" i="27"/>
  <c r="N116" i="28"/>
  <c r="N116" i="29"/>
  <c r="M116" i="26"/>
  <c r="M116" i="27"/>
  <c r="M116" i="28"/>
  <c r="M116" i="29"/>
  <c r="L116" i="26"/>
  <c r="L116" i="27"/>
  <c r="L116" i="28"/>
  <c r="L116" i="29"/>
  <c r="K116" i="26"/>
  <c r="K116" i="27"/>
  <c r="K116" i="28"/>
  <c r="K116" i="29"/>
  <c r="J116" i="26"/>
  <c r="J116" i="27"/>
  <c r="J116" i="28"/>
  <c r="J116" i="29"/>
  <c r="I116" i="26"/>
  <c r="I116" i="27"/>
  <c r="I116" i="28"/>
  <c r="I116" i="29"/>
  <c r="H116" i="26"/>
  <c r="H116" i="27"/>
  <c r="H116" i="28"/>
  <c r="H116" i="29"/>
  <c r="G116" i="26"/>
  <c r="G116" i="27"/>
  <c r="G116" i="28"/>
  <c r="G116" i="29"/>
  <c r="F116" i="26"/>
  <c r="F116" i="27"/>
  <c r="F116" i="28"/>
  <c r="F116" i="29"/>
  <c r="E116" i="26"/>
  <c r="E116" i="27"/>
  <c r="E116" i="28"/>
  <c r="E116" i="29"/>
  <c r="D116" i="26"/>
  <c r="D116" i="27"/>
  <c r="R115" i="26"/>
  <c r="R115" i="27"/>
  <c r="R115" i="28"/>
  <c r="R115" i="29"/>
  <c r="Q115" i="26"/>
  <c r="Q115" i="27"/>
  <c r="Q115" i="28"/>
  <c r="Q115" i="29"/>
  <c r="P115" i="26"/>
  <c r="P115" i="27"/>
  <c r="P115" i="28"/>
  <c r="P115" i="29"/>
  <c r="O115" i="26"/>
  <c r="O115" i="27"/>
  <c r="O115" i="28"/>
  <c r="O115" i="29"/>
  <c r="N115" i="26"/>
  <c r="N115" i="27"/>
  <c r="N115" i="28"/>
  <c r="N115" i="29"/>
  <c r="M115" i="26"/>
  <c r="M115" i="27"/>
  <c r="M115" i="28"/>
  <c r="M115" i="29"/>
  <c r="L115" i="26"/>
  <c r="L115" i="27"/>
  <c r="L115" i="28"/>
  <c r="L115" i="29"/>
  <c r="K115" i="26"/>
  <c r="K115" i="27"/>
  <c r="K115" i="28"/>
  <c r="K115" i="29"/>
  <c r="J115" i="26"/>
  <c r="J115" i="27"/>
  <c r="J115" i="28"/>
  <c r="J115" i="29"/>
  <c r="I115" i="26"/>
  <c r="I115" i="27"/>
  <c r="I115" i="28"/>
  <c r="I115" i="29"/>
  <c r="H115" i="26"/>
  <c r="H115" i="27"/>
  <c r="H115" i="28"/>
  <c r="H115" i="29"/>
  <c r="G115" i="26"/>
  <c r="G115" i="27"/>
  <c r="G115" i="28"/>
  <c r="G115" i="29"/>
  <c r="F115" i="26"/>
  <c r="F115" i="27"/>
  <c r="F115" i="28"/>
  <c r="F115" i="29"/>
  <c r="E115" i="26"/>
  <c r="E115" i="27"/>
  <c r="E115" i="28"/>
  <c r="E115" i="29"/>
  <c r="D115" i="26"/>
  <c r="D115" i="27"/>
  <c r="R114" i="26"/>
  <c r="R114" i="27"/>
  <c r="R114" i="28"/>
  <c r="R114" i="29"/>
  <c r="Q114" i="26"/>
  <c r="Q114" i="27"/>
  <c r="Q114" i="28"/>
  <c r="Q114" i="29"/>
  <c r="P114" i="26"/>
  <c r="P114" i="27"/>
  <c r="P114" i="28"/>
  <c r="P114" i="29"/>
  <c r="O114" i="26"/>
  <c r="O114" i="27"/>
  <c r="O114" i="28"/>
  <c r="O114" i="29"/>
  <c r="N114" i="26"/>
  <c r="N114" i="27"/>
  <c r="N114" i="28"/>
  <c r="N114" i="29"/>
  <c r="M114" i="26"/>
  <c r="M114" i="27"/>
  <c r="M114" i="28"/>
  <c r="M114" i="29"/>
  <c r="L114" i="26"/>
  <c r="L114" i="27"/>
  <c r="L114" i="28"/>
  <c r="L114" i="29"/>
  <c r="K114" i="26"/>
  <c r="K114" i="27"/>
  <c r="K114" i="28"/>
  <c r="K114" i="29"/>
  <c r="J114" i="26"/>
  <c r="J114" i="27"/>
  <c r="J114" i="28"/>
  <c r="J114" i="29"/>
  <c r="I114" i="26"/>
  <c r="I114" i="27"/>
  <c r="I114" i="28"/>
  <c r="I114" i="29"/>
  <c r="H114" i="26"/>
  <c r="H114" i="27"/>
  <c r="H114" i="28"/>
  <c r="H114" i="29"/>
  <c r="G114" i="26"/>
  <c r="G114" i="27"/>
  <c r="G114" i="28"/>
  <c r="G114" i="29"/>
  <c r="F114" i="26"/>
  <c r="F114" i="27"/>
  <c r="F114" i="28"/>
  <c r="F114" i="29"/>
  <c r="E114" i="26"/>
  <c r="E114" i="27"/>
  <c r="E114" i="28"/>
  <c r="E114" i="29"/>
  <c r="D114" i="26"/>
  <c r="R113" i="26"/>
  <c r="R113" i="27"/>
  <c r="R113" i="28"/>
  <c r="R113" i="29"/>
  <c r="Q113" i="26"/>
  <c r="Q113" i="27"/>
  <c r="Q113" i="28"/>
  <c r="Q113" i="29"/>
  <c r="P113" i="26"/>
  <c r="P113" i="27"/>
  <c r="P113" i="28"/>
  <c r="P113" i="29"/>
  <c r="O113" i="26"/>
  <c r="O113" i="27"/>
  <c r="O113" i="28"/>
  <c r="O113" i="29"/>
  <c r="N113" i="26"/>
  <c r="N113" i="27"/>
  <c r="N113" i="28"/>
  <c r="N113" i="29"/>
  <c r="M113" i="26"/>
  <c r="M113" i="27"/>
  <c r="M113" i="28"/>
  <c r="M113" i="29"/>
  <c r="L113" i="26"/>
  <c r="L113" i="27"/>
  <c r="L113" i="28"/>
  <c r="L113" i="29"/>
  <c r="K113" i="26"/>
  <c r="K113" i="27"/>
  <c r="K113" i="28"/>
  <c r="K113" i="29"/>
  <c r="J113" i="26"/>
  <c r="J113" i="27"/>
  <c r="J113" i="28"/>
  <c r="J113" i="29"/>
  <c r="I113" i="26"/>
  <c r="I113" i="27"/>
  <c r="I113" i="28"/>
  <c r="I113" i="29"/>
  <c r="H113" i="26"/>
  <c r="H113" i="27"/>
  <c r="H113" i="28"/>
  <c r="H113" i="29"/>
  <c r="G113" i="26"/>
  <c r="G113" i="27"/>
  <c r="G113" i="28"/>
  <c r="G113" i="29"/>
  <c r="F113" i="26"/>
  <c r="F113" i="27"/>
  <c r="F113" i="28"/>
  <c r="F113" i="29"/>
  <c r="E113" i="26"/>
  <c r="E113" i="27"/>
  <c r="E113" i="28"/>
  <c r="E113" i="29"/>
  <c r="D113" i="26"/>
  <c r="D113" i="27"/>
  <c r="R112" i="26"/>
  <c r="R112" i="27"/>
  <c r="R112" i="28"/>
  <c r="R112" i="29"/>
  <c r="Q112" i="26"/>
  <c r="Q112" i="27"/>
  <c r="Q112" i="28"/>
  <c r="Q112" i="29"/>
  <c r="P112" i="26"/>
  <c r="P112" i="27"/>
  <c r="P112" i="28"/>
  <c r="P112" i="29"/>
  <c r="O112" i="26"/>
  <c r="O112" i="27"/>
  <c r="O112" i="28"/>
  <c r="O112" i="29"/>
  <c r="N112" i="26"/>
  <c r="N112" i="27"/>
  <c r="N112" i="28"/>
  <c r="N112" i="29"/>
  <c r="M112" i="26"/>
  <c r="M112" i="27"/>
  <c r="M112" i="28"/>
  <c r="M112" i="29"/>
  <c r="L112" i="26"/>
  <c r="L112" i="27"/>
  <c r="L112" i="28"/>
  <c r="L112" i="29"/>
  <c r="K112" i="26"/>
  <c r="K112" i="27"/>
  <c r="K112" i="28"/>
  <c r="K112" i="29"/>
  <c r="J112" i="26"/>
  <c r="J112" i="27"/>
  <c r="J112" i="28"/>
  <c r="J112" i="29"/>
  <c r="I112" i="26"/>
  <c r="I112" i="27"/>
  <c r="I112" i="28"/>
  <c r="I112" i="29"/>
  <c r="H112" i="26"/>
  <c r="H112" i="27"/>
  <c r="H112" i="28"/>
  <c r="H112" i="29"/>
  <c r="G112" i="26"/>
  <c r="G112" i="27"/>
  <c r="G112" i="28"/>
  <c r="G112" i="29"/>
  <c r="F112" i="26"/>
  <c r="F112" i="27"/>
  <c r="F112" i="28"/>
  <c r="F112" i="29"/>
  <c r="E112" i="26"/>
  <c r="E112" i="27"/>
  <c r="D112" i="26"/>
  <c r="D112" i="27"/>
  <c r="R111" i="26"/>
  <c r="R111" i="27"/>
  <c r="R111" i="28"/>
  <c r="R111" i="29"/>
  <c r="Q111" i="26"/>
  <c r="Q111" i="27"/>
  <c r="Q111" i="28"/>
  <c r="Q111" i="29"/>
  <c r="P111" i="26"/>
  <c r="P111" i="27"/>
  <c r="P111" i="28"/>
  <c r="P111" i="29"/>
  <c r="O111" i="26"/>
  <c r="O111" i="27"/>
  <c r="O111" i="28"/>
  <c r="O111" i="29"/>
  <c r="N111" i="26"/>
  <c r="N111" i="27"/>
  <c r="N111" i="28"/>
  <c r="N111" i="29"/>
  <c r="M111" i="26"/>
  <c r="M111" i="27"/>
  <c r="M111" i="28"/>
  <c r="M111" i="29"/>
  <c r="L111" i="26"/>
  <c r="L111" i="27"/>
  <c r="L111" i="28"/>
  <c r="L111" i="29"/>
  <c r="K111" i="26"/>
  <c r="K111" i="27"/>
  <c r="K111" i="28"/>
  <c r="K111" i="29"/>
  <c r="J111" i="26"/>
  <c r="J111" i="27"/>
  <c r="J111" i="28"/>
  <c r="J111" i="29"/>
  <c r="I111" i="26"/>
  <c r="I111" i="27"/>
  <c r="I111" i="28"/>
  <c r="I111" i="29"/>
  <c r="H111" i="26"/>
  <c r="H111" i="27"/>
  <c r="H111" i="28"/>
  <c r="H111" i="29"/>
  <c r="G111" i="26"/>
  <c r="G111" i="27"/>
  <c r="G111" i="28"/>
  <c r="G111" i="29"/>
  <c r="F111" i="26"/>
  <c r="F111" i="27"/>
  <c r="F111" i="28"/>
  <c r="F111" i="29"/>
  <c r="E111" i="26"/>
  <c r="E111" i="27"/>
  <c r="E111" i="28"/>
  <c r="E111" i="29"/>
  <c r="D111" i="26"/>
  <c r="D111" i="27"/>
  <c r="R110" i="26"/>
  <c r="R110" i="27"/>
  <c r="R110" i="28"/>
  <c r="R110" i="29"/>
  <c r="Q110" i="26"/>
  <c r="Q110" i="27"/>
  <c r="Q110" i="28"/>
  <c r="Q110" i="29"/>
  <c r="P110" i="26"/>
  <c r="P110" i="27"/>
  <c r="P110" i="28"/>
  <c r="P110" i="29"/>
  <c r="O110" i="26"/>
  <c r="O110" i="27"/>
  <c r="O110" i="28"/>
  <c r="O110" i="29"/>
  <c r="N110" i="26"/>
  <c r="N110" i="27"/>
  <c r="N110" i="28"/>
  <c r="N110" i="29"/>
  <c r="M110" i="26"/>
  <c r="M110" i="27"/>
  <c r="M110" i="28"/>
  <c r="M110" i="29"/>
  <c r="L110" i="26"/>
  <c r="L110" i="27"/>
  <c r="L110" i="28"/>
  <c r="L110" i="29"/>
  <c r="K110" i="26"/>
  <c r="K110" i="27"/>
  <c r="K110" i="28"/>
  <c r="K110" i="29"/>
  <c r="J110" i="26"/>
  <c r="J110" i="27"/>
  <c r="J110" i="28"/>
  <c r="J110" i="29"/>
  <c r="I110" i="26"/>
  <c r="I110" i="27"/>
  <c r="I110" i="28"/>
  <c r="I110" i="29"/>
  <c r="H110" i="26"/>
  <c r="H110" i="27"/>
  <c r="H110" i="28"/>
  <c r="H110" i="29"/>
  <c r="G110" i="26"/>
  <c r="G110" i="27"/>
  <c r="G110" i="28"/>
  <c r="G110" i="29"/>
  <c r="F110" i="26"/>
  <c r="F110" i="27"/>
  <c r="F110" i="28"/>
  <c r="F110" i="29"/>
  <c r="E110" i="26"/>
  <c r="E110" i="27"/>
  <c r="D110" i="26"/>
  <c r="D110" i="27"/>
  <c r="R109" i="26"/>
  <c r="R109" i="27"/>
  <c r="R109" i="28"/>
  <c r="R109" i="29"/>
  <c r="Q109" i="26"/>
  <c r="Q109" i="27"/>
  <c r="Q109" i="28"/>
  <c r="Q109" i="29"/>
  <c r="P109" i="26"/>
  <c r="P109" i="27"/>
  <c r="P109" i="28"/>
  <c r="P109" i="29"/>
  <c r="O109" i="26"/>
  <c r="O109" i="27"/>
  <c r="O109" i="28"/>
  <c r="O109" i="29"/>
  <c r="N109" i="26"/>
  <c r="N109" i="27"/>
  <c r="N109" i="28"/>
  <c r="N109" i="29"/>
  <c r="M109" i="26"/>
  <c r="M109" i="27"/>
  <c r="M109" i="28"/>
  <c r="M109" i="29"/>
  <c r="L109" i="26"/>
  <c r="L109" i="27"/>
  <c r="L109" i="28"/>
  <c r="L109" i="29"/>
  <c r="K109" i="26"/>
  <c r="K109" i="27"/>
  <c r="K109" i="28"/>
  <c r="K109" i="29"/>
  <c r="J109" i="26"/>
  <c r="J109" i="27"/>
  <c r="J109" i="28"/>
  <c r="J109" i="29"/>
  <c r="I109" i="26"/>
  <c r="I109" i="27"/>
  <c r="I109" i="28"/>
  <c r="I109" i="29"/>
  <c r="H109" i="26"/>
  <c r="H109" i="27"/>
  <c r="H109" i="28"/>
  <c r="H109" i="29"/>
  <c r="G109" i="26"/>
  <c r="G109" i="27"/>
  <c r="G109" i="28"/>
  <c r="G109" i="29"/>
  <c r="F109" i="26"/>
  <c r="F109" i="27"/>
  <c r="F109" i="28"/>
  <c r="F109" i="29"/>
  <c r="E109" i="26"/>
  <c r="E109" i="27"/>
  <c r="E109" i="28"/>
  <c r="E109" i="29"/>
  <c r="D109" i="26"/>
  <c r="D109" i="27"/>
  <c r="R105" i="26"/>
  <c r="R105" i="27"/>
  <c r="R105" i="28"/>
  <c r="R105" i="29"/>
  <c r="Q105" i="26"/>
  <c r="Q105" i="27"/>
  <c r="Q105" i="28"/>
  <c r="Q105" i="29"/>
  <c r="P105" i="26"/>
  <c r="P105" i="27"/>
  <c r="P105" i="28"/>
  <c r="P105" i="29"/>
  <c r="O105" i="26"/>
  <c r="O105" i="27"/>
  <c r="O105" i="28"/>
  <c r="O105" i="29"/>
  <c r="N105" i="26"/>
  <c r="N105" i="27"/>
  <c r="N105" i="28"/>
  <c r="N105" i="29"/>
  <c r="M105" i="26"/>
  <c r="M105" i="27"/>
  <c r="M105" i="28"/>
  <c r="M105" i="29"/>
  <c r="L105" i="26"/>
  <c r="L105" i="27"/>
  <c r="L105" i="28"/>
  <c r="L105" i="29"/>
  <c r="K105" i="26"/>
  <c r="K105" i="27"/>
  <c r="K105" i="28"/>
  <c r="K105" i="29"/>
  <c r="J105" i="26"/>
  <c r="J105" i="27"/>
  <c r="J105" i="28"/>
  <c r="J105" i="29"/>
  <c r="I105" i="26"/>
  <c r="I105" i="27"/>
  <c r="I105" i="28"/>
  <c r="I105" i="29"/>
  <c r="H105" i="26"/>
  <c r="H105" i="27"/>
  <c r="H105" i="28"/>
  <c r="H105" i="29"/>
  <c r="G105" i="26"/>
  <c r="G105" i="27"/>
  <c r="G105" i="28"/>
  <c r="G105" i="29"/>
  <c r="F105" i="26"/>
  <c r="F105" i="27"/>
  <c r="F105" i="28"/>
  <c r="F105" i="29"/>
  <c r="E105" i="26"/>
  <c r="S105" i="26"/>
  <c r="E105" i="27"/>
  <c r="E105" i="28"/>
  <c r="E105" i="29"/>
  <c r="D105" i="26"/>
  <c r="D105" i="27"/>
  <c r="R104" i="26"/>
  <c r="R104" i="27"/>
  <c r="R104" i="28"/>
  <c r="R104" i="29"/>
  <c r="Q104" i="26"/>
  <c r="Q104" i="27"/>
  <c r="Q104" i="28"/>
  <c r="Q104" i="29"/>
  <c r="P104" i="26"/>
  <c r="P104" i="27"/>
  <c r="P104" i="28"/>
  <c r="P104" i="29"/>
  <c r="O104" i="26"/>
  <c r="O104" i="27"/>
  <c r="O104" i="28"/>
  <c r="O104" i="29"/>
  <c r="N104" i="26"/>
  <c r="N104" i="27"/>
  <c r="N104" i="28"/>
  <c r="N104" i="29"/>
  <c r="M104" i="26"/>
  <c r="M104" i="27"/>
  <c r="M104" i="28"/>
  <c r="M104" i="29"/>
  <c r="L104" i="26"/>
  <c r="L104" i="27"/>
  <c r="L104" i="28"/>
  <c r="L104" i="29"/>
  <c r="K104" i="26"/>
  <c r="K104" i="27"/>
  <c r="K104" i="28"/>
  <c r="K104" i="29"/>
  <c r="J104" i="26"/>
  <c r="J104" i="27"/>
  <c r="J104" i="28"/>
  <c r="J104" i="29"/>
  <c r="I104" i="26"/>
  <c r="I104" i="27"/>
  <c r="I104" i="28"/>
  <c r="I104" i="29"/>
  <c r="H104" i="26"/>
  <c r="H104" i="27"/>
  <c r="H104" i="28"/>
  <c r="H104" i="29"/>
  <c r="G104" i="26"/>
  <c r="G104" i="27"/>
  <c r="G104" i="28"/>
  <c r="G104" i="29"/>
  <c r="F104" i="26"/>
  <c r="F104" i="27"/>
  <c r="F104" i="28"/>
  <c r="F104" i="29"/>
  <c r="E104" i="26"/>
  <c r="E104" i="27"/>
  <c r="E104" i="28"/>
  <c r="E104" i="29"/>
  <c r="D104" i="26"/>
  <c r="D104" i="27"/>
  <c r="R103" i="26"/>
  <c r="R103" i="27"/>
  <c r="R103" i="28"/>
  <c r="R103" i="29"/>
  <c r="Q103" i="26"/>
  <c r="Q103" i="27"/>
  <c r="Q103" i="28"/>
  <c r="Q103" i="29"/>
  <c r="P103" i="26"/>
  <c r="P103" i="27"/>
  <c r="P103" i="28"/>
  <c r="P103" i="29"/>
  <c r="O103" i="26"/>
  <c r="O103" i="27"/>
  <c r="O103" i="28"/>
  <c r="O103" i="29"/>
  <c r="N103" i="26"/>
  <c r="N103" i="27"/>
  <c r="N103" i="28"/>
  <c r="N103" i="29"/>
  <c r="M103" i="26"/>
  <c r="M103" i="27"/>
  <c r="M103" i="28"/>
  <c r="M103" i="29"/>
  <c r="L103" i="26"/>
  <c r="L103" i="27"/>
  <c r="L103" i="28"/>
  <c r="L103" i="29"/>
  <c r="K103" i="26"/>
  <c r="K103" i="27"/>
  <c r="K103" i="28"/>
  <c r="K103" i="29"/>
  <c r="J103" i="26"/>
  <c r="J103" i="27"/>
  <c r="J103" i="28"/>
  <c r="J103" i="29"/>
  <c r="I103" i="26"/>
  <c r="I103" i="27"/>
  <c r="I103" i="28"/>
  <c r="I103" i="29"/>
  <c r="H103" i="26"/>
  <c r="H103" i="27"/>
  <c r="H103" i="28"/>
  <c r="H103" i="29"/>
  <c r="G103" i="26"/>
  <c r="G103" i="27"/>
  <c r="G103" i="28"/>
  <c r="G103" i="29"/>
  <c r="F103" i="26"/>
  <c r="F103" i="27"/>
  <c r="F103" i="28"/>
  <c r="F103" i="29"/>
  <c r="E103" i="26"/>
  <c r="S103" i="26"/>
  <c r="E103" i="27"/>
  <c r="D103" i="26"/>
  <c r="D103" i="27"/>
  <c r="R102" i="26"/>
  <c r="R102" i="27"/>
  <c r="R102" i="28"/>
  <c r="R102" i="29"/>
  <c r="Q102" i="26"/>
  <c r="Q102" i="27"/>
  <c r="Q102" i="28"/>
  <c r="Q102" i="29"/>
  <c r="P102" i="26"/>
  <c r="P102" i="27"/>
  <c r="P102" i="28"/>
  <c r="P102" i="29"/>
  <c r="O102" i="26"/>
  <c r="O102" i="27"/>
  <c r="O102" i="28"/>
  <c r="O102" i="29"/>
  <c r="N102" i="26"/>
  <c r="N102" i="27"/>
  <c r="N102" i="28"/>
  <c r="N102" i="29"/>
  <c r="M102" i="26"/>
  <c r="M102" i="27"/>
  <c r="M102" i="28"/>
  <c r="M102" i="29"/>
  <c r="L102" i="26"/>
  <c r="L102" i="27"/>
  <c r="L102" i="28"/>
  <c r="L102" i="29"/>
  <c r="K102" i="26"/>
  <c r="K102" i="27"/>
  <c r="K102" i="28"/>
  <c r="K102" i="29"/>
  <c r="J102" i="26"/>
  <c r="J102" i="27"/>
  <c r="J102" i="28"/>
  <c r="J102" i="29"/>
  <c r="I102" i="26"/>
  <c r="I102" i="27"/>
  <c r="I102" i="28"/>
  <c r="I102" i="29"/>
  <c r="H102" i="26"/>
  <c r="H102" i="27"/>
  <c r="H102" i="28"/>
  <c r="H102" i="29"/>
  <c r="G102" i="26"/>
  <c r="G102" i="27"/>
  <c r="G102" i="28"/>
  <c r="G102" i="29"/>
  <c r="F102" i="26"/>
  <c r="F102" i="27"/>
  <c r="F102" i="28"/>
  <c r="F102" i="29"/>
  <c r="E102" i="26"/>
  <c r="E102" i="27"/>
  <c r="E102" i="28"/>
  <c r="E102" i="29"/>
  <c r="D102" i="26"/>
  <c r="D102" i="27"/>
  <c r="R101" i="26"/>
  <c r="R101" i="27"/>
  <c r="R101" i="28"/>
  <c r="R101" i="29"/>
  <c r="Q101" i="26"/>
  <c r="Q101" i="27"/>
  <c r="Q101" i="28"/>
  <c r="Q101" i="29"/>
  <c r="P101" i="26"/>
  <c r="P101" i="27"/>
  <c r="P101" i="28"/>
  <c r="P101" i="29"/>
  <c r="O101" i="26"/>
  <c r="O101" i="27"/>
  <c r="O101" i="28"/>
  <c r="O101" i="29"/>
  <c r="N101" i="26"/>
  <c r="N101" i="27"/>
  <c r="N101" i="28"/>
  <c r="N101" i="29"/>
  <c r="M101" i="26"/>
  <c r="M101" i="27"/>
  <c r="M101" i="28"/>
  <c r="M101" i="29"/>
  <c r="L101" i="26"/>
  <c r="L101" i="27"/>
  <c r="L101" i="28"/>
  <c r="L101" i="29"/>
  <c r="K101" i="26"/>
  <c r="K101" i="27"/>
  <c r="K101" i="28"/>
  <c r="K101" i="29"/>
  <c r="J101" i="26"/>
  <c r="J101" i="27"/>
  <c r="J101" i="28"/>
  <c r="J101" i="29"/>
  <c r="I101" i="26"/>
  <c r="I101" i="27"/>
  <c r="I101" i="28"/>
  <c r="I101" i="29"/>
  <c r="H101" i="26"/>
  <c r="H101" i="27"/>
  <c r="H101" i="28"/>
  <c r="H101" i="29"/>
  <c r="G101" i="26"/>
  <c r="G101" i="27"/>
  <c r="G101" i="28"/>
  <c r="G101" i="29"/>
  <c r="F101" i="26"/>
  <c r="F101" i="27"/>
  <c r="F101" i="28"/>
  <c r="F101" i="29"/>
  <c r="E101" i="26"/>
  <c r="E101" i="27"/>
  <c r="D101" i="26"/>
  <c r="D101" i="27"/>
  <c r="R100" i="26"/>
  <c r="R100" i="27"/>
  <c r="R100" i="28"/>
  <c r="R100" i="29"/>
  <c r="Q100" i="26"/>
  <c r="Q100" i="27"/>
  <c r="Q100" i="28"/>
  <c r="Q100" i="29"/>
  <c r="P100" i="26"/>
  <c r="P100" i="27"/>
  <c r="P100" i="28"/>
  <c r="P100" i="29"/>
  <c r="O100" i="26"/>
  <c r="O100" i="27"/>
  <c r="O100" i="28"/>
  <c r="O100" i="29"/>
  <c r="N100" i="26"/>
  <c r="N100" i="27"/>
  <c r="N100" i="28"/>
  <c r="N100" i="29"/>
  <c r="M100" i="26"/>
  <c r="M100" i="27"/>
  <c r="M100" i="28"/>
  <c r="M100" i="29"/>
  <c r="L100" i="26"/>
  <c r="L100" i="27"/>
  <c r="L100" i="28"/>
  <c r="L100" i="29"/>
  <c r="K100" i="26"/>
  <c r="K100" i="27"/>
  <c r="K100" i="28"/>
  <c r="K100" i="29"/>
  <c r="J100" i="26"/>
  <c r="J100" i="27"/>
  <c r="J100" i="28"/>
  <c r="J100" i="29"/>
  <c r="I100" i="26"/>
  <c r="I100" i="27"/>
  <c r="I100" i="28"/>
  <c r="I100" i="29"/>
  <c r="H100" i="26"/>
  <c r="H100" i="27"/>
  <c r="H100" i="28"/>
  <c r="H100" i="29"/>
  <c r="G100" i="26"/>
  <c r="G100" i="27"/>
  <c r="G100" i="28"/>
  <c r="G100" i="29"/>
  <c r="F100" i="26"/>
  <c r="F100" i="27"/>
  <c r="F100" i="28"/>
  <c r="F100" i="29"/>
  <c r="E100" i="26"/>
  <c r="E100" i="27"/>
  <c r="E100" i="28"/>
  <c r="E100" i="29"/>
  <c r="D100" i="26"/>
  <c r="D100" i="27"/>
  <c r="R99" i="26"/>
  <c r="R99" i="27"/>
  <c r="R99" i="28"/>
  <c r="R99" i="29"/>
  <c r="Q99" i="26"/>
  <c r="Q99" i="27"/>
  <c r="Q99" i="28"/>
  <c r="Q99" i="29"/>
  <c r="P99" i="26"/>
  <c r="P99" i="27"/>
  <c r="P99" i="28"/>
  <c r="P99" i="29"/>
  <c r="O99" i="26"/>
  <c r="O99" i="27"/>
  <c r="O99" i="28"/>
  <c r="O99" i="29"/>
  <c r="N99" i="26"/>
  <c r="N99" i="27"/>
  <c r="N99" i="28"/>
  <c r="N99" i="29"/>
  <c r="M99" i="26"/>
  <c r="M99" i="27"/>
  <c r="M99" i="28"/>
  <c r="M99" i="29"/>
  <c r="L99" i="26"/>
  <c r="L99" i="27"/>
  <c r="L99" i="28"/>
  <c r="L99" i="29"/>
  <c r="K99" i="26"/>
  <c r="K99" i="27"/>
  <c r="K99" i="28"/>
  <c r="K99" i="29"/>
  <c r="J99" i="26"/>
  <c r="J99" i="27"/>
  <c r="J99" i="28"/>
  <c r="J99" i="29"/>
  <c r="I99" i="26"/>
  <c r="I99" i="27"/>
  <c r="I99" i="28"/>
  <c r="I99" i="29"/>
  <c r="H99" i="26"/>
  <c r="H99" i="27"/>
  <c r="H99" i="28"/>
  <c r="H99" i="29"/>
  <c r="G99" i="26"/>
  <c r="G99" i="27"/>
  <c r="G99" i="28"/>
  <c r="G99" i="29"/>
  <c r="F99" i="26"/>
  <c r="F99" i="27"/>
  <c r="F99" i="28"/>
  <c r="F99" i="29"/>
  <c r="E99" i="26"/>
  <c r="S99" i="26"/>
  <c r="E99" i="27"/>
  <c r="E99" i="28"/>
  <c r="E99" i="29"/>
  <c r="D99" i="26"/>
  <c r="D99" i="27"/>
  <c r="R98" i="26"/>
  <c r="R98" i="27"/>
  <c r="R98" i="28"/>
  <c r="R98" i="29"/>
  <c r="Q98" i="26"/>
  <c r="Q98" i="27"/>
  <c r="Q98" i="28"/>
  <c r="Q98" i="29"/>
  <c r="P98" i="26"/>
  <c r="P98" i="27"/>
  <c r="P98" i="28"/>
  <c r="P98" i="29"/>
  <c r="O98" i="26"/>
  <c r="O98" i="27"/>
  <c r="O98" i="28"/>
  <c r="O98" i="29"/>
  <c r="N98" i="26"/>
  <c r="N98" i="27"/>
  <c r="N98" i="28"/>
  <c r="N98" i="29"/>
  <c r="M98" i="26"/>
  <c r="M98" i="27"/>
  <c r="M98" i="28"/>
  <c r="M98" i="29"/>
  <c r="L98" i="26"/>
  <c r="L98" i="27"/>
  <c r="L98" i="28"/>
  <c r="L98" i="29"/>
  <c r="K98" i="26"/>
  <c r="K98" i="27"/>
  <c r="K98" i="28"/>
  <c r="K98" i="29"/>
  <c r="J98" i="26"/>
  <c r="J98" i="27"/>
  <c r="J98" i="28"/>
  <c r="J98" i="29"/>
  <c r="I98" i="26"/>
  <c r="I98" i="27"/>
  <c r="I98" i="28"/>
  <c r="I98" i="29"/>
  <c r="H98" i="26"/>
  <c r="H98" i="27"/>
  <c r="H98" i="28"/>
  <c r="H98" i="29"/>
  <c r="G98" i="26"/>
  <c r="G98" i="27"/>
  <c r="G98" i="28"/>
  <c r="G98" i="29"/>
  <c r="F98" i="26"/>
  <c r="F98" i="27"/>
  <c r="F98" i="28"/>
  <c r="F98" i="29"/>
  <c r="E98" i="26"/>
  <c r="E98" i="27"/>
  <c r="E98" i="28"/>
  <c r="E98" i="29"/>
  <c r="D98" i="26"/>
  <c r="D98" i="27"/>
  <c r="R97" i="26"/>
  <c r="R97" i="27"/>
  <c r="R97" i="28"/>
  <c r="R97" i="29"/>
  <c r="Q97" i="26"/>
  <c r="Q97" i="27"/>
  <c r="Q97" i="28"/>
  <c r="Q97" i="29"/>
  <c r="P97" i="26"/>
  <c r="P97" i="27"/>
  <c r="P97" i="28"/>
  <c r="P97" i="29"/>
  <c r="O97" i="26"/>
  <c r="O97" i="27"/>
  <c r="O97" i="28"/>
  <c r="O97" i="29"/>
  <c r="N97" i="26"/>
  <c r="N97" i="27"/>
  <c r="N97" i="28"/>
  <c r="N97" i="29"/>
  <c r="M97" i="26"/>
  <c r="M97" i="27"/>
  <c r="M97" i="28"/>
  <c r="M97" i="29"/>
  <c r="L97" i="26"/>
  <c r="L97" i="27"/>
  <c r="L97" i="28"/>
  <c r="L97" i="29"/>
  <c r="K97" i="26"/>
  <c r="K97" i="27"/>
  <c r="K97" i="28"/>
  <c r="K97" i="29"/>
  <c r="J97" i="26"/>
  <c r="J97" i="27"/>
  <c r="J97" i="28"/>
  <c r="J97" i="29"/>
  <c r="I97" i="26"/>
  <c r="I97" i="27"/>
  <c r="I97" i="28"/>
  <c r="I97" i="29"/>
  <c r="H97" i="26"/>
  <c r="H97" i="27"/>
  <c r="H97" i="28"/>
  <c r="H97" i="29"/>
  <c r="G97" i="26"/>
  <c r="G97" i="27"/>
  <c r="G97" i="28"/>
  <c r="G97" i="29"/>
  <c r="F97" i="26"/>
  <c r="F97" i="27"/>
  <c r="F97" i="28"/>
  <c r="F97" i="29"/>
  <c r="E97" i="26"/>
  <c r="S97" i="26"/>
  <c r="E97" i="27"/>
  <c r="D97" i="26"/>
  <c r="D97" i="27"/>
  <c r="R96" i="26"/>
  <c r="R96" i="27"/>
  <c r="R96" i="28"/>
  <c r="R96" i="29"/>
  <c r="Q96" i="26"/>
  <c r="Q96" i="27"/>
  <c r="Q96" i="28"/>
  <c r="Q96" i="29"/>
  <c r="P96" i="26"/>
  <c r="P96" i="27"/>
  <c r="P96" i="28"/>
  <c r="P96" i="29"/>
  <c r="O96" i="26"/>
  <c r="O96" i="27"/>
  <c r="O96" i="28"/>
  <c r="O96" i="29"/>
  <c r="N96" i="26"/>
  <c r="N96" i="27"/>
  <c r="N96" i="28"/>
  <c r="N96" i="29"/>
  <c r="M96" i="26"/>
  <c r="M96" i="27"/>
  <c r="M96" i="28"/>
  <c r="M96" i="29"/>
  <c r="L96" i="26"/>
  <c r="L96" i="27"/>
  <c r="L96" i="28"/>
  <c r="L96" i="29"/>
  <c r="K96" i="26"/>
  <c r="K96" i="27"/>
  <c r="K96" i="28"/>
  <c r="K96" i="29"/>
  <c r="J96" i="26"/>
  <c r="J96" i="27"/>
  <c r="J96" i="28"/>
  <c r="J96" i="29"/>
  <c r="I96" i="26"/>
  <c r="I96" i="27"/>
  <c r="I96" i="28"/>
  <c r="I96" i="29"/>
  <c r="H96" i="26"/>
  <c r="H96" i="27"/>
  <c r="H96" i="28"/>
  <c r="H96" i="29"/>
  <c r="G96" i="26"/>
  <c r="G96" i="27"/>
  <c r="G96" i="28"/>
  <c r="G96" i="29"/>
  <c r="F96" i="26"/>
  <c r="F96" i="27"/>
  <c r="F96" i="28"/>
  <c r="F96" i="29"/>
  <c r="E96" i="26"/>
  <c r="E96" i="27"/>
  <c r="E96" i="28"/>
  <c r="E96" i="29"/>
  <c r="D96" i="26"/>
  <c r="D96" i="27"/>
  <c r="R95" i="26"/>
  <c r="R95" i="27"/>
  <c r="R95" i="28"/>
  <c r="R95" i="29"/>
  <c r="Q95" i="26"/>
  <c r="Q95" i="27"/>
  <c r="Q95" i="28"/>
  <c r="Q95" i="29"/>
  <c r="P95" i="26"/>
  <c r="P95" i="27"/>
  <c r="P95" i="28"/>
  <c r="P95" i="29"/>
  <c r="O95" i="26"/>
  <c r="O95" i="27"/>
  <c r="O95" i="28"/>
  <c r="O95" i="29"/>
  <c r="N95" i="26"/>
  <c r="N95" i="27"/>
  <c r="N95" i="28"/>
  <c r="N95" i="29"/>
  <c r="M95" i="26"/>
  <c r="M95" i="27"/>
  <c r="M95" i="28"/>
  <c r="M95" i="29"/>
  <c r="L95" i="26"/>
  <c r="L95" i="27"/>
  <c r="L95" i="28"/>
  <c r="L95" i="29"/>
  <c r="K95" i="26"/>
  <c r="K95" i="27"/>
  <c r="K95" i="28"/>
  <c r="K95" i="29"/>
  <c r="J95" i="26"/>
  <c r="J95" i="27"/>
  <c r="J95" i="28"/>
  <c r="J95" i="29"/>
  <c r="I95" i="26"/>
  <c r="I95" i="27"/>
  <c r="I95" i="28"/>
  <c r="I95" i="29"/>
  <c r="H95" i="26"/>
  <c r="H95" i="27"/>
  <c r="H95" i="28"/>
  <c r="H95" i="29"/>
  <c r="G95" i="26"/>
  <c r="G95" i="27"/>
  <c r="F95" i="26"/>
  <c r="F95" i="27"/>
  <c r="F95" i="28"/>
  <c r="F95" i="29"/>
  <c r="E95" i="26"/>
  <c r="E95" i="27"/>
  <c r="E95" i="28"/>
  <c r="E95" i="29"/>
  <c r="D95" i="26"/>
  <c r="D95" i="27"/>
  <c r="R94" i="26"/>
  <c r="R94" i="27"/>
  <c r="R94" i="28"/>
  <c r="R94" i="29"/>
  <c r="Q94" i="26"/>
  <c r="Q94" i="27"/>
  <c r="Q94" i="28"/>
  <c r="Q94" i="29"/>
  <c r="P94" i="26"/>
  <c r="P94" i="27"/>
  <c r="P94" i="28"/>
  <c r="P94" i="29"/>
  <c r="O94" i="26"/>
  <c r="O94" i="27"/>
  <c r="O94" i="28"/>
  <c r="O94" i="29"/>
  <c r="N94" i="26"/>
  <c r="N94" i="27"/>
  <c r="N94" i="28"/>
  <c r="N94" i="29"/>
  <c r="M94" i="26"/>
  <c r="M94" i="27"/>
  <c r="M94" i="28"/>
  <c r="M94" i="29"/>
  <c r="L94" i="26"/>
  <c r="L94" i="27"/>
  <c r="L94" i="28"/>
  <c r="L94" i="29"/>
  <c r="K94" i="26"/>
  <c r="K94" i="27"/>
  <c r="K94" i="28"/>
  <c r="K94" i="29"/>
  <c r="J94" i="26"/>
  <c r="J94" i="27"/>
  <c r="J94" i="28"/>
  <c r="J94" i="29"/>
  <c r="I94" i="26"/>
  <c r="I94" i="27"/>
  <c r="I94" i="28"/>
  <c r="I94" i="29"/>
  <c r="H94" i="26"/>
  <c r="H94" i="27"/>
  <c r="H94" i="28"/>
  <c r="H94" i="29"/>
  <c r="G94" i="26"/>
  <c r="G94" i="27"/>
  <c r="F94" i="26"/>
  <c r="F94" i="27"/>
  <c r="F94" i="28"/>
  <c r="F94" i="29"/>
  <c r="E94" i="26"/>
  <c r="E94" i="27"/>
  <c r="E94" i="28"/>
  <c r="E94" i="29"/>
  <c r="D94" i="26"/>
  <c r="D94" i="27"/>
  <c r="R93" i="26"/>
  <c r="R93" i="27"/>
  <c r="R93" i="28"/>
  <c r="R93" i="29"/>
  <c r="Q93" i="26"/>
  <c r="Q93" i="27"/>
  <c r="Q93" i="28"/>
  <c r="Q93" i="29"/>
  <c r="P93" i="26"/>
  <c r="P93" i="27"/>
  <c r="P93" i="28"/>
  <c r="P93" i="29"/>
  <c r="O93" i="26"/>
  <c r="O93" i="27"/>
  <c r="O93" i="28"/>
  <c r="O93" i="29"/>
  <c r="N93" i="26"/>
  <c r="N93" i="27"/>
  <c r="N93" i="28"/>
  <c r="N93" i="29"/>
  <c r="M93" i="26"/>
  <c r="M93" i="27"/>
  <c r="M93" i="28"/>
  <c r="M93" i="29"/>
  <c r="L93" i="26"/>
  <c r="L93" i="27"/>
  <c r="L93" i="28"/>
  <c r="L93" i="29"/>
  <c r="K93" i="26"/>
  <c r="K93" i="27"/>
  <c r="K93" i="28"/>
  <c r="K93" i="29"/>
  <c r="J93" i="26"/>
  <c r="J93" i="27"/>
  <c r="J93" i="28"/>
  <c r="J93" i="29"/>
  <c r="I93" i="26"/>
  <c r="I93" i="27"/>
  <c r="I93" i="28"/>
  <c r="I93" i="29"/>
  <c r="H93" i="26"/>
  <c r="H93" i="27"/>
  <c r="H93" i="28"/>
  <c r="H93" i="29"/>
  <c r="G93" i="26"/>
  <c r="G93" i="27"/>
  <c r="G93" i="28"/>
  <c r="G93" i="29"/>
  <c r="S93" i="29"/>
  <c r="F93" i="26"/>
  <c r="F93" i="27"/>
  <c r="F93" i="28"/>
  <c r="F93" i="29"/>
  <c r="E93" i="26"/>
  <c r="E93" i="27"/>
  <c r="E93" i="28"/>
  <c r="E93" i="29"/>
  <c r="D93" i="26"/>
  <c r="D93" i="27"/>
  <c r="C93" i="26"/>
  <c r="B93" i="26"/>
  <c r="R92" i="26"/>
  <c r="R92" i="27"/>
  <c r="R92" i="28"/>
  <c r="R92" i="29"/>
  <c r="Q92" i="26"/>
  <c r="Q92" i="27"/>
  <c r="Q92" i="28"/>
  <c r="Q92" i="29"/>
  <c r="P92" i="26"/>
  <c r="P92" i="27"/>
  <c r="P92" i="28"/>
  <c r="P92" i="29"/>
  <c r="O92" i="26"/>
  <c r="O92" i="27"/>
  <c r="O92" i="28"/>
  <c r="O92" i="29"/>
  <c r="N92" i="26"/>
  <c r="N92" i="27"/>
  <c r="N92" i="28"/>
  <c r="N92" i="29"/>
  <c r="M92" i="26"/>
  <c r="M92" i="27"/>
  <c r="M92" i="28"/>
  <c r="M92" i="29"/>
  <c r="L92" i="26"/>
  <c r="L92" i="27"/>
  <c r="L92" i="28"/>
  <c r="L92" i="29"/>
  <c r="K92" i="26"/>
  <c r="K92" i="27"/>
  <c r="K92" i="28"/>
  <c r="K92" i="29"/>
  <c r="J92" i="26"/>
  <c r="J92" i="27"/>
  <c r="J92" i="28"/>
  <c r="J92" i="29"/>
  <c r="I92" i="26"/>
  <c r="I92" i="27"/>
  <c r="I92" i="28"/>
  <c r="I92" i="29"/>
  <c r="H92" i="26"/>
  <c r="H92" i="27"/>
  <c r="H92" i="28"/>
  <c r="H92" i="29"/>
  <c r="G92" i="26"/>
  <c r="G92" i="27"/>
  <c r="G92" i="28"/>
  <c r="G92" i="29"/>
  <c r="F92" i="26"/>
  <c r="F92" i="27"/>
  <c r="F92" i="28"/>
  <c r="F92" i="29"/>
  <c r="E92" i="26"/>
  <c r="E92" i="27"/>
  <c r="E92" i="28"/>
  <c r="E92" i="29"/>
  <c r="D92" i="26"/>
  <c r="D92" i="27"/>
  <c r="R91" i="26"/>
  <c r="R91" i="27"/>
  <c r="R91" i="28"/>
  <c r="R91" i="29"/>
  <c r="Q91" i="26"/>
  <c r="Q91" i="27"/>
  <c r="Q91" i="28"/>
  <c r="Q91" i="29"/>
  <c r="P91" i="26"/>
  <c r="P91" i="27"/>
  <c r="P91" i="28"/>
  <c r="P91" i="29"/>
  <c r="O91" i="26"/>
  <c r="O91" i="27"/>
  <c r="O91" i="28"/>
  <c r="O91" i="29"/>
  <c r="N91" i="26"/>
  <c r="N91" i="27"/>
  <c r="N91" i="28"/>
  <c r="N91" i="29"/>
  <c r="M91" i="26"/>
  <c r="M91" i="27"/>
  <c r="M91" i="28"/>
  <c r="M91" i="29"/>
  <c r="L91" i="26"/>
  <c r="L91" i="27"/>
  <c r="L91" i="28"/>
  <c r="L91" i="29"/>
  <c r="K91" i="26"/>
  <c r="K91" i="27"/>
  <c r="K91" i="28"/>
  <c r="K91" i="29"/>
  <c r="J91" i="26"/>
  <c r="J91" i="27"/>
  <c r="J91" i="28"/>
  <c r="J91" i="29"/>
  <c r="I91" i="26"/>
  <c r="I91" i="27"/>
  <c r="I91" i="28"/>
  <c r="I91" i="29"/>
  <c r="H91" i="26"/>
  <c r="H91" i="27"/>
  <c r="H91" i="28"/>
  <c r="H91" i="29"/>
  <c r="G91" i="26"/>
  <c r="G91" i="27"/>
  <c r="G91" i="28"/>
  <c r="G91" i="29"/>
  <c r="F91" i="26"/>
  <c r="F91" i="27"/>
  <c r="F91" i="28"/>
  <c r="F91" i="29"/>
  <c r="E91" i="26"/>
  <c r="E91" i="27"/>
  <c r="E91" i="28"/>
  <c r="E91" i="29"/>
  <c r="D91" i="26"/>
  <c r="D91" i="27"/>
  <c r="R90" i="26"/>
  <c r="R90" i="27"/>
  <c r="R90" i="28"/>
  <c r="R90" i="29"/>
  <c r="Q90" i="26"/>
  <c r="Q90" i="27"/>
  <c r="Q90" i="28"/>
  <c r="Q90" i="29"/>
  <c r="P90" i="26"/>
  <c r="P90" i="27"/>
  <c r="P90" i="28"/>
  <c r="P90" i="29"/>
  <c r="O90" i="26"/>
  <c r="O90" i="27"/>
  <c r="O90" i="28"/>
  <c r="O90" i="29"/>
  <c r="N90" i="26"/>
  <c r="N90" i="27"/>
  <c r="N90" i="28"/>
  <c r="N90" i="29"/>
  <c r="M90" i="26"/>
  <c r="M90" i="27"/>
  <c r="M90" i="28"/>
  <c r="M90" i="29"/>
  <c r="L90" i="26"/>
  <c r="L90" i="27"/>
  <c r="L90" i="28"/>
  <c r="L90" i="29"/>
  <c r="K90" i="26"/>
  <c r="K90" i="27"/>
  <c r="K90" i="28"/>
  <c r="K90" i="29"/>
  <c r="J90" i="26"/>
  <c r="J90" i="27"/>
  <c r="J90" i="28"/>
  <c r="J90" i="29"/>
  <c r="I90" i="26"/>
  <c r="I90" i="27"/>
  <c r="I90" i="28"/>
  <c r="I90" i="29"/>
  <c r="H90" i="26"/>
  <c r="H90" i="27"/>
  <c r="G90" i="26"/>
  <c r="G90" i="27"/>
  <c r="G90" i="28"/>
  <c r="G90" i="29"/>
  <c r="F90" i="26"/>
  <c r="F90" i="27"/>
  <c r="F90" i="28"/>
  <c r="F90" i="29"/>
  <c r="E90" i="26"/>
  <c r="E90" i="27"/>
  <c r="E90" i="28"/>
  <c r="E90" i="29"/>
  <c r="D90" i="26"/>
  <c r="D90" i="27"/>
  <c r="R89" i="26"/>
  <c r="R89" i="27"/>
  <c r="R89" i="28"/>
  <c r="R89" i="29"/>
  <c r="Q89" i="26"/>
  <c r="Q89" i="27"/>
  <c r="Q89" i="28"/>
  <c r="Q89" i="29"/>
  <c r="P89" i="26"/>
  <c r="P89" i="27"/>
  <c r="P89" i="28"/>
  <c r="P89" i="29"/>
  <c r="O89" i="26"/>
  <c r="O89" i="27"/>
  <c r="O89" i="28"/>
  <c r="O89" i="29"/>
  <c r="N89" i="26"/>
  <c r="N89" i="27"/>
  <c r="N89" i="28"/>
  <c r="N89" i="29"/>
  <c r="M89" i="26"/>
  <c r="M89" i="27"/>
  <c r="M89" i="28"/>
  <c r="M89" i="29"/>
  <c r="L89" i="26"/>
  <c r="L89" i="27"/>
  <c r="L89" i="28"/>
  <c r="L89" i="29"/>
  <c r="K89" i="26"/>
  <c r="K89" i="27"/>
  <c r="K89" i="28"/>
  <c r="K89" i="29"/>
  <c r="J89" i="26"/>
  <c r="J89" i="27"/>
  <c r="J89" i="28"/>
  <c r="J89" i="29"/>
  <c r="I89" i="26"/>
  <c r="I89" i="27"/>
  <c r="I89" i="28"/>
  <c r="I89" i="29"/>
  <c r="H89" i="26"/>
  <c r="H89" i="27"/>
  <c r="H89" i="28"/>
  <c r="H89" i="29"/>
  <c r="G89" i="26"/>
  <c r="G89" i="27"/>
  <c r="G89" i="28"/>
  <c r="G89" i="29"/>
  <c r="F89" i="26"/>
  <c r="F89" i="27"/>
  <c r="F89" i="28"/>
  <c r="F89" i="29"/>
  <c r="E89" i="26"/>
  <c r="E89" i="27"/>
  <c r="E89" i="28"/>
  <c r="E89" i="29"/>
  <c r="D89" i="26"/>
  <c r="D89" i="27"/>
  <c r="R85" i="26"/>
  <c r="R85" i="27"/>
  <c r="R85" i="28"/>
  <c r="R85" i="29"/>
  <c r="Q85" i="26"/>
  <c r="Q85" i="27"/>
  <c r="Q85" i="28"/>
  <c r="Q85" i="29"/>
  <c r="P85" i="26"/>
  <c r="P85" i="27"/>
  <c r="P85" i="28"/>
  <c r="P85" i="29"/>
  <c r="O85" i="26"/>
  <c r="O85" i="27"/>
  <c r="O85" i="28"/>
  <c r="O85" i="29"/>
  <c r="N85" i="26"/>
  <c r="N85" i="27"/>
  <c r="N85" i="28"/>
  <c r="N85" i="29"/>
  <c r="M85" i="26"/>
  <c r="M85" i="27"/>
  <c r="M85" i="28"/>
  <c r="M85" i="29"/>
  <c r="L85" i="26"/>
  <c r="L85" i="27"/>
  <c r="L85" i="28"/>
  <c r="L85" i="29"/>
  <c r="K85" i="26"/>
  <c r="K85" i="27"/>
  <c r="K85" i="28"/>
  <c r="K85" i="29"/>
  <c r="J85" i="26"/>
  <c r="J85" i="27"/>
  <c r="J85" i="28"/>
  <c r="J85" i="29"/>
  <c r="I85" i="26"/>
  <c r="I85" i="27"/>
  <c r="I85" i="28"/>
  <c r="I85" i="29"/>
  <c r="H85" i="26"/>
  <c r="H85" i="27"/>
  <c r="H85" i="28"/>
  <c r="H85" i="29"/>
  <c r="G85" i="26"/>
  <c r="G85" i="27"/>
  <c r="G85" i="28"/>
  <c r="G85" i="29"/>
  <c r="F85" i="26"/>
  <c r="F85" i="27"/>
  <c r="E85" i="26"/>
  <c r="E85" i="27"/>
  <c r="E85" i="28"/>
  <c r="E85" i="29"/>
  <c r="D85" i="26"/>
  <c r="D85" i="27"/>
  <c r="C85" i="26"/>
  <c r="B85" i="26"/>
  <c r="R84" i="26"/>
  <c r="R84" i="27"/>
  <c r="R84" i="28"/>
  <c r="R84" i="29"/>
  <c r="Q84" i="26"/>
  <c r="Q84" i="27"/>
  <c r="Q84" i="28"/>
  <c r="Q84" i="29"/>
  <c r="P84" i="26"/>
  <c r="P84" i="27"/>
  <c r="P84" i="28"/>
  <c r="P84" i="29"/>
  <c r="O84" i="26"/>
  <c r="O84" i="27"/>
  <c r="O84" i="28"/>
  <c r="O84" i="29"/>
  <c r="N84" i="26"/>
  <c r="N84" i="27"/>
  <c r="N84" i="28"/>
  <c r="N84" i="29"/>
  <c r="M84" i="26"/>
  <c r="M84" i="27"/>
  <c r="M84" i="28"/>
  <c r="M84" i="29"/>
  <c r="L84" i="26"/>
  <c r="L84" i="27"/>
  <c r="L84" i="28"/>
  <c r="L84" i="29"/>
  <c r="K84" i="26"/>
  <c r="K84" i="27"/>
  <c r="K84" i="28"/>
  <c r="K84" i="29"/>
  <c r="J84" i="26"/>
  <c r="J84" i="27"/>
  <c r="J84" i="28"/>
  <c r="J84" i="29"/>
  <c r="I84" i="26"/>
  <c r="I84" i="27"/>
  <c r="I84" i="28"/>
  <c r="I84" i="29"/>
  <c r="H84" i="26"/>
  <c r="H84" i="27"/>
  <c r="H84" i="28"/>
  <c r="H84" i="29"/>
  <c r="G84" i="26"/>
  <c r="G84" i="27"/>
  <c r="G84" i="28"/>
  <c r="G84" i="29"/>
  <c r="F84" i="26"/>
  <c r="F84" i="27"/>
  <c r="F84" i="28"/>
  <c r="F84" i="29"/>
  <c r="E84" i="26"/>
  <c r="D84" i="26"/>
  <c r="D84" i="27"/>
  <c r="C84" i="26"/>
  <c r="B84" i="26"/>
  <c r="R83" i="26"/>
  <c r="R83" i="27"/>
  <c r="R83" i="28"/>
  <c r="R83" i="29"/>
  <c r="Q83" i="26"/>
  <c r="Q83" i="27"/>
  <c r="Q83" i="28"/>
  <c r="Q83" i="29"/>
  <c r="P83" i="26"/>
  <c r="P83" i="27"/>
  <c r="P83" i="28"/>
  <c r="P83" i="29"/>
  <c r="O83" i="26"/>
  <c r="O83" i="27"/>
  <c r="O83" i="28"/>
  <c r="O83" i="29"/>
  <c r="N83" i="26"/>
  <c r="N83" i="27"/>
  <c r="N83" i="28"/>
  <c r="N83" i="29"/>
  <c r="M83" i="26"/>
  <c r="M83" i="27"/>
  <c r="M83" i="28"/>
  <c r="M83" i="29"/>
  <c r="L83" i="26"/>
  <c r="L83" i="27"/>
  <c r="L83" i="28"/>
  <c r="L83" i="29"/>
  <c r="K83" i="26"/>
  <c r="K83" i="27"/>
  <c r="K83" i="28"/>
  <c r="K83" i="29"/>
  <c r="J83" i="26"/>
  <c r="J83" i="27"/>
  <c r="J83" i="28"/>
  <c r="J83" i="29"/>
  <c r="I83" i="26"/>
  <c r="I83" i="27"/>
  <c r="I83" i="28"/>
  <c r="I83" i="29"/>
  <c r="H83" i="26"/>
  <c r="H83" i="27"/>
  <c r="H83" i="28"/>
  <c r="H83" i="29"/>
  <c r="G83" i="26"/>
  <c r="G83" i="27"/>
  <c r="G83" i="28"/>
  <c r="G83" i="29"/>
  <c r="F83" i="26"/>
  <c r="F83" i="27"/>
  <c r="F83" i="28"/>
  <c r="F83" i="29"/>
  <c r="E83" i="26"/>
  <c r="E83" i="27"/>
  <c r="E83" i="28"/>
  <c r="E83" i="29"/>
  <c r="D83" i="26"/>
  <c r="D83" i="27"/>
  <c r="C83" i="26"/>
  <c r="B83" i="26"/>
  <c r="R82" i="26"/>
  <c r="R82" i="27"/>
  <c r="R82" i="28"/>
  <c r="R82" i="29"/>
  <c r="Q82" i="26"/>
  <c r="Q82" i="27"/>
  <c r="Q82" i="28"/>
  <c r="Q82" i="29"/>
  <c r="P82" i="26"/>
  <c r="P82" i="27"/>
  <c r="P82" i="28"/>
  <c r="P82" i="29"/>
  <c r="O82" i="26"/>
  <c r="O82" i="27"/>
  <c r="O82" i="28"/>
  <c r="O82" i="29"/>
  <c r="N82" i="26"/>
  <c r="N82" i="27"/>
  <c r="N82" i="28"/>
  <c r="N82" i="29"/>
  <c r="M82" i="26"/>
  <c r="M82" i="27"/>
  <c r="M82" i="28"/>
  <c r="M82" i="29"/>
  <c r="L82" i="26"/>
  <c r="L82" i="27"/>
  <c r="L82" i="28"/>
  <c r="L82" i="29"/>
  <c r="K82" i="26"/>
  <c r="K82" i="27"/>
  <c r="K82" i="28"/>
  <c r="K82" i="29"/>
  <c r="J82" i="26"/>
  <c r="J82" i="27"/>
  <c r="J82" i="28"/>
  <c r="J82" i="29"/>
  <c r="I82" i="26"/>
  <c r="I82" i="27"/>
  <c r="I82" i="28"/>
  <c r="I82" i="29"/>
  <c r="H82" i="26"/>
  <c r="H82" i="27"/>
  <c r="H82" i="28"/>
  <c r="H82" i="29"/>
  <c r="G82" i="26"/>
  <c r="G82" i="27"/>
  <c r="G82" i="28"/>
  <c r="G82" i="29"/>
  <c r="F82" i="26"/>
  <c r="F82" i="27"/>
  <c r="F82" i="28"/>
  <c r="F82" i="29"/>
  <c r="E82" i="26"/>
  <c r="E82" i="27"/>
  <c r="D82" i="26"/>
  <c r="D82" i="27"/>
  <c r="C82" i="26"/>
  <c r="B82" i="26"/>
  <c r="R81" i="26"/>
  <c r="R81" i="27"/>
  <c r="R81" i="28"/>
  <c r="R81" i="29"/>
  <c r="Q81" i="26"/>
  <c r="Q81" i="27"/>
  <c r="Q81" i="28"/>
  <c r="Q81" i="29"/>
  <c r="P81" i="26"/>
  <c r="P81" i="27"/>
  <c r="P81" i="28"/>
  <c r="P81" i="29"/>
  <c r="O81" i="26"/>
  <c r="O81" i="27"/>
  <c r="O81" i="28"/>
  <c r="O81" i="29"/>
  <c r="N81" i="26"/>
  <c r="N81" i="27"/>
  <c r="N81" i="28"/>
  <c r="N81" i="29"/>
  <c r="M81" i="26"/>
  <c r="M81" i="27"/>
  <c r="M81" i="28"/>
  <c r="M81" i="29"/>
  <c r="L81" i="26"/>
  <c r="L81" i="27"/>
  <c r="L81" i="28"/>
  <c r="L81" i="29"/>
  <c r="K81" i="26"/>
  <c r="J81" i="26"/>
  <c r="J81" i="27"/>
  <c r="J81" i="28"/>
  <c r="J81" i="29"/>
  <c r="I81" i="26"/>
  <c r="I81" i="27"/>
  <c r="I81" i="28"/>
  <c r="I81" i="29"/>
  <c r="H81" i="26"/>
  <c r="H81" i="27"/>
  <c r="H81" i="28"/>
  <c r="H81" i="29"/>
  <c r="G81" i="26"/>
  <c r="G81" i="27"/>
  <c r="F81" i="26"/>
  <c r="F81" i="27"/>
  <c r="F81" i="28"/>
  <c r="F81" i="29"/>
  <c r="E81" i="26"/>
  <c r="E81" i="27"/>
  <c r="E81" i="28"/>
  <c r="E81" i="29"/>
  <c r="D81" i="26"/>
  <c r="D81" i="27"/>
  <c r="C81" i="26"/>
  <c r="B81" i="26"/>
  <c r="R80" i="26"/>
  <c r="R80" i="27"/>
  <c r="R80" i="28"/>
  <c r="R80" i="29"/>
  <c r="Q80" i="26"/>
  <c r="Q80" i="27"/>
  <c r="Q80" i="28"/>
  <c r="Q80" i="29"/>
  <c r="P80" i="26"/>
  <c r="P80" i="27"/>
  <c r="P80" i="28"/>
  <c r="P80" i="29"/>
  <c r="O80" i="26"/>
  <c r="O80" i="27"/>
  <c r="O80" i="28"/>
  <c r="O80" i="29"/>
  <c r="N80" i="26"/>
  <c r="N80" i="27"/>
  <c r="N80" i="28"/>
  <c r="N80" i="29"/>
  <c r="M80" i="26"/>
  <c r="M80" i="27"/>
  <c r="M80" i="28"/>
  <c r="M80" i="29"/>
  <c r="L80" i="26"/>
  <c r="L80" i="27"/>
  <c r="L80" i="28"/>
  <c r="L80" i="29"/>
  <c r="K80" i="26"/>
  <c r="K80" i="27"/>
  <c r="K80" i="28"/>
  <c r="K80" i="29"/>
  <c r="J80" i="26"/>
  <c r="J80" i="27"/>
  <c r="J80" i="28"/>
  <c r="J80" i="29"/>
  <c r="I80" i="26"/>
  <c r="I80" i="27"/>
  <c r="I80" i="28"/>
  <c r="I80" i="29"/>
  <c r="H80" i="26"/>
  <c r="H80" i="27"/>
  <c r="H80" i="28"/>
  <c r="H80" i="29"/>
  <c r="G80" i="26"/>
  <c r="G80" i="27"/>
  <c r="G80" i="28"/>
  <c r="G80" i="29"/>
  <c r="F80" i="26"/>
  <c r="F80" i="27"/>
  <c r="F80" i="28"/>
  <c r="F80" i="29"/>
  <c r="E80" i="26"/>
  <c r="E80" i="27"/>
  <c r="E80" i="28"/>
  <c r="E80" i="29"/>
  <c r="D80" i="26"/>
  <c r="D80" i="27"/>
  <c r="C80" i="26"/>
  <c r="B80" i="26"/>
  <c r="R79" i="26"/>
  <c r="R79" i="27"/>
  <c r="R79" i="28"/>
  <c r="R79" i="29"/>
  <c r="Q79" i="26"/>
  <c r="Q79" i="27"/>
  <c r="Q79" i="28"/>
  <c r="Q79" i="29"/>
  <c r="P79" i="26"/>
  <c r="P79" i="27"/>
  <c r="P79" i="28"/>
  <c r="P79" i="29"/>
  <c r="O79" i="26"/>
  <c r="O79" i="27"/>
  <c r="O79" i="28"/>
  <c r="O79" i="29"/>
  <c r="N79" i="26"/>
  <c r="N79" i="27"/>
  <c r="M79" i="26"/>
  <c r="M79" i="27"/>
  <c r="M79" i="28"/>
  <c r="M79" i="29"/>
  <c r="L79" i="26"/>
  <c r="L79" i="27"/>
  <c r="L79" i="28"/>
  <c r="L79" i="29"/>
  <c r="K79" i="26"/>
  <c r="K79" i="27"/>
  <c r="K79" i="28"/>
  <c r="K79" i="29"/>
  <c r="J79" i="26"/>
  <c r="J79" i="27"/>
  <c r="J79" i="28"/>
  <c r="J79" i="29"/>
  <c r="I79" i="26"/>
  <c r="I79" i="27"/>
  <c r="I79" i="28"/>
  <c r="I79" i="29"/>
  <c r="H79" i="26"/>
  <c r="H79" i="27"/>
  <c r="H79" i="28"/>
  <c r="H79" i="29"/>
  <c r="G79" i="26"/>
  <c r="G79" i="27"/>
  <c r="G79" i="28"/>
  <c r="G79" i="29"/>
  <c r="F79" i="26"/>
  <c r="F79" i="27"/>
  <c r="F79" i="28"/>
  <c r="F79" i="29"/>
  <c r="E79" i="26"/>
  <c r="E79" i="27"/>
  <c r="E79" i="28"/>
  <c r="E79" i="29"/>
  <c r="D79" i="26"/>
  <c r="D79" i="27"/>
  <c r="C79" i="26"/>
  <c r="B79" i="26"/>
  <c r="R78" i="26"/>
  <c r="R78" i="27"/>
  <c r="R78" i="28"/>
  <c r="R78" i="29"/>
  <c r="Q78" i="26"/>
  <c r="Q78" i="27"/>
  <c r="Q78" i="28"/>
  <c r="Q78" i="29"/>
  <c r="P78" i="26"/>
  <c r="P78" i="27"/>
  <c r="P78" i="28"/>
  <c r="P78" i="29"/>
  <c r="O78" i="26"/>
  <c r="O78" i="27"/>
  <c r="O78" i="28"/>
  <c r="O78" i="29"/>
  <c r="N78" i="26"/>
  <c r="N78" i="27"/>
  <c r="N78" i="28"/>
  <c r="N78" i="29"/>
  <c r="M78" i="26"/>
  <c r="M78" i="27"/>
  <c r="M78" i="28"/>
  <c r="M78" i="29"/>
  <c r="L78" i="26"/>
  <c r="L78" i="27"/>
  <c r="L78" i="28"/>
  <c r="L78" i="29"/>
  <c r="K78" i="26"/>
  <c r="K78" i="27"/>
  <c r="K78" i="28"/>
  <c r="K78" i="29"/>
  <c r="J78" i="26"/>
  <c r="J78" i="27"/>
  <c r="J78" i="28"/>
  <c r="J78" i="29"/>
  <c r="I78" i="26"/>
  <c r="I78" i="27"/>
  <c r="I78" i="28"/>
  <c r="I78" i="29"/>
  <c r="H78" i="26"/>
  <c r="H78" i="27"/>
  <c r="G78" i="26"/>
  <c r="G78" i="27"/>
  <c r="G78" i="28"/>
  <c r="G78" i="29"/>
  <c r="F78" i="26"/>
  <c r="F78" i="27"/>
  <c r="F78" i="28"/>
  <c r="F78" i="29"/>
  <c r="E78" i="26"/>
  <c r="E78" i="27"/>
  <c r="E78" i="28"/>
  <c r="E78" i="29"/>
  <c r="D78" i="26"/>
  <c r="D78" i="27"/>
  <c r="C78" i="26"/>
  <c r="B78" i="26"/>
  <c r="R77" i="26"/>
  <c r="R77" i="27"/>
  <c r="R77" i="28"/>
  <c r="R77" i="29"/>
  <c r="Q77" i="26"/>
  <c r="Q77" i="27"/>
  <c r="Q77" i="28"/>
  <c r="Q77" i="29"/>
  <c r="P77" i="26"/>
  <c r="P77" i="27"/>
  <c r="P77" i="28"/>
  <c r="P77" i="29"/>
  <c r="O77" i="26"/>
  <c r="O77" i="27"/>
  <c r="O77" i="28"/>
  <c r="O77" i="29"/>
  <c r="N77" i="26"/>
  <c r="N77" i="27"/>
  <c r="N77" i="28"/>
  <c r="N77" i="29"/>
  <c r="M77" i="26"/>
  <c r="M77" i="27"/>
  <c r="M77" i="28"/>
  <c r="M77" i="29"/>
  <c r="L77" i="26"/>
  <c r="L77" i="27"/>
  <c r="L77" i="28"/>
  <c r="L77" i="29"/>
  <c r="K77" i="26"/>
  <c r="K77" i="27"/>
  <c r="K77" i="28"/>
  <c r="K77" i="29"/>
  <c r="J77" i="26"/>
  <c r="J77" i="27"/>
  <c r="J77" i="28"/>
  <c r="J77" i="29"/>
  <c r="I77" i="26"/>
  <c r="I77" i="27"/>
  <c r="I77" i="28"/>
  <c r="I77" i="29"/>
  <c r="H77" i="26"/>
  <c r="H77" i="27"/>
  <c r="H77" i="28"/>
  <c r="H77" i="29"/>
  <c r="G77" i="26"/>
  <c r="G77" i="27"/>
  <c r="G77" i="28"/>
  <c r="G77" i="29"/>
  <c r="F77" i="26"/>
  <c r="F77" i="27"/>
  <c r="E77" i="26"/>
  <c r="E77" i="27"/>
  <c r="E77" i="28"/>
  <c r="E77" i="29"/>
  <c r="D77" i="26"/>
  <c r="D77" i="27"/>
  <c r="C77" i="26"/>
  <c r="B77" i="26"/>
  <c r="R73" i="26"/>
  <c r="R73" i="27"/>
  <c r="R73" i="28"/>
  <c r="R73" i="29"/>
  <c r="Q73" i="26"/>
  <c r="Q73" i="27"/>
  <c r="Q73" i="28"/>
  <c r="Q73" i="29"/>
  <c r="P73" i="26"/>
  <c r="P73" i="27"/>
  <c r="P73" i="28"/>
  <c r="P73" i="29"/>
  <c r="O73" i="26"/>
  <c r="O73" i="27"/>
  <c r="O73" i="28"/>
  <c r="O73" i="29"/>
  <c r="N73" i="26"/>
  <c r="N73" i="27"/>
  <c r="N73" i="28"/>
  <c r="N73" i="29"/>
  <c r="M73" i="26"/>
  <c r="M73" i="27"/>
  <c r="M73" i="28"/>
  <c r="M73" i="29"/>
  <c r="L73" i="26"/>
  <c r="L73" i="27"/>
  <c r="L73" i="28"/>
  <c r="L73" i="29"/>
  <c r="K73" i="26"/>
  <c r="K73" i="27"/>
  <c r="K73" i="28"/>
  <c r="K73" i="29"/>
  <c r="J73" i="26"/>
  <c r="J73" i="27"/>
  <c r="J73" i="28"/>
  <c r="J73" i="29"/>
  <c r="I73" i="26"/>
  <c r="I73" i="27"/>
  <c r="I73" i="28"/>
  <c r="I73" i="29"/>
  <c r="H73" i="26"/>
  <c r="H73" i="27"/>
  <c r="H73" i="28"/>
  <c r="H73" i="29"/>
  <c r="G73" i="26"/>
  <c r="G73" i="27"/>
  <c r="G73" i="28"/>
  <c r="G73" i="29"/>
  <c r="F73" i="26"/>
  <c r="F73" i="27"/>
  <c r="F73" i="28"/>
  <c r="F73" i="29"/>
  <c r="E73" i="26"/>
  <c r="D73" i="26"/>
  <c r="D73" i="27"/>
  <c r="C73" i="26"/>
  <c r="B73" i="26"/>
  <c r="R72" i="26"/>
  <c r="R72" i="27"/>
  <c r="R72" i="28"/>
  <c r="R72" i="29"/>
  <c r="Q72" i="26"/>
  <c r="Q72" i="27"/>
  <c r="Q72" i="28"/>
  <c r="Q72" i="29"/>
  <c r="P72" i="26"/>
  <c r="P72" i="27"/>
  <c r="P72" i="28"/>
  <c r="P72" i="29"/>
  <c r="O72" i="26"/>
  <c r="O72" i="27"/>
  <c r="O72" i="28"/>
  <c r="O72" i="29"/>
  <c r="N72" i="26"/>
  <c r="N72" i="27"/>
  <c r="N72" i="28"/>
  <c r="N72" i="29"/>
  <c r="M72" i="26"/>
  <c r="M72" i="27"/>
  <c r="M72" i="28"/>
  <c r="M72" i="29"/>
  <c r="L72" i="26"/>
  <c r="L72" i="27"/>
  <c r="L72" i="28"/>
  <c r="L72" i="29"/>
  <c r="K72" i="26"/>
  <c r="K72" i="27"/>
  <c r="K72" i="28"/>
  <c r="K72" i="29"/>
  <c r="J72" i="26"/>
  <c r="J72" i="27"/>
  <c r="J72" i="28"/>
  <c r="J72" i="29"/>
  <c r="I72" i="26"/>
  <c r="I72" i="27"/>
  <c r="I72" i="28"/>
  <c r="I72" i="29"/>
  <c r="H72" i="26"/>
  <c r="H72" i="27"/>
  <c r="H72" i="28"/>
  <c r="H72" i="29"/>
  <c r="G72" i="26"/>
  <c r="G72" i="27"/>
  <c r="G72" i="28"/>
  <c r="G72" i="29"/>
  <c r="F72" i="26"/>
  <c r="F72" i="27"/>
  <c r="F72" i="28"/>
  <c r="F72" i="29"/>
  <c r="E72" i="26"/>
  <c r="E72" i="27"/>
  <c r="E72" i="28"/>
  <c r="E72" i="29"/>
  <c r="D72" i="26"/>
  <c r="D72" i="27"/>
  <c r="C72" i="26"/>
  <c r="B72" i="26"/>
  <c r="R71" i="26"/>
  <c r="R71" i="27"/>
  <c r="R71" i="28"/>
  <c r="R71" i="29"/>
  <c r="Q71" i="26"/>
  <c r="Q71" i="27"/>
  <c r="Q71" i="28"/>
  <c r="Q71" i="29"/>
  <c r="P71" i="26"/>
  <c r="P71" i="27"/>
  <c r="P71" i="28"/>
  <c r="P71" i="29"/>
  <c r="O71" i="26"/>
  <c r="O71" i="27"/>
  <c r="O71" i="28"/>
  <c r="O71" i="29"/>
  <c r="N71" i="26"/>
  <c r="N71" i="27"/>
  <c r="N71" i="28"/>
  <c r="N71" i="29"/>
  <c r="M71" i="26"/>
  <c r="L71" i="26"/>
  <c r="L71" i="27"/>
  <c r="L71" i="28"/>
  <c r="L71" i="29"/>
  <c r="K71" i="26"/>
  <c r="K71" i="27"/>
  <c r="K71" i="28"/>
  <c r="K71" i="29"/>
  <c r="J71" i="26"/>
  <c r="J71" i="27"/>
  <c r="J71" i="28"/>
  <c r="J71" i="29"/>
  <c r="I71" i="26"/>
  <c r="I71" i="27"/>
  <c r="I71" i="28"/>
  <c r="I71" i="29"/>
  <c r="H71" i="26"/>
  <c r="H71" i="27"/>
  <c r="H71" i="28"/>
  <c r="H71" i="29"/>
  <c r="G71" i="26"/>
  <c r="G71" i="27"/>
  <c r="G71" i="28"/>
  <c r="G71" i="29"/>
  <c r="F71" i="26"/>
  <c r="F71" i="27"/>
  <c r="F71" i="28"/>
  <c r="F71" i="29"/>
  <c r="E71" i="26"/>
  <c r="E71" i="27"/>
  <c r="D71" i="26"/>
  <c r="D71" i="27"/>
  <c r="C71" i="26"/>
  <c r="B71" i="26"/>
  <c r="R70" i="26"/>
  <c r="R70" i="27"/>
  <c r="R70" i="28"/>
  <c r="R70" i="29"/>
  <c r="Q70" i="26"/>
  <c r="Q70" i="27"/>
  <c r="Q70" i="28"/>
  <c r="Q70" i="29"/>
  <c r="P70" i="26"/>
  <c r="P70" i="27"/>
  <c r="P70" i="28"/>
  <c r="P70" i="29"/>
  <c r="O70" i="26"/>
  <c r="O70" i="27"/>
  <c r="O70" i="28"/>
  <c r="O70" i="29"/>
  <c r="N70" i="26"/>
  <c r="N70" i="27"/>
  <c r="N70" i="28"/>
  <c r="N70" i="29"/>
  <c r="M70" i="26"/>
  <c r="M70" i="27"/>
  <c r="M70" i="28"/>
  <c r="M70" i="29"/>
  <c r="L70" i="26"/>
  <c r="L70" i="27"/>
  <c r="L70" i="28"/>
  <c r="L70" i="29"/>
  <c r="K70" i="26"/>
  <c r="K70" i="27"/>
  <c r="K70" i="28"/>
  <c r="K70" i="29"/>
  <c r="J70" i="26"/>
  <c r="I70" i="26"/>
  <c r="I70" i="27"/>
  <c r="I70" i="28"/>
  <c r="I70" i="29"/>
  <c r="H70" i="26"/>
  <c r="H70" i="27"/>
  <c r="H70" i="28"/>
  <c r="H70" i="29"/>
  <c r="G70" i="26"/>
  <c r="G70" i="27"/>
  <c r="G70" i="28"/>
  <c r="G70" i="29"/>
  <c r="F70" i="26"/>
  <c r="F70" i="27"/>
  <c r="F70" i="28"/>
  <c r="F70" i="29"/>
  <c r="E70" i="26"/>
  <c r="E70" i="27"/>
  <c r="D70" i="26"/>
  <c r="D70" i="27"/>
  <c r="C70" i="26"/>
  <c r="B70" i="26"/>
  <c r="R69" i="26"/>
  <c r="R69" i="27"/>
  <c r="R69" i="28"/>
  <c r="R69" i="29"/>
  <c r="Q69" i="26"/>
  <c r="Q69" i="27"/>
  <c r="Q69" i="28"/>
  <c r="Q69" i="29"/>
  <c r="P69" i="26"/>
  <c r="P69" i="27"/>
  <c r="P69" i="28"/>
  <c r="P69" i="29"/>
  <c r="O69" i="26"/>
  <c r="O69" i="27"/>
  <c r="O69" i="28"/>
  <c r="O69" i="29"/>
  <c r="N69" i="26"/>
  <c r="N69" i="27"/>
  <c r="N69" i="28"/>
  <c r="N69" i="29"/>
  <c r="M69" i="26"/>
  <c r="M69" i="27"/>
  <c r="M69" i="28"/>
  <c r="M69" i="29"/>
  <c r="L69" i="26"/>
  <c r="L69" i="27"/>
  <c r="L69" i="28"/>
  <c r="L69" i="29"/>
  <c r="K69" i="26"/>
  <c r="K69" i="27"/>
  <c r="K69" i="28"/>
  <c r="K69" i="29"/>
  <c r="J69" i="26"/>
  <c r="I69" i="26"/>
  <c r="I69" i="27"/>
  <c r="I69" i="28"/>
  <c r="I69" i="29"/>
  <c r="H69" i="26"/>
  <c r="H69" i="27"/>
  <c r="H69" i="28"/>
  <c r="H69" i="29"/>
  <c r="G69" i="26"/>
  <c r="G69" i="27"/>
  <c r="G69" i="28"/>
  <c r="G69" i="29"/>
  <c r="F69" i="26"/>
  <c r="F69" i="27"/>
  <c r="F69" i="28"/>
  <c r="F69" i="29"/>
  <c r="E69" i="26"/>
  <c r="E69" i="27"/>
  <c r="D69" i="26"/>
  <c r="D69" i="27"/>
  <c r="C69" i="26"/>
  <c r="B69" i="26"/>
  <c r="R68" i="26"/>
  <c r="R68" i="27"/>
  <c r="R68" i="28"/>
  <c r="R68" i="29"/>
  <c r="Q68" i="26"/>
  <c r="Q68" i="27"/>
  <c r="Q68" i="28"/>
  <c r="Q68" i="29"/>
  <c r="P68" i="26"/>
  <c r="P68" i="27"/>
  <c r="P68" i="28"/>
  <c r="P68" i="29"/>
  <c r="O68" i="26"/>
  <c r="O68" i="27"/>
  <c r="O68" i="28"/>
  <c r="O68" i="29"/>
  <c r="N68" i="26"/>
  <c r="N68" i="27"/>
  <c r="N68" i="28"/>
  <c r="N68" i="29"/>
  <c r="M68" i="26"/>
  <c r="M68" i="27"/>
  <c r="M68" i="28"/>
  <c r="M68" i="29"/>
  <c r="L68" i="26"/>
  <c r="L68" i="27"/>
  <c r="L68" i="28"/>
  <c r="L68" i="29"/>
  <c r="K68" i="26"/>
  <c r="K68" i="27"/>
  <c r="K68" i="28"/>
  <c r="K68" i="29"/>
  <c r="J68" i="26"/>
  <c r="J68" i="27"/>
  <c r="J68" i="28"/>
  <c r="J68" i="29"/>
  <c r="I68" i="26"/>
  <c r="I68" i="27"/>
  <c r="I68" i="28"/>
  <c r="I68" i="29"/>
  <c r="H68" i="26"/>
  <c r="H68" i="27"/>
  <c r="H68" i="28"/>
  <c r="H68" i="29"/>
  <c r="G68" i="26"/>
  <c r="G68" i="27"/>
  <c r="G68" i="28"/>
  <c r="G68" i="29"/>
  <c r="F68" i="26"/>
  <c r="F68" i="27"/>
  <c r="F68" i="28"/>
  <c r="F68" i="29"/>
  <c r="E68" i="26"/>
  <c r="E68" i="27"/>
  <c r="D68" i="26"/>
  <c r="D68" i="27"/>
  <c r="C68" i="26"/>
  <c r="B68" i="26"/>
  <c r="R67" i="26"/>
  <c r="R67" i="27"/>
  <c r="R67" i="28"/>
  <c r="R67" i="29"/>
  <c r="Q67" i="26"/>
  <c r="Q67" i="27"/>
  <c r="Q67" i="28"/>
  <c r="Q67" i="29"/>
  <c r="P67" i="26"/>
  <c r="P67" i="27"/>
  <c r="P67" i="28"/>
  <c r="P67" i="29"/>
  <c r="O67" i="26"/>
  <c r="O67" i="27"/>
  <c r="O67" i="28"/>
  <c r="O67" i="29"/>
  <c r="N67" i="26"/>
  <c r="N67" i="27"/>
  <c r="N67" i="28"/>
  <c r="N67" i="29"/>
  <c r="M67" i="26"/>
  <c r="M67" i="27"/>
  <c r="M67" i="28"/>
  <c r="M67" i="29"/>
  <c r="L67" i="26"/>
  <c r="L67" i="27"/>
  <c r="L67" i="28"/>
  <c r="L67" i="29"/>
  <c r="K67" i="26"/>
  <c r="K67" i="27"/>
  <c r="K67" i="28"/>
  <c r="K67" i="29"/>
  <c r="J67" i="26"/>
  <c r="J67" i="27"/>
  <c r="J67" i="28"/>
  <c r="J67" i="29"/>
  <c r="I67" i="26"/>
  <c r="I67" i="27"/>
  <c r="I67" i="28"/>
  <c r="I67" i="29"/>
  <c r="H67" i="26"/>
  <c r="H67" i="27"/>
  <c r="H67" i="28"/>
  <c r="H67" i="29"/>
  <c r="G67" i="26"/>
  <c r="G67" i="27"/>
  <c r="G67" i="28"/>
  <c r="G67" i="29"/>
  <c r="F67" i="26"/>
  <c r="F67" i="27"/>
  <c r="F67" i="28"/>
  <c r="F67" i="29"/>
  <c r="E67" i="26"/>
  <c r="E67" i="27"/>
  <c r="D67" i="26"/>
  <c r="D67" i="27"/>
  <c r="C67" i="26"/>
  <c r="B67" i="26"/>
  <c r="R66" i="26"/>
  <c r="R66" i="27"/>
  <c r="R66" i="28"/>
  <c r="R66" i="29"/>
  <c r="Q66" i="26"/>
  <c r="Q66" i="27"/>
  <c r="Q66" i="28"/>
  <c r="Q66" i="29"/>
  <c r="P66" i="26"/>
  <c r="P66" i="27"/>
  <c r="P66" i="28"/>
  <c r="P66" i="29"/>
  <c r="O66" i="26"/>
  <c r="O66" i="27"/>
  <c r="O66" i="28"/>
  <c r="O66" i="29"/>
  <c r="N66" i="26"/>
  <c r="N66" i="27"/>
  <c r="N66" i="28"/>
  <c r="N66" i="29"/>
  <c r="M66" i="26"/>
  <c r="M66" i="27"/>
  <c r="M66" i="28"/>
  <c r="M66" i="29"/>
  <c r="L66" i="26"/>
  <c r="L66" i="27"/>
  <c r="L66" i="28"/>
  <c r="L66" i="29"/>
  <c r="K66" i="26"/>
  <c r="K66" i="27"/>
  <c r="K66" i="28"/>
  <c r="K66" i="29"/>
  <c r="J66" i="26"/>
  <c r="J66" i="27"/>
  <c r="J66" i="28"/>
  <c r="J66" i="29"/>
  <c r="I66" i="26"/>
  <c r="I66" i="27"/>
  <c r="I66" i="28"/>
  <c r="I66" i="29"/>
  <c r="H66" i="26"/>
  <c r="H66" i="27"/>
  <c r="H66" i="28"/>
  <c r="H66" i="29"/>
  <c r="G66" i="26"/>
  <c r="G66" i="27"/>
  <c r="G66" i="28"/>
  <c r="G66" i="29"/>
  <c r="F66" i="26"/>
  <c r="F66" i="27"/>
  <c r="F66" i="28"/>
  <c r="F66" i="29"/>
  <c r="E66" i="26"/>
  <c r="E66" i="27"/>
  <c r="D66" i="26"/>
  <c r="D66" i="27"/>
  <c r="C66" i="26"/>
  <c r="B66" i="26"/>
  <c r="R65" i="26"/>
  <c r="R65" i="27"/>
  <c r="R65" i="28"/>
  <c r="R65" i="29"/>
  <c r="Q65" i="26"/>
  <c r="Q65" i="27"/>
  <c r="Q65" i="28"/>
  <c r="Q65" i="29"/>
  <c r="P65" i="26"/>
  <c r="P65" i="27"/>
  <c r="P65" i="28"/>
  <c r="P65" i="29"/>
  <c r="O65" i="26"/>
  <c r="O65" i="27"/>
  <c r="O65" i="28"/>
  <c r="O65" i="29"/>
  <c r="N65" i="26"/>
  <c r="N65" i="27"/>
  <c r="N65" i="28"/>
  <c r="N65" i="29"/>
  <c r="M65" i="26"/>
  <c r="M65" i="27"/>
  <c r="M65" i="28"/>
  <c r="M65" i="29"/>
  <c r="L65" i="26"/>
  <c r="L65" i="27"/>
  <c r="L65" i="28"/>
  <c r="L65" i="29"/>
  <c r="K65" i="26"/>
  <c r="K65" i="27"/>
  <c r="K65" i="28"/>
  <c r="K65" i="29"/>
  <c r="J65" i="26"/>
  <c r="J65" i="27"/>
  <c r="J65" i="28"/>
  <c r="J65" i="29"/>
  <c r="I65" i="26"/>
  <c r="I65" i="27"/>
  <c r="I65" i="28"/>
  <c r="I65" i="29"/>
  <c r="H65" i="26"/>
  <c r="H65" i="27"/>
  <c r="H65" i="28"/>
  <c r="H65" i="29"/>
  <c r="G65" i="26"/>
  <c r="G65" i="27"/>
  <c r="G65" i="28"/>
  <c r="G65" i="29"/>
  <c r="F65" i="26"/>
  <c r="F65" i="27"/>
  <c r="F65" i="28"/>
  <c r="F65" i="29"/>
  <c r="E65" i="26"/>
  <c r="E65" i="27"/>
  <c r="D65" i="26"/>
  <c r="D65" i="27"/>
  <c r="C65" i="26"/>
  <c r="B65" i="26"/>
  <c r="R64" i="26"/>
  <c r="R64" i="27"/>
  <c r="R64" i="28"/>
  <c r="R64" i="29"/>
  <c r="Q64" i="26"/>
  <c r="Q64" i="27"/>
  <c r="Q64" i="28"/>
  <c r="Q64" i="29"/>
  <c r="P64" i="26"/>
  <c r="P64" i="27"/>
  <c r="P64" i="28"/>
  <c r="P64" i="29"/>
  <c r="O64" i="26"/>
  <c r="O64" i="27"/>
  <c r="O64" i="28"/>
  <c r="O64" i="29"/>
  <c r="N64" i="26"/>
  <c r="N64" i="27"/>
  <c r="N64" i="28"/>
  <c r="N64" i="29"/>
  <c r="M64" i="26"/>
  <c r="M64" i="27"/>
  <c r="M64" i="28"/>
  <c r="M64" i="29"/>
  <c r="L64" i="26"/>
  <c r="L64" i="27"/>
  <c r="L64" i="28"/>
  <c r="L64" i="29"/>
  <c r="K64" i="26"/>
  <c r="K64" i="27"/>
  <c r="K64" i="28"/>
  <c r="K64" i="29"/>
  <c r="J64" i="26"/>
  <c r="I64" i="26"/>
  <c r="I64" i="27"/>
  <c r="I64" i="28"/>
  <c r="I64" i="29"/>
  <c r="H64" i="26"/>
  <c r="H64" i="27"/>
  <c r="H64" i="28"/>
  <c r="H64" i="29"/>
  <c r="G64" i="26"/>
  <c r="G64" i="27"/>
  <c r="G64" i="28"/>
  <c r="G64" i="29"/>
  <c r="F64" i="26"/>
  <c r="F64" i="27"/>
  <c r="F64" i="28"/>
  <c r="F64" i="29"/>
  <c r="E64" i="26"/>
  <c r="E64" i="27"/>
  <c r="D64" i="26"/>
  <c r="D64" i="27"/>
  <c r="C64" i="26"/>
  <c r="B64" i="26"/>
  <c r="R60" i="26"/>
  <c r="R60" i="27"/>
  <c r="R60" i="28"/>
  <c r="R60" i="29"/>
  <c r="Q60" i="26"/>
  <c r="Q60" i="27"/>
  <c r="Q60" i="28"/>
  <c r="Q60" i="29"/>
  <c r="P60" i="26"/>
  <c r="P60" i="27"/>
  <c r="P60" i="28"/>
  <c r="P60" i="29"/>
  <c r="O60" i="26"/>
  <c r="O60" i="27"/>
  <c r="O60" i="28"/>
  <c r="O60" i="29"/>
  <c r="N60" i="26"/>
  <c r="N60" i="27"/>
  <c r="N60" i="28"/>
  <c r="N60" i="29"/>
  <c r="M60" i="26"/>
  <c r="M60" i="27"/>
  <c r="M60" i="28"/>
  <c r="M60" i="29"/>
  <c r="L60" i="26"/>
  <c r="L60" i="27"/>
  <c r="L60" i="28"/>
  <c r="L60" i="29"/>
  <c r="K60" i="26"/>
  <c r="K60" i="27"/>
  <c r="K60" i="28"/>
  <c r="K60" i="29"/>
  <c r="J60" i="26"/>
  <c r="I60" i="26"/>
  <c r="I60" i="27"/>
  <c r="I60" i="28"/>
  <c r="I60" i="29"/>
  <c r="H60" i="26"/>
  <c r="H60" i="27"/>
  <c r="H60" i="28"/>
  <c r="H60" i="29"/>
  <c r="G60" i="26"/>
  <c r="G60" i="27"/>
  <c r="G60" i="28"/>
  <c r="G60" i="29"/>
  <c r="F60" i="26"/>
  <c r="F60" i="27"/>
  <c r="F60" i="28"/>
  <c r="F60" i="29"/>
  <c r="E60" i="26"/>
  <c r="E60" i="27"/>
  <c r="D60" i="26"/>
  <c r="D60" i="27"/>
  <c r="C60" i="26"/>
  <c r="B60" i="26"/>
  <c r="R59" i="26"/>
  <c r="R59" i="27"/>
  <c r="R59" i="28"/>
  <c r="R59" i="29"/>
  <c r="Q59" i="26"/>
  <c r="Q59" i="27"/>
  <c r="Q59" i="28"/>
  <c r="Q59" i="29"/>
  <c r="P59" i="26"/>
  <c r="P59" i="27"/>
  <c r="P59" i="28"/>
  <c r="P59" i="29"/>
  <c r="O59" i="26"/>
  <c r="O59" i="27"/>
  <c r="O59" i="28"/>
  <c r="O59" i="29"/>
  <c r="N59" i="26"/>
  <c r="N59" i="27"/>
  <c r="N59" i="28"/>
  <c r="N59" i="29"/>
  <c r="M59" i="26"/>
  <c r="M59" i="27"/>
  <c r="M59" i="28"/>
  <c r="M59" i="29"/>
  <c r="L59" i="26"/>
  <c r="L59" i="27"/>
  <c r="L59" i="28"/>
  <c r="L59" i="29"/>
  <c r="K59" i="26"/>
  <c r="K59" i="27"/>
  <c r="K59" i="28"/>
  <c r="K59" i="29"/>
  <c r="J59" i="26"/>
  <c r="I59" i="26"/>
  <c r="I59" i="27"/>
  <c r="I59" i="28"/>
  <c r="I59" i="29"/>
  <c r="H59" i="26"/>
  <c r="H59" i="27"/>
  <c r="H59" i="28"/>
  <c r="H59" i="29"/>
  <c r="G59" i="26"/>
  <c r="G59" i="27"/>
  <c r="G59" i="28"/>
  <c r="G59" i="29"/>
  <c r="F59" i="26"/>
  <c r="F59" i="27"/>
  <c r="F59" i="28"/>
  <c r="F59" i="29"/>
  <c r="E59" i="26"/>
  <c r="E59" i="27"/>
  <c r="D59" i="26"/>
  <c r="D59" i="27"/>
  <c r="C59" i="26"/>
  <c r="B59" i="26"/>
  <c r="R58" i="26"/>
  <c r="R58" i="27"/>
  <c r="R58" i="28"/>
  <c r="R58" i="29"/>
  <c r="Q58" i="26"/>
  <c r="Q58" i="27"/>
  <c r="Q58" i="28"/>
  <c r="Q58" i="29"/>
  <c r="P58" i="26"/>
  <c r="P58" i="27"/>
  <c r="P58" i="28"/>
  <c r="P58" i="29"/>
  <c r="O58" i="26"/>
  <c r="O58" i="27"/>
  <c r="O58" i="28"/>
  <c r="O58" i="29"/>
  <c r="N58" i="26"/>
  <c r="N58" i="27"/>
  <c r="N58" i="28"/>
  <c r="N58" i="29"/>
  <c r="M58" i="26"/>
  <c r="M58" i="27"/>
  <c r="M58" i="28"/>
  <c r="M58" i="29"/>
  <c r="L58" i="26"/>
  <c r="L58" i="27"/>
  <c r="L58" i="28"/>
  <c r="L58" i="29"/>
  <c r="K58" i="26"/>
  <c r="K58" i="27"/>
  <c r="K58" i="28"/>
  <c r="K58" i="29"/>
  <c r="J58" i="26"/>
  <c r="I58" i="26"/>
  <c r="I58" i="27"/>
  <c r="I58" i="28"/>
  <c r="I58" i="29"/>
  <c r="H58" i="26"/>
  <c r="H58" i="27"/>
  <c r="H58" i="28"/>
  <c r="H58" i="29"/>
  <c r="G58" i="26"/>
  <c r="G58" i="27"/>
  <c r="G58" i="28"/>
  <c r="G58" i="29"/>
  <c r="F58" i="26"/>
  <c r="F58" i="27"/>
  <c r="F58" i="28"/>
  <c r="F58" i="29"/>
  <c r="E58" i="26"/>
  <c r="E58" i="27"/>
  <c r="D58" i="26"/>
  <c r="D58" i="27"/>
  <c r="C58" i="26"/>
  <c r="B58" i="26"/>
  <c r="R57" i="26"/>
  <c r="R57" i="27"/>
  <c r="R57" i="28"/>
  <c r="R57" i="29"/>
  <c r="Q57" i="26"/>
  <c r="Q57" i="27"/>
  <c r="Q57" i="28"/>
  <c r="Q57" i="29"/>
  <c r="P57" i="26"/>
  <c r="P57" i="27"/>
  <c r="P57" i="28"/>
  <c r="P57" i="29"/>
  <c r="O57" i="26"/>
  <c r="O57" i="27"/>
  <c r="O57" i="28"/>
  <c r="O57" i="29"/>
  <c r="N57" i="26"/>
  <c r="N57" i="27"/>
  <c r="N57" i="28"/>
  <c r="N57" i="29"/>
  <c r="M57" i="26"/>
  <c r="M57" i="27"/>
  <c r="M57" i="28"/>
  <c r="M57" i="29"/>
  <c r="L57" i="26"/>
  <c r="L57" i="27"/>
  <c r="L57" i="28"/>
  <c r="L57" i="29"/>
  <c r="K57" i="26"/>
  <c r="K57" i="27"/>
  <c r="K57" i="28"/>
  <c r="K57" i="29"/>
  <c r="J57" i="26"/>
  <c r="J57" i="27"/>
  <c r="J57" i="28"/>
  <c r="J57" i="29"/>
  <c r="I57" i="26"/>
  <c r="I57" i="27"/>
  <c r="I57" i="28"/>
  <c r="I57" i="29"/>
  <c r="H57" i="26"/>
  <c r="H57" i="27"/>
  <c r="H57" i="28"/>
  <c r="H57" i="29"/>
  <c r="G57" i="26"/>
  <c r="G57" i="27"/>
  <c r="G57" i="28"/>
  <c r="G57" i="29"/>
  <c r="F57" i="26"/>
  <c r="F57" i="27"/>
  <c r="F57" i="28"/>
  <c r="F57" i="29"/>
  <c r="E57" i="26"/>
  <c r="E57" i="27"/>
  <c r="D57" i="26"/>
  <c r="D57" i="27"/>
  <c r="C57" i="26"/>
  <c r="B57" i="26"/>
  <c r="R56" i="26"/>
  <c r="R56" i="27"/>
  <c r="R56" i="28"/>
  <c r="R56" i="29"/>
  <c r="Q56" i="26"/>
  <c r="Q56" i="27"/>
  <c r="Q56" i="28"/>
  <c r="Q56" i="29"/>
  <c r="P56" i="26"/>
  <c r="P56" i="27"/>
  <c r="P56" i="28"/>
  <c r="P56" i="29"/>
  <c r="O56" i="26"/>
  <c r="O56" i="27"/>
  <c r="O56" i="28"/>
  <c r="O56" i="29"/>
  <c r="N56" i="26"/>
  <c r="N56" i="27"/>
  <c r="N56" i="28"/>
  <c r="N56" i="29"/>
  <c r="M56" i="26"/>
  <c r="M56" i="27"/>
  <c r="M56" i="28"/>
  <c r="M56" i="29"/>
  <c r="L56" i="26"/>
  <c r="L56" i="27"/>
  <c r="L56" i="28"/>
  <c r="L56" i="29"/>
  <c r="K56" i="26"/>
  <c r="K56" i="27"/>
  <c r="K56" i="28"/>
  <c r="K56" i="29"/>
  <c r="J56" i="26"/>
  <c r="J56" i="27"/>
  <c r="J56" i="28"/>
  <c r="J56" i="29"/>
  <c r="I56" i="26"/>
  <c r="I56" i="27"/>
  <c r="I56" i="28"/>
  <c r="I56" i="29"/>
  <c r="H56" i="26"/>
  <c r="H56" i="27"/>
  <c r="H56" i="28"/>
  <c r="H56" i="29"/>
  <c r="G56" i="26"/>
  <c r="G56" i="27"/>
  <c r="G56" i="28"/>
  <c r="G56" i="29"/>
  <c r="F56" i="26"/>
  <c r="F56" i="27"/>
  <c r="F56" i="28"/>
  <c r="F56" i="29"/>
  <c r="E56" i="26"/>
  <c r="E56" i="27"/>
  <c r="D56" i="26"/>
  <c r="D56" i="27"/>
  <c r="C56" i="26"/>
  <c r="B56" i="26"/>
  <c r="R55" i="26"/>
  <c r="R55" i="27"/>
  <c r="R55" i="28"/>
  <c r="R55" i="29"/>
  <c r="Q55" i="26"/>
  <c r="Q55" i="27"/>
  <c r="Q55" i="28"/>
  <c r="Q55" i="29"/>
  <c r="P55" i="26"/>
  <c r="P55" i="27"/>
  <c r="P55" i="28"/>
  <c r="P55" i="29"/>
  <c r="O55" i="26"/>
  <c r="O55" i="27"/>
  <c r="O55" i="28"/>
  <c r="O55" i="29"/>
  <c r="N55" i="26"/>
  <c r="N55" i="27"/>
  <c r="N55" i="28"/>
  <c r="N55" i="29"/>
  <c r="M55" i="26"/>
  <c r="M55" i="27"/>
  <c r="M55" i="28"/>
  <c r="M55" i="29"/>
  <c r="L55" i="26"/>
  <c r="L55" i="27"/>
  <c r="L55" i="28"/>
  <c r="L55" i="29"/>
  <c r="K55" i="26"/>
  <c r="K55" i="27"/>
  <c r="K55" i="28"/>
  <c r="K55" i="29"/>
  <c r="J55" i="26"/>
  <c r="J55" i="27"/>
  <c r="J55" i="28"/>
  <c r="J55" i="29"/>
  <c r="I55" i="26"/>
  <c r="I55" i="27"/>
  <c r="I55" i="28"/>
  <c r="I55" i="29"/>
  <c r="H55" i="26"/>
  <c r="H55" i="27"/>
  <c r="H55" i="28"/>
  <c r="H55" i="29"/>
  <c r="G55" i="26"/>
  <c r="G55" i="27"/>
  <c r="G55" i="28"/>
  <c r="G55" i="29"/>
  <c r="F55" i="26"/>
  <c r="F55" i="27"/>
  <c r="F55" i="28"/>
  <c r="F55" i="29"/>
  <c r="E55" i="26"/>
  <c r="E55" i="27"/>
  <c r="D55" i="26"/>
  <c r="D55" i="27"/>
  <c r="C55" i="26"/>
  <c r="B55" i="26"/>
  <c r="R54" i="26"/>
  <c r="R54" i="27"/>
  <c r="R54" i="28"/>
  <c r="R54" i="29"/>
  <c r="Q54" i="26"/>
  <c r="Q54" i="27"/>
  <c r="Q54" i="28"/>
  <c r="Q54" i="29"/>
  <c r="P54" i="26"/>
  <c r="P54" i="27"/>
  <c r="P54" i="28"/>
  <c r="P54" i="29"/>
  <c r="O54" i="26"/>
  <c r="O54" i="27"/>
  <c r="O54" i="28"/>
  <c r="O54" i="29"/>
  <c r="N54" i="26"/>
  <c r="N54" i="27"/>
  <c r="N54" i="28"/>
  <c r="N54" i="29"/>
  <c r="M54" i="26"/>
  <c r="M54" i="27"/>
  <c r="M54" i="28"/>
  <c r="M54" i="29"/>
  <c r="L54" i="26"/>
  <c r="L54" i="27"/>
  <c r="L54" i="28"/>
  <c r="L54" i="29"/>
  <c r="K54" i="26"/>
  <c r="K54" i="27"/>
  <c r="K54" i="28"/>
  <c r="K54" i="29"/>
  <c r="J54" i="26"/>
  <c r="J54" i="27"/>
  <c r="J54" i="28"/>
  <c r="J54" i="29"/>
  <c r="I54" i="26"/>
  <c r="I54" i="27"/>
  <c r="I54" i="28"/>
  <c r="I54" i="29"/>
  <c r="H54" i="26"/>
  <c r="H54" i="27"/>
  <c r="H54" i="28"/>
  <c r="H54" i="29"/>
  <c r="G54" i="26"/>
  <c r="G54" i="27"/>
  <c r="G54" i="28"/>
  <c r="G54" i="29"/>
  <c r="F54" i="26"/>
  <c r="F54" i="27"/>
  <c r="F54" i="28"/>
  <c r="F54" i="29"/>
  <c r="E54" i="26"/>
  <c r="E54" i="27"/>
  <c r="D54" i="26"/>
  <c r="D54" i="27"/>
  <c r="C54" i="26"/>
  <c r="B54" i="26"/>
  <c r="R53" i="26"/>
  <c r="R53" i="27"/>
  <c r="R53" i="28"/>
  <c r="R53" i="29"/>
  <c r="Q53" i="26"/>
  <c r="Q53" i="27"/>
  <c r="Q53" i="28"/>
  <c r="Q53" i="29"/>
  <c r="P53" i="26"/>
  <c r="P53" i="27"/>
  <c r="P53" i="28"/>
  <c r="P53" i="29"/>
  <c r="O53" i="26"/>
  <c r="O53" i="27"/>
  <c r="O53" i="28"/>
  <c r="O53" i="29"/>
  <c r="N53" i="26"/>
  <c r="N53" i="27"/>
  <c r="N53" i="28"/>
  <c r="N53" i="29"/>
  <c r="M53" i="26"/>
  <c r="M53" i="27"/>
  <c r="M53" i="28"/>
  <c r="M53" i="29"/>
  <c r="L53" i="26"/>
  <c r="L53" i="27"/>
  <c r="L53" i="28"/>
  <c r="L53" i="29"/>
  <c r="K53" i="26"/>
  <c r="K53" i="27"/>
  <c r="K53" i="28"/>
  <c r="K53" i="29"/>
  <c r="J53" i="26"/>
  <c r="J53" i="27"/>
  <c r="J53" i="28"/>
  <c r="J53" i="29"/>
  <c r="I53" i="26"/>
  <c r="I53" i="27"/>
  <c r="I53" i="28"/>
  <c r="I53" i="29"/>
  <c r="H53" i="26"/>
  <c r="H53" i="27"/>
  <c r="H53" i="28"/>
  <c r="H53" i="29"/>
  <c r="G53" i="26"/>
  <c r="G53" i="27"/>
  <c r="G53" i="28"/>
  <c r="G53" i="29"/>
  <c r="F53" i="26"/>
  <c r="F53" i="27"/>
  <c r="F53" i="28"/>
  <c r="F53" i="29"/>
  <c r="E53" i="26"/>
  <c r="E53" i="27"/>
  <c r="D53" i="26"/>
  <c r="D53" i="27"/>
  <c r="C53" i="26"/>
  <c r="B53" i="26"/>
  <c r="R47" i="26"/>
  <c r="R47" i="27"/>
  <c r="R47" i="28"/>
  <c r="R47" i="29"/>
  <c r="Q47" i="26"/>
  <c r="Q47" i="27"/>
  <c r="Q47" i="28"/>
  <c r="Q47" i="29"/>
  <c r="P47" i="26"/>
  <c r="P47" i="27"/>
  <c r="P47" i="28"/>
  <c r="P47" i="29"/>
  <c r="O47" i="26"/>
  <c r="O47" i="27"/>
  <c r="O47" i="28"/>
  <c r="O47" i="29"/>
  <c r="N47" i="26"/>
  <c r="N47" i="27"/>
  <c r="N47" i="28"/>
  <c r="N47" i="29"/>
  <c r="M47" i="26"/>
  <c r="M47" i="27"/>
  <c r="M47" i="28"/>
  <c r="M47" i="29"/>
  <c r="L47" i="26"/>
  <c r="L47" i="27"/>
  <c r="L47" i="28"/>
  <c r="L47" i="29"/>
  <c r="K47" i="26"/>
  <c r="K47" i="27"/>
  <c r="K47" i="28"/>
  <c r="K47" i="29"/>
  <c r="J47" i="26"/>
  <c r="I47" i="26"/>
  <c r="I47" i="27"/>
  <c r="I47" i="28"/>
  <c r="I47" i="29"/>
  <c r="H47" i="26"/>
  <c r="H47" i="27"/>
  <c r="H47" i="28"/>
  <c r="H47" i="29"/>
  <c r="G47" i="26"/>
  <c r="G47" i="27"/>
  <c r="G47" i="28"/>
  <c r="G47" i="29"/>
  <c r="F47" i="26"/>
  <c r="F47" i="27"/>
  <c r="F47" i="28"/>
  <c r="F47" i="29"/>
  <c r="E47" i="26"/>
  <c r="E47" i="27"/>
  <c r="D47" i="26"/>
  <c r="D47" i="27"/>
  <c r="C47" i="26"/>
  <c r="B47" i="26"/>
  <c r="R46" i="26"/>
  <c r="R46" i="27"/>
  <c r="R46" i="28"/>
  <c r="R46" i="29"/>
  <c r="Q46" i="26"/>
  <c r="Q46" i="27"/>
  <c r="Q46" i="28"/>
  <c r="Q46" i="29"/>
  <c r="P46" i="26"/>
  <c r="P46" i="27"/>
  <c r="P46" i="28"/>
  <c r="P46" i="29"/>
  <c r="O46" i="26"/>
  <c r="O46" i="27"/>
  <c r="O46" i="28"/>
  <c r="O46" i="29"/>
  <c r="N46" i="26"/>
  <c r="N46" i="27"/>
  <c r="N46" i="28"/>
  <c r="N46" i="29"/>
  <c r="M46" i="26"/>
  <c r="M46" i="27"/>
  <c r="M46" i="28"/>
  <c r="M46" i="29"/>
  <c r="L46" i="26"/>
  <c r="L46" i="27"/>
  <c r="L46" i="28"/>
  <c r="L46" i="29"/>
  <c r="K46" i="26"/>
  <c r="K46" i="27"/>
  <c r="K46" i="28"/>
  <c r="K46" i="29"/>
  <c r="J46" i="26"/>
  <c r="I46" i="26"/>
  <c r="I46" i="27"/>
  <c r="I46" i="28"/>
  <c r="I46" i="29"/>
  <c r="H46" i="26"/>
  <c r="H46" i="27"/>
  <c r="H46" i="28"/>
  <c r="H46" i="29"/>
  <c r="G46" i="26"/>
  <c r="G46" i="27"/>
  <c r="G46" i="28"/>
  <c r="G46" i="29"/>
  <c r="F46" i="26"/>
  <c r="F46" i="27"/>
  <c r="F46" i="28"/>
  <c r="F46" i="29"/>
  <c r="E46" i="26"/>
  <c r="E46" i="27"/>
  <c r="D46" i="26"/>
  <c r="D46" i="27"/>
  <c r="C46" i="26"/>
  <c r="B46" i="26"/>
  <c r="R45" i="26"/>
  <c r="R45" i="27"/>
  <c r="R45" i="28"/>
  <c r="R45" i="29"/>
  <c r="Q45" i="26"/>
  <c r="Q45" i="27"/>
  <c r="Q45" i="28"/>
  <c r="Q45" i="29"/>
  <c r="P45" i="26"/>
  <c r="P45" i="27"/>
  <c r="P45" i="28"/>
  <c r="P45" i="29"/>
  <c r="O45" i="26"/>
  <c r="O45" i="27"/>
  <c r="O45" i="28"/>
  <c r="O45" i="29"/>
  <c r="N45" i="26"/>
  <c r="N45" i="27"/>
  <c r="N45" i="28"/>
  <c r="N45" i="29"/>
  <c r="M45" i="26"/>
  <c r="M45" i="27"/>
  <c r="M45" i="28"/>
  <c r="M45" i="29"/>
  <c r="L45" i="26"/>
  <c r="L45" i="27"/>
  <c r="L45" i="28"/>
  <c r="L45" i="29"/>
  <c r="K45" i="26"/>
  <c r="K45" i="27"/>
  <c r="K45" i="28"/>
  <c r="K45" i="29"/>
  <c r="J45" i="26"/>
  <c r="I45" i="26"/>
  <c r="I45" i="27"/>
  <c r="I45" i="28"/>
  <c r="I45" i="29"/>
  <c r="H45" i="26"/>
  <c r="H45" i="27"/>
  <c r="H45" i="28"/>
  <c r="H45" i="29"/>
  <c r="G45" i="26"/>
  <c r="G45" i="27"/>
  <c r="G45" i="28"/>
  <c r="G45" i="29"/>
  <c r="F45" i="26"/>
  <c r="F45" i="27"/>
  <c r="F45" i="28"/>
  <c r="F45" i="29"/>
  <c r="E45" i="26"/>
  <c r="E45" i="27"/>
  <c r="D45" i="26"/>
  <c r="D45" i="27"/>
  <c r="C45" i="26"/>
  <c r="B45" i="26"/>
  <c r="R44" i="26"/>
  <c r="R44" i="27"/>
  <c r="R44" i="28"/>
  <c r="R44" i="29"/>
  <c r="Q44" i="26"/>
  <c r="Q44" i="27"/>
  <c r="Q44" i="28"/>
  <c r="Q44" i="29"/>
  <c r="P44" i="26"/>
  <c r="P44" i="27"/>
  <c r="P44" i="28"/>
  <c r="P44" i="29"/>
  <c r="O44" i="26"/>
  <c r="O44" i="27"/>
  <c r="O44" i="28"/>
  <c r="O44" i="29"/>
  <c r="N44" i="26"/>
  <c r="N44" i="27"/>
  <c r="N44" i="28"/>
  <c r="N44" i="29"/>
  <c r="M44" i="26"/>
  <c r="M44" i="27"/>
  <c r="M44" i="28"/>
  <c r="M44" i="29"/>
  <c r="L44" i="26"/>
  <c r="L44" i="27"/>
  <c r="L44" i="28"/>
  <c r="L44" i="29"/>
  <c r="K44" i="26"/>
  <c r="K44" i="27"/>
  <c r="K44" i="28"/>
  <c r="K44" i="29"/>
  <c r="J44" i="26"/>
  <c r="J44" i="27"/>
  <c r="J44" i="28"/>
  <c r="J44" i="29"/>
  <c r="I44" i="26"/>
  <c r="I44" i="27"/>
  <c r="I44" i="28"/>
  <c r="I44" i="29"/>
  <c r="H44" i="26"/>
  <c r="H44" i="27"/>
  <c r="H44" i="28"/>
  <c r="H44" i="29"/>
  <c r="G44" i="26"/>
  <c r="G44" i="27"/>
  <c r="G44" i="28"/>
  <c r="G44" i="29"/>
  <c r="F44" i="26"/>
  <c r="F44" i="27"/>
  <c r="F44" i="28"/>
  <c r="F44" i="29"/>
  <c r="E44" i="26"/>
  <c r="E44" i="27"/>
  <c r="D44" i="26"/>
  <c r="D44" i="27"/>
  <c r="C44" i="26"/>
  <c r="B44" i="26"/>
  <c r="R43" i="26"/>
  <c r="R43" i="27"/>
  <c r="R43" i="28"/>
  <c r="R43" i="29"/>
  <c r="Q43" i="26"/>
  <c r="Q43" i="27"/>
  <c r="Q43" i="28"/>
  <c r="Q43" i="29"/>
  <c r="P43" i="26"/>
  <c r="P43" i="27"/>
  <c r="P43" i="28"/>
  <c r="P43" i="29"/>
  <c r="O43" i="26"/>
  <c r="O43" i="27"/>
  <c r="O43" i="28"/>
  <c r="O43" i="29"/>
  <c r="N43" i="26"/>
  <c r="N43" i="27"/>
  <c r="N43" i="28"/>
  <c r="N43" i="29"/>
  <c r="M43" i="26"/>
  <c r="M43" i="27"/>
  <c r="M43" i="28"/>
  <c r="M43" i="29"/>
  <c r="L43" i="26"/>
  <c r="L43" i="27"/>
  <c r="L43" i="28"/>
  <c r="L43" i="29"/>
  <c r="K43" i="26"/>
  <c r="K43" i="27"/>
  <c r="K43" i="28"/>
  <c r="K43" i="29"/>
  <c r="J43" i="26"/>
  <c r="J43" i="27"/>
  <c r="J43" i="28"/>
  <c r="J43" i="29"/>
  <c r="I43" i="26"/>
  <c r="I43" i="27"/>
  <c r="I43" i="28"/>
  <c r="I43" i="29"/>
  <c r="H43" i="26"/>
  <c r="H43" i="27"/>
  <c r="H43" i="28"/>
  <c r="H43" i="29"/>
  <c r="G43" i="26"/>
  <c r="G43" i="27"/>
  <c r="G43" i="28"/>
  <c r="G43" i="29"/>
  <c r="F43" i="26"/>
  <c r="F43" i="27"/>
  <c r="F43" i="28"/>
  <c r="F43" i="29"/>
  <c r="E43" i="26"/>
  <c r="E43" i="27"/>
  <c r="D43" i="26"/>
  <c r="D43" i="27"/>
  <c r="C43" i="26"/>
  <c r="B43" i="26"/>
  <c r="R42" i="26"/>
  <c r="R42" i="27"/>
  <c r="R42" i="28"/>
  <c r="R42" i="29"/>
  <c r="Q42" i="26"/>
  <c r="Q42" i="27"/>
  <c r="Q42" i="28"/>
  <c r="Q42" i="29"/>
  <c r="P42" i="26"/>
  <c r="P42" i="27"/>
  <c r="P42" i="28"/>
  <c r="P42" i="29"/>
  <c r="O42" i="26"/>
  <c r="O42" i="27"/>
  <c r="O42" i="28"/>
  <c r="O42" i="29"/>
  <c r="N42" i="26"/>
  <c r="N42" i="27"/>
  <c r="N42" i="28"/>
  <c r="N42" i="29"/>
  <c r="M42" i="26"/>
  <c r="M42" i="27"/>
  <c r="M42" i="28"/>
  <c r="M42" i="29"/>
  <c r="L42" i="26"/>
  <c r="L42" i="27"/>
  <c r="L42" i="28"/>
  <c r="L42" i="29"/>
  <c r="K42" i="26"/>
  <c r="K42" i="27"/>
  <c r="K42" i="28"/>
  <c r="K42" i="29"/>
  <c r="J42" i="26"/>
  <c r="J42" i="27"/>
  <c r="J42" i="28"/>
  <c r="J42" i="29"/>
  <c r="I42" i="26"/>
  <c r="I42" i="27"/>
  <c r="I42" i="28"/>
  <c r="I42" i="29"/>
  <c r="H42" i="26"/>
  <c r="H42" i="27"/>
  <c r="H42" i="28"/>
  <c r="H42" i="29"/>
  <c r="G42" i="26"/>
  <c r="G42" i="27"/>
  <c r="G42" i="28"/>
  <c r="G42" i="29"/>
  <c r="F42" i="26"/>
  <c r="F42" i="27"/>
  <c r="F42" i="28"/>
  <c r="F42" i="29"/>
  <c r="E42" i="26"/>
  <c r="E42" i="27"/>
  <c r="D42" i="26"/>
  <c r="D42" i="27"/>
  <c r="C42" i="26"/>
  <c r="B42" i="26"/>
  <c r="R41" i="26"/>
  <c r="R41" i="27"/>
  <c r="R41" i="28"/>
  <c r="R41" i="29"/>
  <c r="Q41" i="26"/>
  <c r="Q41" i="27"/>
  <c r="Q41" i="28"/>
  <c r="Q41" i="29"/>
  <c r="P41" i="26"/>
  <c r="P41" i="27"/>
  <c r="P41" i="28"/>
  <c r="P41" i="29"/>
  <c r="O41" i="26"/>
  <c r="O41" i="27"/>
  <c r="O41" i="28"/>
  <c r="O41" i="29"/>
  <c r="N41" i="26"/>
  <c r="N41" i="27"/>
  <c r="N41" i="28"/>
  <c r="N41" i="29"/>
  <c r="M41" i="26"/>
  <c r="M41" i="27"/>
  <c r="M41" i="28"/>
  <c r="M41" i="29"/>
  <c r="L41" i="26"/>
  <c r="L41" i="27"/>
  <c r="L41" i="28"/>
  <c r="L41" i="29"/>
  <c r="K41" i="26"/>
  <c r="K41" i="27"/>
  <c r="K41" i="28"/>
  <c r="K41" i="29"/>
  <c r="J41" i="26"/>
  <c r="J41" i="27"/>
  <c r="J41" i="28"/>
  <c r="J41" i="29"/>
  <c r="I41" i="26"/>
  <c r="I41" i="27"/>
  <c r="I41" i="28"/>
  <c r="I41" i="29"/>
  <c r="H41" i="26"/>
  <c r="H41" i="27"/>
  <c r="H41" i="28"/>
  <c r="H41" i="29"/>
  <c r="G41" i="26"/>
  <c r="S41" i="26"/>
  <c r="G41" i="27"/>
  <c r="G41" i="28"/>
  <c r="G41" i="29"/>
  <c r="F41" i="26"/>
  <c r="F41" i="27"/>
  <c r="F41" i="28"/>
  <c r="F41" i="29"/>
  <c r="E41" i="26"/>
  <c r="E41" i="27"/>
  <c r="D41" i="26"/>
  <c r="D41" i="27"/>
  <c r="C41" i="26"/>
  <c r="B41" i="26"/>
  <c r="R40" i="26"/>
  <c r="R40" i="27"/>
  <c r="R40" i="28"/>
  <c r="R40" i="29"/>
  <c r="Q40" i="26"/>
  <c r="Q40" i="27"/>
  <c r="Q40" i="28"/>
  <c r="Q40" i="29"/>
  <c r="P40" i="26"/>
  <c r="P40" i="27"/>
  <c r="P40" i="28"/>
  <c r="P40" i="29"/>
  <c r="O40" i="26"/>
  <c r="O40" i="27"/>
  <c r="O40" i="28"/>
  <c r="O40" i="29"/>
  <c r="N40" i="26"/>
  <c r="N40" i="27"/>
  <c r="N40" i="28"/>
  <c r="N40" i="29"/>
  <c r="M40" i="26"/>
  <c r="M40" i="27"/>
  <c r="M40" i="28"/>
  <c r="M40" i="29"/>
  <c r="L40" i="26"/>
  <c r="L40" i="27"/>
  <c r="L40" i="28"/>
  <c r="L40" i="29"/>
  <c r="K40" i="26"/>
  <c r="K40" i="27"/>
  <c r="K40" i="28"/>
  <c r="K40" i="29"/>
  <c r="J40" i="26"/>
  <c r="J40" i="27"/>
  <c r="J40" i="28"/>
  <c r="J40" i="29"/>
  <c r="I40" i="26"/>
  <c r="I40" i="27"/>
  <c r="I40" i="28"/>
  <c r="I40" i="29"/>
  <c r="H40" i="26"/>
  <c r="H40" i="27"/>
  <c r="H40" i="28"/>
  <c r="H40" i="29"/>
  <c r="G40" i="26"/>
  <c r="G40" i="27"/>
  <c r="G40" i="28"/>
  <c r="G40" i="29"/>
  <c r="F40" i="26"/>
  <c r="F40" i="27"/>
  <c r="F40" i="28"/>
  <c r="F40" i="29"/>
  <c r="E40" i="26"/>
  <c r="E40" i="27"/>
  <c r="E40" i="28"/>
  <c r="E40" i="29"/>
  <c r="D40" i="26"/>
  <c r="D40" i="27"/>
  <c r="C40" i="26"/>
  <c r="B40" i="26"/>
  <c r="R39" i="26"/>
  <c r="R39" i="27"/>
  <c r="R39" i="28"/>
  <c r="R39" i="29"/>
  <c r="Q39" i="26"/>
  <c r="Q39" i="27"/>
  <c r="Q39" i="28"/>
  <c r="Q39" i="29"/>
  <c r="P39" i="26"/>
  <c r="P39" i="27"/>
  <c r="P39" i="28"/>
  <c r="P39" i="29"/>
  <c r="O39" i="26"/>
  <c r="O39" i="27"/>
  <c r="O39" i="28"/>
  <c r="O39" i="29"/>
  <c r="N39" i="26"/>
  <c r="N39" i="27"/>
  <c r="N39" i="28"/>
  <c r="N39" i="29"/>
  <c r="M39" i="26"/>
  <c r="M39" i="27"/>
  <c r="M39" i="28"/>
  <c r="M39" i="29"/>
  <c r="L39" i="26"/>
  <c r="L39" i="27"/>
  <c r="L39" i="28"/>
  <c r="L39" i="29"/>
  <c r="K39" i="26"/>
  <c r="K39" i="27"/>
  <c r="K39" i="28"/>
  <c r="K39" i="29"/>
  <c r="J39" i="26"/>
  <c r="J39" i="27"/>
  <c r="J39" i="28"/>
  <c r="J39" i="29"/>
  <c r="I39" i="26"/>
  <c r="I39" i="27"/>
  <c r="I39" i="28"/>
  <c r="I39" i="29"/>
  <c r="H39" i="26"/>
  <c r="H39" i="27"/>
  <c r="H39" i="28"/>
  <c r="H39" i="29"/>
  <c r="G39" i="26"/>
  <c r="G39" i="27"/>
  <c r="G39" i="28"/>
  <c r="G39" i="29"/>
  <c r="F39" i="26"/>
  <c r="F39" i="27"/>
  <c r="F39" i="28"/>
  <c r="F39" i="29"/>
  <c r="E39" i="26"/>
  <c r="E39" i="27"/>
  <c r="E39" i="28"/>
  <c r="E39" i="29"/>
  <c r="D39" i="26"/>
  <c r="D39" i="27"/>
  <c r="C39" i="26"/>
  <c r="B39" i="26"/>
  <c r="R38" i="26"/>
  <c r="R38" i="27"/>
  <c r="R38" i="28"/>
  <c r="R38" i="29"/>
  <c r="Q38" i="26"/>
  <c r="Q38" i="27"/>
  <c r="Q38" i="28"/>
  <c r="Q38" i="29"/>
  <c r="P38" i="26"/>
  <c r="P38" i="27"/>
  <c r="P38" i="28"/>
  <c r="P38" i="29"/>
  <c r="O38" i="26"/>
  <c r="O38" i="27"/>
  <c r="O38" i="28"/>
  <c r="O38" i="29"/>
  <c r="N38" i="26"/>
  <c r="N38" i="27"/>
  <c r="N38" i="28"/>
  <c r="N38" i="29"/>
  <c r="M38" i="26"/>
  <c r="M38" i="27"/>
  <c r="M38" i="28"/>
  <c r="M38" i="29"/>
  <c r="L38" i="26"/>
  <c r="L38" i="27"/>
  <c r="L38" i="28"/>
  <c r="L38" i="29"/>
  <c r="K38" i="26"/>
  <c r="K38" i="27"/>
  <c r="K38" i="28"/>
  <c r="K38" i="29"/>
  <c r="J38" i="26"/>
  <c r="J38" i="27"/>
  <c r="J38" i="28"/>
  <c r="J38" i="29"/>
  <c r="I38" i="26"/>
  <c r="I38" i="27"/>
  <c r="I38" i="28"/>
  <c r="I38" i="29"/>
  <c r="H38" i="26"/>
  <c r="H38" i="27"/>
  <c r="H38" i="28"/>
  <c r="H38" i="29"/>
  <c r="G38" i="26"/>
  <c r="G38" i="27"/>
  <c r="G38" i="28"/>
  <c r="G38" i="29"/>
  <c r="F38" i="26"/>
  <c r="E38" i="26"/>
  <c r="E38" i="27"/>
  <c r="E38" i="28"/>
  <c r="E38" i="29"/>
  <c r="D38" i="26"/>
  <c r="D38" i="27"/>
  <c r="C38" i="26"/>
  <c r="B38" i="26"/>
  <c r="R37" i="26"/>
  <c r="R37" i="27"/>
  <c r="R37" i="28"/>
  <c r="R37" i="29"/>
  <c r="Q37" i="26"/>
  <c r="Q37" i="27"/>
  <c r="Q37" i="28"/>
  <c r="Q37" i="29"/>
  <c r="P37" i="26"/>
  <c r="P37" i="27"/>
  <c r="P37" i="28"/>
  <c r="P37" i="29"/>
  <c r="O37" i="26"/>
  <c r="O37" i="27"/>
  <c r="O37" i="28"/>
  <c r="O37" i="29"/>
  <c r="N37" i="26"/>
  <c r="N37" i="27"/>
  <c r="N37" i="28"/>
  <c r="N37" i="29"/>
  <c r="M37" i="26"/>
  <c r="M37" i="27"/>
  <c r="M37" i="28"/>
  <c r="M37" i="29"/>
  <c r="L37" i="26"/>
  <c r="L37" i="27"/>
  <c r="L37" i="28"/>
  <c r="L37" i="29"/>
  <c r="K37" i="26"/>
  <c r="K37" i="27"/>
  <c r="K37" i="28"/>
  <c r="K37" i="29"/>
  <c r="J37" i="26"/>
  <c r="J37" i="27"/>
  <c r="J37" i="28"/>
  <c r="J37" i="29"/>
  <c r="I37" i="26"/>
  <c r="I37" i="27"/>
  <c r="I37" i="28"/>
  <c r="I37" i="29"/>
  <c r="H37" i="26"/>
  <c r="H37" i="27"/>
  <c r="H37" i="28"/>
  <c r="H37" i="29"/>
  <c r="G37" i="26"/>
  <c r="G37" i="27"/>
  <c r="G37" i="28"/>
  <c r="G37" i="29"/>
  <c r="F37" i="26"/>
  <c r="F37" i="27"/>
  <c r="F37" i="28"/>
  <c r="F37" i="29"/>
  <c r="E37" i="26"/>
  <c r="E37" i="27"/>
  <c r="E37" i="28"/>
  <c r="E37" i="29"/>
  <c r="D37" i="26"/>
  <c r="C37" i="26"/>
  <c r="B37" i="26"/>
  <c r="R36" i="26"/>
  <c r="R36" i="27"/>
  <c r="R36" i="28"/>
  <c r="R36" i="29"/>
  <c r="Q36" i="26"/>
  <c r="Q36" i="27"/>
  <c r="Q36" i="28"/>
  <c r="Q36" i="29"/>
  <c r="P36" i="26"/>
  <c r="P36" i="27"/>
  <c r="P36" i="28"/>
  <c r="P36" i="29"/>
  <c r="O36" i="26"/>
  <c r="O36" i="27"/>
  <c r="O36" i="28"/>
  <c r="O36" i="29"/>
  <c r="N36" i="26"/>
  <c r="N36" i="27"/>
  <c r="N36" i="28"/>
  <c r="N36" i="29"/>
  <c r="M36" i="26"/>
  <c r="M36" i="27"/>
  <c r="M36" i="28"/>
  <c r="M36" i="29"/>
  <c r="L36" i="26"/>
  <c r="L36" i="27"/>
  <c r="L36" i="28"/>
  <c r="L36" i="29"/>
  <c r="K36" i="26"/>
  <c r="K36" i="27"/>
  <c r="K36" i="28"/>
  <c r="K36" i="29"/>
  <c r="J36" i="26"/>
  <c r="J36" i="27"/>
  <c r="J36" i="28"/>
  <c r="J36" i="29"/>
  <c r="I36" i="26"/>
  <c r="I36" i="27"/>
  <c r="I36" i="28"/>
  <c r="I36" i="29"/>
  <c r="H36" i="26"/>
  <c r="H36" i="27"/>
  <c r="H36" i="28"/>
  <c r="H36" i="29"/>
  <c r="G36" i="26"/>
  <c r="G36" i="27"/>
  <c r="G36" i="28"/>
  <c r="G36" i="29"/>
  <c r="F36" i="26"/>
  <c r="F36" i="27"/>
  <c r="F36" i="28"/>
  <c r="F36" i="29"/>
  <c r="E36" i="26"/>
  <c r="D36" i="26"/>
  <c r="D36" i="27"/>
  <c r="C36" i="26"/>
  <c r="B36" i="26"/>
  <c r="R32" i="26"/>
  <c r="R32" i="27"/>
  <c r="R32" i="28"/>
  <c r="R32" i="29"/>
  <c r="Q32" i="26"/>
  <c r="Q32" i="27"/>
  <c r="Q32" i="28"/>
  <c r="Q32" i="29"/>
  <c r="P32" i="26"/>
  <c r="P32" i="27"/>
  <c r="P32" i="28"/>
  <c r="P32" i="29"/>
  <c r="O32" i="26"/>
  <c r="O32" i="27"/>
  <c r="O32" i="28"/>
  <c r="O32" i="29"/>
  <c r="N32" i="26"/>
  <c r="N32" i="27"/>
  <c r="N32" i="28"/>
  <c r="N32" i="29"/>
  <c r="M32" i="26"/>
  <c r="M32" i="27"/>
  <c r="M32" i="28"/>
  <c r="M32" i="29"/>
  <c r="L32" i="26"/>
  <c r="L32" i="27"/>
  <c r="L32" i="28"/>
  <c r="L32" i="29"/>
  <c r="K32" i="26"/>
  <c r="K32" i="27"/>
  <c r="K32" i="28"/>
  <c r="K32" i="29"/>
  <c r="J32" i="26"/>
  <c r="J32" i="27"/>
  <c r="J32" i="28"/>
  <c r="J32" i="29"/>
  <c r="I32" i="26"/>
  <c r="I32" i="27"/>
  <c r="I32" i="28"/>
  <c r="I32" i="29"/>
  <c r="H32" i="26"/>
  <c r="H32" i="27"/>
  <c r="H32" i="28"/>
  <c r="H32" i="29"/>
  <c r="G32" i="26"/>
  <c r="G32" i="27"/>
  <c r="G32" i="28"/>
  <c r="G32" i="29"/>
  <c r="F32" i="26"/>
  <c r="F32" i="27"/>
  <c r="F32" i="28"/>
  <c r="F32" i="29"/>
  <c r="E32" i="26"/>
  <c r="E32" i="27"/>
  <c r="E32" i="28"/>
  <c r="E32" i="29"/>
  <c r="D32" i="26"/>
  <c r="D32" i="27"/>
  <c r="S32" i="27"/>
  <c r="C32" i="26"/>
  <c r="B32" i="26"/>
  <c r="R31" i="26"/>
  <c r="R31" i="27"/>
  <c r="Q31" i="26"/>
  <c r="Q31" i="27"/>
  <c r="Q31" i="28"/>
  <c r="Q31" i="29"/>
  <c r="P31" i="26"/>
  <c r="P31" i="27"/>
  <c r="O31" i="26"/>
  <c r="O31" i="27"/>
  <c r="N31" i="26"/>
  <c r="N31" i="27"/>
  <c r="N31" i="28"/>
  <c r="M31" i="26"/>
  <c r="M31" i="27"/>
  <c r="L31" i="26"/>
  <c r="L31" i="27"/>
  <c r="L31" i="28"/>
  <c r="K31" i="26"/>
  <c r="K31" i="27"/>
  <c r="J31" i="26"/>
  <c r="J31" i="27"/>
  <c r="I31" i="26"/>
  <c r="I31" i="27"/>
  <c r="I31" i="28"/>
  <c r="I31" i="29"/>
  <c r="H31" i="26"/>
  <c r="H31" i="27"/>
  <c r="G31" i="26"/>
  <c r="G31" i="27"/>
  <c r="G31" i="28"/>
  <c r="F31" i="26"/>
  <c r="F31" i="27"/>
  <c r="F31" i="28"/>
  <c r="F31" i="29"/>
  <c r="E31" i="26"/>
  <c r="E31" i="27"/>
  <c r="D31" i="26"/>
  <c r="D31" i="27"/>
  <c r="C31" i="26"/>
  <c r="B31" i="26"/>
  <c r="R30" i="26"/>
  <c r="R30" i="27"/>
  <c r="R30" i="28"/>
  <c r="R30" i="29"/>
  <c r="Q30" i="26"/>
  <c r="Q30" i="27"/>
  <c r="Q30" i="28"/>
  <c r="Q30" i="29"/>
  <c r="P30" i="26"/>
  <c r="P30" i="27"/>
  <c r="P30" i="28"/>
  <c r="P30" i="29"/>
  <c r="O30" i="26"/>
  <c r="O30" i="27"/>
  <c r="O30" i="28"/>
  <c r="O30" i="29"/>
  <c r="N30" i="26"/>
  <c r="N30" i="27"/>
  <c r="N30" i="28"/>
  <c r="N30" i="29"/>
  <c r="M30" i="26"/>
  <c r="M30" i="27"/>
  <c r="M30" i="28"/>
  <c r="M30" i="29"/>
  <c r="L30" i="26"/>
  <c r="L30" i="27"/>
  <c r="L30" i="28"/>
  <c r="L30" i="29"/>
  <c r="K30" i="26"/>
  <c r="K30" i="27"/>
  <c r="K30" i="28"/>
  <c r="K30" i="29"/>
  <c r="J30" i="26"/>
  <c r="J30" i="27"/>
  <c r="J30" i="28"/>
  <c r="J30" i="29"/>
  <c r="I30" i="26"/>
  <c r="I30" i="27"/>
  <c r="I30" i="28"/>
  <c r="I30" i="29"/>
  <c r="H30" i="26"/>
  <c r="H30" i="27"/>
  <c r="H30" i="28"/>
  <c r="H30" i="29"/>
  <c r="G30" i="26"/>
  <c r="G30" i="27"/>
  <c r="G30" i="28"/>
  <c r="G30" i="29"/>
  <c r="F30" i="26"/>
  <c r="F30" i="27"/>
  <c r="F30" i="28"/>
  <c r="F30" i="29"/>
  <c r="E30" i="26"/>
  <c r="D30" i="26"/>
  <c r="D30" i="27"/>
  <c r="C30" i="26"/>
  <c r="B30" i="26"/>
  <c r="R29" i="26"/>
  <c r="R29" i="27"/>
  <c r="R29" i="28"/>
  <c r="R29" i="29"/>
  <c r="R29" i="22"/>
  <c r="Q29" i="26"/>
  <c r="Q29" i="27"/>
  <c r="Q29" i="28"/>
  <c r="P29" i="26"/>
  <c r="P29" i="27"/>
  <c r="O29" i="26"/>
  <c r="O29" i="27"/>
  <c r="O29" i="28"/>
  <c r="O29" i="29"/>
  <c r="O29" i="22"/>
  <c r="N29" i="26"/>
  <c r="N29" i="27"/>
  <c r="N29" i="28"/>
  <c r="N29" i="29"/>
  <c r="N29" i="22"/>
  <c r="M29" i="26"/>
  <c r="M29" i="27"/>
  <c r="L29" i="26"/>
  <c r="L29" i="27"/>
  <c r="K29" i="26"/>
  <c r="K29" i="27"/>
  <c r="K29" i="28"/>
  <c r="K29" i="29"/>
  <c r="K29" i="22"/>
  <c r="J29" i="26"/>
  <c r="J29" i="27"/>
  <c r="J29" i="28"/>
  <c r="J29" i="29"/>
  <c r="J29" i="22"/>
  <c r="I29" i="26"/>
  <c r="I29" i="27"/>
  <c r="H29" i="26"/>
  <c r="H29" i="27"/>
  <c r="G29" i="26"/>
  <c r="G29" i="27"/>
  <c r="G29" i="28"/>
  <c r="G29" i="29"/>
  <c r="G29" i="22"/>
  <c r="F29" i="26"/>
  <c r="F29" i="27"/>
  <c r="F29" i="28"/>
  <c r="F29" i="29"/>
  <c r="F29" i="22"/>
  <c r="E29" i="26"/>
  <c r="E29" i="27"/>
  <c r="D29" i="26"/>
  <c r="D29" i="27"/>
  <c r="C29" i="26"/>
  <c r="B29" i="26"/>
  <c r="R28" i="26"/>
  <c r="R28" i="27"/>
  <c r="R28" i="28"/>
  <c r="Q28" i="26"/>
  <c r="Q28" i="27"/>
  <c r="Q28" i="28"/>
  <c r="Q28" i="29"/>
  <c r="Q28" i="22"/>
  <c r="P28" i="26"/>
  <c r="P28" i="27"/>
  <c r="P28" i="28"/>
  <c r="P28" i="21"/>
  <c r="P28" i="29"/>
  <c r="P28" i="22"/>
  <c r="O28" i="26"/>
  <c r="O28" i="27"/>
  <c r="O28" i="28"/>
  <c r="O28" i="29"/>
  <c r="O28" i="22"/>
  <c r="N28" i="26"/>
  <c r="N28" i="27"/>
  <c r="M28" i="26"/>
  <c r="M28" i="27"/>
  <c r="M28" i="28"/>
  <c r="M28" i="29"/>
  <c r="M28" i="22"/>
  <c r="L28" i="26"/>
  <c r="L28" i="27"/>
  <c r="L28" i="28"/>
  <c r="L28" i="29"/>
  <c r="L28" i="22"/>
  <c r="K28" i="26"/>
  <c r="K28" i="27"/>
  <c r="K28" i="28"/>
  <c r="K28" i="29"/>
  <c r="K28" i="22"/>
  <c r="J28" i="26"/>
  <c r="J28" i="27"/>
  <c r="I28" i="26"/>
  <c r="I28" i="27"/>
  <c r="I28" i="28"/>
  <c r="I28" i="21"/>
  <c r="I28" i="29"/>
  <c r="I28" i="22"/>
  <c r="H28" i="26"/>
  <c r="H28" i="27"/>
  <c r="H28" i="28"/>
  <c r="H28" i="29"/>
  <c r="H28" i="22"/>
  <c r="G28" i="26"/>
  <c r="G28" i="27"/>
  <c r="G28" i="28"/>
  <c r="G28" i="29"/>
  <c r="G28" i="22"/>
  <c r="F28" i="26"/>
  <c r="E28" i="26"/>
  <c r="E28" i="27"/>
  <c r="E28" i="28"/>
  <c r="E28" i="21"/>
  <c r="E28" i="29"/>
  <c r="E28" i="22"/>
  <c r="D28" i="26"/>
  <c r="D28" i="27"/>
  <c r="D28" i="20"/>
  <c r="C28" i="26"/>
  <c r="B28" i="26"/>
  <c r="R27" i="26"/>
  <c r="R27" i="27"/>
  <c r="R27" i="28"/>
  <c r="R27" i="29"/>
  <c r="Q27" i="26"/>
  <c r="Q27" i="27"/>
  <c r="Q27" i="28"/>
  <c r="Q27" i="29"/>
  <c r="P27" i="26"/>
  <c r="P27" i="27"/>
  <c r="P27" i="28"/>
  <c r="P27" i="29"/>
  <c r="O27" i="26"/>
  <c r="O27" i="27"/>
  <c r="O27" i="28"/>
  <c r="O27" i="29"/>
  <c r="N27" i="26"/>
  <c r="N27" i="27"/>
  <c r="N27" i="28"/>
  <c r="N27" i="29"/>
  <c r="M27" i="26"/>
  <c r="M27" i="27"/>
  <c r="M27" i="28"/>
  <c r="M27" i="29"/>
  <c r="L27" i="26"/>
  <c r="L27" i="27"/>
  <c r="L27" i="28"/>
  <c r="L27" i="29"/>
  <c r="K27" i="26"/>
  <c r="K27" i="27"/>
  <c r="K27" i="28"/>
  <c r="K27" i="29"/>
  <c r="J27" i="26"/>
  <c r="J27" i="27"/>
  <c r="J27" i="28"/>
  <c r="J27" i="29"/>
  <c r="I27" i="26"/>
  <c r="I27" i="27"/>
  <c r="I27" i="28"/>
  <c r="I27" i="29"/>
  <c r="H27" i="26"/>
  <c r="H27" i="27"/>
  <c r="H27" i="28"/>
  <c r="H27" i="29"/>
  <c r="G27" i="26"/>
  <c r="G27" i="27"/>
  <c r="F27" i="26"/>
  <c r="F27" i="27"/>
  <c r="F27" i="28"/>
  <c r="F27" i="29"/>
  <c r="E27" i="26"/>
  <c r="E27" i="27"/>
  <c r="E27" i="28"/>
  <c r="E27" i="29"/>
  <c r="D27" i="26"/>
  <c r="D27" i="27"/>
  <c r="C27" i="26"/>
  <c r="B27" i="26"/>
  <c r="R26" i="26"/>
  <c r="R26" i="27"/>
  <c r="R26" i="28"/>
  <c r="R26" i="29"/>
  <c r="Q26" i="26"/>
  <c r="Q26" i="27"/>
  <c r="Q26" i="28"/>
  <c r="Q26" i="29"/>
  <c r="P26" i="26"/>
  <c r="P26" i="27"/>
  <c r="P26" i="28"/>
  <c r="P26" i="29"/>
  <c r="O26" i="26"/>
  <c r="O26" i="27"/>
  <c r="O26" i="28"/>
  <c r="O26" i="29"/>
  <c r="N26" i="26"/>
  <c r="N26" i="27"/>
  <c r="N26" i="28"/>
  <c r="N26" i="29"/>
  <c r="M26" i="26"/>
  <c r="M26" i="27"/>
  <c r="M26" i="28"/>
  <c r="M26" i="29"/>
  <c r="L26" i="26"/>
  <c r="L26" i="27"/>
  <c r="L26" i="28"/>
  <c r="L26" i="29"/>
  <c r="K26" i="26"/>
  <c r="K26" i="27"/>
  <c r="K26" i="28"/>
  <c r="K26" i="29"/>
  <c r="J26" i="26"/>
  <c r="J26" i="27"/>
  <c r="J26" i="28"/>
  <c r="J26" i="29"/>
  <c r="I26" i="26"/>
  <c r="I26" i="27"/>
  <c r="I26" i="28"/>
  <c r="I26" i="29"/>
  <c r="H26" i="26"/>
  <c r="H26" i="27"/>
  <c r="H26" i="28"/>
  <c r="H26" i="29"/>
  <c r="G26" i="26"/>
  <c r="G26" i="27"/>
  <c r="G26" i="28"/>
  <c r="G26" i="29"/>
  <c r="F26" i="26"/>
  <c r="F26" i="27"/>
  <c r="F26" i="28"/>
  <c r="F26" i="29"/>
  <c r="E26" i="26"/>
  <c r="E26" i="27"/>
  <c r="E26" i="28"/>
  <c r="E26" i="29"/>
  <c r="D26" i="26"/>
  <c r="D26" i="27"/>
  <c r="D26" i="28"/>
  <c r="C26" i="26"/>
  <c r="B26" i="26"/>
  <c r="R25" i="26"/>
  <c r="R25" i="27"/>
  <c r="R25" i="28"/>
  <c r="R25" i="29"/>
  <c r="Q25" i="26"/>
  <c r="Q25" i="27"/>
  <c r="Q25" i="28"/>
  <c r="Q25" i="29"/>
  <c r="P25" i="26"/>
  <c r="P25" i="27"/>
  <c r="P25" i="28"/>
  <c r="P25" i="29"/>
  <c r="O25" i="26"/>
  <c r="O25" i="27"/>
  <c r="O25" i="28"/>
  <c r="O25" i="29"/>
  <c r="N25" i="26"/>
  <c r="N25" i="27"/>
  <c r="N25" i="28"/>
  <c r="N25" i="29"/>
  <c r="M25" i="26"/>
  <c r="M25" i="27"/>
  <c r="M25" i="28"/>
  <c r="M25" i="29"/>
  <c r="L25" i="26"/>
  <c r="L25" i="27"/>
  <c r="L25" i="28"/>
  <c r="L25" i="29"/>
  <c r="K25" i="26"/>
  <c r="K25" i="27"/>
  <c r="K25" i="28"/>
  <c r="K25" i="29"/>
  <c r="J25" i="26"/>
  <c r="J25" i="27"/>
  <c r="J25" i="28"/>
  <c r="J25" i="29"/>
  <c r="I25" i="26"/>
  <c r="I25" i="27"/>
  <c r="I25" i="28"/>
  <c r="I25" i="29"/>
  <c r="H25" i="26"/>
  <c r="H25" i="27"/>
  <c r="H25" i="28"/>
  <c r="H25" i="29"/>
  <c r="G25" i="26"/>
  <c r="G25" i="27"/>
  <c r="G25" i="28"/>
  <c r="G25" i="29"/>
  <c r="F25" i="26"/>
  <c r="F25" i="27"/>
  <c r="F25" i="28"/>
  <c r="F25" i="29"/>
  <c r="E25" i="26"/>
  <c r="E25" i="27"/>
  <c r="E25" i="28"/>
  <c r="E25" i="29"/>
  <c r="D25" i="26"/>
  <c r="D25" i="27"/>
  <c r="C25" i="26"/>
  <c r="B25" i="26"/>
  <c r="C21" i="26"/>
  <c r="B21" i="26"/>
  <c r="C20" i="26"/>
  <c r="B20" i="26"/>
  <c r="R19" i="26"/>
  <c r="R19" i="27"/>
  <c r="R19" i="28"/>
  <c r="R19" i="29"/>
  <c r="Q19" i="26"/>
  <c r="Q19" i="27"/>
  <c r="Q19" i="28"/>
  <c r="Q19" i="29"/>
  <c r="P19" i="26"/>
  <c r="P19" i="27"/>
  <c r="P19" i="28"/>
  <c r="P19" i="29"/>
  <c r="O19" i="26"/>
  <c r="O19" i="27"/>
  <c r="O19" i="28"/>
  <c r="O19" i="29"/>
  <c r="N19" i="26"/>
  <c r="N19" i="27"/>
  <c r="N19" i="28"/>
  <c r="N19" i="29"/>
  <c r="M19" i="26"/>
  <c r="M19" i="27"/>
  <c r="M19" i="28"/>
  <c r="M19" i="29"/>
  <c r="L19" i="26"/>
  <c r="L19" i="27"/>
  <c r="L19" i="28"/>
  <c r="L19" i="29"/>
  <c r="K19" i="26"/>
  <c r="K19" i="27"/>
  <c r="K19" i="28"/>
  <c r="K19" i="29"/>
  <c r="J19" i="26"/>
  <c r="J19" i="27"/>
  <c r="J19" i="28"/>
  <c r="J19" i="29"/>
  <c r="I19" i="26"/>
  <c r="I19" i="27"/>
  <c r="I19" i="28"/>
  <c r="I19" i="29"/>
  <c r="H19" i="26"/>
  <c r="H19" i="27"/>
  <c r="H19" i="28"/>
  <c r="H19" i="29"/>
  <c r="G19" i="26"/>
  <c r="G19" i="27"/>
  <c r="G19" i="28"/>
  <c r="G19" i="29"/>
  <c r="F19" i="26"/>
  <c r="F19" i="27"/>
  <c r="F19" i="28"/>
  <c r="F19" i="29"/>
  <c r="E19" i="26"/>
  <c r="E19" i="27"/>
  <c r="D19" i="26"/>
  <c r="D19" i="27"/>
  <c r="C19" i="26"/>
  <c r="B19" i="26"/>
  <c r="R18" i="26"/>
  <c r="R18" i="27"/>
  <c r="R18" i="28"/>
  <c r="R18" i="29"/>
  <c r="Q18" i="26"/>
  <c r="Q18" i="27"/>
  <c r="Q18" i="28"/>
  <c r="Q18" i="29"/>
  <c r="P18" i="26"/>
  <c r="P18" i="27"/>
  <c r="P18" i="28"/>
  <c r="P18" i="29"/>
  <c r="O18" i="26"/>
  <c r="O18" i="27"/>
  <c r="O18" i="28"/>
  <c r="O18" i="29"/>
  <c r="N18" i="26"/>
  <c r="N18" i="27"/>
  <c r="N18" i="28"/>
  <c r="N18" i="29"/>
  <c r="M18" i="26"/>
  <c r="M18" i="27"/>
  <c r="M18" i="28"/>
  <c r="M18" i="29"/>
  <c r="L18" i="26"/>
  <c r="L18" i="27"/>
  <c r="L18" i="28"/>
  <c r="L18" i="29"/>
  <c r="K18" i="26"/>
  <c r="K18" i="27"/>
  <c r="K18" i="28"/>
  <c r="K18" i="29"/>
  <c r="J18" i="26"/>
  <c r="J18" i="27"/>
  <c r="J18" i="28"/>
  <c r="J18" i="29"/>
  <c r="I18" i="26"/>
  <c r="I18" i="27"/>
  <c r="I18" i="28"/>
  <c r="I18" i="29"/>
  <c r="H18" i="26"/>
  <c r="H18" i="27"/>
  <c r="H18" i="28"/>
  <c r="H18" i="29"/>
  <c r="G18" i="26"/>
  <c r="G18" i="27"/>
  <c r="F18" i="26"/>
  <c r="F18" i="27"/>
  <c r="F18" i="28"/>
  <c r="F18" i="29"/>
  <c r="E18" i="26"/>
  <c r="E18" i="27"/>
  <c r="E18" i="28"/>
  <c r="E18" i="29"/>
  <c r="D18" i="26"/>
  <c r="D18" i="27"/>
  <c r="C18" i="26"/>
  <c r="B18" i="26"/>
  <c r="F17" i="26"/>
  <c r="F17" i="27"/>
  <c r="F17" i="28"/>
  <c r="F17" i="29"/>
  <c r="C17" i="26"/>
  <c r="B17" i="26"/>
  <c r="C16" i="26"/>
  <c r="B16" i="26"/>
  <c r="R15" i="26"/>
  <c r="R15" i="27"/>
  <c r="R15" i="28"/>
  <c r="R15" i="29"/>
  <c r="Q15" i="26"/>
  <c r="Q15" i="27"/>
  <c r="Q15" i="28"/>
  <c r="Q15" i="29"/>
  <c r="P15" i="26"/>
  <c r="P15" i="27"/>
  <c r="P15" i="28"/>
  <c r="P15" i="29"/>
  <c r="O15" i="26"/>
  <c r="O15" i="27"/>
  <c r="O15" i="28"/>
  <c r="O15" i="29"/>
  <c r="N15" i="26"/>
  <c r="N15" i="27"/>
  <c r="N15" i="28"/>
  <c r="N15" i="29"/>
  <c r="M15" i="26"/>
  <c r="M15" i="27"/>
  <c r="M15" i="28"/>
  <c r="M15" i="29"/>
  <c r="L15" i="26"/>
  <c r="L15" i="27"/>
  <c r="L15" i="28"/>
  <c r="L15" i="29"/>
  <c r="K15" i="26"/>
  <c r="K15" i="27"/>
  <c r="K15" i="28"/>
  <c r="K15" i="29"/>
  <c r="J15" i="26"/>
  <c r="J15" i="27"/>
  <c r="J15" i="28"/>
  <c r="J15" i="29"/>
  <c r="I15" i="26"/>
  <c r="I15" i="27"/>
  <c r="I15" i="28"/>
  <c r="I15" i="29"/>
  <c r="H15" i="26"/>
  <c r="H15" i="27"/>
  <c r="H15" i="28"/>
  <c r="H15" i="29"/>
  <c r="G15" i="26"/>
  <c r="G15" i="27"/>
  <c r="G15" i="28"/>
  <c r="G15" i="29"/>
  <c r="C15" i="26"/>
  <c r="B15" i="26"/>
  <c r="P14" i="26"/>
  <c r="P14" i="27"/>
  <c r="P14" i="28"/>
  <c r="P14" i="29"/>
  <c r="O14" i="26"/>
  <c r="O14" i="27"/>
  <c r="O14" i="28"/>
  <c r="O14" i="29"/>
  <c r="N14" i="26"/>
  <c r="N14" i="27"/>
  <c r="N14" i="28"/>
  <c r="N14" i="29"/>
  <c r="M14" i="26"/>
  <c r="M14" i="27"/>
  <c r="M14" i="28"/>
  <c r="M14" i="29"/>
  <c r="L14" i="26"/>
  <c r="L14" i="27"/>
  <c r="L14" i="28"/>
  <c r="L14" i="29"/>
  <c r="K14" i="26"/>
  <c r="K14" i="27"/>
  <c r="K14" i="28"/>
  <c r="K14" i="29"/>
  <c r="J14" i="26"/>
  <c r="J14" i="27"/>
  <c r="J14" i="28"/>
  <c r="J14" i="29"/>
  <c r="I14" i="26"/>
  <c r="I14" i="27"/>
  <c r="I14" i="28"/>
  <c r="I14" i="29"/>
  <c r="H14" i="26"/>
  <c r="H14" i="27"/>
  <c r="H14" i="28"/>
  <c r="H14" i="29"/>
  <c r="G14" i="26"/>
  <c r="G14" i="27"/>
  <c r="G14" i="28"/>
  <c r="G14" i="29"/>
  <c r="F14" i="26"/>
  <c r="F14" i="27"/>
  <c r="F14" i="28"/>
  <c r="F14" i="29"/>
  <c r="E14" i="26"/>
  <c r="E14" i="27"/>
  <c r="C14" i="26"/>
  <c r="B14" i="26"/>
  <c r="S13" i="26"/>
  <c r="C13" i="26"/>
  <c r="B13" i="26"/>
  <c r="R12" i="26"/>
  <c r="Q12" i="26"/>
  <c r="P12" i="26"/>
  <c r="C12" i="26"/>
  <c r="B12" i="26"/>
  <c r="K10" i="26"/>
  <c r="K10" i="27"/>
  <c r="K10" i="28"/>
  <c r="K10" i="29"/>
  <c r="J10" i="26"/>
  <c r="J10" i="27"/>
  <c r="J10" i="28"/>
  <c r="J10" i="29"/>
  <c r="I10" i="26"/>
  <c r="I10" i="27"/>
  <c r="I10" i="28"/>
  <c r="I10" i="29"/>
  <c r="H10" i="26"/>
  <c r="H10" i="27"/>
  <c r="H10" i="28"/>
  <c r="H10" i="29"/>
  <c r="G10" i="26"/>
  <c r="G10" i="27"/>
  <c r="G10" i="28"/>
  <c r="G10" i="29"/>
  <c r="F10" i="26"/>
  <c r="F10" i="27"/>
  <c r="F10" i="28"/>
  <c r="F10" i="29"/>
  <c r="E10" i="26"/>
  <c r="E10" i="27"/>
  <c r="E10" i="28"/>
  <c r="E10" i="29"/>
  <c r="D10" i="26"/>
  <c r="O9" i="26"/>
  <c r="O12" i="26"/>
  <c r="N9" i="26"/>
  <c r="N9" i="27"/>
  <c r="N9" i="28"/>
  <c r="N12" i="28"/>
  <c r="M9" i="26"/>
  <c r="M9" i="27"/>
  <c r="L9" i="26"/>
  <c r="L9" i="27"/>
  <c r="K9" i="26"/>
  <c r="K12" i="26"/>
  <c r="J9" i="26"/>
  <c r="J9" i="27"/>
  <c r="I9" i="26"/>
  <c r="I9" i="27"/>
  <c r="I9" i="28"/>
  <c r="I12" i="28"/>
  <c r="H9" i="26"/>
  <c r="G9" i="26"/>
  <c r="G12" i="26"/>
  <c r="F9" i="26"/>
  <c r="F9" i="27"/>
  <c r="F9" i="28"/>
  <c r="F9" i="29"/>
  <c r="E9" i="26"/>
  <c r="E9" i="27"/>
  <c r="A3" i="26"/>
  <c r="A1" i="26"/>
  <c r="O157" i="17"/>
  <c r="O158" i="18"/>
  <c r="N157" i="17"/>
  <c r="N158" i="18"/>
  <c r="M157" i="17"/>
  <c r="M158" i="18"/>
  <c r="L157" i="17"/>
  <c r="L158" i="18"/>
  <c r="K157" i="17"/>
  <c r="K158" i="18"/>
  <c r="J157" i="17"/>
  <c r="J158" i="18"/>
  <c r="J159" i="18"/>
  <c r="I157" i="17"/>
  <c r="I158" i="18"/>
  <c r="H157" i="17"/>
  <c r="H158" i="18"/>
  <c r="H159" i="18"/>
  <c r="G157" i="17"/>
  <c r="G158" i="18"/>
  <c r="F157" i="17"/>
  <c r="F158" i="18"/>
  <c r="S156" i="17"/>
  <c r="S155" i="17"/>
  <c r="S154" i="17"/>
  <c r="S150" i="17"/>
  <c r="S149" i="17"/>
  <c r="S145" i="17"/>
  <c r="S141" i="17"/>
  <c r="S140" i="17"/>
  <c r="S139" i="17"/>
  <c r="S138" i="17"/>
  <c r="S137" i="17"/>
  <c r="S136" i="17"/>
  <c r="S135" i="17"/>
  <c r="S134" i="17"/>
  <c r="C134" i="17"/>
  <c r="B134" i="17"/>
  <c r="S133" i="17"/>
  <c r="S132" i="17"/>
  <c r="C132" i="17"/>
  <c r="B132" i="17"/>
  <c r="S131" i="17"/>
  <c r="S130" i="17"/>
  <c r="C130" i="17"/>
  <c r="B130" i="17"/>
  <c r="S129" i="17"/>
  <c r="C129" i="17"/>
  <c r="B129" i="17"/>
  <c r="S128" i="17"/>
  <c r="S127" i="17"/>
  <c r="S126" i="17"/>
  <c r="C126" i="17"/>
  <c r="B126" i="17"/>
  <c r="S125" i="17"/>
  <c r="S124" i="17"/>
  <c r="C124" i="17"/>
  <c r="B124" i="17"/>
  <c r="S123" i="17"/>
  <c r="S122" i="17"/>
  <c r="S121" i="17"/>
  <c r="S120" i="17"/>
  <c r="S119" i="17"/>
  <c r="S118" i="17"/>
  <c r="S117" i="17"/>
  <c r="S116" i="17"/>
  <c r="S115" i="17"/>
  <c r="S114" i="17"/>
  <c r="S113" i="17"/>
  <c r="S112" i="17"/>
  <c r="S111" i="17"/>
  <c r="S110" i="17"/>
  <c r="S109" i="17"/>
  <c r="S105" i="17"/>
  <c r="S104" i="17"/>
  <c r="S103" i="17"/>
  <c r="S102" i="17"/>
  <c r="S101" i="17"/>
  <c r="S100" i="17"/>
  <c r="S99" i="17"/>
  <c r="S98" i="17"/>
  <c r="S97" i="17"/>
  <c r="S96" i="17"/>
  <c r="S95" i="17"/>
  <c r="S94" i="17"/>
  <c r="S93" i="17"/>
  <c r="C93" i="17"/>
  <c r="B93" i="17"/>
  <c r="S92" i="17"/>
  <c r="S91" i="17"/>
  <c r="S90" i="17"/>
  <c r="S89" i="17"/>
  <c r="S85" i="17"/>
  <c r="C85" i="17"/>
  <c r="B85" i="17"/>
  <c r="S84" i="17"/>
  <c r="C84" i="17"/>
  <c r="B84" i="17"/>
  <c r="S83" i="17"/>
  <c r="C83" i="17"/>
  <c r="B83" i="17"/>
  <c r="S82" i="17"/>
  <c r="C82" i="17"/>
  <c r="B82" i="17"/>
  <c r="S81" i="17"/>
  <c r="C81" i="17"/>
  <c r="B81" i="17"/>
  <c r="S80" i="17"/>
  <c r="C80" i="17"/>
  <c r="B80" i="17"/>
  <c r="S79" i="17"/>
  <c r="C79" i="17"/>
  <c r="B79" i="17"/>
  <c r="S78" i="17"/>
  <c r="C78" i="17"/>
  <c r="B78" i="17"/>
  <c r="S77" i="17"/>
  <c r="C77" i="17"/>
  <c r="B77" i="17"/>
  <c r="S73" i="17"/>
  <c r="C73" i="17"/>
  <c r="B73" i="17"/>
  <c r="S72" i="17"/>
  <c r="C72" i="17"/>
  <c r="B72" i="17"/>
  <c r="S71" i="17"/>
  <c r="C71" i="17"/>
  <c r="B71" i="17"/>
  <c r="S70" i="17"/>
  <c r="C70" i="17"/>
  <c r="B70" i="17"/>
  <c r="S69" i="17"/>
  <c r="C69" i="17"/>
  <c r="B69" i="17"/>
  <c r="S68" i="17"/>
  <c r="C68" i="17"/>
  <c r="B68" i="17"/>
  <c r="S67" i="17"/>
  <c r="C67" i="17"/>
  <c r="B67" i="17"/>
  <c r="S66" i="17"/>
  <c r="C66" i="17"/>
  <c r="B66" i="17"/>
  <c r="S65" i="17"/>
  <c r="C65" i="17"/>
  <c r="B65" i="17"/>
  <c r="S64" i="17"/>
  <c r="C64" i="17"/>
  <c r="B64" i="17"/>
  <c r="S60" i="17"/>
  <c r="C60" i="17"/>
  <c r="B60" i="17"/>
  <c r="S59" i="17"/>
  <c r="C59" i="17"/>
  <c r="B59" i="17"/>
  <c r="S58" i="17"/>
  <c r="C58" i="17"/>
  <c r="B58" i="17"/>
  <c r="S57" i="17"/>
  <c r="C57" i="17"/>
  <c r="B57" i="17"/>
  <c r="S56" i="17"/>
  <c r="C56" i="17"/>
  <c r="B56" i="17"/>
  <c r="S55" i="17"/>
  <c r="C55" i="17"/>
  <c r="B55" i="17"/>
  <c r="S54" i="17"/>
  <c r="C54" i="17"/>
  <c r="B54" i="17"/>
  <c r="S53" i="17"/>
  <c r="C53" i="17"/>
  <c r="B53" i="17"/>
  <c r="S47" i="17"/>
  <c r="C47" i="17"/>
  <c r="B47" i="17"/>
  <c r="S46" i="17"/>
  <c r="C46" i="17"/>
  <c r="B46" i="17"/>
  <c r="S45" i="17"/>
  <c r="C45" i="17"/>
  <c r="B45" i="17"/>
  <c r="S44" i="17"/>
  <c r="C44" i="17"/>
  <c r="B44" i="17"/>
  <c r="S43" i="17"/>
  <c r="C43" i="17"/>
  <c r="B43" i="17"/>
  <c r="S42" i="17"/>
  <c r="C42" i="17"/>
  <c r="B42" i="17"/>
  <c r="S41" i="17"/>
  <c r="C41" i="17"/>
  <c r="B41" i="17"/>
  <c r="S40" i="17"/>
  <c r="C40" i="17"/>
  <c r="B40" i="17"/>
  <c r="S39" i="17"/>
  <c r="C39" i="17"/>
  <c r="B39" i="17"/>
  <c r="S38" i="17"/>
  <c r="C38" i="17"/>
  <c r="B38" i="17"/>
  <c r="S37" i="17"/>
  <c r="C37" i="17"/>
  <c r="B37" i="17"/>
  <c r="S36" i="17"/>
  <c r="C36" i="17"/>
  <c r="B36" i="17"/>
  <c r="S32" i="17"/>
  <c r="C32" i="17"/>
  <c r="B32" i="17"/>
  <c r="S31" i="17"/>
  <c r="C31" i="17"/>
  <c r="B31" i="17"/>
  <c r="S30" i="17"/>
  <c r="C30" i="17"/>
  <c r="B30" i="17"/>
  <c r="S29" i="17"/>
  <c r="C29" i="17"/>
  <c r="B29" i="17"/>
  <c r="S28" i="17"/>
  <c r="C28" i="17"/>
  <c r="B28" i="17"/>
  <c r="S27" i="17"/>
  <c r="C27" i="17"/>
  <c r="B27" i="17"/>
  <c r="S26" i="17"/>
  <c r="C26" i="17"/>
  <c r="B26" i="17"/>
  <c r="S25" i="17"/>
  <c r="C25" i="17"/>
  <c r="B25" i="17"/>
  <c r="R21" i="17"/>
  <c r="R21" i="26"/>
  <c r="R21" i="27"/>
  <c r="R21" i="28"/>
  <c r="R21" i="29"/>
  <c r="Q21" i="17"/>
  <c r="Q21" i="26"/>
  <c r="Q21" i="27"/>
  <c r="Q21" i="28"/>
  <c r="Q21" i="29"/>
  <c r="P21" i="17"/>
  <c r="P21" i="26"/>
  <c r="P21" i="27"/>
  <c r="P21" i="28"/>
  <c r="P21" i="29"/>
  <c r="O21" i="17"/>
  <c r="O21" i="26"/>
  <c r="O21" i="27"/>
  <c r="O21" i="28"/>
  <c r="O21" i="29"/>
  <c r="N21" i="17"/>
  <c r="N21" i="26"/>
  <c r="N21" i="27"/>
  <c r="N21" i="28"/>
  <c r="N21" i="29"/>
  <c r="M21" i="17"/>
  <c r="M21" i="26"/>
  <c r="M21" i="27"/>
  <c r="M21" i="28"/>
  <c r="M21" i="29"/>
  <c r="L21" i="17"/>
  <c r="L21" i="26"/>
  <c r="L21" i="27"/>
  <c r="L21" i="28"/>
  <c r="L21" i="29"/>
  <c r="K21" i="17"/>
  <c r="K21" i="26"/>
  <c r="K21" i="27"/>
  <c r="K21" i="28"/>
  <c r="K21" i="29"/>
  <c r="J21" i="17"/>
  <c r="J21" i="26"/>
  <c r="J21" i="27"/>
  <c r="J21" i="28"/>
  <c r="J21" i="29"/>
  <c r="I21" i="17"/>
  <c r="I21" i="26"/>
  <c r="I21" i="27"/>
  <c r="I21" i="28"/>
  <c r="I21" i="29"/>
  <c r="H21" i="17"/>
  <c r="G21" i="17"/>
  <c r="G21" i="26"/>
  <c r="G21" i="27"/>
  <c r="G21" i="28"/>
  <c r="G21" i="29"/>
  <c r="F21" i="17"/>
  <c r="F21" i="26"/>
  <c r="F21" i="27"/>
  <c r="F21" i="28"/>
  <c r="F21" i="29"/>
  <c r="E21" i="17"/>
  <c r="E21" i="26"/>
  <c r="E21" i="27"/>
  <c r="E21" i="28"/>
  <c r="E21" i="29"/>
  <c r="C21" i="17"/>
  <c r="B21" i="17"/>
  <c r="R20" i="17"/>
  <c r="R20" i="26"/>
  <c r="R20" i="27"/>
  <c r="R20" i="28"/>
  <c r="R20" i="29"/>
  <c r="Q20" i="17"/>
  <c r="Q20" i="26"/>
  <c r="Q20" i="27"/>
  <c r="Q20" i="28"/>
  <c r="Q20" i="29"/>
  <c r="P20" i="17"/>
  <c r="P20" i="26"/>
  <c r="P20" i="27"/>
  <c r="P20" i="28"/>
  <c r="P20" i="29"/>
  <c r="O20" i="17"/>
  <c r="O20" i="26"/>
  <c r="O20" i="27"/>
  <c r="O20" i="28"/>
  <c r="O20" i="29"/>
  <c r="N20" i="17"/>
  <c r="N20" i="26"/>
  <c r="N20" i="27"/>
  <c r="N20" i="28"/>
  <c r="N20" i="29"/>
  <c r="M20" i="17"/>
  <c r="M20" i="26"/>
  <c r="M20" i="27"/>
  <c r="M20" i="28"/>
  <c r="M20" i="29"/>
  <c r="L20" i="17"/>
  <c r="L20" i="26"/>
  <c r="L20" i="27"/>
  <c r="L20" i="28"/>
  <c r="L20" i="29"/>
  <c r="K20" i="17"/>
  <c r="K20" i="26"/>
  <c r="K20" i="27"/>
  <c r="K20" i="28"/>
  <c r="K20" i="29"/>
  <c r="J20" i="17"/>
  <c r="J20" i="26"/>
  <c r="J20" i="27"/>
  <c r="J20" i="28"/>
  <c r="J20" i="29"/>
  <c r="I20" i="17"/>
  <c r="I20" i="26"/>
  <c r="I20" i="27"/>
  <c r="I20" i="28"/>
  <c r="I20" i="29"/>
  <c r="H20" i="17"/>
  <c r="H20" i="26"/>
  <c r="H20" i="27"/>
  <c r="H20" i="28"/>
  <c r="H20" i="29"/>
  <c r="G20" i="17"/>
  <c r="G20" i="26"/>
  <c r="G20" i="27"/>
  <c r="G20" i="28"/>
  <c r="G20" i="29"/>
  <c r="F20" i="17"/>
  <c r="F20" i="26"/>
  <c r="F20" i="27"/>
  <c r="F20" i="28"/>
  <c r="F20" i="29"/>
  <c r="E20" i="17"/>
  <c r="E20" i="26"/>
  <c r="E20" i="27"/>
  <c r="E20" i="28"/>
  <c r="E20" i="29"/>
  <c r="C20" i="17"/>
  <c r="B20" i="17"/>
  <c r="S19" i="17"/>
  <c r="C19" i="17"/>
  <c r="B19" i="17"/>
  <c r="S18" i="17"/>
  <c r="C18" i="17"/>
  <c r="B18" i="17"/>
  <c r="R17" i="17"/>
  <c r="R17" i="26"/>
  <c r="R17" i="27"/>
  <c r="R17" i="28"/>
  <c r="R17" i="29"/>
  <c r="Q17" i="17"/>
  <c r="Q17" i="26"/>
  <c r="Q17" i="27"/>
  <c r="Q17" i="28"/>
  <c r="Q17" i="29"/>
  <c r="P17" i="17"/>
  <c r="P17" i="26"/>
  <c r="P17" i="27"/>
  <c r="P17" i="28"/>
  <c r="P17" i="29"/>
  <c r="O17" i="17"/>
  <c r="O17" i="26"/>
  <c r="O17" i="27"/>
  <c r="O17" i="28"/>
  <c r="O17" i="29"/>
  <c r="N17" i="17"/>
  <c r="N17" i="26"/>
  <c r="N17" i="27"/>
  <c r="N17" i="28"/>
  <c r="N17" i="29"/>
  <c r="M17" i="17"/>
  <c r="M17" i="26"/>
  <c r="M17" i="27"/>
  <c r="M17" i="28"/>
  <c r="M17" i="29"/>
  <c r="L17" i="17"/>
  <c r="L17" i="26"/>
  <c r="L17" i="27"/>
  <c r="L17" i="28"/>
  <c r="L17" i="29"/>
  <c r="K17" i="17"/>
  <c r="K17" i="26"/>
  <c r="K17" i="27"/>
  <c r="K17" i="28"/>
  <c r="K17" i="29"/>
  <c r="J17" i="17"/>
  <c r="J17" i="26"/>
  <c r="J17" i="27"/>
  <c r="J17" i="28"/>
  <c r="J17" i="29"/>
  <c r="I17" i="17"/>
  <c r="I17" i="26"/>
  <c r="I17" i="27"/>
  <c r="I17" i="28"/>
  <c r="I17" i="29"/>
  <c r="H17" i="17"/>
  <c r="H17" i="26"/>
  <c r="H17" i="27"/>
  <c r="H17" i="28"/>
  <c r="H17" i="29"/>
  <c r="G17" i="17"/>
  <c r="G17" i="26"/>
  <c r="G17" i="27"/>
  <c r="G17" i="28"/>
  <c r="G17" i="29"/>
  <c r="E17" i="17"/>
  <c r="E17" i="26"/>
  <c r="E17" i="27"/>
  <c r="E17" i="28"/>
  <c r="E17" i="29"/>
  <c r="D17" i="17"/>
  <c r="D17" i="26"/>
  <c r="D17" i="27"/>
  <c r="D17" i="28"/>
  <c r="S17" i="28"/>
  <c r="C17" i="17"/>
  <c r="B17" i="17"/>
  <c r="R16" i="17"/>
  <c r="R16" i="26"/>
  <c r="R16" i="27"/>
  <c r="R16" i="28"/>
  <c r="R16" i="29"/>
  <c r="Q16" i="17"/>
  <c r="Q16" i="26"/>
  <c r="Q16" i="27"/>
  <c r="Q16" i="28"/>
  <c r="Q16" i="29"/>
  <c r="P16" i="17"/>
  <c r="P16" i="26"/>
  <c r="P16" i="27"/>
  <c r="P16" i="28"/>
  <c r="P16" i="29"/>
  <c r="O16" i="17"/>
  <c r="O16" i="26"/>
  <c r="O16" i="27"/>
  <c r="O16" i="28"/>
  <c r="O16" i="29"/>
  <c r="N16" i="17"/>
  <c r="N16" i="26"/>
  <c r="N16" i="27"/>
  <c r="N16" i="28"/>
  <c r="N16" i="29"/>
  <c r="M16" i="17"/>
  <c r="M16" i="26"/>
  <c r="M16" i="27"/>
  <c r="M16" i="28"/>
  <c r="M16" i="29"/>
  <c r="L16" i="17"/>
  <c r="L16" i="26"/>
  <c r="L16" i="27"/>
  <c r="L16" i="28"/>
  <c r="L16" i="29"/>
  <c r="K16" i="17"/>
  <c r="K16" i="26"/>
  <c r="K16" i="27"/>
  <c r="K16" i="28"/>
  <c r="K16" i="29"/>
  <c r="J16" i="17"/>
  <c r="J16" i="26"/>
  <c r="J16" i="27"/>
  <c r="J16" i="28"/>
  <c r="J16" i="29"/>
  <c r="I16" i="17"/>
  <c r="I16" i="26"/>
  <c r="I16" i="27"/>
  <c r="I16" i="28"/>
  <c r="I16" i="29"/>
  <c r="H16" i="17"/>
  <c r="H16" i="26"/>
  <c r="H16" i="27"/>
  <c r="H16" i="28"/>
  <c r="H16" i="29"/>
  <c r="G16" i="17"/>
  <c r="S16" i="17"/>
  <c r="G16" i="26"/>
  <c r="F16" i="17"/>
  <c r="F16" i="26"/>
  <c r="F16" i="27"/>
  <c r="F16" i="28"/>
  <c r="F16" i="29"/>
  <c r="E16" i="17"/>
  <c r="E16" i="26"/>
  <c r="E16" i="27"/>
  <c r="E16" i="28"/>
  <c r="E16" i="29"/>
  <c r="C16" i="17"/>
  <c r="B16" i="17"/>
  <c r="F15" i="17"/>
  <c r="F15" i="26"/>
  <c r="F15" i="27"/>
  <c r="F15" i="28"/>
  <c r="F15" i="29"/>
  <c r="E15" i="17"/>
  <c r="E15" i="26"/>
  <c r="E15" i="27"/>
  <c r="E15" i="28"/>
  <c r="E15" i="29"/>
  <c r="D15" i="17"/>
  <c r="D15" i="26"/>
  <c r="C15" i="17"/>
  <c r="B15" i="17"/>
  <c r="S14" i="17"/>
  <c r="C14" i="17"/>
  <c r="B14" i="17"/>
  <c r="S13" i="17"/>
  <c r="C13" i="17"/>
  <c r="B13" i="17"/>
  <c r="R12" i="17"/>
  <c r="Q12" i="17"/>
  <c r="P12" i="17"/>
  <c r="O12" i="17"/>
  <c r="N12" i="17"/>
  <c r="M12" i="17"/>
  <c r="L12" i="17"/>
  <c r="K12" i="17"/>
  <c r="J12" i="17"/>
  <c r="I12" i="17"/>
  <c r="H12" i="17"/>
  <c r="G12" i="17"/>
  <c r="F12" i="17"/>
  <c r="E12" i="17"/>
  <c r="C12" i="17"/>
  <c r="B12" i="17"/>
  <c r="R10" i="17"/>
  <c r="R10" i="26"/>
  <c r="R10" i="27"/>
  <c r="R10" i="28"/>
  <c r="R10" i="29"/>
  <c r="Q10" i="17"/>
  <c r="Q10" i="26"/>
  <c r="Q10" i="27"/>
  <c r="Q10" i="28"/>
  <c r="Q10" i="29"/>
  <c r="P10" i="17"/>
  <c r="P10" i="26"/>
  <c r="P10" i="27"/>
  <c r="P10" i="28"/>
  <c r="P10" i="29"/>
  <c r="O10" i="17"/>
  <c r="O10" i="26"/>
  <c r="O10" i="27"/>
  <c r="N10" i="17"/>
  <c r="M10" i="17"/>
  <c r="M10" i="26"/>
  <c r="M10" i="27"/>
  <c r="M10" i="28"/>
  <c r="M10" i="29"/>
  <c r="L10" i="17"/>
  <c r="L10" i="26"/>
  <c r="L10" i="27"/>
  <c r="L10" i="28"/>
  <c r="L10" i="29"/>
  <c r="D9" i="17"/>
  <c r="D12" i="17"/>
  <c r="A1" i="17"/>
  <c r="V58" i="13"/>
  <c r="U58" i="13"/>
  <c r="A3" i="13"/>
  <c r="V2" i="13"/>
  <c r="A1" i="13"/>
  <c r="V58" i="12"/>
  <c r="U58" i="12"/>
  <c r="A3" i="12"/>
  <c r="V2" i="12"/>
  <c r="A1" i="12"/>
  <c r="V58" i="11"/>
  <c r="U58" i="11"/>
  <c r="A3" i="11"/>
  <c r="V2" i="11"/>
  <c r="A1" i="11"/>
  <c r="V58" i="10"/>
  <c r="U58" i="10"/>
  <c r="L56" i="10"/>
  <c r="L56" i="11"/>
  <c r="L56" i="12"/>
  <c r="L56" i="13"/>
  <c r="J56" i="10"/>
  <c r="J56" i="11"/>
  <c r="J56" i="12"/>
  <c r="J56" i="13"/>
  <c r="I56" i="10"/>
  <c r="I56" i="11"/>
  <c r="I56" i="12"/>
  <c r="I56" i="13"/>
  <c r="G56" i="10"/>
  <c r="G56" i="11"/>
  <c r="G56" i="12"/>
  <c r="G56" i="13"/>
  <c r="F56" i="10"/>
  <c r="H56" i="10"/>
  <c r="E56" i="10"/>
  <c r="E56" i="11"/>
  <c r="E56" i="12"/>
  <c r="E56" i="13"/>
  <c r="D56" i="10"/>
  <c r="D56" i="11"/>
  <c r="D56" i="12"/>
  <c r="D56" i="13"/>
  <c r="C56" i="10"/>
  <c r="C56" i="11"/>
  <c r="C56" i="12"/>
  <c r="C56" i="13"/>
  <c r="B56" i="10"/>
  <c r="B56" i="11"/>
  <c r="B56" i="12"/>
  <c r="B56" i="13"/>
  <c r="L55" i="10"/>
  <c r="L55" i="11"/>
  <c r="L55" i="12"/>
  <c r="L55" i="13"/>
  <c r="J55" i="10"/>
  <c r="J55" i="11"/>
  <c r="J55" i="12"/>
  <c r="J55" i="13"/>
  <c r="I55" i="10"/>
  <c r="I55" i="11"/>
  <c r="I55" i="12"/>
  <c r="I55" i="13"/>
  <c r="G55" i="10"/>
  <c r="G55" i="11"/>
  <c r="G55" i="12"/>
  <c r="G55" i="13"/>
  <c r="F55" i="10"/>
  <c r="F55" i="11"/>
  <c r="H55" i="11"/>
  <c r="E55" i="10"/>
  <c r="E55" i="11"/>
  <c r="E55" i="12"/>
  <c r="E55" i="13"/>
  <c r="D55" i="10"/>
  <c r="D55" i="11"/>
  <c r="D55" i="12"/>
  <c r="D55" i="13"/>
  <c r="C55" i="10"/>
  <c r="C55" i="11"/>
  <c r="C55" i="12"/>
  <c r="C55" i="13"/>
  <c r="B55" i="10"/>
  <c r="B55" i="11"/>
  <c r="B55" i="12"/>
  <c r="B55" i="13"/>
  <c r="L54" i="10"/>
  <c r="L54" i="11"/>
  <c r="L54" i="12"/>
  <c r="L54" i="13"/>
  <c r="J54" i="10"/>
  <c r="J54" i="11"/>
  <c r="J54" i="12"/>
  <c r="J54" i="13"/>
  <c r="I54" i="10"/>
  <c r="I54" i="11"/>
  <c r="I54" i="12"/>
  <c r="I54" i="13"/>
  <c r="G54" i="10"/>
  <c r="G54" i="11"/>
  <c r="G54" i="12"/>
  <c r="G54" i="13"/>
  <c r="F54" i="10"/>
  <c r="F54" i="11"/>
  <c r="E54" i="10"/>
  <c r="E54" i="11"/>
  <c r="E54" i="12"/>
  <c r="E54" i="13"/>
  <c r="D54" i="10"/>
  <c r="D54" i="11"/>
  <c r="D54" i="12"/>
  <c r="D54" i="13"/>
  <c r="C54" i="10"/>
  <c r="C54" i="11"/>
  <c r="C54" i="12"/>
  <c r="C54" i="13"/>
  <c r="B54" i="10"/>
  <c r="B54" i="11"/>
  <c r="B54" i="12"/>
  <c r="B54" i="13"/>
  <c r="L53" i="10"/>
  <c r="L53" i="11"/>
  <c r="L53" i="12"/>
  <c r="L53" i="13"/>
  <c r="J53" i="10"/>
  <c r="J53" i="11"/>
  <c r="J53" i="12"/>
  <c r="J53" i="13"/>
  <c r="I53" i="10"/>
  <c r="I53" i="11"/>
  <c r="I53" i="12"/>
  <c r="I53" i="13"/>
  <c r="G53" i="10"/>
  <c r="G53" i="11"/>
  <c r="G53" i="12"/>
  <c r="G53" i="13"/>
  <c r="F53" i="10"/>
  <c r="F53" i="11"/>
  <c r="E53" i="10"/>
  <c r="E53" i="11"/>
  <c r="E53" i="12"/>
  <c r="E53" i="13"/>
  <c r="D53" i="10"/>
  <c r="D53" i="11"/>
  <c r="D53" i="12"/>
  <c r="D53" i="13"/>
  <c r="C53" i="10"/>
  <c r="C53" i="11"/>
  <c r="C53" i="12"/>
  <c r="C53" i="13"/>
  <c r="B53" i="10"/>
  <c r="B53" i="11"/>
  <c r="B53" i="12"/>
  <c r="B53" i="13"/>
  <c r="L52" i="10"/>
  <c r="L52" i="11"/>
  <c r="L52" i="12"/>
  <c r="L52" i="13"/>
  <c r="J52" i="10"/>
  <c r="J52" i="11"/>
  <c r="J52" i="12"/>
  <c r="J52" i="13"/>
  <c r="I52" i="10"/>
  <c r="I52" i="11"/>
  <c r="I52" i="12"/>
  <c r="I52" i="13"/>
  <c r="G52" i="10"/>
  <c r="G52" i="11"/>
  <c r="G52" i="12"/>
  <c r="G52" i="13"/>
  <c r="F52" i="10"/>
  <c r="H52" i="10"/>
  <c r="E52" i="10"/>
  <c r="E52" i="11"/>
  <c r="E52" i="12"/>
  <c r="E52" i="13"/>
  <c r="D52" i="10"/>
  <c r="D52" i="11"/>
  <c r="D52" i="12"/>
  <c r="D52" i="13"/>
  <c r="C52" i="10"/>
  <c r="C52" i="11"/>
  <c r="C52" i="12"/>
  <c r="C52" i="13"/>
  <c r="B52" i="10"/>
  <c r="B52" i="11"/>
  <c r="B52" i="12"/>
  <c r="B52" i="13"/>
  <c r="L51" i="10"/>
  <c r="L51" i="11"/>
  <c r="L51" i="12"/>
  <c r="L51" i="13"/>
  <c r="J51" i="10"/>
  <c r="J51" i="11"/>
  <c r="J51" i="12"/>
  <c r="J51" i="13"/>
  <c r="I51" i="10"/>
  <c r="I51" i="11"/>
  <c r="I51" i="12"/>
  <c r="I51" i="13"/>
  <c r="G51" i="10"/>
  <c r="G51" i="11"/>
  <c r="G51" i="12"/>
  <c r="G51" i="13"/>
  <c r="F51" i="10"/>
  <c r="E51" i="10"/>
  <c r="E51" i="11"/>
  <c r="E51" i="12"/>
  <c r="E51" i="13"/>
  <c r="D51" i="10"/>
  <c r="D51" i="11"/>
  <c r="D51" i="12"/>
  <c r="D51" i="13"/>
  <c r="C51" i="10"/>
  <c r="C51" i="11"/>
  <c r="C51" i="12"/>
  <c r="C51" i="13"/>
  <c r="B51" i="10"/>
  <c r="B51" i="11"/>
  <c r="B51" i="12"/>
  <c r="B51" i="13"/>
  <c r="L50" i="10"/>
  <c r="L50" i="11"/>
  <c r="L50" i="12"/>
  <c r="L50" i="13"/>
  <c r="J50" i="10"/>
  <c r="J50" i="11"/>
  <c r="J50" i="12"/>
  <c r="J50" i="13"/>
  <c r="K50" i="13"/>
  <c r="I50" i="10"/>
  <c r="I50" i="11"/>
  <c r="I50" i="12"/>
  <c r="I50" i="13"/>
  <c r="G50" i="10"/>
  <c r="G50" i="11"/>
  <c r="G50" i="12"/>
  <c r="G50" i="13"/>
  <c r="F50" i="10"/>
  <c r="F50" i="11"/>
  <c r="E50" i="10"/>
  <c r="E50" i="11"/>
  <c r="E50" i="12"/>
  <c r="E50" i="13"/>
  <c r="D50" i="10"/>
  <c r="D50" i="11"/>
  <c r="D50" i="12"/>
  <c r="D50" i="13"/>
  <c r="C50" i="10"/>
  <c r="C50" i="11"/>
  <c r="C50" i="12"/>
  <c r="C50" i="13"/>
  <c r="B50" i="10"/>
  <c r="B50" i="11"/>
  <c r="B50" i="12"/>
  <c r="B50" i="13"/>
  <c r="L49" i="10"/>
  <c r="L49" i="11"/>
  <c r="L49" i="12"/>
  <c r="L49" i="13"/>
  <c r="J49" i="10"/>
  <c r="J49" i="11"/>
  <c r="J49" i="12"/>
  <c r="J49" i="13"/>
  <c r="I49" i="10"/>
  <c r="I49" i="11"/>
  <c r="I49" i="12"/>
  <c r="I49" i="13"/>
  <c r="G49" i="10"/>
  <c r="G49" i="11"/>
  <c r="G49" i="12"/>
  <c r="G49" i="13"/>
  <c r="F49" i="10"/>
  <c r="F49" i="11"/>
  <c r="E49" i="10"/>
  <c r="E49" i="11"/>
  <c r="E49" i="12"/>
  <c r="E49" i="13"/>
  <c r="D49" i="10"/>
  <c r="D49" i="11"/>
  <c r="D49" i="12"/>
  <c r="D49" i="13"/>
  <c r="C49" i="10"/>
  <c r="C49" i="11"/>
  <c r="C49" i="12"/>
  <c r="C49" i="13"/>
  <c r="B49" i="10"/>
  <c r="B49" i="11"/>
  <c r="B49" i="12"/>
  <c r="B49" i="13"/>
  <c r="L48" i="10"/>
  <c r="L48" i="11"/>
  <c r="L48" i="12"/>
  <c r="L48" i="13"/>
  <c r="J48" i="10"/>
  <c r="J48" i="11"/>
  <c r="J48" i="12"/>
  <c r="J48" i="13"/>
  <c r="I48" i="10"/>
  <c r="I48" i="11"/>
  <c r="I48" i="12"/>
  <c r="I48" i="13"/>
  <c r="G48" i="10"/>
  <c r="G48" i="11"/>
  <c r="G48" i="12"/>
  <c r="G48" i="13"/>
  <c r="F48" i="10"/>
  <c r="H48" i="10"/>
  <c r="K48" i="10"/>
  <c r="E48" i="10"/>
  <c r="E48" i="11"/>
  <c r="E48" i="12"/>
  <c r="E48" i="13"/>
  <c r="D48" i="10"/>
  <c r="D48" i="11"/>
  <c r="D48" i="12"/>
  <c r="D48" i="13"/>
  <c r="C48" i="10"/>
  <c r="C48" i="11"/>
  <c r="C48" i="12"/>
  <c r="C48" i="13"/>
  <c r="B48" i="10"/>
  <c r="B48" i="11"/>
  <c r="B48" i="12"/>
  <c r="B48" i="13"/>
  <c r="L47" i="10"/>
  <c r="L47" i="11"/>
  <c r="L47" i="12"/>
  <c r="L47" i="13"/>
  <c r="J47" i="10"/>
  <c r="J47" i="11"/>
  <c r="J47" i="12"/>
  <c r="J47" i="13"/>
  <c r="I47" i="10"/>
  <c r="I47" i="11"/>
  <c r="I47" i="12"/>
  <c r="I47" i="13"/>
  <c r="G47" i="10"/>
  <c r="G47" i="11"/>
  <c r="G47" i="12"/>
  <c r="G47" i="13"/>
  <c r="F47" i="10"/>
  <c r="F47" i="11"/>
  <c r="F47" i="12"/>
  <c r="F47" i="13"/>
  <c r="H47" i="13"/>
  <c r="E47" i="10"/>
  <c r="E47" i="11"/>
  <c r="E47" i="12"/>
  <c r="E47" i="13"/>
  <c r="D47" i="10"/>
  <c r="D47" i="11"/>
  <c r="D47" i="12"/>
  <c r="D47" i="13"/>
  <c r="C47" i="10"/>
  <c r="C47" i="11"/>
  <c r="C47" i="12"/>
  <c r="C47" i="13"/>
  <c r="B47" i="10"/>
  <c r="B47" i="11"/>
  <c r="B47" i="12"/>
  <c r="B47" i="13"/>
  <c r="L46" i="10"/>
  <c r="L46" i="11"/>
  <c r="L46" i="12"/>
  <c r="L46" i="13"/>
  <c r="J46" i="10"/>
  <c r="J46" i="11"/>
  <c r="I46" i="10"/>
  <c r="I46" i="11"/>
  <c r="I46" i="12"/>
  <c r="I46" i="13"/>
  <c r="G46" i="10"/>
  <c r="G46" i="11"/>
  <c r="G46" i="12"/>
  <c r="G46" i="13"/>
  <c r="F46" i="10"/>
  <c r="F46" i="11"/>
  <c r="E46" i="10"/>
  <c r="E46" i="11"/>
  <c r="E46" i="12"/>
  <c r="E46" i="13"/>
  <c r="D46" i="10"/>
  <c r="D46" i="11"/>
  <c r="D46" i="12"/>
  <c r="D46" i="13"/>
  <c r="C46" i="10"/>
  <c r="C46" i="11"/>
  <c r="C46" i="12"/>
  <c r="C46" i="13"/>
  <c r="B46" i="10"/>
  <c r="B46" i="11"/>
  <c r="B46" i="12"/>
  <c r="B46" i="13"/>
  <c r="L45" i="10"/>
  <c r="L45" i="11"/>
  <c r="L45" i="12"/>
  <c r="L45" i="13"/>
  <c r="J45" i="10"/>
  <c r="J45" i="11"/>
  <c r="J45" i="12"/>
  <c r="J45" i="13"/>
  <c r="I45" i="10"/>
  <c r="I45" i="11"/>
  <c r="I45" i="12"/>
  <c r="I45" i="13"/>
  <c r="G45" i="10"/>
  <c r="G45" i="11"/>
  <c r="G45" i="12"/>
  <c r="G45" i="13"/>
  <c r="F45" i="10"/>
  <c r="F45" i="11"/>
  <c r="E45" i="10"/>
  <c r="E45" i="11"/>
  <c r="E45" i="12"/>
  <c r="E45" i="13"/>
  <c r="D45" i="10"/>
  <c r="D45" i="11"/>
  <c r="D45" i="12"/>
  <c r="D45" i="13"/>
  <c r="C45" i="10"/>
  <c r="C45" i="11"/>
  <c r="C45" i="12"/>
  <c r="C45" i="13"/>
  <c r="B45" i="10"/>
  <c r="B45" i="11"/>
  <c r="B45" i="12"/>
  <c r="B45" i="13"/>
  <c r="L44" i="10"/>
  <c r="L44" i="11"/>
  <c r="L44" i="12"/>
  <c r="L44" i="13"/>
  <c r="J44" i="10"/>
  <c r="J44" i="11"/>
  <c r="J44" i="12"/>
  <c r="J44" i="13"/>
  <c r="I44" i="10"/>
  <c r="I44" i="11"/>
  <c r="I44" i="12"/>
  <c r="I44" i="13"/>
  <c r="G44" i="10"/>
  <c r="G44" i="11"/>
  <c r="G44" i="12"/>
  <c r="G44" i="13"/>
  <c r="F44" i="10"/>
  <c r="H44" i="10"/>
  <c r="K44" i="10"/>
  <c r="E44" i="10"/>
  <c r="E44" i="11"/>
  <c r="E44" i="12"/>
  <c r="E44" i="13"/>
  <c r="D44" i="10"/>
  <c r="D44" i="11"/>
  <c r="D44" i="12"/>
  <c r="D44" i="13"/>
  <c r="C44" i="10"/>
  <c r="C44" i="11"/>
  <c r="C44" i="12"/>
  <c r="C44" i="13"/>
  <c r="B44" i="10"/>
  <c r="B44" i="11"/>
  <c r="B44" i="12"/>
  <c r="B44" i="13"/>
  <c r="L43" i="10"/>
  <c r="L43" i="11"/>
  <c r="L43" i="12"/>
  <c r="L43" i="13"/>
  <c r="J43" i="10"/>
  <c r="J43" i="11"/>
  <c r="J43" i="12"/>
  <c r="J43" i="13"/>
  <c r="K43" i="13"/>
  <c r="I43" i="10"/>
  <c r="I43" i="11"/>
  <c r="I43" i="12"/>
  <c r="I43" i="13"/>
  <c r="G43" i="10"/>
  <c r="G43" i="11"/>
  <c r="G43" i="12"/>
  <c r="G43" i="13"/>
  <c r="F43" i="10"/>
  <c r="F43" i="11"/>
  <c r="E43" i="10"/>
  <c r="E43" i="11"/>
  <c r="E43" i="12"/>
  <c r="E43" i="13"/>
  <c r="D43" i="10"/>
  <c r="D43" i="11"/>
  <c r="D43" i="12"/>
  <c r="D43" i="13"/>
  <c r="C43" i="10"/>
  <c r="C43" i="11"/>
  <c r="C43" i="12"/>
  <c r="C43" i="13"/>
  <c r="B43" i="10"/>
  <c r="B43" i="11"/>
  <c r="B43" i="12"/>
  <c r="B43" i="13"/>
  <c r="L42" i="10"/>
  <c r="L42" i="11"/>
  <c r="L42" i="12"/>
  <c r="L42" i="13"/>
  <c r="J42" i="10"/>
  <c r="J42" i="11"/>
  <c r="J42" i="12"/>
  <c r="J42" i="13"/>
  <c r="I42" i="10"/>
  <c r="I42" i="11"/>
  <c r="I42" i="12"/>
  <c r="I42" i="13"/>
  <c r="G42" i="10"/>
  <c r="G42" i="11"/>
  <c r="G42" i="12"/>
  <c r="G42" i="13"/>
  <c r="F42" i="10"/>
  <c r="E42" i="10"/>
  <c r="E42" i="11"/>
  <c r="E42" i="12"/>
  <c r="E42" i="13"/>
  <c r="D42" i="10"/>
  <c r="D42" i="11"/>
  <c r="D42" i="12"/>
  <c r="D42" i="13"/>
  <c r="C42" i="10"/>
  <c r="C42" i="11"/>
  <c r="C42" i="12"/>
  <c r="C42" i="13"/>
  <c r="B42" i="10"/>
  <c r="B42" i="11"/>
  <c r="B42" i="12"/>
  <c r="B42" i="13"/>
  <c r="L41" i="10"/>
  <c r="L41" i="11"/>
  <c r="L41" i="12"/>
  <c r="L41" i="13"/>
  <c r="J41" i="10"/>
  <c r="J41" i="11"/>
  <c r="J41" i="12"/>
  <c r="J41" i="13"/>
  <c r="I41" i="10"/>
  <c r="I41" i="11"/>
  <c r="I41" i="12"/>
  <c r="I41" i="13"/>
  <c r="G41" i="10"/>
  <c r="G41" i="11"/>
  <c r="G41" i="12"/>
  <c r="G41" i="13"/>
  <c r="F41" i="10"/>
  <c r="F41" i="11"/>
  <c r="H41" i="11"/>
  <c r="K41" i="11"/>
  <c r="E41" i="10"/>
  <c r="E41" i="11"/>
  <c r="E41" i="12"/>
  <c r="E41" i="13"/>
  <c r="D41" i="10"/>
  <c r="D41" i="11"/>
  <c r="D41" i="12"/>
  <c r="D41" i="13"/>
  <c r="C41" i="10"/>
  <c r="C41" i="11"/>
  <c r="C41" i="12"/>
  <c r="C41" i="13"/>
  <c r="B41" i="10"/>
  <c r="B41" i="11"/>
  <c r="B41" i="12"/>
  <c r="B41" i="13"/>
  <c r="L40" i="10"/>
  <c r="L40" i="11"/>
  <c r="L40" i="12"/>
  <c r="L40" i="13"/>
  <c r="J40" i="10"/>
  <c r="J40" i="11"/>
  <c r="J40" i="12"/>
  <c r="J40" i="13"/>
  <c r="I40" i="10"/>
  <c r="I40" i="11"/>
  <c r="I40" i="12"/>
  <c r="I40" i="13"/>
  <c r="G40" i="10"/>
  <c r="G40" i="11"/>
  <c r="G40" i="12"/>
  <c r="G40" i="13"/>
  <c r="F40" i="10"/>
  <c r="H40" i="10"/>
  <c r="E40" i="10"/>
  <c r="E40" i="11"/>
  <c r="E40" i="12"/>
  <c r="E40" i="13"/>
  <c r="D40" i="10"/>
  <c r="D40" i="11"/>
  <c r="D40" i="12"/>
  <c r="D40" i="13"/>
  <c r="C40" i="10"/>
  <c r="C40" i="11"/>
  <c r="C40" i="12"/>
  <c r="C40" i="13"/>
  <c r="B40" i="10"/>
  <c r="B40" i="11"/>
  <c r="B40" i="12"/>
  <c r="B40" i="13"/>
  <c r="L39" i="10"/>
  <c r="L39" i="11"/>
  <c r="L39" i="12"/>
  <c r="L39" i="13"/>
  <c r="J39" i="10"/>
  <c r="J39" i="11"/>
  <c r="J39" i="12"/>
  <c r="J39" i="13"/>
  <c r="I39" i="10"/>
  <c r="I39" i="11"/>
  <c r="I39" i="12"/>
  <c r="I39" i="13"/>
  <c r="G39" i="10"/>
  <c r="G39" i="11"/>
  <c r="G39" i="12"/>
  <c r="G39" i="13"/>
  <c r="F39" i="10"/>
  <c r="F39" i="11"/>
  <c r="H39" i="11"/>
  <c r="E39" i="10"/>
  <c r="E39" i="11"/>
  <c r="E39" i="12"/>
  <c r="E39" i="13"/>
  <c r="D39" i="10"/>
  <c r="D39" i="11"/>
  <c r="D39" i="12"/>
  <c r="D39" i="13"/>
  <c r="C39" i="10"/>
  <c r="C39" i="11"/>
  <c r="C39" i="12"/>
  <c r="C39" i="13"/>
  <c r="B39" i="10"/>
  <c r="B39" i="11"/>
  <c r="B39" i="12"/>
  <c r="B39" i="13"/>
  <c r="L38" i="10"/>
  <c r="L38" i="11"/>
  <c r="L38" i="12"/>
  <c r="L38" i="13"/>
  <c r="J38" i="10"/>
  <c r="J38" i="11"/>
  <c r="J38" i="12"/>
  <c r="J38" i="13"/>
  <c r="I38" i="10"/>
  <c r="I38" i="11"/>
  <c r="I38" i="12"/>
  <c r="I38" i="13"/>
  <c r="G38" i="10"/>
  <c r="G38" i="11"/>
  <c r="G38" i="12"/>
  <c r="G38" i="13"/>
  <c r="F38" i="10"/>
  <c r="F38" i="11"/>
  <c r="F38" i="12"/>
  <c r="F38" i="13"/>
  <c r="H38" i="13"/>
  <c r="K38" i="13"/>
  <c r="E38" i="10"/>
  <c r="E38" i="11"/>
  <c r="E38" i="12"/>
  <c r="E38" i="13"/>
  <c r="D38" i="10"/>
  <c r="D38" i="11"/>
  <c r="D38" i="12"/>
  <c r="D38" i="13"/>
  <c r="C38" i="10"/>
  <c r="C38" i="11"/>
  <c r="C38" i="12"/>
  <c r="C38" i="13"/>
  <c r="B38" i="10"/>
  <c r="B38" i="11"/>
  <c r="B38" i="12"/>
  <c r="B38" i="13"/>
  <c r="L37" i="10"/>
  <c r="L37" i="11"/>
  <c r="L37" i="12"/>
  <c r="L37" i="13"/>
  <c r="J37" i="10"/>
  <c r="J37" i="11"/>
  <c r="J37" i="12"/>
  <c r="J37" i="13"/>
  <c r="I37" i="10"/>
  <c r="I37" i="11"/>
  <c r="I37" i="12"/>
  <c r="I37" i="13"/>
  <c r="G37" i="10"/>
  <c r="G37" i="11"/>
  <c r="G37" i="12"/>
  <c r="G37" i="13"/>
  <c r="F37" i="10"/>
  <c r="F37" i="11"/>
  <c r="E37" i="10"/>
  <c r="E37" i="11"/>
  <c r="E37" i="12"/>
  <c r="E37" i="13"/>
  <c r="D37" i="10"/>
  <c r="D37" i="11"/>
  <c r="D37" i="12"/>
  <c r="D37" i="13"/>
  <c r="C37" i="10"/>
  <c r="C37" i="11"/>
  <c r="C37" i="12"/>
  <c r="C37" i="13"/>
  <c r="B37" i="10"/>
  <c r="B37" i="11"/>
  <c r="B37" i="12"/>
  <c r="B37" i="13"/>
  <c r="L36" i="10"/>
  <c r="L36" i="11"/>
  <c r="L36" i="12"/>
  <c r="L36" i="13"/>
  <c r="J36" i="10"/>
  <c r="J36" i="11"/>
  <c r="J36" i="12"/>
  <c r="J36" i="13"/>
  <c r="I36" i="10"/>
  <c r="I36" i="11"/>
  <c r="I36" i="12"/>
  <c r="I36" i="13"/>
  <c r="G36" i="10"/>
  <c r="G36" i="11"/>
  <c r="G36" i="12"/>
  <c r="G36" i="13"/>
  <c r="F36" i="10"/>
  <c r="H36" i="10"/>
  <c r="K36" i="10"/>
  <c r="E36" i="10"/>
  <c r="E36" i="11"/>
  <c r="E36" i="12"/>
  <c r="E36" i="13"/>
  <c r="D36" i="10"/>
  <c r="D36" i="11"/>
  <c r="D36" i="12"/>
  <c r="D36" i="13"/>
  <c r="C36" i="10"/>
  <c r="C36" i="11"/>
  <c r="C36" i="12"/>
  <c r="C36" i="13"/>
  <c r="B36" i="10"/>
  <c r="B36" i="11"/>
  <c r="B36" i="12"/>
  <c r="B36" i="13"/>
  <c r="L35" i="10"/>
  <c r="L35" i="11"/>
  <c r="L35" i="12"/>
  <c r="L35" i="13"/>
  <c r="J35" i="10"/>
  <c r="J35" i="11"/>
  <c r="J35" i="12"/>
  <c r="J35" i="13"/>
  <c r="I35" i="10"/>
  <c r="I35" i="11"/>
  <c r="I35" i="12"/>
  <c r="I35" i="13"/>
  <c r="G35" i="10"/>
  <c r="G35" i="11"/>
  <c r="G35" i="12"/>
  <c r="G35" i="13"/>
  <c r="F35" i="10"/>
  <c r="E35" i="10"/>
  <c r="E35" i="11"/>
  <c r="E35" i="12"/>
  <c r="E35" i="13"/>
  <c r="D35" i="10"/>
  <c r="D35" i="11"/>
  <c r="D35" i="12"/>
  <c r="D35" i="13"/>
  <c r="C35" i="10"/>
  <c r="C35" i="11"/>
  <c r="C35" i="12"/>
  <c r="C35" i="13"/>
  <c r="B35" i="10"/>
  <c r="B35" i="11"/>
  <c r="B35" i="12"/>
  <c r="B35" i="13"/>
  <c r="L34" i="10"/>
  <c r="L34" i="11"/>
  <c r="L34" i="12"/>
  <c r="L34" i="13"/>
  <c r="J34" i="10"/>
  <c r="J34" i="11"/>
  <c r="J34" i="12"/>
  <c r="I34" i="10"/>
  <c r="I34" i="11"/>
  <c r="I34" i="12"/>
  <c r="I34" i="13"/>
  <c r="G34" i="10"/>
  <c r="G34" i="11"/>
  <c r="G34" i="12"/>
  <c r="G34" i="13"/>
  <c r="F34" i="10"/>
  <c r="F34" i="11"/>
  <c r="E34" i="10"/>
  <c r="E34" i="11"/>
  <c r="E34" i="12"/>
  <c r="E34" i="13"/>
  <c r="D34" i="10"/>
  <c r="D34" i="11"/>
  <c r="D34" i="12"/>
  <c r="D34" i="13"/>
  <c r="C34" i="10"/>
  <c r="C34" i="11"/>
  <c r="C34" i="12"/>
  <c r="C34" i="13"/>
  <c r="B34" i="10"/>
  <c r="B34" i="11"/>
  <c r="B34" i="12"/>
  <c r="B34" i="13"/>
  <c r="L33" i="10"/>
  <c r="L33" i="11"/>
  <c r="L33" i="12"/>
  <c r="L33" i="13"/>
  <c r="J33" i="10"/>
  <c r="J33" i="11"/>
  <c r="J33" i="12"/>
  <c r="J33" i="13"/>
  <c r="I33" i="10"/>
  <c r="I33" i="11"/>
  <c r="I33" i="12"/>
  <c r="I33" i="13"/>
  <c r="G33" i="10"/>
  <c r="G33" i="11"/>
  <c r="G33" i="12"/>
  <c r="G33" i="13"/>
  <c r="F33" i="10"/>
  <c r="F33" i="11"/>
  <c r="E33" i="10"/>
  <c r="E33" i="11"/>
  <c r="E33" i="12"/>
  <c r="E33" i="13"/>
  <c r="D33" i="10"/>
  <c r="D33" i="11"/>
  <c r="D33" i="12"/>
  <c r="D33" i="13"/>
  <c r="C33" i="10"/>
  <c r="C33" i="11"/>
  <c r="C33" i="12"/>
  <c r="C33" i="13"/>
  <c r="B33" i="10"/>
  <c r="B33" i="11"/>
  <c r="B33" i="12"/>
  <c r="B33" i="13"/>
  <c r="L32" i="10"/>
  <c r="L32" i="11"/>
  <c r="L32" i="12"/>
  <c r="L32" i="13"/>
  <c r="J32" i="10"/>
  <c r="J32" i="11"/>
  <c r="J32" i="12"/>
  <c r="J32" i="13"/>
  <c r="I32" i="10"/>
  <c r="I32" i="11"/>
  <c r="K32" i="11"/>
  <c r="I32" i="12"/>
  <c r="I32" i="13"/>
  <c r="G32" i="10"/>
  <c r="G32" i="11"/>
  <c r="G32" i="12"/>
  <c r="G32" i="13"/>
  <c r="F32" i="10"/>
  <c r="H32" i="10"/>
  <c r="K32" i="10"/>
  <c r="E32" i="10"/>
  <c r="E32" i="11"/>
  <c r="E32" i="12"/>
  <c r="E32" i="13"/>
  <c r="D32" i="10"/>
  <c r="D32" i="11"/>
  <c r="D32" i="12"/>
  <c r="D32" i="13"/>
  <c r="C32" i="10"/>
  <c r="C32" i="11"/>
  <c r="C32" i="12"/>
  <c r="C32" i="13"/>
  <c r="B32" i="10"/>
  <c r="B32" i="11"/>
  <c r="B32" i="12"/>
  <c r="B32" i="13"/>
  <c r="L31" i="10"/>
  <c r="L31" i="11"/>
  <c r="L31" i="12"/>
  <c r="L31" i="13"/>
  <c r="J31" i="10"/>
  <c r="J31" i="11"/>
  <c r="J31" i="12"/>
  <c r="J31" i="13"/>
  <c r="I31" i="10"/>
  <c r="I31" i="11"/>
  <c r="I31" i="12"/>
  <c r="I31" i="13"/>
  <c r="G31" i="10"/>
  <c r="G31" i="11"/>
  <c r="G31" i="12"/>
  <c r="G31" i="13"/>
  <c r="F31" i="10"/>
  <c r="F31" i="11"/>
  <c r="F31" i="12"/>
  <c r="H31" i="12"/>
  <c r="E31" i="10"/>
  <c r="E31" i="11"/>
  <c r="E31" i="12"/>
  <c r="E31" i="13"/>
  <c r="D31" i="10"/>
  <c r="D31" i="11"/>
  <c r="D31" i="12"/>
  <c r="D31" i="13"/>
  <c r="C31" i="10"/>
  <c r="C31" i="11"/>
  <c r="C31" i="12"/>
  <c r="C31" i="13"/>
  <c r="B31" i="10"/>
  <c r="B31" i="11"/>
  <c r="B31" i="12"/>
  <c r="B31" i="13"/>
  <c r="L30" i="10"/>
  <c r="L30" i="11"/>
  <c r="L30" i="12"/>
  <c r="L30" i="13"/>
  <c r="J30" i="10"/>
  <c r="J30" i="11"/>
  <c r="I30" i="10"/>
  <c r="I30" i="11"/>
  <c r="I30" i="12"/>
  <c r="I30" i="13"/>
  <c r="G30" i="10"/>
  <c r="G30" i="11"/>
  <c r="G30" i="12"/>
  <c r="G30" i="13"/>
  <c r="F30" i="10"/>
  <c r="F30" i="11"/>
  <c r="E30" i="10"/>
  <c r="E30" i="11"/>
  <c r="E30" i="12"/>
  <c r="E30" i="13"/>
  <c r="D30" i="10"/>
  <c r="D30" i="11"/>
  <c r="D30" i="12"/>
  <c r="D30" i="13"/>
  <c r="C30" i="10"/>
  <c r="C30" i="11"/>
  <c r="C30" i="12"/>
  <c r="C30" i="13"/>
  <c r="B30" i="10"/>
  <c r="B30" i="11"/>
  <c r="B30" i="12"/>
  <c r="B30" i="13"/>
  <c r="L29" i="10"/>
  <c r="L29" i="11"/>
  <c r="L29" i="12"/>
  <c r="L29" i="13"/>
  <c r="J29" i="10"/>
  <c r="J29" i="11"/>
  <c r="I29" i="10"/>
  <c r="I29" i="11"/>
  <c r="I29" i="12"/>
  <c r="I29" i="13"/>
  <c r="G29" i="10"/>
  <c r="G29" i="11"/>
  <c r="G29" i="12"/>
  <c r="G29" i="13"/>
  <c r="F29" i="10"/>
  <c r="F29" i="11"/>
  <c r="E29" i="10"/>
  <c r="E29" i="11"/>
  <c r="E29" i="12"/>
  <c r="E29" i="13"/>
  <c r="D29" i="10"/>
  <c r="D29" i="11"/>
  <c r="D29" i="12"/>
  <c r="D29" i="13"/>
  <c r="C29" i="10"/>
  <c r="C29" i="11"/>
  <c r="C29" i="12"/>
  <c r="C29" i="13"/>
  <c r="B29" i="10"/>
  <c r="B29" i="11"/>
  <c r="B29" i="12"/>
  <c r="B29" i="13"/>
  <c r="L28" i="10"/>
  <c r="L28" i="11"/>
  <c r="L28" i="12"/>
  <c r="L28" i="13"/>
  <c r="J28" i="10"/>
  <c r="J28" i="11"/>
  <c r="J28" i="12"/>
  <c r="J28" i="13"/>
  <c r="I28" i="10"/>
  <c r="I28" i="11"/>
  <c r="I28" i="12"/>
  <c r="I28" i="13"/>
  <c r="G28" i="10"/>
  <c r="G28" i="11"/>
  <c r="G28" i="12"/>
  <c r="G28" i="13"/>
  <c r="F28" i="10"/>
  <c r="H28" i="10"/>
  <c r="E28" i="10"/>
  <c r="E28" i="11"/>
  <c r="E28" i="12"/>
  <c r="E28" i="13"/>
  <c r="D28" i="10"/>
  <c r="D28" i="11"/>
  <c r="D28" i="12"/>
  <c r="D28" i="13"/>
  <c r="C28" i="10"/>
  <c r="C28" i="11"/>
  <c r="C28" i="12"/>
  <c r="C28" i="13"/>
  <c r="B28" i="10"/>
  <c r="B28" i="11"/>
  <c r="B28" i="12"/>
  <c r="B28" i="13"/>
  <c r="L27" i="10"/>
  <c r="L27" i="11"/>
  <c r="L27" i="12"/>
  <c r="L27" i="13"/>
  <c r="J27" i="10"/>
  <c r="J27" i="11"/>
  <c r="J27" i="12"/>
  <c r="J27" i="13"/>
  <c r="I27" i="10"/>
  <c r="I27" i="11"/>
  <c r="I27" i="12"/>
  <c r="I27" i="13"/>
  <c r="G27" i="10"/>
  <c r="G27" i="11"/>
  <c r="G27" i="12"/>
  <c r="G27" i="13"/>
  <c r="F27" i="10"/>
  <c r="F27" i="11"/>
  <c r="E27" i="10"/>
  <c r="E27" i="11"/>
  <c r="E27" i="12"/>
  <c r="E27" i="13"/>
  <c r="D27" i="10"/>
  <c r="D27" i="11"/>
  <c r="D27" i="12"/>
  <c r="D27" i="13"/>
  <c r="C27" i="10"/>
  <c r="C27" i="11"/>
  <c r="C27" i="12"/>
  <c r="C27" i="13"/>
  <c r="B27" i="10"/>
  <c r="B27" i="11"/>
  <c r="B27" i="12"/>
  <c r="B27" i="13"/>
  <c r="L26" i="10"/>
  <c r="L26" i="11"/>
  <c r="L26" i="12"/>
  <c r="L26" i="13"/>
  <c r="J26" i="10"/>
  <c r="J26" i="11"/>
  <c r="J26" i="12"/>
  <c r="J26" i="13"/>
  <c r="I26" i="10"/>
  <c r="I26" i="11"/>
  <c r="I26" i="12"/>
  <c r="I26" i="13"/>
  <c r="G26" i="10"/>
  <c r="G26" i="11"/>
  <c r="G26" i="12"/>
  <c r="G26" i="13"/>
  <c r="F26" i="10"/>
  <c r="E26" i="10"/>
  <c r="E58" i="10"/>
  <c r="D26" i="10"/>
  <c r="D26" i="11"/>
  <c r="D26" i="12"/>
  <c r="D26" i="13"/>
  <c r="C26" i="10"/>
  <c r="C26" i="11"/>
  <c r="C26" i="12"/>
  <c r="C26" i="13"/>
  <c r="B26" i="10"/>
  <c r="B26" i="11"/>
  <c r="B26" i="12"/>
  <c r="B26" i="13"/>
  <c r="L25" i="10"/>
  <c r="L25" i="11"/>
  <c r="L25" i="12"/>
  <c r="L25" i="13"/>
  <c r="J25" i="10"/>
  <c r="J25" i="11"/>
  <c r="J25" i="12"/>
  <c r="J25" i="13"/>
  <c r="I25" i="10"/>
  <c r="I25" i="11"/>
  <c r="I25" i="12"/>
  <c r="I25" i="13"/>
  <c r="G25" i="10"/>
  <c r="G25" i="11"/>
  <c r="G25" i="12"/>
  <c r="G25" i="13"/>
  <c r="F25" i="10"/>
  <c r="F25" i="11"/>
  <c r="F25" i="12"/>
  <c r="F25" i="13"/>
  <c r="H25" i="13"/>
  <c r="E25" i="10"/>
  <c r="E25" i="11"/>
  <c r="E25" i="12"/>
  <c r="E25" i="13"/>
  <c r="D25" i="10"/>
  <c r="D25" i="11"/>
  <c r="D25" i="12"/>
  <c r="D25" i="13"/>
  <c r="C25" i="10"/>
  <c r="C25" i="11"/>
  <c r="C25" i="12"/>
  <c r="C25" i="13"/>
  <c r="B25" i="10"/>
  <c r="B25" i="11"/>
  <c r="B25" i="12"/>
  <c r="B25" i="13"/>
  <c r="L24" i="10"/>
  <c r="L24" i="11"/>
  <c r="L24" i="12"/>
  <c r="L24" i="13"/>
  <c r="J24" i="10"/>
  <c r="J24" i="11"/>
  <c r="J24" i="12"/>
  <c r="J24" i="13"/>
  <c r="I24" i="10"/>
  <c r="I24" i="11"/>
  <c r="I24" i="12"/>
  <c r="I24" i="13"/>
  <c r="G24" i="10"/>
  <c r="G24" i="11"/>
  <c r="G24" i="12"/>
  <c r="G24" i="13"/>
  <c r="F24" i="10"/>
  <c r="H24" i="10"/>
  <c r="K24" i="10"/>
  <c r="E24" i="10"/>
  <c r="E24" i="11"/>
  <c r="E24" i="12"/>
  <c r="E24" i="13"/>
  <c r="D24" i="10"/>
  <c r="D24" i="11"/>
  <c r="D24" i="12"/>
  <c r="D24" i="13"/>
  <c r="C24" i="10"/>
  <c r="C24" i="11"/>
  <c r="C24" i="12"/>
  <c r="C24" i="13"/>
  <c r="B24" i="10"/>
  <c r="L23" i="10"/>
  <c r="L23" i="11"/>
  <c r="L23" i="12"/>
  <c r="L23" i="13"/>
  <c r="J23" i="10"/>
  <c r="J23" i="11"/>
  <c r="J23" i="12"/>
  <c r="J23" i="13"/>
  <c r="I23" i="10"/>
  <c r="I23" i="11"/>
  <c r="I23" i="12"/>
  <c r="I23" i="13"/>
  <c r="G23" i="10"/>
  <c r="G23" i="11"/>
  <c r="G23" i="12"/>
  <c r="G23" i="13"/>
  <c r="F23" i="10"/>
  <c r="F23" i="11"/>
  <c r="H23" i="11"/>
  <c r="K23" i="11"/>
  <c r="E23" i="10"/>
  <c r="E23" i="11"/>
  <c r="E23" i="12"/>
  <c r="E23" i="13"/>
  <c r="D23" i="10"/>
  <c r="D23" i="11"/>
  <c r="D23" i="12"/>
  <c r="D23" i="13"/>
  <c r="C23" i="10"/>
  <c r="C23" i="11"/>
  <c r="C23" i="12"/>
  <c r="C23" i="13"/>
  <c r="B23" i="10"/>
  <c r="B23" i="11"/>
  <c r="B23" i="12"/>
  <c r="B23" i="13"/>
  <c r="L22" i="10"/>
  <c r="L22" i="11"/>
  <c r="L22" i="12"/>
  <c r="L22" i="13"/>
  <c r="J22" i="10"/>
  <c r="J22" i="11"/>
  <c r="J22" i="12"/>
  <c r="J22" i="13"/>
  <c r="I22" i="10"/>
  <c r="I22" i="11"/>
  <c r="I22" i="12"/>
  <c r="I22" i="13"/>
  <c r="G22" i="10"/>
  <c r="G22" i="11"/>
  <c r="G22" i="12"/>
  <c r="G22" i="13"/>
  <c r="F22" i="10"/>
  <c r="F22" i="11"/>
  <c r="F22" i="12"/>
  <c r="H22" i="12"/>
  <c r="K22" i="12"/>
  <c r="E22" i="10"/>
  <c r="E22" i="11"/>
  <c r="E22" i="12"/>
  <c r="E22" i="13"/>
  <c r="D22" i="10"/>
  <c r="D22" i="11"/>
  <c r="D22" i="12"/>
  <c r="D22" i="13"/>
  <c r="C22" i="10"/>
  <c r="C22" i="11"/>
  <c r="C22" i="12"/>
  <c r="C22" i="13"/>
  <c r="B22" i="10"/>
  <c r="B22" i="11"/>
  <c r="B22" i="12"/>
  <c r="B22" i="13"/>
  <c r="L21" i="10"/>
  <c r="L21" i="11"/>
  <c r="L21" i="12"/>
  <c r="L21" i="13"/>
  <c r="J21" i="10"/>
  <c r="J21" i="11"/>
  <c r="J21" i="12"/>
  <c r="J21" i="13"/>
  <c r="I21" i="10"/>
  <c r="I21" i="11"/>
  <c r="I21" i="12"/>
  <c r="I21" i="13"/>
  <c r="G21" i="10"/>
  <c r="G21" i="11"/>
  <c r="G21" i="12"/>
  <c r="G21" i="13"/>
  <c r="F21" i="10"/>
  <c r="F21" i="11"/>
  <c r="E21" i="10"/>
  <c r="E21" i="11"/>
  <c r="E21" i="12"/>
  <c r="E21" i="13"/>
  <c r="D21" i="10"/>
  <c r="D21" i="11"/>
  <c r="D21" i="12"/>
  <c r="D21" i="13"/>
  <c r="C21" i="10"/>
  <c r="C21" i="11"/>
  <c r="C21" i="12"/>
  <c r="C21" i="13"/>
  <c r="B21" i="10"/>
  <c r="B21" i="11"/>
  <c r="B21" i="12"/>
  <c r="B21" i="13"/>
  <c r="L20" i="10"/>
  <c r="L20" i="11"/>
  <c r="L20" i="12"/>
  <c r="L20" i="13"/>
  <c r="J20" i="10"/>
  <c r="J20" i="11"/>
  <c r="J20" i="12"/>
  <c r="J20" i="13"/>
  <c r="I20" i="10"/>
  <c r="I20" i="11"/>
  <c r="I20" i="12"/>
  <c r="I20" i="13"/>
  <c r="G20" i="10"/>
  <c r="G20" i="11"/>
  <c r="G20" i="12"/>
  <c r="G20" i="13"/>
  <c r="F20" i="10"/>
  <c r="H20" i="10"/>
  <c r="K20" i="10"/>
  <c r="E20" i="10"/>
  <c r="E20" i="11"/>
  <c r="E20" i="12"/>
  <c r="E20" i="13"/>
  <c r="D20" i="10"/>
  <c r="D20" i="11"/>
  <c r="D20" i="12"/>
  <c r="D20" i="13"/>
  <c r="C20" i="10"/>
  <c r="C20" i="11"/>
  <c r="C20" i="12"/>
  <c r="C20" i="13"/>
  <c r="B20" i="10"/>
  <c r="B20" i="11"/>
  <c r="B20" i="12"/>
  <c r="B20" i="13"/>
  <c r="L19" i="10"/>
  <c r="L19" i="11"/>
  <c r="L19" i="12"/>
  <c r="L19" i="13"/>
  <c r="J19" i="10"/>
  <c r="J19" i="11"/>
  <c r="J19" i="12"/>
  <c r="J19" i="13"/>
  <c r="I19" i="10"/>
  <c r="I19" i="11"/>
  <c r="I19" i="12"/>
  <c r="I19" i="13"/>
  <c r="G19" i="10"/>
  <c r="G19" i="11"/>
  <c r="G19" i="12"/>
  <c r="G19" i="13"/>
  <c r="F19" i="10"/>
  <c r="H19" i="10"/>
  <c r="E19" i="10"/>
  <c r="E19" i="11"/>
  <c r="E19" i="12"/>
  <c r="E19" i="13"/>
  <c r="D19" i="10"/>
  <c r="D19" i="11"/>
  <c r="D19" i="12"/>
  <c r="D19" i="13"/>
  <c r="C19" i="10"/>
  <c r="C19" i="11"/>
  <c r="C19" i="12"/>
  <c r="C19" i="13"/>
  <c r="B19" i="10"/>
  <c r="B19" i="11"/>
  <c r="B19" i="12"/>
  <c r="B19" i="13"/>
  <c r="L18" i="10"/>
  <c r="L18" i="11"/>
  <c r="L18" i="12"/>
  <c r="L18" i="13"/>
  <c r="J18" i="10"/>
  <c r="J18" i="11"/>
  <c r="J18" i="12"/>
  <c r="J18" i="13"/>
  <c r="I18" i="10"/>
  <c r="I18" i="11"/>
  <c r="I18" i="12"/>
  <c r="I18" i="13"/>
  <c r="G18" i="10"/>
  <c r="G18" i="11"/>
  <c r="G18" i="12"/>
  <c r="G18" i="13"/>
  <c r="F18" i="10"/>
  <c r="F18" i="11"/>
  <c r="H18" i="11"/>
  <c r="E18" i="10"/>
  <c r="E18" i="11"/>
  <c r="E18" i="12"/>
  <c r="E18" i="13"/>
  <c r="D18" i="10"/>
  <c r="D18" i="11"/>
  <c r="D18" i="12"/>
  <c r="D18" i="13"/>
  <c r="C18" i="10"/>
  <c r="C18" i="11"/>
  <c r="C18" i="12"/>
  <c r="C18" i="13"/>
  <c r="B18" i="10"/>
  <c r="B18" i="11"/>
  <c r="B18" i="12"/>
  <c r="B18" i="13"/>
  <c r="L17" i="10"/>
  <c r="L17" i="11"/>
  <c r="L17" i="12"/>
  <c r="L17" i="13"/>
  <c r="J17" i="10"/>
  <c r="J17" i="11"/>
  <c r="J17" i="12"/>
  <c r="J17" i="13"/>
  <c r="I17" i="10"/>
  <c r="I17" i="11"/>
  <c r="I17" i="12"/>
  <c r="I17" i="13"/>
  <c r="G17" i="10"/>
  <c r="G17" i="11"/>
  <c r="G17" i="12"/>
  <c r="G17" i="13"/>
  <c r="F17" i="10"/>
  <c r="E17" i="10"/>
  <c r="E17" i="11"/>
  <c r="E17" i="12"/>
  <c r="E17" i="13"/>
  <c r="D17" i="10"/>
  <c r="D17" i="11"/>
  <c r="D17" i="12"/>
  <c r="D17" i="13"/>
  <c r="C17" i="10"/>
  <c r="C17" i="11"/>
  <c r="C17" i="12"/>
  <c r="C17" i="13"/>
  <c r="B17" i="10"/>
  <c r="B17" i="11"/>
  <c r="B17" i="12"/>
  <c r="B17" i="13"/>
  <c r="L16" i="10"/>
  <c r="L16" i="11"/>
  <c r="L16" i="12"/>
  <c r="L16" i="13"/>
  <c r="J16" i="10"/>
  <c r="J16" i="11"/>
  <c r="J16" i="12"/>
  <c r="J16" i="13"/>
  <c r="I16" i="10"/>
  <c r="I16" i="11"/>
  <c r="I16" i="12"/>
  <c r="I16" i="13"/>
  <c r="G16" i="10"/>
  <c r="G16" i="11"/>
  <c r="G16" i="12"/>
  <c r="G16" i="13"/>
  <c r="F16" i="10"/>
  <c r="H16" i="10"/>
  <c r="E16" i="10"/>
  <c r="E16" i="11"/>
  <c r="E16" i="12"/>
  <c r="E16" i="13"/>
  <c r="D16" i="10"/>
  <c r="D16" i="11"/>
  <c r="D16" i="12"/>
  <c r="D16" i="13"/>
  <c r="C16" i="10"/>
  <c r="C16" i="11"/>
  <c r="C16" i="12"/>
  <c r="C16" i="13"/>
  <c r="B16" i="10"/>
  <c r="L15" i="10"/>
  <c r="L15" i="11"/>
  <c r="L15" i="12"/>
  <c r="L15" i="13"/>
  <c r="J15" i="10"/>
  <c r="J15" i="11"/>
  <c r="J15" i="12"/>
  <c r="J15" i="13"/>
  <c r="I15" i="10"/>
  <c r="I15" i="11"/>
  <c r="I15" i="12"/>
  <c r="I15" i="13"/>
  <c r="G15" i="10"/>
  <c r="G15" i="11"/>
  <c r="G15" i="12"/>
  <c r="G15" i="13"/>
  <c r="F15" i="10"/>
  <c r="H15" i="10"/>
  <c r="K15" i="10"/>
  <c r="E15" i="10"/>
  <c r="E15" i="11"/>
  <c r="E15" i="12"/>
  <c r="E15" i="13"/>
  <c r="D15" i="10"/>
  <c r="D15" i="11"/>
  <c r="D15" i="12"/>
  <c r="D15" i="13"/>
  <c r="C15" i="10"/>
  <c r="C15" i="11"/>
  <c r="C15" i="12"/>
  <c r="C15" i="13"/>
  <c r="B15" i="10"/>
  <c r="B15" i="11"/>
  <c r="B15" i="12"/>
  <c r="B15" i="13"/>
  <c r="L14" i="10"/>
  <c r="L14" i="11"/>
  <c r="L14" i="12"/>
  <c r="L14" i="13"/>
  <c r="J14" i="10"/>
  <c r="I14" i="10"/>
  <c r="I14" i="11"/>
  <c r="I14" i="12"/>
  <c r="I14" i="13"/>
  <c r="G14" i="10"/>
  <c r="G14" i="11"/>
  <c r="G14" i="12"/>
  <c r="G14" i="13"/>
  <c r="F14" i="10"/>
  <c r="F14" i="11"/>
  <c r="H14" i="11"/>
  <c r="E14" i="10"/>
  <c r="E14" i="11"/>
  <c r="E14" i="12"/>
  <c r="E14" i="13"/>
  <c r="D14" i="10"/>
  <c r="D14" i="11"/>
  <c r="D14" i="12"/>
  <c r="D14" i="13"/>
  <c r="C14" i="10"/>
  <c r="C14" i="11"/>
  <c r="C14" i="12"/>
  <c r="C14" i="13"/>
  <c r="B14" i="10"/>
  <c r="B14" i="11"/>
  <c r="B14" i="12"/>
  <c r="B14" i="13"/>
  <c r="L13" i="10"/>
  <c r="L13" i="11"/>
  <c r="L13" i="12"/>
  <c r="L13" i="13"/>
  <c r="J13" i="10"/>
  <c r="J13" i="11"/>
  <c r="J13" i="12"/>
  <c r="J13" i="13"/>
  <c r="I13" i="10"/>
  <c r="I13" i="11"/>
  <c r="I13" i="12"/>
  <c r="I13" i="13"/>
  <c r="G13" i="10"/>
  <c r="G13" i="11"/>
  <c r="G13" i="12"/>
  <c r="G13" i="13"/>
  <c r="F13" i="10"/>
  <c r="F13" i="11"/>
  <c r="E13" i="10"/>
  <c r="E13" i="11"/>
  <c r="E13" i="12"/>
  <c r="E13" i="13"/>
  <c r="D13" i="10"/>
  <c r="D13" i="11"/>
  <c r="D13" i="12"/>
  <c r="D13" i="13"/>
  <c r="C13" i="10"/>
  <c r="C13" i="11"/>
  <c r="C13" i="12"/>
  <c r="C13" i="13"/>
  <c r="B13" i="10"/>
  <c r="B13" i="11"/>
  <c r="B13" i="12"/>
  <c r="B13" i="13"/>
  <c r="L12" i="10"/>
  <c r="L12" i="11"/>
  <c r="L12" i="12"/>
  <c r="L12" i="13"/>
  <c r="J12" i="10"/>
  <c r="J12" i="11"/>
  <c r="J12" i="12"/>
  <c r="J12" i="13"/>
  <c r="I12" i="10"/>
  <c r="I12" i="11"/>
  <c r="G12" i="10"/>
  <c r="G12" i="11"/>
  <c r="G12" i="12"/>
  <c r="G12" i="13"/>
  <c r="F12" i="10"/>
  <c r="H12" i="10"/>
  <c r="E12" i="10"/>
  <c r="E12" i="11"/>
  <c r="E12" i="12"/>
  <c r="E12" i="13"/>
  <c r="D12" i="10"/>
  <c r="D12" i="11"/>
  <c r="D12" i="12"/>
  <c r="D12" i="13"/>
  <c r="C12" i="10"/>
  <c r="C12" i="11"/>
  <c r="C12" i="12"/>
  <c r="C12" i="13"/>
  <c r="B12" i="10"/>
  <c r="B12" i="11"/>
  <c r="B12" i="12"/>
  <c r="B12" i="13"/>
  <c r="L11" i="10"/>
  <c r="L11" i="11"/>
  <c r="L11" i="12"/>
  <c r="L11" i="13"/>
  <c r="J11" i="10"/>
  <c r="J11" i="11"/>
  <c r="J11" i="12"/>
  <c r="J11" i="13"/>
  <c r="I11" i="10"/>
  <c r="I11" i="11"/>
  <c r="I11" i="12"/>
  <c r="I11" i="13"/>
  <c r="G11" i="10"/>
  <c r="G11" i="11"/>
  <c r="G11" i="12"/>
  <c r="G11" i="13"/>
  <c r="F11" i="10"/>
  <c r="H11" i="10"/>
  <c r="K11" i="10"/>
  <c r="E11" i="10"/>
  <c r="E11" i="11"/>
  <c r="E11" i="12"/>
  <c r="E11" i="13"/>
  <c r="D11" i="10"/>
  <c r="D11" i="11"/>
  <c r="D11" i="12"/>
  <c r="D11" i="13"/>
  <c r="C11" i="10"/>
  <c r="C11" i="11"/>
  <c r="C11" i="12"/>
  <c r="C11" i="13"/>
  <c r="B11" i="10"/>
  <c r="B11" i="11"/>
  <c r="B11" i="12"/>
  <c r="B11" i="13"/>
  <c r="L10" i="10"/>
  <c r="L10" i="11"/>
  <c r="L10" i="12"/>
  <c r="L10" i="13"/>
  <c r="J10" i="10"/>
  <c r="J10" i="11"/>
  <c r="J10" i="12"/>
  <c r="J10" i="13"/>
  <c r="I10" i="10"/>
  <c r="I10" i="11"/>
  <c r="I10" i="12"/>
  <c r="I10" i="13"/>
  <c r="G10" i="10"/>
  <c r="G10" i="11"/>
  <c r="G10" i="12"/>
  <c r="G10" i="13"/>
  <c r="F10" i="10"/>
  <c r="F10" i="11"/>
  <c r="E10" i="10"/>
  <c r="E10" i="11"/>
  <c r="E10" i="12"/>
  <c r="E10" i="13"/>
  <c r="D10" i="10"/>
  <c r="D10" i="11"/>
  <c r="D10" i="12"/>
  <c r="D10" i="13"/>
  <c r="C10" i="10"/>
  <c r="C10" i="11"/>
  <c r="C10" i="12"/>
  <c r="C10" i="13"/>
  <c r="B10" i="10"/>
  <c r="B10" i="11"/>
  <c r="L9" i="10"/>
  <c r="L9" i="11"/>
  <c r="L9" i="12"/>
  <c r="L9" i="13"/>
  <c r="J9" i="10"/>
  <c r="J9" i="11"/>
  <c r="J9" i="12"/>
  <c r="J9" i="13"/>
  <c r="K9" i="13"/>
  <c r="I9" i="10"/>
  <c r="I9" i="11"/>
  <c r="I9" i="12"/>
  <c r="I9" i="13"/>
  <c r="G9" i="10"/>
  <c r="G9" i="11"/>
  <c r="G9" i="12"/>
  <c r="G9" i="13"/>
  <c r="F9" i="10"/>
  <c r="F9" i="11"/>
  <c r="F9" i="12"/>
  <c r="F9" i="13"/>
  <c r="E9" i="10"/>
  <c r="E9" i="11"/>
  <c r="E9" i="12"/>
  <c r="E9" i="13"/>
  <c r="D9" i="10"/>
  <c r="D9" i="11"/>
  <c r="D9" i="12"/>
  <c r="D9" i="13"/>
  <c r="C9" i="10"/>
  <c r="C9" i="11"/>
  <c r="C9" i="12"/>
  <c r="C9" i="13"/>
  <c r="B9" i="10"/>
  <c r="B9" i="11"/>
  <c r="B9" i="12"/>
  <c r="B9" i="13"/>
  <c r="L8" i="10"/>
  <c r="L8" i="11"/>
  <c r="L8" i="12"/>
  <c r="L8" i="13"/>
  <c r="J8" i="10"/>
  <c r="J8" i="11"/>
  <c r="J8" i="12"/>
  <c r="J8" i="13"/>
  <c r="I8" i="10"/>
  <c r="I8" i="11"/>
  <c r="I8" i="12"/>
  <c r="I8" i="13"/>
  <c r="G8" i="10"/>
  <c r="G8" i="11"/>
  <c r="G8" i="12"/>
  <c r="G8" i="13"/>
  <c r="F8" i="10"/>
  <c r="H8" i="10"/>
  <c r="E8" i="10"/>
  <c r="E8" i="11"/>
  <c r="E8" i="12"/>
  <c r="E8" i="13"/>
  <c r="D8" i="10"/>
  <c r="D8" i="11"/>
  <c r="D8" i="12"/>
  <c r="D8" i="13"/>
  <c r="C8" i="10"/>
  <c r="C8" i="11"/>
  <c r="C8" i="12"/>
  <c r="C8" i="13"/>
  <c r="B8" i="10"/>
  <c r="B8" i="11"/>
  <c r="L7" i="10"/>
  <c r="N7" i="10"/>
  <c r="J7" i="10"/>
  <c r="J7" i="11"/>
  <c r="I7" i="10"/>
  <c r="I58" i="10"/>
  <c r="I7" i="11"/>
  <c r="G7" i="10"/>
  <c r="G7" i="11"/>
  <c r="G7" i="12"/>
  <c r="G7" i="13"/>
  <c r="F7" i="10"/>
  <c r="E7" i="10"/>
  <c r="E7" i="11"/>
  <c r="E7" i="12"/>
  <c r="E7" i="13"/>
  <c r="D7" i="10"/>
  <c r="D7" i="11"/>
  <c r="D7" i="12"/>
  <c r="D7" i="13"/>
  <c r="C7" i="10"/>
  <c r="C7" i="11"/>
  <c r="C7" i="12"/>
  <c r="C7" i="13"/>
  <c r="B7" i="10"/>
  <c r="B7" i="11"/>
  <c r="A3" i="10"/>
  <c r="V2" i="10"/>
  <c r="T2" i="10"/>
  <c r="T2" i="11"/>
  <c r="S2" i="10"/>
  <c r="Q2" i="10"/>
  <c r="Q2" i="11"/>
  <c r="A1" i="10"/>
  <c r="V60" i="1"/>
  <c r="U60" i="1"/>
  <c r="J60" i="1"/>
  <c r="I60" i="1"/>
  <c r="F60" i="1"/>
  <c r="V58" i="1"/>
  <c r="U58" i="1"/>
  <c r="J58" i="1"/>
  <c r="I58" i="1"/>
  <c r="F58" i="1"/>
  <c r="E58" i="1"/>
  <c r="C58" i="1"/>
  <c r="S7" i="1"/>
  <c r="S60" i="1"/>
  <c r="Q7" i="1"/>
  <c r="Q60" i="1"/>
  <c r="O7" i="1"/>
  <c r="O60" i="1"/>
  <c r="N7" i="1"/>
  <c r="N60" i="1"/>
  <c r="H7" i="1"/>
  <c r="K7" i="1"/>
  <c r="A3" i="1"/>
  <c r="V2" i="1"/>
  <c r="A1" i="1"/>
  <c r="J75" i="8"/>
  <c r="J74" i="8"/>
  <c r="J70" i="8"/>
  <c r="J66" i="8"/>
  <c r="J65" i="8"/>
  <c r="J64" i="8"/>
  <c r="J63" i="8"/>
  <c r="J62" i="8"/>
  <c r="J61" i="8"/>
  <c r="J60" i="8"/>
  <c r="J59" i="8"/>
  <c r="J58" i="8"/>
  <c r="J57" i="8"/>
  <c r="J56" i="8"/>
  <c r="J55" i="8"/>
  <c r="J54" i="8"/>
  <c r="J53" i="8"/>
  <c r="J52" i="8"/>
  <c r="J51" i="8"/>
  <c r="J50" i="8"/>
  <c r="J49" i="8"/>
  <c r="J45" i="8"/>
  <c r="J44" i="8"/>
  <c r="J43" i="8"/>
  <c r="J42" i="8"/>
  <c r="J41" i="8"/>
  <c r="J40" i="8"/>
  <c r="J39" i="8"/>
  <c r="J38" i="8"/>
  <c r="J37" i="8"/>
  <c r="J36" i="8"/>
  <c r="J35" i="8"/>
  <c r="J34" i="8"/>
  <c r="J33" i="8"/>
  <c r="J32" i="8"/>
  <c r="J31" i="8"/>
  <c r="J27" i="8"/>
  <c r="J26" i="8"/>
  <c r="J25" i="8"/>
  <c r="J24" i="8"/>
  <c r="J23" i="8"/>
  <c r="J22" i="8"/>
  <c r="J21" i="8"/>
  <c r="J20" i="8"/>
  <c r="J19" i="8"/>
  <c r="J18" i="8"/>
  <c r="J17" i="8"/>
  <c r="J16" i="8"/>
  <c r="J15" i="8"/>
  <c r="J14" i="8"/>
  <c r="J13" i="8"/>
  <c r="J11" i="8"/>
  <c r="J8" i="8"/>
  <c r="I6" i="8"/>
  <c r="H6" i="8"/>
  <c r="G6" i="8"/>
  <c r="F6" i="8"/>
  <c r="E6" i="8"/>
  <c r="D6" i="8"/>
  <c r="A3" i="8"/>
  <c r="A1" i="8"/>
  <c r="F135" i="9"/>
  <c r="E135" i="9"/>
  <c r="F133" i="9"/>
  <c r="E133" i="9"/>
  <c r="L119" i="9"/>
  <c r="F119" i="9"/>
  <c r="E119" i="9"/>
  <c r="D118" i="9"/>
  <c r="C150" i="21"/>
  <c r="C118" i="9"/>
  <c r="A118" i="9"/>
  <c r="B118" i="9"/>
  <c r="D117" i="9"/>
  <c r="C149" i="20"/>
  <c r="C117" i="9"/>
  <c r="A117" i="9"/>
  <c r="B117" i="9"/>
  <c r="L114" i="9"/>
  <c r="D113" i="9"/>
  <c r="C145" i="21"/>
  <c r="C113" i="9"/>
  <c r="A113" i="9"/>
  <c r="B113" i="9"/>
  <c r="F110" i="9"/>
  <c r="E110" i="9"/>
  <c r="C141" i="26"/>
  <c r="B141" i="21"/>
  <c r="D108" i="9"/>
  <c r="C140" i="26"/>
  <c r="C108" i="9"/>
  <c r="D107" i="9"/>
  <c r="C139" i="20"/>
  <c r="C107" i="9"/>
  <c r="B139" i="29"/>
  <c r="D106" i="9"/>
  <c r="C138" i="21"/>
  <c r="C106" i="9"/>
  <c r="D105" i="9"/>
  <c r="C137" i="26"/>
  <c r="C105" i="9"/>
  <c r="B137" i="17"/>
  <c r="D104" i="9"/>
  <c r="C136" i="20"/>
  <c r="C104" i="9"/>
  <c r="D103" i="9"/>
  <c r="C135" i="20"/>
  <c r="C103" i="9"/>
  <c r="B135" i="29"/>
  <c r="D101" i="9"/>
  <c r="C133" i="19"/>
  <c r="C101" i="9"/>
  <c r="D99" i="9"/>
  <c r="C131" i="26"/>
  <c r="C99" i="9"/>
  <c r="B131" i="18"/>
  <c r="D95" i="9"/>
  <c r="C128" i="26"/>
  <c r="C95" i="9"/>
  <c r="B128" i="21"/>
  <c r="D94" i="9"/>
  <c r="C127" i="26"/>
  <c r="C94" i="9"/>
  <c r="B127" i="28"/>
  <c r="D91" i="9"/>
  <c r="C125" i="26"/>
  <c r="C91" i="9"/>
  <c r="B125" i="18"/>
  <c r="D87" i="9"/>
  <c r="C123" i="26"/>
  <c r="C87" i="9"/>
  <c r="B123" i="26"/>
  <c r="D86" i="9"/>
  <c r="C86" i="9"/>
  <c r="B122" i="20"/>
  <c r="D85" i="9"/>
  <c r="C121" i="20"/>
  <c r="C85" i="9"/>
  <c r="D84" i="9"/>
  <c r="C120" i="28"/>
  <c r="C84" i="9"/>
  <c r="B120" i="17"/>
  <c r="D83" i="9"/>
  <c r="C119" i="19"/>
  <c r="C83" i="9"/>
  <c r="B119" i="17"/>
  <c r="D82" i="9"/>
  <c r="C118" i="26"/>
  <c r="C82" i="9"/>
  <c r="D81" i="9"/>
  <c r="C117" i="26"/>
  <c r="C81" i="9"/>
  <c r="B117" i="27"/>
  <c r="D80" i="9"/>
  <c r="C116" i="21"/>
  <c r="C80" i="9"/>
  <c r="D79" i="9"/>
  <c r="C115" i="19"/>
  <c r="C79" i="9"/>
  <c r="B115" i="29"/>
  <c r="D78" i="9"/>
  <c r="C114" i="18"/>
  <c r="C78" i="9"/>
  <c r="D77" i="9"/>
  <c r="C113" i="18"/>
  <c r="C77" i="9"/>
  <c r="B113" i="20"/>
  <c r="D76" i="9"/>
  <c r="C112" i="22"/>
  <c r="C76" i="9"/>
  <c r="B112" i="22"/>
  <c r="D75" i="9"/>
  <c r="C111" i="19"/>
  <c r="C75" i="9"/>
  <c r="B111" i="19"/>
  <c r="D74" i="9"/>
  <c r="C110" i="26"/>
  <c r="C74" i="9"/>
  <c r="D73" i="9"/>
  <c r="C109" i="21"/>
  <c r="C73" i="9"/>
  <c r="B109" i="27"/>
  <c r="F70" i="9"/>
  <c r="E70" i="9"/>
  <c r="D69" i="9"/>
  <c r="C105" i="27"/>
  <c r="C69" i="9"/>
  <c r="B105" i="18"/>
  <c r="C104" i="21"/>
  <c r="C102" i="26"/>
  <c r="C101" i="22"/>
  <c r="B101" i="26"/>
  <c r="C99" i="18"/>
  <c r="B97" i="19"/>
  <c r="D68" i="9"/>
  <c r="C95" i="22"/>
  <c r="C68" i="9"/>
  <c r="B95" i="26"/>
  <c r="D66" i="9"/>
  <c r="C94" i="17"/>
  <c r="C66" i="9"/>
  <c r="B94" i="28"/>
  <c r="D64" i="9"/>
  <c r="C92" i="22"/>
  <c r="C64" i="9"/>
  <c r="B92" i="21"/>
  <c r="D63" i="9"/>
  <c r="C91" i="18"/>
  <c r="C63" i="9"/>
  <c r="D61" i="9"/>
  <c r="C61" i="9"/>
  <c r="B90" i="18"/>
  <c r="D58" i="9"/>
  <c r="C89" i="18"/>
  <c r="F53" i="9"/>
  <c r="E53" i="9"/>
  <c r="F29" i="9"/>
  <c r="E29" i="9"/>
  <c r="F16" i="9"/>
  <c r="E16" i="9"/>
  <c r="I6" i="9"/>
  <c r="H6" i="9"/>
  <c r="G6" i="9"/>
  <c r="F6" i="9"/>
  <c r="E6" i="9"/>
  <c r="C3" i="9"/>
  <c r="D21" i="46" s="1"/>
  <c r="C1" i="9"/>
  <c r="F48" i="15"/>
  <c r="E12" i="46" s="1"/>
  <c r="E48" i="15"/>
  <c r="D12" i="46" s="1"/>
  <c r="F32" i="15"/>
  <c r="E11" i="46" s="1"/>
  <c r="E32" i="15"/>
  <c r="D11" i="46" s="1"/>
  <c r="J28" i="15"/>
  <c r="K28" i="15" s="1"/>
  <c r="J27" i="15"/>
  <c r="K27" i="15" s="1"/>
  <c r="J26" i="15"/>
  <c r="J24" i="15"/>
  <c r="K24" i="15" s="1"/>
  <c r="M18" i="15"/>
  <c r="N18" i="15" s="1"/>
  <c r="O18" i="15" s="1"/>
  <c r="O14" i="15"/>
  <c r="P14" i="15" s="1"/>
  <c r="J6" i="15"/>
  <c r="P6" i="15"/>
  <c r="H6" i="15"/>
  <c r="O6" i="15" s="1"/>
  <c r="G6" i="15"/>
  <c r="N6" i="15" s="1"/>
  <c r="F6" i="15"/>
  <c r="M6" i="15" s="1"/>
  <c r="E6" i="15"/>
  <c r="L6" i="15"/>
  <c r="E73" i="14"/>
  <c r="E70" i="14"/>
  <c r="D70" i="14"/>
  <c r="I67" i="14"/>
  <c r="H67" i="14"/>
  <c r="G67" i="14"/>
  <c r="F67" i="14"/>
  <c r="E67" i="14"/>
  <c r="D67" i="14"/>
  <c r="H55" i="14"/>
  <c r="G55" i="14"/>
  <c r="F55" i="14"/>
  <c r="E55" i="14"/>
  <c r="D55" i="14"/>
  <c r="E54" i="14"/>
  <c r="D54" i="14"/>
  <c r="H53" i="14"/>
  <c r="G53" i="14"/>
  <c r="F53" i="14"/>
  <c r="E53" i="14"/>
  <c r="D53" i="14"/>
  <c r="H52" i="14"/>
  <c r="G52" i="14"/>
  <c r="G62" i="14" s="1"/>
  <c r="F52" i="14"/>
  <c r="E52" i="14"/>
  <c r="D52" i="14"/>
  <c r="D62" i="14" s="1"/>
  <c r="H51" i="14"/>
  <c r="G51" i="14"/>
  <c r="F51" i="14"/>
  <c r="E51" i="14"/>
  <c r="E62" i="14" s="1"/>
  <c r="D51" i="14"/>
  <c r="H50" i="14"/>
  <c r="G50" i="14"/>
  <c r="F50" i="14"/>
  <c r="F61" i="14" s="1"/>
  <c r="E50" i="14"/>
  <c r="D50" i="14"/>
  <c r="H49" i="14"/>
  <c r="G49" i="14"/>
  <c r="G61" i="14" s="1"/>
  <c r="F49" i="14"/>
  <c r="E49" i="14"/>
  <c r="E61" i="14" s="1"/>
  <c r="D49" i="14"/>
  <c r="D61" i="14" s="1"/>
  <c r="H48" i="14"/>
  <c r="G48" i="14"/>
  <c r="F48" i="14"/>
  <c r="E48" i="14"/>
  <c r="D48" i="14"/>
  <c r="H47" i="14"/>
  <c r="G47" i="14"/>
  <c r="F47" i="14"/>
  <c r="E47" i="14"/>
  <c r="D47" i="14"/>
  <c r="H46" i="14"/>
  <c r="G46" i="14"/>
  <c r="F46" i="14"/>
  <c r="F60" i="14" s="1"/>
  <c r="E46" i="14"/>
  <c r="D46" i="14"/>
  <c r="D60" i="14" s="1"/>
  <c r="H45" i="14"/>
  <c r="G45" i="14"/>
  <c r="F45" i="14"/>
  <c r="E45" i="14"/>
  <c r="D45" i="14"/>
  <c r="H44" i="14"/>
  <c r="G44" i="14"/>
  <c r="F44" i="14"/>
  <c r="E44" i="14"/>
  <c r="D44" i="14"/>
  <c r="H43" i="14"/>
  <c r="F43" i="14"/>
  <c r="E43" i="14"/>
  <c r="D43" i="14"/>
  <c r="H42" i="14"/>
  <c r="G42" i="14"/>
  <c r="G59" i="14" s="1"/>
  <c r="F42" i="14"/>
  <c r="E42" i="14"/>
  <c r="E59" i="14" s="1"/>
  <c r="D42" i="14"/>
  <c r="D59" i="14" s="1"/>
  <c r="H39" i="14"/>
  <c r="G39" i="14"/>
  <c r="F39" i="14"/>
  <c r="E39" i="14"/>
  <c r="D39" i="14"/>
  <c r="H22" i="14"/>
  <c r="H77" i="14" s="1"/>
  <c r="H70" i="14" s="1"/>
  <c r="G22" i="14"/>
  <c r="G77" i="14" s="1"/>
  <c r="F22" i="14"/>
  <c r="F77" i="14"/>
  <c r="F70" i="14" s="1"/>
  <c r="E22" i="14"/>
  <c r="D22" i="14"/>
  <c r="I20" i="14"/>
  <c r="I19" i="14"/>
  <c r="I18" i="14"/>
  <c r="I17" i="14"/>
  <c r="I16" i="14"/>
  <c r="I15" i="14"/>
  <c r="I14" i="14"/>
  <c r="I13" i="14"/>
  <c r="I12" i="14"/>
  <c r="I11" i="14"/>
  <c r="I10" i="14"/>
  <c r="I9" i="14"/>
  <c r="I8" i="14"/>
  <c r="J8" i="14" s="1"/>
  <c r="L8" i="16"/>
  <c r="H8" i="16"/>
  <c r="F8" i="16"/>
  <c r="E8" i="16"/>
  <c r="D8" i="16"/>
  <c r="A3" i="16"/>
  <c r="A1" i="16"/>
  <c r="H10" i="10"/>
  <c r="K10" i="10"/>
  <c r="H13" i="10"/>
  <c r="K13" i="10"/>
  <c r="H18" i="10"/>
  <c r="K18" i="10"/>
  <c r="H31" i="10"/>
  <c r="K31" i="10"/>
  <c r="H34" i="10"/>
  <c r="K34" i="10"/>
  <c r="H47" i="10"/>
  <c r="K47" i="10"/>
  <c r="H50" i="10"/>
  <c r="K50" i="10"/>
  <c r="E159" i="18"/>
  <c r="E28" i="20"/>
  <c r="I28" i="20"/>
  <c r="K28" i="21"/>
  <c r="O28" i="21"/>
  <c r="F29" i="21"/>
  <c r="J29" i="21"/>
  <c r="N29" i="21"/>
  <c r="R29" i="21"/>
  <c r="R28" i="20"/>
  <c r="Q29" i="20"/>
  <c r="R152" i="20"/>
  <c r="R157" i="20"/>
  <c r="H28" i="21"/>
  <c r="L28" i="21"/>
  <c r="K29" i="21"/>
  <c r="O29" i="21"/>
  <c r="H23" i="10"/>
  <c r="K23" i="10"/>
  <c r="H39" i="10"/>
  <c r="H55" i="10"/>
  <c r="G28" i="20"/>
  <c r="K28" i="20"/>
  <c r="O28" i="20"/>
  <c r="F29" i="20"/>
  <c r="J29" i="20"/>
  <c r="N29" i="20"/>
  <c r="R29" i="20"/>
  <c r="M28" i="21"/>
  <c r="Q28" i="21"/>
  <c r="H14" i="10"/>
  <c r="D159" i="18"/>
  <c r="H28" i="20"/>
  <c r="L28" i="20"/>
  <c r="P28" i="20"/>
  <c r="G29" i="20"/>
  <c r="K29" i="20"/>
  <c r="R152" i="21"/>
  <c r="R157" i="21"/>
  <c r="K16" i="10"/>
  <c r="R152" i="18"/>
  <c r="R157" i="18"/>
  <c r="R7" i="1"/>
  <c r="R58" i="1"/>
  <c r="R60" i="1"/>
  <c r="Q58" i="1"/>
  <c r="H9" i="10"/>
  <c r="K9" i="10"/>
  <c r="H22" i="10"/>
  <c r="K22" i="10"/>
  <c r="H27" i="10"/>
  <c r="K27" i="10"/>
  <c r="K28" i="10"/>
  <c r="H30" i="10"/>
  <c r="K30" i="10"/>
  <c r="H38" i="10"/>
  <c r="K38" i="10"/>
  <c r="H43" i="10"/>
  <c r="K43" i="10"/>
  <c r="H46" i="10"/>
  <c r="K46" i="10"/>
  <c r="K52" i="10"/>
  <c r="H54" i="10"/>
  <c r="K54" i="10"/>
  <c r="B89" i="17"/>
  <c r="O7" i="10"/>
  <c r="O58" i="10"/>
  <c r="H58" i="1"/>
  <c r="K8" i="10"/>
  <c r="S12" i="17"/>
  <c r="D21" i="17"/>
  <c r="D21" i="26"/>
  <c r="D21" i="27"/>
  <c r="L12" i="26"/>
  <c r="P152" i="18"/>
  <c r="P157" i="18"/>
  <c r="P152" i="20"/>
  <c r="P157" i="20"/>
  <c r="P152" i="21"/>
  <c r="P157" i="21"/>
  <c r="Q152" i="18"/>
  <c r="Q157" i="18"/>
  <c r="Q152" i="20"/>
  <c r="Q157" i="20"/>
  <c r="Q152" i="21"/>
  <c r="Q157" i="21"/>
  <c r="J7" i="12"/>
  <c r="F18" i="12"/>
  <c r="H18" i="12"/>
  <c r="H21" i="11"/>
  <c r="K21" i="11"/>
  <c r="F21" i="12"/>
  <c r="H29" i="11"/>
  <c r="F29" i="12"/>
  <c r="H29" i="12"/>
  <c r="H45" i="11"/>
  <c r="K45" i="11"/>
  <c r="F45" i="12"/>
  <c r="F12" i="27"/>
  <c r="J9" i="28"/>
  <c r="J12" i="28"/>
  <c r="J12" i="27"/>
  <c r="N12" i="27"/>
  <c r="B7" i="12"/>
  <c r="H9" i="11"/>
  <c r="H22" i="11"/>
  <c r="K22" i="11"/>
  <c r="H27" i="11"/>
  <c r="K27" i="11"/>
  <c r="F27" i="12"/>
  <c r="H27" i="12"/>
  <c r="F30" i="12"/>
  <c r="H30" i="11"/>
  <c r="H38" i="11"/>
  <c r="K38" i="11"/>
  <c r="H43" i="11"/>
  <c r="K43" i="11"/>
  <c r="F43" i="12"/>
  <c r="F43" i="13"/>
  <c r="H43" i="13"/>
  <c r="F46" i="12"/>
  <c r="H46" i="11"/>
  <c r="T2" i="12"/>
  <c r="H25" i="11"/>
  <c r="K25" i="11"/>
  <c r="F41" i="12"/>
  <c r="H41" i="12"/>
  <c r="D15" i="27"/>
  <c r="S15" i="26"/>
  <c r="L9" i="28"/>
  <c r="L12" i="28"/>
  <c r="L12" i="27"/>
  <c r="E14" i="28"/>
  <c r="S14" i="28"/>
  <c r="S14" i="27"/>
  <c r="K60" i="1"/>
  <c r="K58" i="1"/>
  <c r="M7" i="1"/>
  <c r="T7" i="1"/>
  <c r="T60" i="1"/>
  <c r="P7" i="1"/>
  <c r="F14" i="12"/>
  <c r="H14" i="12"/>
  <c r="F23" i="12"/>
  <c r="H31" i="11"/>
  <c r="K31" i="11"/>
  <c r="F34" i="12"/>
  <c r="H34" i="12"/>
  <c r="H34" i="11"/>
  <c r="K34" i="11"/>
  <c r="F39" i="12"/>
  <c r="H47" i="11"/>
  <c r="K47" i="11"/>
  <c r="F50" i="12"/>
  <c r="F50" i="13"/>
  <c r="H50" i="11"/>
  <c r="K50" i="11"/>
  <c r="F55" i="12"/>
  <c r="E9" i="28"/>
  <c r="E9" i="29"/>
  <c r="E12" i="27"/>
  <c r="M9" i="28"/>
  <c r="M12" i="28"/>
  <c r="M12" i="27"/>
  <c r="C101" i="19"/>
  <c r="C101" i="27"/>
  <c r="C103" i="18"/>
  <c r="C138" i="20"/>
  <c r="N58" i="1"/>
  <c r="H60" i="1"/>
  <c r="H21" i="10"/>
  <c r="K21" i="10"/>
  <c r="H25" i="10"/>
  <c r="K25" i="10"/>
  <c r="H29" i="10"/>
  <c r="K29" i="10"/>
  <c r="H33" i="10"/>
  <c r="K33" i="10"/>
  <c r="H37" i="10"/>
  <c r="K37" i="10"/>
  <c r="H41" i="10"/>
  <c r="K41" i="10"/>
  <c r="H45" i="10"/>
  <c r="K45" i="10"/>
  <c r="H49" i="10"/>
  <c r="K49" i="10"/>
  <c r="H53" i="10"/>
  <c r="K53" i="10"/>
  <c r="F8" i="11"/>
  <c r="F12" i="11"/>
  <c r="F16" i="11"/>
  <c r="F20" i="11"/>
  <c r="F20" i="12"/>
  <c r="F20" i="13"/>
  <c r="F24" i="11"/>
  <c r="F28" i="11"/>
  <c r="F32" i="11"/>
  <c r="F36" i="11"/>
  <c r="H36" i="11"/>
  <c r="K36" i="11"/>
  <c r="F40" i="11"/>
  <c r="H40" i="11"/>
  <c r="F44" i="11"/>
  <c r="F48" i="11"/>
  <c r="F52" i="11"/>
  <c r="H52" i="11"/>
  <c r="F56" i="11"/>
  <c r="D16" i="17"/>
  <c r="D9" i="26"/>
  <c r="O10" i="28"/>
  <c r="O10" i="29"/>
  <c r="E12" i="26"/>
  <c r="I12" i="26"/>
  <c r="M12" i="26"/>
  <c r="S18" i="26"/>
  <c r="S25" i="26"/>
  <c r="S27" i="26"/>
  <c r="S29" i="26"/>
  <c r="K31" i="28"/>
  <c r="O31" i="28"/>
  <c r="S40" i="26"/>
  <c r="S72" i="26"/>
  <c r="S77" i="26"/>
  <c r="S79" i="26"/>
  <c r="S83" i="26"/>
  <c r="S85" i="26"/>
  <c r="S90" i="26"/>
  <c r="S92" i="26"/>
  <c r="S94" i="26"/>
  <c r="S96" i="26"/>
  <c r="S98" i="26"/>
  <c r="S100" i="26"/>
  <c r="S102" i="26"/>
  <c r="S104" i="26"/>
  <c r="S109" i="26"/>
  <c r="S111" i="26"/>
  <c r="S113" i="26"/>
  <c r="S115" i="26"/>
  <c r="S117" i="26"/>
  <c r="S119" i="26"/>
  <c r="S121" i="26"/>
  <c r="S125" i="26"/>
  <c r="S129" i="26"/>
  <c r="S131" i="26"/>
  <c r="S133" i="26"/>
  <c r="S135" i="26"/>
  <c r="S137" i="26"/>
  <c r="S139" i="26"/>
  <c r="S141" i="26"/>
  <c r="S149" i="26"/>
  <c r="E155" i="21"/>
  <c r="E154" i="29"/>
  <c r="E155" i="22"/>
  <c r="I155" i="21"/>
  <c r="I154" i="29"/>
  <c r="I155" i="22"/>
  <c r="M155" i="21"/>
  <c r="E156" i="19"/>
  <c r="E159" i="19"/>
  <c r="E155" i="27"/>
  <c r="E156" i="20"/>
  <c r="I156" i="19"/>
  <c r="I155" i="27"/>
  <c r="I156" i="20"/>
  <c r="M156" i="19"/>
  <c r="M159" i="19"/>
  <c r="M155" i="27"/>
  <c r="E157" i="19"/>
  <c r="E156" i="27"/>
  <c r="I157" i="19"/>
  <c r="I156" i="27"/>
  <c r="M157" i="19"/>
  <c r="M156" i="27"/>
  <c r="I157" i="26"/>
  <c r="I157" i="27"/>
  <c r="I157" i="28"/>
  <c r="I157" i="29"/>
  <c r="M157" i="26"/>
  <c r="M157" i="27"/>
  <c r="M157" i="28"/>
  <c r="M157" i="29"/>
  <c r="G9" i="27"/>
  <c r="K9" i="27"/>
  <c r="O9" i="27"/>
  <c r="Q12" i="27"/>
  <c r="B89" i="20"/>
  <c r="B96" i="22"/>
  <c r="B96" i="20"/>
  <c r="B96" i="19"/>
  <c r="B96" i="18"/>
  <c r="B96" i="28"/>
  <c r="B96" i="27"/>
  <c r="B98" i="21"/>
  <c r="B98" i="29"/>
  <c r="B98" i="28"/>
  <c r="B100" i="22"/>
  <c r="B100" i="21"/>
  <c r="B100" i="20"/>
  <c r="B100" i="19"/>
  <c r="B100" i="18"/>
  <c r="B100" i="29"/>
  <c r="B100" i="28"/>
  <c r="B100" i="27"/>
  <c r="B102" i="28"/>
  <c r="B127" i="22"/>
  <c r="B135" i="22"/>
  <c r="B139" i="21"/>
  <c r="B139" i="19"/>
  <c r="B145" i="19"/>
  <c r="B145" i="20"/>
  <c r="O58" i="1"/>
  <c r="S58" i="1"/>
  <c r="Q7" i="10"/>
  <c r="Q58" i="10"/>
  <c r="L7" i="11"/>
  <c r="F11" i="11"/>
  <c r="F19" i="11"/>
  <c r="H19" i="11"/>
  <c r="E26" i="11"/>
  <c r="E58" i="11"/>
  <c r="S15" i="17"/>
  <c r="D20" i="17"/>
  <c r="B96" i="17"/>
  <c r="B100" i="17"/>
  <c r="B135" i="17"/>
  <c r="F12" i="26"/>
  <c r="J12" i="26"/>
  <c r="D18" i="28"/>
  <c r="D25" i="28"/>
  <c r="D27" i="28"/>
  <c r="D29" i="28"/>
  <c r="D31" i="28"/>
  <c r="D31" i="29"/>
  <c r="H31" i="28"/>
  <c r="P31" i="28"/>
  <c r="D36" i="28"/>
  <c r="D40" i="28"/>
  <c r="D42" i="28"/>
  <c r="D44" i="28"/>
  <c r="D44" i="29"/>
  <c r="D46" i="28"/>
  <c r="D53" i="28"/>
  <c r="D53" i="29"/>
  <c r="D55" i="28"/>
  <c r="D57" i="28"/>
  <c r="D59" i="28"/>
  <c r="D64" i="28"/>
  <c r="D66" i="28"/>
  <c r="D68" i="28"/>
  <c r="D68" i="29"/>
  <c r="D70" i="28"/>
  <c r="D72" i="28"/>
  <c r="D77" i="28"/>
  <c r="D79" i="28"/>
  <c r="D81" i="28"/>
  <c r="D83" i="28"/>
  <c r="D85" i="28"/>
  <c r="B89" i="26"/>
  <c r="D90" i="28"/>
  <c r="D92" i="28"/>
  <c r="D92" i="29"/>
  <c r="S92" i="29"/>
  <c r="S92" i="27"/>
  <c r="D94" i="28"/>
  <c r="D96" i="28"/>
  <c r="S96" i="27"/>
  <c r="D98" i="28"/>
  <c r="S98" i="27"/>
  <c r="D100" i="28"/>
  <c r="D100" i="29"/>
  <c r="S100" i="29"/>
  <c r="S100" i="27"/>
  <c r="D102" i="28"/>
  <c r="S102" i="27"/>
  <c r="B103" i="26"/>
  <c r="D104" i="28"/>
  <c r="S104" i="27"/>
  <c r="D109" i="28"/>
  <c r="S109" i="28"/>
  <c r="S109" i="27"/>
  <c r="D111" i="28"/>
  <c r="S111" i="27"/>
  <c r="D113" i="28"/>
  <c r="S113" i="28"/>
  <c r="S113" i="27"/>
  <c r="D115" i="28"/>
  <c r="S115" i="27"/>
  <c r="D117" i="28"/>
  <c r="D117" i="29"/>
  <c r="S117" i="29"/>
  <c r="S117" i="27"/>
  <c r="D119" i="28"/>
  <c r="D121" i="28"/>
  <c r="D121" i="29"/>
  <c r="D125" i="28"/>
  <c r="S125" i="28"/>
  <c r="S125" i="27"/>
  <c r="D127" i="28"/>
  <c r="D129" i="28"/>
  <c r="S129" i="28"/>
  <c r="S129" i="27"/>
  <c r="D131" i="28"/>
  <c r="S131" i="27"/>
  <c r="D133" i="28"/>
  <c r="D133" i="29"/>
  <c r="S133" i="27"/>
  <c r="D135" i="28"/>
  <c r="S135" i="27"/>
  <c r="D137" i="28"/>
  <c r="D137" i="29"/>
  <c r="S137" i="27"/>
  <c r="D139" i="28"/>
  <c r="D141" i="28"/>
  <c r="S141" i="28"/>
  <c r="S141" i="27"/>
  <c r="D149" i="28"/>
  <c r="S149" i="27"/>
  <c r="F155" i="21"/>
  <c r="F154" i="29"/>
  <c r="F155" i="22"/>
  <c r="J155" i="21"/>
  <c r="J154" i="29"/>
  <c r="J155" i="22"/>
  <c r="F156" i="19"/>
  <c r="F155" i="27"/>
  <c r="J156" i="19"/>
  <c r="J155" i="27"/>
  <c r="J156" i="20"/>
  <c r="N156" i="19"/>
  <c r="N159" i="19"/>
  <c r="N155" i="27"/>
  <c r="F157" i="19"/>
  <c r="F156" i="27"/>
  <c r="J157" i="19"/>
  <c r="J156" i="27"/>
  <c r="N157" i="19"/>
  <c r="N156" i="27"/>
  <c r="F157" i="26"/>
  <c r="J157" i="26"/>
  <c r="J157" i="27"/>
  <c r="J157" i="28"/>
  <c r="J157" i="29"/>
  <c r="N157" i="26"/>
  <c r="N157" i="27"/>
  <c r="N157" i="28"/>
  <c r="N157" i="29"/>
  <c r="P9" i="28"/>
  <c r="P9" i="29"/>
  <c r="P12" i="27"/>
  <c r="C91" i="27"/>
  <c r="C96" i="18"/>
  <c r="C98" i="21"/>
  <c r="C98" i="18"/>
  <c r="C100" i="21"/>
  <c r="C100" i="29"/>
  <c r="C104" i="27"/>
  <c r="B112" i="28"/>
  <c r="B116" i="21"/>
  <c r="B145" i="17"/>
  <c r="S19" i="26"/>
  <c r="S26" i="26"/>
  <c r="E31" i="28"/>
  <c r="M31" i="28"/>
  <c r="S39" i="26"/>
  <c r="S78" i="26"/>
  <c r="S80" i="26"/>
  <c r="S82" i="26"/>
  <c r="S89" i="26"/>
  <c r="S91" i="26"/>
  <c r="S95" i="26"/>
  <c r="S101" i="26"/>
  <c r="C103" i="26"/>
  <c r="S110" i="26"/>
  <c r="S112" i="26"/>
  <c r="S116" i="26"/>
  <c r="S124" i="26"/>
  <c r="S126" i="26"/>
  <c r="S130" i="26"/>
  <c r="S132" i="26"/>
  <c r="S134" i="26"/>
  <c r="S136" i="26"/>
  <c r="S138" i="26"/>
  <c r="S140" i="26"/>
  <c r="S145" i="26"/>
  <c r="G155" i="21"/>
  <c r="G154" i="29"/>
  <c r="G155" i="22"/>
  <c r="K155" i="21"/>
  <c r="K154" i="29"/>
  <c r="K155" i="22"/>
  <c r="O155" i="21"/>
  <c r="O154" i="29"/>
  <c r="O155" i="22"/>
  <c r="S154" i="26"/>
  <c r="G156" i="19"/>
  <c r="G155" i="27"/>
  <c r="G155" i="28"/>
  <c r="G155" i="29"/>
  <c r="K156" i="19"/>
  <c r="K155" i="27"/>
  <c r="O156" i="19"/>
  <c r="O155" i="27"/>
  <c r="O156" i="20"/>
  <c r="G157" i="19"/>
  <c r="G159" i="19"/>
  <c r="G156" i="27"/>
  <c r="K157" i="19"/>
  <c r="K156" i="27"/>
  <c r="O157" i="19"/>
  <c r="O156" i="27"/>
  <c r="G157" i="26"/>
  <c r="G157" i="27"/>
  <c r="G157" i="28"/>
  <c r="G157" i="29"/>
  <c r="K157" i="26"/>
  <c r="K157" i="27"/>
  <c r="K157" i="28"/>
  <c r="K157" i="29"/>
  <c r="O157" i="26"/>
  <c r="O157" i="27"/>
  <c r="O157" i="28"/>
  <c r="O157" i="29"/>
  <c r="Q9" i="29"/>
  <c r="Q12" i="29"/>
  <c r="Q12" i="28"/>
  <c r="B97" i="21"/>
  <c r="B97" i="20"/>
  <c r="B97" i="18"/>
  <c r="B97" i="29"/>
  <c r="B101" i="19"/>
  <c r="B103" i="20"/>
  <c r="B103" i="18"/>
  <c r="B103" i="29"/>
  <c r="B103" i="27"/>
  <c r="C112" i="19"/>
  <c r="C125" i="19"/>
  <c r="C103" i="17"/>
  <c r="C138" i="17"/>
  <c r="D19" i="28"/>
  <c r="D19" i="29"/>
  <c r="D28" i="28"/>
  <c r="D28" i="21"/>
  <c r="D30" i="28"/>
  <c r="J31" i="28"/>
  <c r="R31" i="28"/>
  <c r="R31" i="29"/>
  <c r="D32" i="28"/>
  <c r="D32" i="29"/>
  <c r="D39" i="28"/>
  <c r="D39" i="29"/>
  <c r="D41" i="28"/>
  <c r="D43" i="28"/>
  <c r="D45" i="28"/>
  <c r="D47" i="28"/>
  <c r="D54" i="28"/>
  <c r="D56" i="28"/>
  <c r="D56" i="29"/>
  <c r="D58" i="28"/>
  <c r="D60" i="28"/>
  <c r="D60" i="29"/>
  <c r="D65" i="28"/>
  <c r="D67" i="28"/>
  <c r="D67" i="29"/>
  <c r="D69" i="28"/>
  <c r="D71" i="28"/>
  <c r="D73" i="28"/>
  <c r="D78" i="28"/>
  <c r="D82" i="28"/>
  <c r="D82" i="29"/>
  <c r="D84" i="28"/>
  <c r="D89" i="28"/>
  <c r="S89" i="28"/>
  <c r="S89" i="27"/>
  <c r="D91" i="28"/>
  <c r="D91" i="29"/>
  <c r="S91" i="27"/>
  <c r="D93" i="28"/>
  <c r="S93" i="27"/>
  <c r="D95" i="28"/>
  <c r="B96" i="26"/>
  <c r="D97" i="28"/>
  <c r="B98" i="26"/>
  <c r="D99" i="28"/>
  <c r="S99" i="28"/>
  <c r="S99" i="27"/>
  <c r="B100" i="26"/>
  <c r="D101" i="28"/>
  <c r="B102" i="26"/>
  <c r="D103" i="28"/>
  <c r="D105" i="28"/>
  <c r="D105" i="29"/>
  <c r="S105" i="29"/>
  <c r="S105" i="27"/>
  <c r="D110" i="28"/>
  <c r="D112" i="28"/>
  <c r="D116" i="28"/>
  <c r="S116" i="27"/>
  <c r="D118" i="28"/>
  <c r="D118" i="29"/>
  <c r="D120" i="28"/>
  <c r="D122" i="28"/>
  <c r="S122" i="27"/>
  <c r="D124" i="28"/>
  <c r="S124" i="28"/>
  <c r="S124" i="27"/>
  <c r="D126" i="28"/>
  <c r="S126" i="27"/>
  <c r="B127" i="26"/>
  <c r="D128" i="28"/>
  <c r="D130" i="28"/>
  <c r="S130" i="28"/>
  <c r="S130" i="27"/>
  <c r="D132" i="28"/>
  <c r="S132" i="27"/>
  <c r="D134" i="28"/>
  <c r="D134" i="29"/>
  <c r="S134" i="27"/>
  <c r="D136" i="28"/>
  <c r="S136" i="28"/>
  <c r="S136" i="27"/>
  <c r="D138" i="28"/>
  <c r="S138" i="27"/>
  <c r="D140" i="28"/>
  <c r="S140" i="28"/>
  <c r="S140" i="27"/>
  <c r="D145" i="28"/>
  <c r="S145" i="27"/>
  <c r="D150" i="28"/>
  <c r="D150" i="29"/>
  <c r="D154" i="28"/>
  <c r="H155" i="21"/>
  <c r="H154" i="29"/>
  <c r="H155" i="22"/>
  <c r="L155" i="21"/>
  <c r="L154" i="29"/>
  <c r="L155" i="22"/>
  <c r="D156" i="19"/>
  <c r="D155" i="27"/>
  <c r="H156" i="19"/>
  <c r="H155" i="27"/>
  <c r="L156" i="19"/>
  <c r="L155" i="27"/>
  <c r="L156" i="20"/>
  <c r="D157" i="19"/>
  <c r="D156" i="27"/>
  <c r="H157" i="19"/>
  <c r="H156" i="27"/>
  <c r="L157" i="19"/>
  <c r="L159" i="19"/>
  <c r="L156" i="27"/>
  <c r="D157" i="28"/>
  <c r="H157" i="26"/>
  <c r="H157" i="27"/>
  <c r="H157" i="28"/>
  <c r="H157" i="29"/>
  <c r="L157" i="26"/>
  <c r="L157" i="27"/>
  <c r="L157" i="28"/>
  <c r="L157" i="29"/>
  <c r="R9" i="28"/>
  <c r="R12" i="28"/>
  <c r="R12" i="27"/>
  <c r="G159" i="18"/>
  <c r="K159" i="18"/>
  <c r="O159" i="18"/>
  <c r="L159" i="18"/>
  <c r="I159" i="18"/>
  <c r="M159" i="18"/>
  <c r="F159" i="18"/>
  <c r="N159" i="18"/>
  <c r="Q152" i="19"/>
  <c r="Q157" i="19"/>
  <c r="R152" i="19"/>
  <c r="R157" i="19"/>
  <c r="P152" i="19"/>
  <c r="P157" i="19"/>
  <c r="C46" i="23"/>
  <c r="C18" i="23"/>
  <c r="C32" i="23"/>
  <c r="C25" i="23"/>
  <c r="F159" i="19"/>
  <c r="L156" i="28"/>
  <c r="D156" i="28"/>
  <c r="H156" i="20"/>
  <c r="H155" i="28"/>
  <c r="H155" i="29"/>
  <c r="D138" i="29"/>
  <c r="S138" i="29"/>
  <c r="S138" i="28"/>
  <c r="D130" i="29"/>
  <c r="D124" i="29"/>
  <c r="S124" i="29"/>
  <c r="D116" i="29"/>
  <c r="S116" i="29"/>
  <c r="S116" i="28"/>
  <c r="S105" i="28"/>
  <c r="D97" i="29"/>
  <c r="D89" i="29"/>
  <c r="S89" i="29"/>
  <c r="D71" i="29"/>
  <c r="D47" i="29"/>
  <c r="S39" i="29"/>
  <c r="S39" i="28"/>
  <c r="S32" i="28"/>
  <c r="D28" i="29"/>
  <c r="O156" i="28"/>
  <c r="G156" i="28"/>
  <c r="K156" i="20"/>
  <c r="K155" i="28"/>
  <c r="D149" i="29"/>
  <c r="D149" i="22"/>
  <c r="S149" i="28"/>
  <c r="S137" i="29"/>
  <c r="S137" i="28"/>
  <c r="D129" i="29"/>
  <c r="D125" i="29"/>
  <c r="S125" i="29"/>
  <c r="S117" i="28"/>
  <c r="D113" i="29"/>
  <c r="S113" i="29"/>
  <c r="D109" i="29"/>
  <c r="S109" i="29"/>
  <c r="D90" i="29"/>
  <c r="L31" i="29"/>
  <c r="K19" i="11"/>
  <c r="F19" i="12"/>
  <c r="K40" i="11"/>
  <c r="F40" i="12"/>
  <c r="H40" i="12"/>
  <c r="K40" i="12"/>
  <c r="M9" i="29"/>
  <c r="M12" i="29"/>
  <c r="E12" i="29"/>
  <c r="E12" i="28"/>
  <c r="F14" i="13"/>
  <c r="H14" i="13"/>
  <c r="P60" i="1"/>
  <c r="P58" i="1"/>
  <c r="E14" i="29"/>
  <c r="S14" i="29"/>
  <c r="L9" i="29"/>
  <c r="L12" i="29"/>
  <c r="D21" i="28"/>
  <c r="B7" i="13"/>
  <c r="H45" i="12"/>
  <c r="K45" i="12"/>
  <c r="F45" i="13"/>
  <c r="H45" i="13"/>
  <c r="K45" i="13"/>
  <c r="H159" i="19"/>
  <c r="D154" i="29"/>
  <c r="D140" i="29"/>
  <c r="S140" i="29"/>
  <c r="D132" i="29"/>
  <c r="S132" i="29"/>
  <c r="S132" i="28"/>
  <c r="D126" i="29"/>
  <c r="S126" i="29"/>
  <c r="S126" i="28"/>
  <c r="D110" i="29"/>
  <c r="D99" i="29"/>
  <c r="S99" i="29"/>
  <c r="S91" i="29"/>
  <c r="S91" i="28"/>
  <c r="J31" i="29"/>
  <c r="K159" i="19"/>
  <c r="M31" i="29"/>
  <c r="E31" i="29"/>
  <c r="P12" i="29"/>
  <c r="P12" i="28"/>
  <c r="F156" i="28"/>
  <c r="D139" i="29"/>
  <c r="S139" i="29"/>
  <c r="S139" i="28"/>
  <c r="D102" i="29"/>
  <c r="S102" i="29"/>
  <c r="S102" i="28"/>
  <c r="S92" i="28"/>
  <c r="D79" i="29"/>
  <c r="D57" i="29"/>
  <c r="D36" i="29"/>
  <c r="D20" i="26"/>
  <c r="S20" i="17"/>
  <c r="I156" i="28"/>
  <c r="M156" i="20"/>
  <c r="M155" i="28"/>
  <c r="E155" i="28"/>
  <c r="E155" i="29"/>
  <c r="E156" i="22"/>
  <c r="K31" i="29"/>
  <c r="K52" i="11"/>
  <c r="F52" i="12"/>
  <c r="H52" i="12"/>
  <c r="K52" i="12"/>
  <c r="F36" i="12"/>
  <c r="F36" i="13"/>
  <c r="H36" i="13"/>
  <c r="H20" i="11"/>
  <c r="K20" i="11"/>
  <c r="T58" i="1"/>
  <c r="N9" i="29"/>
  <c r="N12" i="29"/>
  <c r="F12" i="29"/>
  <c r="F12" i="28"/>
  <c r="F18" i="13"/>
  <c r="H18" i="13"/>
  <c r="H156" i="28"/>
  <c r="L155" i="28"/>
  <c r="L156" i="21"/>
  <c r="D156" i="20"/>
  <c r="D145" i="29"/>
  <c r="S145" i="29"/>
  <c r="S145" i="28"/>
  <c r="S134" i="29"/>
  <c r="S134" i="28"/>
  <c r="D128" i="29"/>
  <c r="D120" i="29"/>
  <c r="D112" i="29"/>
  <c r="D101" i="29"/>
  <c r="D93" i="29"/>
  <c r="S93" i="28"/>
  <c r="D84" i="29"/>
  <c r="D73" i="29"/>
  <c r="D69" i="29"/>
  <c r="D65" i="29"/>
  <c r="D58" i="29"/>
  <c r="D54" i="29"/>
  <c r="D45" i="29"/>
  <c r="D41" i="29"/>
  <c r="D30" i="29"/>
  <c r="D26" i="29"/>
  <c r="K156" i="28"/>
  <c r="O155" i="28"/>
  <c r="O156" i="21"/>
  <c r="G156" i="20"/>
  <c r="J159" i="19"/>
  <c r="D135" i="29"/>
  <c r="S135" i="29"/>
  <c r="S135" i="28"/>
  <c r="D131" i="29"/>
  <c r="S131" i="29"/>
  <c r="S131" i="28"/>
  <c r="D127" i="29"/>
  <c r="D119" i="29"/>
  <c r="D115" i="29"/>
  <c r="S115" i="29"/>
  <c r="S115" i="28"/>
  <c r="D111" i="29"/>
  <c r="S111" i="29"/>
  <c r="S111" i="28"/>
  <c r="D104" i="29"/>
  <c r="S104" i="29"/>
  <c r="S104" i="28"/>
  <c r="D98" i="29"/>
  <c r="S98" i="29"/>
  <c r="S98" i="28"/>
  <c r="P31" i="29"/>
  <c r="H31" i="29"/>
  <c r="D27" i="29"/>
  <c r="D18" i="29"/>
  <c r="H11" i="11"/>
  <c r="K11" i="11"/>
  <c r="F11" i="12"/>
  <c r="O9" i="28"/>
  <c r="O12" i="27"/>
  <c r="H48" i="11"/>
  <c r="K48" i="11"/>
  <c r="F48" i="12"/>
  <c r="F48" i="13"/>
  <c r="H48" i="13"/>
  <c r="H32" i="11"/>
  <c r="F32" i="12"/>
  <c r="F32" i="13"/>
  <c r="H32" i="13"/>
  <c r="K32" i="13"/>
  <c r="H16" i="11"/>
  <c r="K16" i="11"/>
  <c r="F16" i="12"/>
  <c r="I9" i="29"/>
  <c r="I12" i="29"/>
  <c r="S17" i="27"/>
  <c r="H50" i="12"/>
  <c r="H50" i="13"/>
  <c r="F34" i="13"/>
  <c r="H34" i="13"/>
  <c r="M58" i="1"/>
  <c r="M60" i="1"/>
  <c r="T2" i="13"/>
  <c r="H46" i="12"/>
  <c r="F46" i="13"/>
  <c r="H46" i="13"/>
  <c r="H30" i="12"/>
  <c r="F30" i="13"/>
  <c r="H30" i="13"/>
  <c r="F22" i="13"/>
  <c r="H22" i="13"/>
  <c r="K22" i="13"/>
  <c r="H21" i="12"/>
  <c r="K21" i="12"/>
  <c r="F21" i="13"/>
  <c r="H21" i="13"/>
  <c r="K21" i="13"/>
  <c r="J7" i="13"/>
  <c r="R9" i="29"/>
  <c r="R12" i="29"/>
  <c r="D157" i="29"/>
  <c r="D136" i="29"/>
  <c r="S136" i="29"/>
  <c r="D122" i="29"/>
  <c r="S122" i="29"/>
  <c r="S122" i="28"/>
  <c r="D103" i="29"/>
  <c r="D95" i="29"/>
  <c r="N31" i="29"/>
  <c r="J156" i="28"/>
  <c r="J156" i="29"/>
  <c r="N156" i="20"/>
  <c r="N155" i="28"/>
  <c r="N156" i="21"/>
  <c r="F156" i="20"/>
  <c r="F155" i="28"/>
  <c r="D141" i="29"/>
  <c r="S141" i="29"/>
  <c r="S100" i="28"/>
  <c r="D94" i="29"/>
  <c r="D85" i="29"/>
  <c r="D81" i="29"/>
  <c r="D77" i="29"/>
  <c r="D70" i="29"/>
  <c r="D66" i="29"/>
  <c r="D59" i="29"/>
  <c r="D55" i="29"/>
  <c r="D46" i="29"/>
  <c r="D42" i="29"/>
  <c r="E26" i="12"/>
  <c r="E26" i="13"/>
  <c r="N7" i="11"/>
  <c r="K9" i="28"/>
  <c r="K9" i="29"/>
  <c r="K12" i="29"/>
  <c r="K12" i="27"/>
  <c r="E156" i="28"/>
  <c r="O31" i="29"/>
  <c r="G31" i="29"/>
  <c r="D12" i="26"/>
  <c r="D9" i="27"/>
  <c r="S9" i="26"/>
  <c r="D16" i="26"/>
  <c r="D16" i="27"/>
  <c r="H44" i="11"/>
  <c r="K44" i="11"/>
  <c r="F44" i="12"/>
  <c r="H28" i="11"/>
  <c r="K28" i="11"/>
  <c r="F28" i="12"/>
  <c r="F28" i="13"/>
  <c r="H12" i="11"/>
  <c r="F12" i="12"/>
  <c r="F12" i="13"/>
  <c r="H12" i="13"/>
  <c r="F55" i="13"/>
  <c r="H55" i="13"/>
  <c r="H55" i="12"/>
  <c r="K47" i="13"/>
  <c r="H47" i="12"/>
  <c r="K47" i="12"/>
  <c r="F31" i="13"/>
  <c r="H31" i="13"/>
  <c r="K31" i="13"/>
  <c r="K31" i="12"/>
  <c r="F23" i="13"/>
  <c r="H23" i="13"/>
  <c r="K23" i="13"/>
  <c r="H23" i="12"/>
  <c r="K23" i="12"/>
  <c r="K41" i="12"/>
  <c r="F41" i="13"/>
  <c r="H41" i="13"/>
  <c r="K41" i="13"/>
  <c r="H25" i="12"/>
  <c r="K25" i="12"/>
  <c r="K25" i="13"/>
  <c r="H43" i="12"/>
  <c r="K43" i="12"/>
  <c r="F27" i="13"/>
  <c r="H27" i="13"/>
  <c r="K27" i="12"/>
  <c r="H9" i="12"/>
  <c r="H9" i="13"/>
  <c r="J9" i="29"/>
  <c r="J12" i="29"/>
  <c r="D28" i="22"/>
  <c r="E156" i="29"/>
  <c r="H32" i="12"/>
  <c r="K32" i="12"/>
  <c r="O9" i="29"/>
  <c r="O12" i="29"/>
  <c r="O12" i="28"/>
  <c r="K36" i="13"/>
  <c r="E156" i="21"/>
  <c r="I156" i="29"/>
  <c r="K156" i="21"/>
  <c r="K155" i="29"/>
  <c r="K156" i="22"/>
  <c r="H12" i="12"/>
  <c r="H44" i="12"/>
  <c r="F44" i="13"/>
  <c r="H44" i="13"/>
  <c r="K44" i="13"/>
  <c r="K12" i="28"/>
  <c r="N58" i="11"/>
  <c r="N155" i="29"/>
  <c r="F11" i="13"/>
  <c r="H11" i="13"/>
  <c r="K11" i="13"/>
  <c r="H11" i="12"/>
  <c r="K11" i="12"/>
  <c r="O155" i="29"/>
  <c r="O156" i="22"/>
  <c r="H156" i="29"/>
  <c r="F156" i="29"/>
  <c r="D21" i="29"/>
  <c r="S149" i="29"/>
  <c r="D156" i="29"/>
  <c r="D9" i="28"/>
  <c r="D12" i="28"/>
  <c r="D12" i="27"/>
  <c r="E58" i="13"/>
  <c r="E58" i="12"/>
  <c r="H16" i="12"/>
  <c r="K16" i="12"/>
  <c r="F16" i="13"/>
  <c r="H16" i="13"/>
  <c r="K16" i="13"/>
  <c r="H48" i="12"/>
  <c r="K48" i="12"/>
  <c r="K48" i="13"/>
  <c r="H20" i="12"/>
  <c r="K20" i="12"/>
  <c r="H20" i="13"/>
  <c r="K20" i="13"/>
  <c r="F52" i="13"/>
  <c r="H52" i="13"/>
  <c r="K52" i="13"/>
  <c r="M155" i="29"/>
  <c r="M156" i="22"/>
  <c r="G156" i="29"/>
  <c r="H156" i="21"/>
  <c r="H156" i="22"/>
  <c r="H28" i="12"/>
  <c r="K28" i="12"/>
  <c r="H28" i="13"/>
  <c r="K28" i="13"/>
  <c r="F156" i="21"/>
  <c r="F155" i="29"/>
  <c r="F156" i="22"/>
  <c r="G156" i="21"/>
  <c r="K156" i="29"/>
  <c r="L155" i="29"/>
  <c r="L156" i="22"/>
  <c r="N156" i="22"/>
  <c r="D9" i="29"/>
  <c r="R31" i="21"/>
  <c r="P31" i="21"/>
  <c r="G31" i="21"/>
  <c r="E31" i="21"/>
  <c r="D31" i="21"/>
  <c r="F31" i="21"/>
  <c r="L31" i="21"/>
  <c r="M31" i="21"/>
  <c r="N31" i="21"/>
  <c r="Q31" i="21"/>
  <c r="J31" i="21"/>
  <c r="K31" i="21"/>
  <c r="H31" i="21"/>
  <c r="O31" i="21"/>
  <c r="I31" i="21"/>
  <c r="P31" i="22"/>
  <c r="L31" i="22"/>
  <c r="H31" i="22"/>
  <c r="D31" i="22"/>
  <c r="O31" i="22"/>
  <c r="K31" i="22"/>
  <c r="G31" i="22"/>
  <c r="R31" i="22"/>
  <c r="N31" i="22"/>
  <c r="J31" i="22"/>
  <c r="F31" i="22"/>
  <c r="M31" i="22"/>
  <c r="E31" i="22"/>
  <c r="I31" i="22"/>
  <c r="Q31" i="22"/>
  <c r="K19" i="15"/>
  <c r="Q21" i="20"/>
  <c r="M21" i="20"/>
  <c r="I21" i="20"/>
  <c r="E21" i="20"/>
  <c r="P21" i="20"/>
  <c r="L21" i="20"/>
  <c r="H21" i="20"/>
  <c r="D21" i="20"/>
  <c r="R21" i="20"/>
  <c r="J21" i="20"/>
  <c r="N21" i="20"/>
  <c r="O21" i="20"/>
  <c r="G21" i="20"/>
  <c r="F21" i="20"/>
  <c r="K21" i="20"/>
  <c r="R21" i="22"/>
  <c r="N21" i="22"/>
  <c r="J21" i="22"/>
  <c r="F21" i="22"/>
  <c r="Q21" i="22"/>
  <c r="M21" i="22"/>
  <c r="I21" i="22"/>
  <c r="E21" i="22"/>
  <c r="P21" i="22"/>
  <c r="L21" i="22"/>
  <c r="H21" i="22"/>
  <c r="D21" i="22"/>
  <c r="G21" i="22"/>
  <c r="O21" i="22"/>
  <c r="K21" i="22"/>
  <c r="E20" i="22"/>
  <c r="J20" i="22"/>
  <c r="O20" i="22"/>
  <c r="F20" i="22"/>
  <c r="K20" i="22"/>
  <c r="P20" i="22"/>
  <c r="I20" i="22"/>
  <c r="N20" i="22"/>
  <c r="H20" i="22"/>
  <c r="Q20" i="22"/>
  <c r="M20" i="22"/>
  <c r="R20" i="22"/>
  <c r="G20" i="22"/>
  <c r="L20" i="22"/>
  <c r="R20" i="21"/>
  <c r="N20" i="21"/>
  <c r="J20" i="21"/>
  <c r="F20" i="21"/>
  <c r="Q20" i="21"/>
  <c r="M20" i="21"/>
  <c r="I20" i="21"/>
  <c r="E20" i="21"/>
  <c r="P20" i="21"/>
  <c r="L20" i="21"/>
  <c r="H20" i="21"/>
  <c r="D20" i="21"/>
  <c r="G20" i="21"/>
  <c r="K20" i="21"/>
  <c r="O20" i="21"/>
  <c r="Q19" i="22"/>
  <c r="M19" i="22"/>
  <c r="I19" i="22"/>
  <c r="E19" i="22"/>
  <c r="P19" i="22"/>
  <c r="L19" i="22"/>
  <c r="H19" i="22"/>
  <c r="D19" i="22"/>
  <c r="O19" i="22"/>
  <c r="K19" i="22"/>
  <c r="G19" i="22"/>
  <c r="F19" i="22"/>
  <c r="R19" i="22"/>
  <c r="N19" i="22"/>
  <c r="J19" i="22"/>
  <c r="K17" i="15"/>
  <c r="O19" i="20"/>
  <c r="K19" i="20"/>
  <c r="G19" i="20"/>
  <c r="R19" i="20"/>
  <c r="N19" i="20"/>
  <c r="J19" i="20"/>
  <c r="F19" i="20"/>
  <c r="M19" i="20"/>
  <c r="E19" i="20"/>
  <c r="Q19" i="20"/>
  <c r="L19" i="20"/>
  <c r="D19" i="20"/>
  <c r="I19" i="20"/>
  <c r="P19" i="20"/>
  <c r="H19" i="20"/>
  <c r="Q21" i="21"/>
  <c r="M21" i="21"/>
  <c r="I21" i="21"/>
  <c r="E21" i="21"/>
  <c r="P21" i="21"/>
  <c r="L21" i="21"/>
  <c r="H21" i="21"/>
  <c r="D21" i="21"/>
  <c r="O21" i="21"/>
  <c r="K21" i="21"/>
  <c r="G21" i="21"/>
  <c r="R21" i="21"/>
  <c r="J21" i="21"/>
  <c r="N21" i="21"/>
  <c r="F21" i="21"/>
  <c r="O19" i="21"/>
  <c r="K19" i="21"/>
  <c r="G19" i="21"/>
  <c r="R19" i="21"/>
  <c r="N19" i="21"/>
  <c r="J19" i="21"/>
  <c r="F19" i="21"/>
  <c r="Q19" i="21"/>
  <c r="M19" i="21"/>
  <c r="I19" i="21"/>
  <c r="L19" i="21"/>
  <c r="E19" i="21"/>
  <c r="H19" i="21"/>
  <c r="P19" i="21"/>
  <c r="D19" i="21"/>
  <c r="F31" i="20"/>
  <c r="N31" i="20"/>
  <c r="Q31" i="20"/>
  <c r="G31" i="20"/>
  <c r="O31" i="20"/>
  <c r="H31" i="20"/>
  <c r="P31" i="20"/>
  <c r="E31" i="20"/>
  <c r="M31" i="20"/>
  <c r="K31" i="20"/>
  <c r="L31" i="20"/>
  <c r="I31" i="20"/>
  <c r="D31" i="20"/>
  <c r="J31" i="20"/>
  <c r="R31" i="20"/>
  <c r="K18" i="15"/>
  <c r="R20" i="20"/>
  <c r="N20" i="20"/>
  <c r="J20" i="20"/>
  <c r="F20" i="20"/>
  <c r="Q20" i="20"/>
  <c r="M20" i="20"/>
  <c r="I20" i="20"/>
  <c r="E20" i="20"/>
  <c r="K20" i="20"/>
  <c r="O20" i="20"/>
  <c r="P20" i="20"/>
  <c r="H20" i="20"/>
  <c r="G20" i="20"/>
  <c r="L20" i="20"/>
  <c r="D20" i="20"/>
  <c r="D20" i="22"/>
  <c r="J114" i="9"/>
  <c r="K151" i="18"/>
  <c r="I151" i="19"/>
  <c r="M142" i="19"/>
  <c r="B131" i="19"/>
  <c r="E151" i="19"/>
  <c r="O151" i="19"/>
  <c r="B128" i="18"/>
  <c r="M151" i="18"/>
  <c r="G151" i="18"/>
  <c r="O151" i="18"/>
  <c r="B94" i="21"/>
  <c r="B92" i="29"/>
  <c r="C149" i="28"/>
  <c r="B117" i="17"/>
  <c r="C116" i="19"/>
  <c r="C91" i="26"/>
  <c r="C91" i="20"/>
  <c r="S109" i="19"/>
  <c r="C125" i="27"/>
  <c r="C116" i="20"/>
  <c r="C91" i="21"/>
  <c r="C125" i="29"/>
  <c r="C112" i="27"/>
  <c r="C133" i="26"/>
  <c r="C125" i="20"/>
  <c r="C112" i="28"/>
  <c r="C112" i="17"/>
  <c r="C138" i="18"/>
  <c r="C120" i="27"/>
  <c r="C91" i="29"/>
  <c r="C133" i="18"/>
  <c r="C116" i="27"/>
  <c r="C91" i="19"/>
  <c r="C91" i="17"/>
  <c r="C116" i="29"/>
  <c r="F55" i="9"/>
  <c r="B113" i="29"/>
  <c r="B109" i="19"/>
  <c r="C89" i="20"/>
  <c r="B105" i="19"/>
  <c r="B119" i="19"/>
  <c r="B105" i="21"/>
  <c r="B131" i="27"/>
  <c r="B115" i="20"/>
  <c r="C149" i="22"/>
  <c r="B131" i="22"/>
  <c r="B111" i="28"/>
  <c r="B131" i="17"/>
  <c r="B111" i="29"/>
  <c r="B131" i="26"/>
  <c r="B90" i="19"/>
  <c r="B105" i="17"/>
  <c r="B111" i="22"/>
  <c r="B111" i="26"/>
  <c r="B94" i="17"/>
  <c r="B105" i="27"/>
  <c r="B111" i="17"/>
  <c r="B111" i="20"/>
  <c r="B119" i="27"/>
  <c r="C89" i="26"/>
  <c r="C89" i="21"/>
  <c r="C136" i="18"/>
  <c r="C110" i="27"/>
  <c r="C110" i="19"/>
  <c r="C118" i="27"/>
  <c r="C114" i="28"/>
  <c r="C94" i="28"/>
  <c r="C89" i="27"/>
  <c r="B149" i="27"/>
  <c r="C118" i="29"/>
  <c r="C94" i="22"/>
  <c r="C89" i="29"/>
  <c r="C140" i="18"/>
  <c r="C118" i="19"/>
  <c r="C89" i="19"/>
  <c r="C140" i="20"/>
  <c r="C118" i="20"/>
  <c r="A61" i="9"/>
  <c r="B61" i="9"/>
  <c r="X61" i="9"/>
  <c r="A64" i="9"/>
  <c r="B64" i="9"/>
  <c r="X64" i="9"/>
  <c r="B95" i="20"/>
  <c r="X68" i="9"/>
  <c r="A69" i="9"/>
  <c r="B69" i="9"/>
  <c r="X69" i="9"/>
  <c r="B89" i="28"/>
  <c r="X58" i="9"/>
  <c r="B91" i="19"/>
  <c r="X63" i="9"/>
  <c r="A66" i="9"/>
  <c r="B66" i="9"/>
  <c r="X66" i="9"/>
  <c r="U50" i="34"/>
  <c r="U42" i="34"/>
  <c r="U58" i="34"/>
  <c r="U34" i="34"/>
  <c r="U55" i="34"/>
  <c r="U38" i="34"/>
  <c r="J69" i="37"/>
  <c r="K69" i="37"/>
  <c r="J45" i="37"/>
  <c r="J55" i="37"/>
  <c r="J73" i="37"/>
  <c r="K73" i="37"/>
  <c r="U37" i="34"/>
  <c r="U45" i="34"/>
  <c r="U36" i="34"/>
  <c r="U44" i="34"/>
  <c r="U60" i="34"/>
  <c r="U54" i="34"/>
  <c r="U46" i="34"/>
  <c r="U57" i="34"/>
  <c r="U59" i="34"/>
  <c r="U47" i="34"/>
  <c r="U43" i="34"/>
  <c r="U41" i="34"/>
  <c r="U39" i="34"/>
  <c r="U33" i="34"/>
  <c r="U40" i="34"/>
  <c r="U48" i="34"/>
  <c r="U56" i="34"/>
  <c r="U61" i="34"/>
  <c r="C141" i="19"/>
  <c r="C123" i="28"/>
  <c r="C127" i="20"/>
  <c r="C111" i="29"/>
  <c r="G86" i="18"/>
  <c r="B139" i="26"/>
  <c r="B141" i="17"/>
  <c r="B109" i="17"/>
  <c r="B105" i="28"/>
  <c r="B105" i="22"/>
  <c r="B95" i="18"/>
  <c r="B90" i="27"/>
  <c r="B90" i="21"/>
  <c r="C135" i="17"/>
  <c r="C137" i="27"/>
  <c r="C149" i="21"/>
  <c r="B135" i="27"/>
  <c r="B131" i="28"/>
  <c r="B131" i="21"/>
  <c r="C123" i="22"/>
  <c r="B111" i="18"/>
  <c r="B111" i="21"/>
  <c r="N74" i="19"/>
  <c r="B135" i="26"/>
  <c r="B90" i="26"/>
  <c r="B105" i="29"/>
  <c r="B105" i="20"/>
  <c r="B90" i="29"/>
  <c r="B90" i="22"/>
  <c r="B150" i="28"/>
  <c r="C135" i="28"/>
  <c r="B120" i="28"/>
  <c r="B139" i="17"/>
  <c r="B145" i="28"/>
  <c r="C117" i="27"/>
  <c r="B89" i="22"/>
  <c r="B111" i="27"/>
  <c r="C145" i="22"/>
  <c r="C131" i="20"/>
  <c r="C115" i="27"/>
  <c r="K142" i="19"/>
  <c r="O142" i="19"/>
  <c r="C131" i="17"/>
  <c r="C145" i="19"/>
  <c r="C137" i="18"/>
  <c r="C131" i="22"/>
  <c r="C121" i="18"/>
  <c r="C115" i="22"/>
  <c r="C141" i="17"/>
  <c r="C95" i="29"/>
  <c r="B91" i="21"/>
  <c r="A63" i="9"/>
  <c r="B63" i="9"/>
  <c r="C123" i="17"/>
  <c r="C145" i="27"/>
  <c r="C141" i="27"/>
  <c r="C139" i="28"/>
  <c r="C137" i="20"/>
  <c r="C131" i="27"/>
  <c r="C127" i="27"/>
  <c r="B120" i="19"/>
  <c r="C123" i="20"/>
  <c r="C121" i="22"/>
  <c r="C117" i="18"/>
  <c r="C113" i="19"/>
  <c r="C111" i="21"/>
  <c r="B94" i="29"/>
  <c r="B150" i="22"/>
  <c r="C141" i="22"/>
  <c r="C135" i="22"/>
  <c r="C127" i="22"/>
  <c r="C123" i="18"/>
  <c r="C117" i="19"/>
  <c r="C111" i="20"/>
  <c r="B89" i="21"/>
  <c r="A58" i="9"/>
  <c r="X74" i="9"/>
  <c r="A74" i="9"/>
  <c r="B74" i="9"/>
  <c r="B112" i="17"/>
  <c r="X76" i="9"/>
  <c r="A76" i="9"/>
  <c r="B76" i="9"/>
  <c r="B114" i="22"/>
  <c r="X78" i="9"/>
  <c r="A78" i="9"/>
  <c r="B78" i="9"/>
  <c r="X80" i="9"/>
  <c r="A80" i="9"/>
  <c r="B80" i="9"/>
  <c r="X82" i="9"/>
  <c r="A82" i="9"/>
  <c r="B82" i="9"/>
  <c r="B120" i="22"/>
  <c r="X84" i="9"/>
  <c r="A84" i="9"/>
  <c r="B84" i="9"/>
  <c r="B122" i="22"/>
  <c r="X86" i="9"/>
  <c r="A86" i="9"/>
  <c r="B86" i="9"/>
  <c r="B125" i="28"/>
  <c r="X91" i="9"/>
  <c r="A91" i="9"/>
  <c r="B91" i="9"/>
  <c r="B128" i="17"/>
  <c r="X95" i="9"/>
  <c r="A95" i="9"/>
  <c r="B95" i="9"/>
  <c r="X101" i="9"/>
  <c r="A101" i="9"/>
  <c r="B101" i="9"/>
  <c r="X104" i="9"/>
  <c r="A104" i="9"/>
  <c r="B104" i="9"/>
  <c r="X106" i="9"/>
  <c r="A106" i="9"/>
  <c r="B106" i="9"/>
  <c r="B140" i="17"/>
  <c r="X108" i="9"/>
  <c r="A108" i="9"/>
  <c r="B108" i="9"/>
  <c r="B94" i="26"/>
  <c r="B133" i="28"/>
  <c r="B110" i="17"/>
  <c r="C145" i="18"/>
  <c r="C141" i="18"/>
  <c r="C139" i="22"/>
  <c r="C137" i="22"/>
  <c r="C131" i="18"/>
  <c r="C127" i="18"/>
  <c r="B122" i="28"/>
  <c r="B118" i="21"/>
  <c r="B110" i="18"/>
  <c r="C123" i="27"/>
  <c r="C123" i="21"/>
  <c r="C119" i="21"/>
  <c r="C117" i="22"/>
  <c r="C111" i="28"/>
  <c r="B94" i="20"/>
  <c r="B89" i="29"/>
  <c r="C117" i="17"/>
  <c r="B95" i="27"/>
  <c r="A68" i="9"/>
  <c r="X73" i="9"/>
  <c r="A73" i="9"/>
  <c r="B73" i="9"/>
  <c r="X75" i="9"/>
  <c r="A75" i="9"/>
  <c r="B75" i="9"/>
  <c r="X77" i="9"/>
  <c r="A77" i="9"/>
  <c r="B77" i="9"/>
  <c r="X79" i="9"/>
  <c r="A79" i="9"/>
  <c r="B79" i="9"/>
  <c r="X81" i="9"/>
  <c r="A81" i="9"/>
  <c r="B81" i="9"/>
  <c r="X83" i="9"/>
  <c r="A83" i="9"/>
  <c r="B83" i="9"/>
  <c r="X85" i="9"/>
  <c r="A85" i="9"/>
  <c r="B85" i="9"/>
  <c r="X87" i="9"/>
  <c r="A87" i="9"/>
  <c r="B87" i="9"/>
  <c r="X94" i="9"/>
  <c r="A94" i="9"/>
  <c r="B94" i="9"/>
  <c r="X99" i="9"/>
  <c r="A99" i="9"/>
  <c r="B99" i="9"/>
  <c r="X103" i="9"/>
  <c r="A103" i="9"/>
  <c r="B103" i="9"/>
  <c r="X105" i="9"/>
  <c r="A105" i="9"/>
  <c r="B105" i="9"/>
  <c r="X107" i="9"/>
  <c r="A107" i="9"/>
  <c r="B107" i="9"/>
  <c r="X109" i="9"/>
  <c r="A109" i="9"/>
  <c r="B109" i="9"/>
  <c r="K56" i="37"/>
  <c r="E60" i="14"/>
  <c r="S109" i="18"/>
  <c r="S115" i="18"/>
  <c r="K61" i="18"/>
  <c r="S64" i="18"/>
  <c r="E61" i="19"/>
  <c r="I61" i="19"/>
  <c r="M61" i="19"/>
  <c r="G61" i="19"/>
  <c r="K61" i="19"/>
  <c r="O61" i="19"/>
  <c r="F74" i="19"/>
  <c r="J74" i="19"/>
  <c r="D74" i="19"/>
  <c r="H74" i="19"/>
  <c r="L74" i="19"/>
  <c r="G86" i="19"/>
  <c r="K86" i="19"/>
  <c r="O86" i="19"/>
  <c r="E86" i="19"/>
  <c r="I86" i="19"/>
  <c r="M86" i="19"/>
  <c r="D106" i="19"/>
  <c r="N106" i="19"/>
  <c r="L22" i="37"/>
  <c r="K12" i="15"/>
  <c r="K45" i="37"/>
  <c r="K55" i="37"/>
  <c r="K31" i="15"/>
  <c r="K11" i="15"/>
  <c r="K26" i="15"/>
  <c r="J106" i="19"/>
  <c r="S64" i="19"/>
  <c r="B125" i="17"/>
  <c r="C150" i="20"/>
  <c r="B128" i="27"/>
  <c r="B128" i="22"/>
  <c r="C110" i="28"/>
  <c r="C110" i="22"/>
  <c r="B101" i="22"/>
  <c r="C95" i="26"/>
  <c r="B125" i="22"/>
  <c r="B122" i="29"/>
  <c r="B122" i="21"/>
  <c r="B120" i="29"/>
  <c r="B120" i="20"/>
  <c r="B116" i="27"/>
  <c r="B114" i="28"/>
  <c r="B112" i="29"/>
  <c r="B112" i="20"/>
  <c r="B101" i="17"/>
  <c r="C95" i="18"/>
  <c r="N106" i="18"/>
  <c r="F106" i="19"/>
  <c r="C95" i="17"/>
  <c r="B140" i="19"/>
  <c r="B128" i="28"/>
  <c r="B128" i="19"/>
  <c r="C110" i="29"/>
  <c r="C110" i="20"/>
  <c r="B122" i="17"/>
  <c r="B125" i="21"/>
  <c r="B122" i="18"/>
  <c r="B122" i="19"/>
  <c r="B120" i="18"/>
  <c r="B120" i="21"/>
  <c r="B116" i="19"/>
  <c r="B112" i="19"/>
  <c r="B112" i="21"/>
  <c r="C102" i="27"/>
  <c r="B116" i="17"/>
  <c r="C95" i="20"/>
  <c r="C111" i="26"/>
  <c r="S150" i="20"/>
  <c r="C110" i="17"/>
  <c r="B136" i="27"/>
  <c r="B128" i="29"/>
  <c r="B128" i="20"/>
  <c r="C110" i="18"/>
  <c r="C110" i="21"/>
  <c r="B118" i="17"/>
  <c r="B122" i="27"/>
  <c r="B120" i="27"/>
  <c r="B118" i="28"/>
  <c r="B116" i="18"/>
  <c r="B112" i="27"/>
  <c r="B112" i="18"/>
  <c r="C102" i="21"/>
  <c r="C95" i="27"/>
  <c r="C92" i="27"/>
  <c r="D78" i="29"/>
  <c r="J30" i="12"/>
  <c r="J30" i="13"/>
  <c r="K30" i="13"/>
  <c r="K30" i="11"/>
  <c r="J34" i="13"/>
  <c r="K34" i="12"/>
  <c r="D12" i="29"/>
  <c r="D43" i="29"/>
  <c r="C90" i="19"/>
  <c r="C90" i="27"/>
  <c r="C90" i="29"/>
  <c r="C90" i="21"/>
  <c r="C90" i="18"/>
  <c r="C90" i="26"/>
  <c r="C90" i="20"/>
  <c r="C90" i="17"/>
  <c r="C90" i="22"/>
  <c r="C90" i="28"/>
  <c r="Q2" i="12"/>
  <c r="Q7" i="11"/>
  <c r="F17" i="11"/>
  <c r="H17" i="10"/>
  <c r="K17" i="10"/>
  <c r="B24" i="11"/>
  <c r="B24" i="12"/>
  <c r="B24" i="13"/>
  <c r="Q60" i="10"/>
  <c r="D16" i="28"/>
  <c r="K30" i="12"/>
  <c r="B10" i="12"/>
  <c r="B10" i="13"/>
  <c r="I60" i="11"/>
  <c r="J14" i="11"/>
  <c r="J14" i="12"/>
  <c r="J14" i="13"/>
  <c r="K14" i="13"/>
  <c r="J58" i="10"/>
  <c r="J46" i="12"/>
  <c r="K46" i="11"/>
  <c r="H21" i="26"/>
  <c r="H21" i="27"/>
  <c r="H21" i="28"/>
  <c r="H21" i="29"/>
  <c r="S21" i="29"/>
  <c r="S21" i="17"/>
  <c r="E19" i="28"/>
  <c r="S19" i="27"/>
  <c r="F28" i="27"/>
  <c r="S28" i="26"/>
  <c r="E29" i="28"/>
  <c r="S29" i="28"/>
  <c r="E29" i="20"/>
  <c r="L29" i="28"/>
  <c r="L29" i="20"/>
  <c r="E36" i="27"/>
  <c r="E36" i="28"/>
  <c r="S36" i="26"/>
  <c r="E43" i="28"/>
  <c r="E43" i="29"/>
  <c r="S43" i="27"/>
  <c r="E44" i="28"/>
  <c r="S44" i="27"/>
  <c r="E45" i="28"/>
  <c r="J45" i="27"/>
  <c r="J45" i="28"/>
  <c r="J45" i="29"/>
  <c r="S45" i="26"/>
  <c r="E46" i="28"/>
  <c r="J46" i="27"/>
  <c r="J46" i="28"/>
  <c r="J46" i="29"/>
  <c r="S46" i="26"/>
  <c r="E47" i="28"/>
  <c r="E47" i="29"/>
  <c r="J47" i="27"/>
  <c r="J47" i="28"/>
  <c r="J47" i="29"/>
  <c r="S47" i="26"/>
  <c r="E53" i="28"/>
  <c r="S53" i="27"/>
  <c r="E54" i="28"/>
  <c r="S54" i="27"/>
  <c r="E55" i="28"/>
  <c r="S55" i="27"/>
  <c r="E56" i="28"/>
  <c r="E56" i="29"/>
  <c r="S56" i="29"/>
  <c r="S56" i="27"/>
  <c r="E57" i="28"/>
  <c r="E57" i="29"/>
  <c r="S57" i="27"/>
  <c r="E58" i="28"/>
  <c r="J59" i="27"/>
  <c r="J59" i="28"/>
  <c r="J59" i="29"/>
  <c r="S59" i="26"/>
  <c r="E60" i="28"/>
  <c r="J64" i="27"/>
  <c r="J64" i="28"/>
  <c r="J64" i="29"/>
  <c r="S64" i="26"/>
  <c r="E65" i="28"/>
  <c r="S65" i="27"/>
  <c r="E67" i="28"/>
  <c r="E67" i="29"/>
  <c r="S67" i="29"/>
  <c r="S67" i="27"/>
  <c r="J69" i="27"/>
  <c r="J69" i="28"/>
  <c r="J69" i="29"/>
  <c r="S69" i="26"/>
  <c r="E70" i="28"/>
  <c r="F77" i="28"/>
  <c r="S77" i="27"/>
  <c r="D123" i="27"/>
  <c r="S123" i="26"/>
  <c r="M150" i="28"/>
  <c r="S150" i="27"/>
  <c r="R150" i="27"/>
  <c r="R150" i="28"/>
  <c r="R150" i="29"/>
  <c r="S150" i="26"/>
  <c r="P156" i="27"/>
  <c r="P156" i="28"/>
  <c r="P156" i="29"/>
  <c r="S156" i="26"/>
  <c r="D17" i="29"/>
  <c r="S17" i="29"/>
  <c r="K55" i="12"/>
  <c r="L157" i="20"/>
  <c r="O157" i="20"/>
  <c r="K157" i="21"/>
  <c r="K159" i="21"/>
  <c r="I157" i="20"/>
  <c r="O159" i="19"/>
  <c r="H157" i="20"/>
  <c r="H159" i="20"/>
  <c r="D157" i="20"/>
  <c r="G157" i="20"/>
  <c r="K157" i="20"/>
  <c r="K159" i="20"/>
  <c r="D96" i="29"/>
  <c r="S96" i="29"/>
  <c r="S96" i="28"/>
  <c r="S83" i="28"/>
  <c r="D83" i="29"/>
  <c r="S83" i="29"/>
  <c r="D72" i="29"/>
  <c r="S72" i="29"/>
  <c r="S72" i="28"/>
  <c r="S40" i="28"/>
  <c r="D40" i="29"/>
  <c r="S40" i="29"/>
  <c r="S31" i="27"/>
  <c r="S25" i="28"/>
  <c r="D25" i="29"/>
  <c r="S25" i="29"/>
  <c r="F40" i="13"/>
  <c r="H40" i="13"/>
  <c r="K40" i="13"/>
  <c r="H36" i="12"/>
  <c r="K36" i="12"/>
  <c r="E157" i="21"/>
  <c r="J157" i="20"/>
  <c r="K34" i="13"/>
  <c r="S57" i="29"/>
  <c r="S21" i="28"/>
  <c r="S47" i="29"/>
  <c r="S154" i="27"/>
  <c r="S53" i="26"/>
  <c r="F56" i="12"/>
  <c r="H56" i="11"/>
  <c r="K56" i="11"/>
  <c r="H24" i="11"/>
  <c r="K24" i="11"/>
  <c r="F24" i="12"/>
  <c r="F8" i="12"/>
  <c r="H8" i="11"/>
  <c r="K8" i="11"/>
  <c r="S21" i="27"/>
  <c r="K55" i="10"/>
  <c r="K29" i="12"/>
  <c r="F7" i="11"/>
  <c r="F60" i="10"/>
  <c r="H7" i="10"/>
  <c r="F58" i="10"/>
  <c r="H10" i="11"/>
  <c r="K10" i="11"/>
  <c r="F10" i="12"/>
  <c r="H13" i="11"/>
  <c r="K13" i="11"/>
  <c r="F13" i="12"/>
  <c r="F54" i="12"/>
  <c r="H54" i="11"/>
  <c r="K54" i="11"/>
  <c r="J58" i="27"/>
  <c r="J58" i="28"/>
  <c r="J58" i="29"/>
  <c r="S58" i="26"/>
  <c r="E59" i="28"/>
  <c r="S59" i="27"/>
  <c r="J60" i="27"/>
  <c r="J60" i="28"/>
  <c r="J60" i="29"/>
  <c r="S60" i="26"/>
  <c r="E64" i="28"/>
  <c r="E64" i="29"/>
  <c r="S64" i="27"/>
  <c r="E66" i="28"/>
  <c r="S66" i="27"/>
  <c r="E68" i="28"/>
  <c r="S68" i="27"/>
  <c r="E69" i="28"/>
  <c r="S69" i="27"/>
  <c r="J70" i="27"/>
  <c r="J70" i="28"/>
  <c r="J70" i="29"/>
  <c r="S70" i="26"/>
  <c r="E71" i="28"/>
  <c r="E71" i="29"/>
  <c r="S71" i="27"/>
  <c r="M71" i="27"/>
  <c r="M71" i="28"/>
  <c r="M71" i="29"/>
  <c r="S71" i="26"/>
  <c r="E73" i="27"/>
  <c r="S73" i="26"/>
  <c r="H90" i="28"/>
  <c r="S90" i="27"/>
  <c r="Q120" i="27"/>
  <c r="S120" i="26"/>
  <c r="E121" i="28"/>
  <c r="S121" i="27"/>
  <c r="F127" i="27"/>
  <c r="S127" i="26"/>
  <c r="M128" i="27"/>
  <c r="S128" i="26"/>
  <c r="Q133" i="29"/>
  <c r="S133" i="28"/>
  <c r="N155" i="21"/>
  <c r="N154" i="29"/>
  <c r="N155" i="22"/>
  <c r="M151" i="19"/>
  <c r="S149" i="19"/>
  <c r="P152" i="22"/>
  <c r="P157" i="22"/>
  <c r="U64" i="34"/>
  <c r="U65" i="34"/>
  <c r="K44" i="12"/>
  <c r="K27" i="13"/>
  <c r="K18" i="13"/>
  <c r="D20" i="27"/>
  <c r="S20" i="26"/>
  <c r="E159" i="21"/>
  <c r="K9" i="12"/>
  <c r="K55" i="13"/>
  <c r="E157" i="20"/>
  <c r="E159" i="20"/>
  <c r="H38" i="12"/>
  <c r="K38" i="12"/>
  <c r="K50" i="12"/>
  <c r="R7" i="10"/>
  <c r="D64" i="29"/>
  <c r="S64" i="29"/>
  <c r="F157" i="20"/>
  <c r="F159" i="20"/>
  <c r="S154" i="28"/>
  <c r="F29" i="13"/>
  <c r="H29" i="13"/>
  <c r="H19" i="12"/>
  <c r="K19" i="12"/>
  <c r="F19" i="13"/>
  <c r="H19" i="13"/>
  <c r="K19" i="13"/>
  <c r="S129" i="29"/>
  <c r="U63" i="34"/>
  <c r="D15" i="28"/>
  <c r="S15" i="27"/>
  <c r="K9" i="11"/>
  <c r="J58" i="11"/>
  <c r="S71" i="29"/>
  <c r="M156" i="21"/>
  <c r="G156" i="22"/>
  <c r="F157" i="27"/>
  <c r="S157" i="26"/>
  <c r="S133" i="29"/>
  <c r="S31" i="29"/>
  <c r="L7" i="12"/>
  <c r="O7" i="11"/>
  <c r="O58" i="11"/>
  <c r="M157" i="20"/>
  <c r="S156" i="27"/>
  <c r="I159" i="20"/>
  <c r="K14" i="12"/>
  <c r="K18" i="12"/>
  <c r="S21" i="26"/>
  <c r="S2" i="11"/>
  <c r="S7" i="10"/>
  <c r="N58" i="10"/>
  <c r="N60" i="10"/>
  <c r="K12" i="10"/>
  <c r="I12" i="12"/>
  <c r="I12" i="13"/>
  <c r="K12" i="13"/>
  <c r="K12" i="11"/>
  <c r="G16" i="27"/>
  <c r="G16" i="28"/>
  <c r="G16" i="29"/>
  <c r="S16" i="26"/>
  <c r="G27" i="28"/>
  <c r="S27" i="27"/>
  <c r="J28" i="28"/>
  <c r="J28" i="20"/>
  <c r="I29" i="28"/>
  <c r="I29" i="20"/>
  <c r="P29" i="28"/>
  <c r="P29" i="20"/>
  <c r="D37" i="27"/>
  <c r="S37" i="26"/>
  <c r="D38" i="28"/>
  <c r="S38" i="27"/>
  <c r="F38" i="27"/>
  <c r="F38" i="28"/>
  <c r="F38" i="29"/>
  <c r="S38" i="26"/>
  <c r="E41" i="28"/>
  <c r="S41" i="27"/>
  <c r="S72" i="27"/>
  <c r="S80" i="27"/>
  <c r="D80" i="28"/>
  <c r="G81" i="28"/>
  <c r="S81" i="27"/>
  <c r="K81" i="27"/>
  <c r="K81" i="28"/>
  <c r="K81" i="29"/>
  <c r="S81" i="26"/>
  <c r="E82" i="28"/>
  <c r="S82" i="27"/>
  <c r="E84" i="27"/>
  <c r="S84" i="26"/>
  <c r="F85" i="28"/>
  <c r="S85" i="27"/>
  <c r="G95" i="28"/>
  <c r="S95" i="27"/>
  <c r="E97" i="28"/>
  <c r="E97" i="29"/>
  <c r="S97" i="29"/>
  <c r="S97" i="27"/>
  <c r="E101" i="28"/>
  <c r="S101" i="27"/>
  <c r="E103" i="28"/>
  <c r="S103" i="27"/>
  <c r="E110" i="28"/>
  <c r="S110" i="27"/>
  <c r="E112" i="28"/>
  <c r="E112" i="29"/>
  <c r="S112" i="29"/>
  <c r="S112" i="27"/>
  <c r="D114" i="27"/>
  <c r="S114" i="26"/>
  <c r="N118" i="27"/>
  <c r="S118" i="26"/>
  <c r="E119" i="29"/>
  <c r="S119" i="29"/>
  <c r="S119" i="28"/>
  <c r="G159" i="20"/>
  <c r="S26" i="29"/>
  <c r="M159" i="20"/>
  <c r="O157" i="21"/>
  <c r="J157" i="22"/>
  <c r="O156" i="29"/>
  <c r="S130" i="29"/>
  <c r="L156" i="29"/>
  <c r="L157" i="22"/>
  <c r="L159" i="22"/>
  <c r="U51" i="34"/>
  <c r="U49" i="34"/>
  <c r="U35" i="34"/>
  <c r="L159" i="20"/>
  <c r="D155" i="28"/>
  <c r="S155" i="27"/>
  <c r="S71" i="28"/>
  <c r="N157" i="20"/>
  <c r="N159" i="20"/>
  <c r="J159" i="20"/>
  <c r="S57" i="28"/>
  <c r="D29" i="21"/>
  <c r="D29" i="29"/>
  <c r="G9" i="28"/>
  <c r="G12" i="27"/>
  <c r="I159" i="19"/>
  <c r="S154" i="29"/>
  <c r="K14" i="10"/>
  <c r="K39" i="10"/>
  <c r="C94" i="26"/>
  <c r="C94" i="19"/>
  <c r="C94" i="27"/>
  <c r="C94" i="20"/>
  <c r="C94" i="29"/>
  <c r="C94" i="21"/>
  <c r="C94" i="18"/>
  <c r="C96" i="19"/>
  <c r="C96" i="20"/>
  <c r="C96" i="27"/>
  <c r="C96" i="21"/>
  <c r="C96" i="29"/>
  <c r="C96" i="17"/>
  <c r="C98" i="26"/>
  <c r="C98" i="20"/>
  <c r="C98" i="29"/>
  <c r="C98" i="19"/>
  <c r="C98" i="27"/>
  <c r="C98" i="17"/>
  <c r="C98" i="22"/>
  <c r="C98" i="28"/>
  <c r="C100" i="20"/>
  <c r="C100" i="27"/>
  <c r="C100" i="19"/>
  <c r="C100" i="17"/>
  <c r="C100" i="18"/>
  <c r="B102" i="21"/>
  <c r="B102" i="29"/>
  <c r="B102" i="17"/>
  <c r="B102" i="20"/>
  <c r="C103" i="22"/>
  <c r="C103" i="29"/>
  <c r="C103" i="27"/>
  <c r="C103" i="20"/>
  <c r="C105" i="22"/>
  <c r="C105" i="19"/>
  <c r="B113" i="22"/>
  <c r="B113" i="28"/>
  <c r="B113" i="18"/>
  <c r="B113" i="17"/>
  <c r="B113" i="19"/>
  <c r="B113" i="27"/>
  <c r="B113" i="26"/>
  <c r="B113" i="21"/>
  <c r="B115" i="22"/>
  <c r="B115" i="28"/>
  <c r="B115" i="26"/>
  <c r="B115" i="18"/>
  <c r="B115" i="19"/>
  <c r="B115" i="27"/>
  <c r="B115" i="21"/>
  <c r="B115" i="17"/>
  <c r="B117" i="22"/>
  <c r="B117" i="19"/>
  <c r="B119" i="21"/>
  <c r="B119" i="18"/>
  <c r="B119" i="22"/>
  <c r="B119" i="20"/>
  <c r="B119" i="29"/>
  <c r="B119" i="26"/>
  <c r="B119" i="28"/>
  <c r="B121" i="27"/>
  <c r="B121" i="17"/>
  <c r="B123" i="19"/>
  <c r="B123" i="17"/>
  <c r="B123" i="27"/>
  <c r="B127" i="19"/>
  <c r="B127" i="27"/>
  <c r="B127" i="29"/>
  <c r="B127" i="21"/>
  <c r="B127" i="18"/>
  <c r="B127" i="17"/>
  <c r="B127" i="20"/>
  <c r="I7" i="12"/>
  <c r="I58" i="11"/>
  <c r="K14" i="11"/>
  <c r="B16" i="11"/>
  <c r="B16" i="12"/>
  <c r="B16" i="13"/>
  <c r="J60" i="10"/>
  <c r="U60" i="10"/>
  <c r="O60" i="10"/>
  <c r="V60" i="10"/>
  <c r="F33" i="12"/>
  <c r="H33" i="11"/>
  <c r="K33" i="11"/>
  <c r="H49" i="11"/>
  <c r="K49" i="11"/>
  <c r="F49" i="12"/>
  <c r="N10" i="26"/>
  <c r="N10" i="27"/>
  <c r="N10" i="28"/>
  <c r="N10" i="29"/>
  <c r="S10" i="17"/>
  <c r="H9" i="27"/>
  <c r="S9" i="27"/>
  <c r="H12" i="26"/>
  <c r="D10" i="27"/>
  <c r="S10" i="26"/>
  <c r="S25" i="27"/>
  <c r="N28" i="28"/>
  <c r="N28" i="20"/>
  <c r="D29" i="20"/>
  <c r="S29" i="27"/>
  <c r="M29" i="28"/>
  <c r="M29" i="20"/>
  <c r="E30" i="27"/>
  <c r="S30" i="26"/>
  <c r="E42" i="28"/>
  <c r="S42" i="27"/>
  <c r="N79" i="28"/>
  <c r="N79" i="29"/>
  <c r="S79" i="29"/>
  <c r="S79" i="27"/>
  <c r="S83" i="27"/>
  <c r="S119" i="27"/>
  <c r="S112" i="28"/>
  <c r="S97" i="28"/>
  <c r="S32" i="29"/>
  <c r="H39" i="12"/>
  <c r="K39" i="12"/>
  <c r="F39" i="13"/>
  <c r="H39" i="13"/>
  <c r="K39" i="13"/>
  <c r="B92" i="17"/>
  <c r="B92" i="20"/>
  <c r="B92" i="28"/>
  <c r="B92" i="26"/>
  <c r="B92" i="19"/>
  <c r="B92" i="18"/>
  <c r="B92" i="27"/>
  <c r="B92" i="22"/>
  <c r="B8" i="12"/>
  <c r="B8" i="13"/>
  <c r="V60" i="11"/>
  <c r="K18" i="11"/>
  <c r="J29" i="12"/>
  <c r="J29" i="13"/>
  <c r="K29" i="11"/>
  <c r="F35" i="11"/>
  <c r="H35" i="10"/>
  <c r="K35" i="10"/>
  <c r="H37" i="11"/>
  <c r="K37" i="11"/>
  <c r="F37" i="12"/>
  <c r="K39" i="11"/>
  <c r="F51" i="11"/>
  <c r="H51" i="10"/>
  <c r="K51" i="10"/>
  <c r="F53" i="12"/>
  <c r="H53" i="11"/>
  <c r="K53" i="11"/>
  <c r="K55" i="11"/>
  <c r="G18" i="28"/>
  <c r="G18" i="29"/>
  <c r="S18" i="29"/>
  <c r="S18" i="27"/>
  <c r="S26" i="28"/>
  <c r="R28" i="29"/>
  <c r="R28" i="22"/>
  <c r="R28" i="21"/>
  <c r="H29" i="28"/>
  <c r="H29" i="20"/>
  <c r="Q29" i="21"/>
  <c r="Q29" i="29"/>
  <c r="Q29" i="22"/>
  <c r="S42" i="26"/>
  <c r="H78" i="28"/>
  <c r="H78" i="29"/>
  <c r="S78" i="27"/>
  <c r="G94" i="28"/>
  <c r="S94" i="27"/>
  <c r="B110" i="19"/>
  <c r="B150" i="19"/>
  <c r="I155" i="28"/>
  <c r="M156" i="28"/>
  <c r="S156" i="28"/>
  <c r="S31" i="28"/>
  <c r="J155" i="28"/>
  <c r="N156" i="28"/>
  <c r="V60" i="12"/>
  <c r="U60" i="12"/>
  <c r="S26" i="27"/>
  <c r="C145" i="17"/>
  <c r="B97" i="27"/>
  <c r="S93" i="26"/>
  <c r="S67" i="26"/>
  <c r="S56" i="26"/>
  <c r="S43" i="26"/>
  <c r="S32" i="26"/>
  <c r="C127" i="17"/>
  <c r="C115" i="17"/>
  <c r="B150" i="18"/>
  <c r="C145" i="28"/>
  <c r="C145" i="20"/>
  <c r="C141" i="28"/>
  <c r="C141" i="20"/>
  <c r="C139" i="18"/>
  <c r="C137" i="28"/>
  <c r="C137" i="21"/>
  <c r="C135" i="18"/>
  <c r="C131" i="28"/>
  <c r="C131" i="21"/>
  <c r="C127" i="28"/>
  <c r="C127" i="21"/>
  <c r="B110" i="21"/>
  <c r="S139" i="27"/>
  <c r="S157" i="17"/>
  <c r="F15" i="11"/>
  <c r="C117" i="28"/>
  <c r="C117" i="20"/>
  <c r="C115" i="18"/>
  <c r="C113" i="22"/>
  <c r="C111" i="18"/>
  <c r="C111" i="22"/>
  <c r="B89" i="18"/>
  <c r="S68" i="26"/>
  <c r="S57" i="26"/>
  <c r="S44" i="26"/>
  <c r="C137" i="17"/>
  <c r="S17" i="17"/>
  <c r="C92" i="18"/>
  <c r="I12" i="27"/>
  <c r="S17" i="26"/>
  <c r="F60" i="11"/>
  <c r="G29" i="21"/>
  <c r="G28" i="21"/>
  <c r="Q28" i="20"/>
  <c r="B120" i="26"/>
  <c r="B122" i="26"/>
  <c r="B125" i="19"/>
  <c r="B128" i="26"/>
  <c r="B140" i="27"/>
  <c r="F26" i="11"/>
  <c r="H26" i="10"/>
  <c r="K26" i="10"/>
  <c r="F42" i="11"/>
  <c r="H42" i="10"/>
  <c r="K42" i="10"/>
  <c r="B91" i="18"/>
  <c r="B95" i="17"/>
  <c r="B97" i="26"/>
  <c r="B99" i="17"/>
  <c r="O60" i="11"/>
  <c r="N60" i="11"/>
  <c r="W7" i="1"/>
  <c r="S39" i="27"/>
  <c r="S28" i="27"/>
  <c r="B97" i="28"/>
  <c r="B97" i="22"/>
  <c r="B95" i="29"/>
  <c r="C145" i="26"/>
  <c r="S122" i="26"/>
  <c r="S65" i="26"/>
  <c r="S54" i="26"/>
  <c r="C111" i="17"/>
  <c r="C92" i="17"/>
  <c r="I60" i="10"/>
  <c r="B150" i="20"/>
  <c r="C145" i="29"/>
  <c r="C141" i="29"/>
  <c r="C141" i="21"/>
  <c r="C139" i="21"/>
  <c r="C137" i="29"/>
  <c r="C137" i="19"/>
  <c r="C135" i="21"/>
  <c r="C131" i="29"/>
  <c r="C131" i="19"/>
  <c r="C127" i="29"/>
  <c r="C127" i="19"/>
  <c r="S40" i="27"/>
  <c r="N12" i="26"/>
  <c r="S12" i="26"/>
  <c r="C119" i="29"/>
  <c r="C117" i="29"/>
  <c r="C117" i="21"/>
  <c r="C111" i="27"/>
  <c r="B104" i="18"/>
  <c r="B89" i="27"/>
  <c r="B89" i="19"/>
  <c r="S66" i="26"/>
  <c r="S55" i="26"/>
  <c r="S31" i="26"/>
  <c r="S14" i="26"/>
  <c r="B97" i="17"/>
  <c r="K19" i="10"/>
  <c r="O29" i="20"/>
  <c r="M28" i="20"/>
  <c r="E55" i="9"/>
  <c r="B90" i="20"/>
  <c r="B96" i="21"/>
  <c r="B98" i="20"/>
  <c r="B103" i="17"/>
  <c r="B105" i="26"/>
  <c r="B109" i="22"/>
  <c r="B149" i="20"/>
  <c r="K40" i="10"/>
  <c r="K56" i="10"/>
  <c r="S9" i="17"/>
  <c r="B101" i="27"/>
  <c r="B112" i="26"/>
  <c r="B114" i="26"/>
  <c r="B131" i="20"/>
  <c r="B135" i="19"/>
  <c r="B137" i="18"/>
  <c r="B139" i="18"/>
  <c r="B141" i="22"/>
  <c r="B145" i="29"/>
  <c r="S149" i="22"/>
  <c r="S54" i="18"/>
  <c r="S59" i="18"/>
  <c r="S68" i="18"/>
  <c r="S71" i="18"/>
  <c r="F86" i="18"/>
  <c r="H86" i="18"/>
  <c r="S80" i="18"/>
  <c r="S89" i="18"/>
  <c r="M106" i="18"/>
  <c r="S94" i="18"/>
  <c r="J142" i="18"/>
  <c r="S111" i="18"/>
  <c r="S118" i="18"/>
  <c r="S120" i="18"/>
  <c r="S126" i="18"/>
  <c r="S129" i="18"/>
  <c r="S134" i="18"/>
  <c r="S138" i="18"/>
  <c r="S149" i="18"/>
  <c r="S150" i="18"/>
  <c r="S53" i="19"/>
  <c r="H61" i="19"/>
  <c r="L61" i="19"/>
  <c r="S150" i="21"/>
  <c r="E61" i="18"/>
  <c r="I61" i="18"/>
  <c r="M61" i="18"/>
  <c r="G61" i="18"/>
  <c r="O61" i="18"/>
  <c r="F74" i="18"/>
  <c r="J74" i="18"/>
  <c r="N74" i="18"/>
  <c r="D74" i="18"/>
  <c r="H74" i="18"/>
  <c r="L74" i="18"/>
  <c r="K86" i="18"/>
  <c r="O86" i="18"/>
  <c r="E86" i="18"/>
  <c r="I86" i="18"/>
  <c r="M86" i="18"/>
  <c r="F106" i="18"/>
  <c r="J106" i="18"/>
  <c r="K142" i="18"/>
  <c r="O142" i="18"/>
  <c r="J61" i="19"/>
  <c r="N61" i="19"/>
  <c r="S55" i="19"/>
  <c r="S56" i="19"/>
  <c r="S57" i="19"/>
  <c r="S59" i="19"/>
  <c r="E74" i="19"/>
  <c r="I74" i="19"/>
  <c r="M74" i="19"/>
  <c r="S65" i="19"/>
  <c r="K74" i="19"/>
  <c r="O74" i="19"/>
  <c r="S66" i="19"/>
  <c r="S67" i="19"/>
  <c r="S68" i="19"/>
  <c r="S69" i="19"/>
  <c r="S70" i="19"/>
  <c r="S71" i="19"/>
  <c r="S73" i="19"/>
  <c r="F86" i="19"/>
  <c r="J86" i="19"/>
  <c r="N86" i="19"/>
  <c r="D86" i="19"/>
  <c r="H86" i="19"/>
  <c r="L86" i="19"/>
  <c r="S80" i="19"/>
  <c r="S82" i="19"/>
  <c r="S83" i="19"/>
  <c r="S84" i="19"/>
  <c r="S85" i="19"/>
  <c r="S89" i="19"/>
  <c r="S90" i="19"/>
  <c r="S91" i="19"/>
  <c r="S92" i="19"/>
  <c r="I106" i="19"/>
  <c r="M106" i="19"/>
  <c r="S94" i="19"/>
  <c r="F142" i="19"/>
  <c r="N142" i="19"/>
  <c r="S110" i="19"/>
  <c r="S111" i="19"/>
  <c r="S112" i="19"/>
  <c r="S113" i="19"/>
  <c r="S114" i="19"/>
  <c r="S115" i="19"/>
  <c r="S117" i="19"/>
  <c r="S118" i="19"/>
  <c r="S119" i="19"/>
  <c r="S120" i="19"/>
  <c r="S121" i="19"/>
  <c r="S122" i="19"/>
  <c r="S123" i="19"/>
  <c r="S125" i="19"/>
  <c r="S126" i="19"/>
  <c r="S127" i="19"/>
  <c r="S129" i="19"/>
  <c r="S130" i="19"/>
  <c r="S140" i="19"/>
  <c r="S141" i="19"/>
  <c r="D151" i="19"/>
  <c r="H151" i="19"/>
  <c r="L151" i="19"/>
  <c r="S150" i="19"/>
  <c r="L106" i="18"/>
  <c r="J8" i="15"/>
  <c r="K8" i="15" s="1"/>
  <c r="L142" i="18"/>
  <c r="L142" i="19"/>
  <c r="E142" i="18"/>
  <c r="I142" i="18"/>
  <c r="M142" i="18"/>
  <c r="E142" i="19"/>
  <c r="I142" i="19"/>
  <c r="C122" i="20"/>
  <c r="C122" i="21"/>
  <c r="C122" i="22"/>
  <c r="B133" i="20"/>
  <c r="B133" i="21"/>
  <c r="B133" i="26"/>
  <c r="B133" i="22"/>
  <c r="B136" i="26"/>
  <c r="B136" i="17"/>
  <c r="B136" i="21"/>
  <c r="B136" i="18"/>
  <c r="B136" i="20"/>
  <c r="B136" i="29"/>
  <c r="B138" i="20"/>
  <c r="B138" i="21"/>
  <c r="B138" i="22"/>
  <c r="S72" i="19"/>
  <c r="J142" i="19"/>
  <c r="S116" i="19"/>
  <c r="B133" i="18"/>
  <c r="C109" i="28"/>
  <c r="C97" i="22"/>
  <c r="C97" i="19"/>
  <c r="C97" i="27"/>
  <c r="C102" i="17"/>
  <c r="C102" i="20"/>
  <c r="C102" i="29"/>
  <c r="C102" i="22"/>
  <c r="C102" i="28"/>
  <c r="B104" i="21"/>
  <c r="B104" i="29"/>
  <c r="B104" i="17"/>
  <c r="B104" i="20"/>
  <c r="B104" i="28"/>
  <c r="C120" i="26"/>
  <c r="C120" i="21"/>
  <c r="C120" i="18"/>
  <c r="C120" i="17"/>
  <c r="C120" i="20"/>
  <c r="C120" i="29"/>
  <c r="C150" i="26"/>
  <c r="C150" i="19"/>
  <c r="C150" i="18"/>
  <c r="C150" i="22"/>
  <c r="C150" i="29"/>
  <c r="S58" i="19"/>
  <c r="S60" i="19"/>
  <c r="S79" i="19"/>
  <c r="S128" i="19"/>
  <c r="B140" i="22"/>
  <c r="C150" i="17"/>
  <c r="B104" i="19"/>
  <c r="C99" i="22"/>
  <c r="C99" i="29"/>
  <c r="C99" i="27"/>
  <c r="C99" i="17"/>
  <c r="C104" i="26"/>
  <c r="C104" i="20"/>
  <c r="C104" i="29"/>
  <c r="C104" i="22"/>
  <c r="C104" i="28"/>
  <c r="C133" i="21"/>
  <c r="C133" i="28"/>
  <c r="C133" i="20"/>
  <c r="C133" i="27"/>
  <c r="C136" i="22"/>
  <c r="C136" i="28"/>
  <c r="C136" i="19"/>
  <c r="C136" i="27"/>
  <c r="C140" i="22"/>
  <c r="C140" i="28"/>
  <c r="C140" i="19"/>
  <c r="C140" i="27"/>
  <c r="C140" i="17"/>
  <c r="H106" i="18"/>
  <c r="G142" i="18"/>
  <c r="S53" i="18"/>
  <c r="B104" i="26"/>
  <c r="C150" i="27"/>
  <c r="B138" i="28"/>
  <c r="B136" i="19"/>
  <c r="C122" i="28"/>
  <c r="C120" i="22"/>
  <c r="B99" i="29"/>
  <c r="C104" i="17"/>
  <c r="C104" i="19"/>
  <c r="C102" i="18"/>
  <c r="B104" i="22"/>
  <c r="C133" i="17"/>
  <c r="B149" i="22"/>
  <c r="C140" i="21"/>
  <c r="C136" i="21"/>
  <c r="C133" i="22"/>
  <c r="C99" i="20"/>
  <c r="B116" i="26"/>
  <c r="B116" i="20"/>
  <c r="B116" i="29"/>
  <c r="B116" i="22"/>
  <c r="B116" i="28"/>
  <c r="B118" i="19"/>
  <c r="B118" i="22"/>
  <c r="B118" i="18"/>
  <c r="C109" i="20"/>
  <c r="C109" i="29"/>
  <c r="B140" i="26"/>
  <c r="B140" i="21"/>
  <c r="B140" i="18"/>
  <c r="B140" i="20"/>
  <c r="B140" i="29"/>
  <c r="F61" i="19"/>
  <c r="S54" i="19"/>
  <c r="S77" i="18"/>
  <c r="B136" i="28"/>
  <c r="B101" i="21"/>
  <c r="B101" i="18"/>
  <c r="B101" i="20"/>
  <c r="B101" i="29"/>
  <c r="C119" i="26"/>
  <c r="C119" i="20"/>
  <c r="C119" i="27"/>
  <c r="C119" i="17"/>
  <c r="C119" i="22"/>
  <c r="C119" i="18"/>
  <c r="C128" i="19"/>
  <c r="C128" i="22"/>
  <c r="C128" i="17"/>
  <c r="C128" i="27"/>
  <c r="C138" i="22"/>
  <c r="C138" i="28"/>
  <c r="C138" i="19"/>
  <c r="C138" i="27"/>
  <c r="C138" i="26"/>
  <c r="G142" i="19"/>
  <c r="C150" i="28"/>
  <c r="B140" i="28"/>
  <c r="B138" i="18"/>
  <c r="B136" i="22"/>
  <c r="C122" i="18"/>
  <c r="C120" i="19"/>
  <c r="B101" i="28"/>
  <c r="B99" i="20"/>
  <c r="C136" i="26"/>
  <c r="C99" i="26"/>
  <c r="C104" i="18"/>
  <c r="C102" i="19"/>
  <c r="C136" i="17"/>
  <c r="C119" i="28"/>
  <c r="B104" i="27"/>
  <c r="C140" i="29"/>
  <c r="C138" i="29"/>
  <c r="C136" i="29"/>
  <c r="C133" i="29"/>
  <c r="C112" i="26"/>
  <c r="C112" i="21"/>
  <c r="C112" i="18"/>
  <c r="C112" i="20"/>
  <c r="C112" i="29"/>
  <c r="C114" i="20"/>
  <c r="C114" i="21"/>
  <c r="C114" i="22"/>
  <c r="B98" i="17"/>
  <c r="B90" i="17"/>
  <c r="B90" i="28"/>
  <c r="B131" i="29"/>
  <c r="C123" i="29"/>
  <c r="C123" i="19"/>
  <c r="B96" i="29"/>
  <c r="J61" i="18"/>
  <c r="D61" i="18"/>
  <c r="H61" i="18"/>
  <c r="L61" i="18"/>
  <c r="S55" i="18"/>
  <c r="S57" i="18"/>
  <c r="S58" i="18"/>
  <c r="S60" i="18"/>
  <c r="G74" i="18"/>
  <c r="K74" i="18"/>
  <c r="O74" i="18"/>
  <c r="I74" i="18"/>
  <c r="M74" i="18"/>
  <c r="S66" i="18"/>
  <c r="S67" i="18"/>
  <c r="S69" i="18"/>
  <c r="S70" i="18"/>
  <c r="S72" i="18"/>
  <c r="S73" i="18"/>
  <c r="D86" i="18"/>
  <c r="L86" i="18"/>
  <c r="S78" i="18"/>
  <c r="J86" i="18"/>
  <c r="N86" i="18"/>
  <c r="S79" i="18"/>
  <c r="S81" i="18"/>
  <c r="S82" i="18"/>
  <c r="S83" i="18"/>
  <c r="S84" i="18"/>
  <c r="S85" i="18"/>
  <c r="E106" i="18"/>
  <c r="I106" i="18"/>
  <c r="S90" i="18"/>
  <c r="S91" i="18"/>
  <c r="S92" i="18"/>
  <c r="S93" i="18"/>
  <c r="D142" i="18"/>
  <c r="H142" i="18"/>
  <c r="S110" i="18"/>
  <c r="S112" i="18"/>
  <c r="S113" i="18"/>
  <c r="S114" i="18"/>
  <c r="S116" i="18"/>
  <c r="S117" i="18"/>
  <c r="S119" i="18"/>
  <c r="S121" i="18"/>
  <c r="S122" i="18"/>
  <c r="S123" i="18"/>
  <c r="N142" i="18"/>
  <c r="S125" i="18"/>
  <c r="S127" i="18"/>
  <c r="S128" i="18"/>
  <c r="S130" i="18"/>
  <c r="S131" i="18"/>
  <c r="S132" i="18"/>
  <c r="S133" i="18"/>
  <c r="S135" i="18"/>
  <c r="S136" i="18"/>
  <c r="S137" i="18"/>
  <c r="S139" i="18"/>
  <c r="S140" i="18"/>
  <c r="S141" i="18"/>
  <c r="G151" i="19"/>
  <c r="K151" i="19"/>
  <c r="E106" i="19"/>
  <c r="S93" i="19"/>
  <c r="D61" i="19"/>
  <c r="B137" i="26"/>
  <c r="C118" i="17"/>
  <c r="C125" i="18"/>
  <c r="C125" i="22"/>
  <c r="C118" i="18"/>
  <c r="C118" i="21"/>
  <c r="C116" i="18"/>
  <c r="B103" i="19"/>
  <c r="B103" i="21"/>
  <c r="B99" i="19"/>
  <c r="B99" i="21"/>
  <c r="B95" i="19"/>
  <c r="B95" i="21"/>
  <c r="C149" i="17"/>
  <c r="B114" i="29"/>
  <c r="B114" i="20"/>
  <c r="C149" i="27"/>
  <c r="B141" i="18"/>
  <c r="C125" i="17"/>
  <c r="C96" i="26"/>
  <c r="C96" i="22"/>
  <c r="C96" i="28"/>
  <c r="B98" i="19"/>
  <c r="B98" i="27"/>
  <c r="B98" i="22"/>
  <c r="B98" i="18"/>
  <c r="C109" i="26"/>
  <c r="C109" i="18"/>
  <c r="C109" i="27"/>
  <c r="C109" i="22"/>
  <c r="C109" i="19"/>
  <c r="C109" i="17"/>
  <c r="S78" i="19"/>
  <c r="S81" i="19"/>
  <c r="D142" i="19"/>
  <c r="S124" i="19"/>
  <c r="H142" i="19"/>
  <c r="B99" i="27"/>
  <c r="B99" i="18"/>
  <c r="B114" i="18"/>
  <c r="B114" i="21"/>
  <c r="G74" i="19"/>
  <c r="C116" i="26"/>
  <c r="C116" i="17"/>
  <c r="B121" i="21"/>
  <c r="B121" i="18"/>
  <c r="B121" i="20"/>
  <c r="B121" i="29"/>
  <c r="B121" i="22"/>
  <c r="B121" i="28"/>
  <c r="B123" i="21"/>
  <c r="B123" i="18"/>
  <c r="B123" i="20"/>
  <c r="B123" i="29"/>
  <c r="B123" i="22"/>
  <c r="B123" i="28"/>
  <c r="B135" i="21"/>
  <c r="B135" i="18"/>
  <c r="B137" i="19"/>
  <c r="B137" i="21"/>
  <c r="B139" i="22"/>
  <c r="B139" i="28"/>
  <c r="B145" i="22"/>
  <c r="B145" i="18"/>
  <c r="B145" i="26"/>
  <c r="C149" i="26"/>
  <c r="C149" i="19"/>
  <c r="C149" i="18"/>
  <c r="E74" i="18"/>
  <c r="S65" i="18"/>
  <c r="S124" i="18"/>
  <c r="F142" i="18"/>
  <c r="B141" i="26"/>
  <c r="B121" i="26"/>
  <c r="C125" i="28"/>
  <c r="C125" i="21"/>
  <c r="C118" i="28"/>
  <c r="C118" i="22"/>
  <c r="C116" i="28"/>
  <c r="C116" i="22"/>
  <c r="B103" i="28"/>
  <c r="B103" i="22"/>
  <c r="B99" i="28"/>
  <c r="B99" i="22"/>
  <c r="B95" i="28"/>
  <c r="B95" i="22"/>
  <c r="B114" i="17"/>
  <c r="B114" i="27"/>
  <c r="B114" i="19"/>
  <c r="B99" i="26"/>
  <c r="C149" i="29"/>
  <c r="B145" i="27"/>
  <c r="B145" i="21"/>
  <c r="B139" i="27"/>
  <c r="B139" i="20"/>
  <c r="B135" i="28"/>
  <c r="B135" i="20"/>
  <c r="B121" i="19"/>
  <c r="D16" i="16"/>
  <c r="D20" i="16"/>
  <c r="S77" i="19"/>
  <c r="C89" i="17"/>
  <c r="C89" i="22"/>
  <c r="C89" i="28"/>
  <c r="C91" i="22"/>
  <c r="C91" i="28"/>
  <c r="E18" i="16"/>
  <c r="D23" i="16"/>
  <c r="B94" i="18"/>
  <c r="B94" i="27"/>
  <c r="B94" i="22"/>
  <c r="B94" i="19"/>
  <c r="E16" i="16"/>
  <c r="C100" i="26"/>
  <c r="C100" i="22"/>
  <c r="C100" i="28"/>
  <c r="B102" i="19"/>
  <c r="B102" i="27"/>
  <c r="B102" i="22"/>
  <c r="B102" i="18"/>
  <c r="C115" i="26"/>
  <c r="C115" i="21"/>
  <c r="C115" i="29"/>
  <c r="C115" i="20"/>
  <c r="C115" i="28"/>
  <c r="D17" i="16"/>
  <c r="D151" i="18"/>
  <c r="H151" i="18"/>
  <c r="L151" i="18"/>
  <c r="F151" i="19"/>
  <c r="J151" i="19"/>
  <c r="E17" i="16"/>
  <c r="E151" i="18"/>
  <c r="I151" i="18"/>
  <c r="N151" i="19"/>
  <c r="S96" i="18"/>
  <c r="S97" i="18"/>
  <c r="S104" i="18"/>
  <c r="F151" i="18"/>
  <c r="J151" i="18"/>
  <c r="N151" i="18"/>
  <c r="F61" i="18"/>
  <c r="N61" i="18"/>
  <c r="S56" i="18"/>
  <c r="B110" i="28"/>
  <c r="B110" i="22"/>
  <c r="B149" i="17"/>
  <c r="B141" i="28"/>
  <c r="B141" i="19"/>
  <c r="B137" i="28"/>
  <c r="B137" i="22"/>
  <c r="C121" i="28"/>
  <c r="C121" i="21"/>
  <c r="C113" i="28"/>
  <c r="C113" i="20"/>
  <c r="B91" i="28"/>
  <c r="B91" i="22"/>
  <c r="B149" i="29"/>
  <c r="B149" i="21"/>
  <c r="C128" i="29"/>
  <c r="C128" i="20"/>
  <c r="B117" i="29"/>
  <c r="B117" i="20"/>
  <c r="B109" i="29"/>
  <c r="B109" i="20"/>
  <c r="C105" i="29"/>
  <c r="C105" i="20"/>
  <c r="C101" i="29"/>
  <c r="C101" i="20"/>
  <c r="C97" i="29"/>
  <c r="C97" i="20"/>
  <c r="C92" i="29"/>
  <c r="C92" i="20"/>
  <c r="E21" i="16"/>
  <c r="E23" i="16"/>
  <c r="D21" i="16"/>
  <c r="E20" i="16"/>
  <c r="O106" i="18"/>
  <c r="G106" i="19"/>
  <c r="K106" i="19"/>
  <c r="O106" i="19"/>
  <c r="B149" i="26"/>
  <c r="C122" i="17"/>
  <c r="C114" i="17"/>
  <c r="B138" i="27"/>
  <c r="B138" i="19"/>
  <c r="B133" i="27"/>
  <c r="B133" i="19"/>
  <c r="C122" i="27"/>
  <c r="C122" i="19"/>
  <c r="C114" i="27"/>
  <c r="C114" i="19"/>
  <c r="C139" i="17"/>
  <c r="B91" i="17"/>
  <c r="B150" i="29"/>
  <c r="B150" i="21"/>
  <c r="C139" i="29"/>
  <c r="C139" i="19"/>
  <c r="C135" i="29"/>
  <c r="C135" i="19"/>
  <c r="B125" i="29"/>
  <c r="B125" i="20"/>
  <c r="B118" i="29"/>
  <c r="B118" i="20"/>
  <c r="B110" i="29"/>
  <c r="B110" i="20"/>
  <c r="B138" i="26"/>
  <c r="B91" i="26"/>
  <c r="C101" i="17"/>
  <c r="B141" i="29"/>
  <c r="B141" i="20"/>
  <c r="B137" i="29"/>
  <c r="B137" i="20"/>
  <c r="C121" i="29"/>
  <c r="C121" i="19"/>
  <c r="C113" i="29"/>
  <c r="C113" i="21"/>
  <c r="B91" i="29"/>
  <c r="B91" i="20"/>
  <c r="C92" i="26"/>
  <c r="B150" i="17"/>
  <c r="C121" i="17"/>
  <c r="C113" i="17"/>
  <c r="B149" i="18"/>
  <c r="B149" i="19"/>
  <c r="C128" i="18"/>
  <c r="C128" i="21"/>
  <c r="B117" i="18"/>
  <c r="B117" i="21"/>
  <c r="B109" i="18"/>
  <c r="B109" i="21"/>
  <c r="C105" i="18"/>
  <c r="C105" i="21"/>
  <c r="C103" i="19"/>
  <c r="C103" i="21"/>
  <c r="C101" i="18"/>
  <c r="C101" i="21"/>
  <c r="C99" i="19"/>
  <c r="C99" i="21"/>
  <c r="C97" i="18"/>
  <c r="C97" i="21"/>
  <c r="C95" i="19"/>
  <c r="C95" i="21"/>
  <c r="C92" i="19"/>
  <c r="C92" i="21"/>
  <c r="D18" i="16"/>
  <c r="B110" i="26"/>
  <c r="C113" i="26"/>
  <c r="C114" i="26"/>
  <c r="B118" i="26"/>
  <c r="C121" i="26"/>
  <c r="C122" i="26"/>
  <c r="C135" i="26"/>
  <c r="B138" i="17"/>
  <c r="C139" i="26"/>
  <c r="B150" i="26"/>
  <c r="L106" i="19"/>
  <c r="B125" i="26"/>
  <c r="B117" i="26"/>
  <c r="B109" i="26"/>
  <c r="B133" i="17"/>
  <c r="B138" i="29"/>
  <c r="B133" i="29"/>
  <c r="C122" i="29"/>
  <c r="C114" i="29"/>
  <c r="C105" i="26"/>
  <c r="C101" i="26"/>
  <c r="C97" i="26"/>
  <c r="B150" i="27"/>
  <c r="C139" i="27"/>
  <c r="C135" i="27"/>
  <c r="B125" i="27"/>
  <c r="B118" i="27"/>
  <c r="B110" i="27"/>
  <c r="C105" i="17"/>
  <c r="C97" i="17"/>
  <c r="B141" i="27"/>
  <c r="B137" i="27"/>
  <c r="C121" i="27"/>
  <c r="C113" i="27"/>
  <c r="B91" i="27"/>
  <c r="B149" i="28"/>
  <c r="C128" i="28"/>
  <c r="B117" i="28"/>
  <c r="B109" i="28"/>
  <c r="C105" i="28"/>
  <c r="C103" i="28"/>
  <c r="C101" i="28"/>
  <c r="C99" i="28"/>
  <c r="C97" i="28"/>
  <c r="C95" i="28"/>
  <c r="C92" i="28"/>
  <c r="S105" i="19"/>
  <c r="S100" i="18"/>
  <c r="S101" i="18"/>
  <c r="S105" i="18"/>
  <c r="K106" i="18"/>
  <c r="G106" i="18"/>
  <c r="S99" i="18"/>
  <c r="S102" i="18"/>
  <c r="S103" i="18"/>
  <c r="S95" i="18"/>
  <c r="D106" i="18"/>
  <c r="S98" i="18"/>
  <c r="H106" i="19"/>
  <c r="L73" i="37"/>
  <c r="L69" i="37"/>
  <c r="U53" i="34"/>
  <c r="U62" i="34"/>
  <c r="J19" i="37"/>
  <c r="J58" i="37"/>
  <c r="K58" i="37"/>
  <c r="J24" i="37"/>
  <c r="J31" i="37"/>
  <c r="J56" i="37"/>
  <c r="J21" i="37"/>
  <c r="J20" i="37"/>
  <c r="J52" i="37"/>
  <c r="U52" i="34"/>
  <c r="B58" i="9"/>
  <c r="H127" i="37"/>
  <c r="H180" i="37"/>
  <c r="H196" i="37"/>
  <c r="H176" i="37"/>
  <c r="S115" i="42" s="1"/>
  <c r="H184" i="37"/>
  <c r="H134" i="37"/>
  <c r="S71" i="42" s="1"/>
  <c r="H144" i="37"/>
  <c r="S83" i="42" s="1"/>
  <c r="H126" i="37"/>
  <c r="S63" i="42" s="1"/>
  <c r="H125" i="37"/>
  <c r="H170" i="37"/>
  <c r="S109" i="42" s="1"/>
  <c r="H169" i="37"/>
  <c r="H123" i="37"/>
  <c r="H195" i="37"/>
  <c r="S162" i="42" s="1"/>
  <c r="H128" i="37"/>
  <c r="S65" i="42" s="1"/>
  <c r="H171" i="37"/>
  <c r="H124" i="37"/>
  <c r="H147" i="37"/>
  <c r="B68" i="9"/>
  <c r="M22" i="37"/>
  <c r="L55" i="37"/>
  <c r="L45" i="37"/>
  <c r="K24" i="37"/>
  <c r="K21" i="37"/>
  <c r="K9" i="15"/>
  <c r="K20" i="37"/>
  <c r="K52" i="37"/>
  <c r="K31" i="37"/>
  <c r="K19" i="37"/>
  <c r="F42" i="12"/>
  <c r="H42" i="11"/>
  <c r="K42" i="11"/>
  <c r="H15" i="11"/>
  <c r="K15" i="11"/>
  <c r="F15" i="12"/>
  <c r="F35" i="12"/>
  <c r="H35" i="11"/>
  <c r="K35" i="11"/>
  <c r="S36" i="27"/>
  <c r="M29" i="29"/>
  <c r="M29" i="22"/>
  <c r="M29" i="21"/>
  <c r="N28" i="29"/>
  <c r="N28" i="22"/>
  <c r="N28" i="21"/>
  <c r="D10" i="28"/>
  <c r="S10" i="27"/>
  <c r="H33" i="12"/>
  <c r="K33" i="12"/>
  <c r="F33" i="13"/>
  <c r="H33" i="13"/>
  <c r="K33" i="13"/>
  <c r="I7" i="13"/>
  <c r="I60" i="12"/>
  <c r="I58" i="12"/>
  <c r="S79" i="28"/>
  <c r="S47" i="28"/>
  <c r="L157" i="21"/>
  <c r="L159" i="21"/>
  <c r="D114" i="28"/>
  <c r="S114" i="27"/>
  <c r="E110" i="29"/>
  <c r="S110" i="29"/>
  <c r="S110" i="28"/>
  <c r="E101" i="29"/>
  <c r="S101" i="29"/>
  <c r="S101" i="28"/>
  <c r="G95" i="29"/>
  <c r="S95" i="29"/>
  <c r="S95" i="28"/>
  <c r="E84" i="28"/>
  <c r="S84" i="27"/>
  <c r="F127" i="28"/>
  <c r="S127" i="27"/>
  <c r="Q120" i="28"/>
  <c r="S120" i="27"/>
  <c r="E73" i="28"/>
  <c r="S73" i="27"/>
  <c r="E69" i="29"/>
  <c r="S69" i="29"/>
  <c r="S69" i="28"/>
  <c r="E66" i="29"/>
  <c r="S66" i="29"/>
  <c r="S66" i="28"/>
  <c r="H60" i="10"/>
  <c r="K7" i="10"/>
  <c r="H58" i="10"/>
  <c r="F8" i="13"/>
  <c r="H8" i="13"/>
  <c r="K8" i="13"/>
  <c r="H8" i="12"/>
  <c r="K8" i="12"/>
  <c r="H56" i="12"/>
  <c r="K56" i="12"/>
  <c r="F56" i="13"/>
  <c r="H56" i="13"/>
  <c r="K56" i="13"/>
  <c r="S70" i="27"/>
  <c r="S47" i="27"/>
  <c r="S46" i="27"/>
  <c r="S45" i="27"/>
  <c r="S16" i="27"/>
  <c r="Q2" i="13"/>
  <c r="Q7" i="13"/>
  <c r="Q7" i="12"/>
  <c r="S43" i="28"/>
  <c r="S18" i="28"/>
  <c r="H29" i="29"/>
  <c r="H29" i="22"/>
  <c r="H29" i="21"/>
  <c r="H53" i="12"/>
  <c r="K53" i="12"/>
  <c r="F53" i="13"/>
  <c r="H53" i="13"/>
  <c r="K53" i="13"/>
  <c r="H37" i="12"/>
  <c r="K37" i="12"/>
  <c r="F37" i="13"/>
  <c r="H37" i="13"/>
  <c r="K37" i="13"/>
  <c r="U60" i="13"/>
  <c r="J60" i="13"/>
  <c r="F49" i="13"/>
  <c r="H49" i="13"/>
  <c r="K49" i="13"/>
  <c r="H49" i="12"/>
  <c r="K49" i="12"/>
  <c r="U60" i="11"/>
  <c r="J60" i="12"/>
  <c r="G9" i="29"/>
  <c r="S9" i="28"/>
  <c r="G12" i="28"/>
  <c r="D155" i="29"/>
  <c r="S155" i="28"/>
  <c r="D156" i="21"/>
  <c r="V60" i="13"/>
  <c r="S37" i="27"/>
  <c r="D37" i="28"/>
  <c r="I29" i="29"/>
  <c r="I29" i="22"/>
  <c r="I29" i="21"/>
  <c r="G27" i="29"/>
  <c r="S27" i="29"/>
  <c r="S27" i="28"/>
  <c r="S56" i="28"/>
  <c r="K29" i="13"/>
  <c r="R58" i="10"/>
  <c r="R60" i="10"/>
  <c r="K157" i="22"/>
  <c r="K159" i="22"/>
  <c r="H10" i="12"/>
  <c r="K10" i="12"/>
  <c r="F10" i="13"/>
  <c r="H10" i="13"/>
  <c r="K10" i="13"/>
  <c r="F24" i="13"/>
  <c r="H24" i="13"/>
  <c r="K24" i="13"/>
  <c r="H24" i="12"/>
  <c r="K24" i="12"/>
  <c r="S64" i="28"/>
  <c r="D123" i="28"/>
  <c r="S123" i="27"/>
  <c r="E70" i="29"/>
  <c r="S70" i="29"/>
  <c r="S70" i="28"/>
  <c r="E55" i="29"/>
  <c r="S55" i="29"/>
  <c r="S55" i="28"/>
  <c r="E53" i="29"/>
  <c r="S53" i="29"/>
  <c r="S53" i="28"/>
  <c r="E46" i="29"/>
  <c r="S46" i="29"/>
  <c r="S46" i="28"/>
  <c r="E45" i="29"/>
  <c r="S45" i="29"/>
  <c r="S45" i="28"/>
  <c r="L29" i="29"/>
  <c r="L29" i="22"/>
  <c r="L29" i="21"/>
  <c r="F28" i="28"/>
  <c r="F28" i="20"/>
  <c r="S67" i="28"/>
  <c r="S16" i="28"/>
  <c r="D16" i="29"/>
  <c r="S16" i="29"/>
  <c r="S78" i="28"/>
  <c r="W60" i="1"/>
  <c r="W58" i="1"/>
  <c r="X7" i="1"/>
  <c r="F26" i="12"/>
  <c r="H26" i="11"/>
  <c r="K26" i="11"/>
  <c r="N156" i="29"/>
  <c r="N157" i="22"/>
  <c r="N159" i="22"/>
  <c r="N157" i="21"/>
  <c r="M157" i="21"/>
  <c r="M156" i="29"/>
  <c r="M157" i="22"/>
  <c r="M159" i="22"/>
  <c r="G94" i="29"/>
  <c r="S94" i="29"/>
  <c r="S94" i="28"/>
  <c r="E30" i="28"/>
  <c r="S30" i="27"/>
  <c r="H12" i="27"/>
  <c r="S12" i="27"/>
  <c r="H9" i="28"/>
  <c r="O157" i="22"/>
  <c r="O159" i="22"/>
  <c r="N118" i="28"/>
  <c r="S118" i="27"/>
  <c r="E103" i="29"/>
  <c r="S103" i="29"/>
  <c r="S103" i="28"/>
  <c r="F85" i="29"/>
  <c r="S85" i="29"/>
  <c r="S85" i="28"/>
  <c r="E82" i="29"/>
  <c r="S82" i="29"/>
  <c r="S82" i="28"/>
  <c r="G81" i="29"/>
  <c r="S81" i="29"/>
  <c r="S81" i="28"/>
  <c r="S58" i="10"/>
  <c r="S60" i="10"/>
  <c r="O7" i="12"/>
  <c r="N7" i="12"/>
  <c r="L7" i="13"/>
  <c r="O159" i="20"/>
  <c r="D15" i="29"/>
  <c r="S15" i="29"/>
  <c r="S15" i="28"/>
  <c r="J58" i="12"/>
  <c r="E157" i="22"/>
  <c r="E159" i="22"/>
  <c r="N159" i="21"/>
  <c r="M128" i="28"/>
  <c r="S128" i="27"/>
  <c r="E121" i="29"/>
  <c r="S121" i="29"/>
  <c r="S121" i="28"/>
  <c r="H90" i="29"/>
  <c r="S90" i="29"/>
  <c r="S90" i="28"/>
  <c r="E68" i="29"/>
  <c r="S68" i="29"/>
  <c r="S68" i="28"/>
  <c r="E59" i="29"/>
  <c r="S59" i="29"/>
  <c r="S59" i="28"/>
  <c r="H54" i="12"/>
  <c r="K54" i="12"/>
  <c r="F54" i="13"/>
  <c r="H54" i="13"/>
  <c r="K54" i="13"/>
  <c r="H7" i="11"/>
  <c r="F7" i="12"/>
  <c r="F58" i="11"/>
  <c r="S60" i="27"/>
  <c r="S58" i="27"/>
  <c r="J60" i="11"/>
  <c r="F157" i="22"/>
  <c r="F159" i="22"/>
  <c r="F17" i="12"/>
  <c r="H17" i="11"/>
  <c r="K17" i="11"/>
  <c r="S78" i="29"/>
  <c r="J155" i="29"/>
  <c r="J156" i="22"/>
  <c r="J159" i="22"/>
  <c r="J156" i="21"/>
  <c r="I155" i="29"/>
  <c r="I156" i="22"/>
  <c r="I156" i="21"/>
  <c r="F51" i="12"/>
  <c r="H51" i="11"/>
  <c r="K51" i="11"/>
  <c r="E42" i="29"/>
  <c r="S42" i="29"/>
  <c r="S42" i="28"/>
  <c r="D29" i="22"/>
  <c r="D157" i="22"/>
  <c r="G157" i="22"/>
  <c r="G159" i="22"/>
  <c r="I157" i="22"/>
  <c r="H157" i="22"/>
  <c r="H159" i="22"/>
  <c r="S80" i="28"/>
  <c r="D80" i="29"/>
  <c r="S80" i="29"/>
  <c r="E41" i="29"/>
  <c r="S41" i="29"/>
  <c r="S41" i="28"/>
  <c r="S38" i="28"/>
  <c r="D38" i="29"/>
  <c r="S38" i="29"/>
  <c r="P29" i="29"/>
  <c r="P29" i="22"/>
  <c r="P29" i="21"/>
  <c r="J28" i="29"/>
  <c r="J28" i="22"/>
  <c r="J28" i="21"/>
  <c r="S7" i="11"/>
  <c r="S2" i="12"/>
  <c r="F157" i="28"/>
  <c r="S157" i="27"/>
  <c r="M159" i="21"/>
  <c r="D20" i="28"/>
  <c r="S20" i="27"/>
  <c r="F13" i="13"/>
  <c r="H13" i="13"/>
  <c r="K13" i="13"/>
  <c r="H13" i="12"/>
  <c r="K13" i="12"/>
  <c r="O159" i="21"/>
  <c r="D157" i="21"/>
  <c r="G157" i="21"/>
  <c r="G159" i="21"/>
  <c r="H157" i="21"/>
  <c r="H159" i="21"/>
  <c r="I157" i="21"/>
  <c r="J157" i="21"/>
  <c r="F157" i="21"/>
  <c r="F159" i="21"/>
  <c r="M150" i="29"/>
  <c r="S150" i="29"/>
  <c r="S150" i="28"/>
  <c r="F77" i="29"/>
  <c r="S77" i="29"/>
  <c r="S77" i="28"/>
  <c r="E65" i="29"/>
  <c r="S65" i="29"/>
  <c r="S65" i="28"/>
  <c r="E60" i="29"/>
  <c r="S60" i="29"/>
  <c r="S60" i="28"/>
  <c r="E58" i="29"/>
  <c r="S58" i="29"/>
  <c r="S58" i="28"/>
  <c r="E54" i="29"/>
  <c r="S54" i="29"/>
  <c r="S54" i="28"/>
  <c r="E44" i="29"/>
  <c r="S44" i="29"/>
  <c r="S44" i="28"/>
  <c r="E36" i="29"/>
  <c r="S36" i="29"/>
  <c r="S36" i="28"/>
  <c r="E29" i="29"/>
  <c r="E29" i="22"/>
  <c r="E29" i="21"/>
  <c r="E19" i="29"/>
  <c r="S19" i="29"/>
  <c r="S19" i="28"/>
  <c r="J46" i="13"/>
  <c r="K46" i="12"/>
  <c r="R7" i="11"/>
  <c r="Q60" i="11"/>
  <c r="Q58" i="11"/>
  <c r="S43" i="29"/>
  <c r="K12" i="12"/>
  <c r="J29" i="9"/>
  <c r="M73" i="37"/>
  <c r="M69" i="37"/>
  <c r="L56" i="37"/>
  <c r="L58" i="37"/>
  <c r="J101" i="37"/>
  <c r="K101" i="37"/>
  <c r="J162" i="37"/>
  <c r="K162" i="37"/>
  <c r="J96" i="37"/>
  <c r="K96" i="37"/>
  <c r="J99" i="37"/>
  <c r="K99" i="37"/>
  <c r="J98" i="37"/>
  <c r="K98" i="37"/>
  <c r="J168" i="37"/>
  <c r="K168" i="37"/>
  <c r="J170" i="37"/>
  <c r="K170" i="37"/>
  <c r="J134" i="37"/>
  <c r="K134" i="37"/>
  <c r="J196" i="37"/>
  <c r="K196" i="37"/>
  <c r="J79" i="37"/>
  <c r="K79" i="37"/>
  <c r="J10" i="37"/>
  <c r="J124" i="37"/>
  <c r="K124" i="37"/>
  <c r="J195" i="37"/>
  <c r="K195" i="37"/>
  <c r="J125" i="37"/>
  <c r="K125" i="37"/>
  <c r="J184" i="37"/>
  <c r="K184" i="37"/>
  <c r="J161" i="37"/>
  <c r="K161" i="37"/>
  <c r="J171" i="37"/>
  <c r="K171" i="37"/>
  <c r="J123" i="37"/>
  <c r="K123" i="37"/>
  <c r="J126" i="37"/>
  <c r="K126" i="37"/>
  <c r="J154" i="37"/>
  <c r="K154" i="37"/>
  <c r="J180" i="37"/>
  <c r="K180" i="37"/>
  <c r="J147" i="37"/>
  <c r="K147" i="37"/>
  <c r="J128" i="37"/>
  <c r="K128" i="37"/>
  <c r="J169" i="37"/>
  <c r="K169" i="37"/>
  <c r="J144" i="37"/>
  <c r="K144" i="37"/>
  <c r="J176" i="37"/>
  <c r="K176" i="37"/>
  <c r="J127" i="37"/>
  <c r="K127" i="37"/>
  <c r="M45" i="37"/>
  <c r="M55" i="37"/>
  <c r="L31" i="37"/>
  <c r="L52" i="37"/>
  <c r="L20" i="37"/>
  <c r="L21" i="37"/>
  <c r="L19" i="37"/>
  <c r="L24" i="37"/>
  <c r="K10" i="37"/>
  <c r="N118" i="29"/>
  <c r="S118" i="29"/>
  <c r="S118" i="28"/>
  <c r="D37" i="29"/>
  <c r="S37" i="29"/>
  <c r="S37" i="28"/>
  <c r="G12" i="29"/>
  <c r="Q58" i="12"/>
  <c r="R7" i="12"/>
  <c r="Q60" i="12"/>
  <c r="P7" i="10"/>
  <c r="M7" i="10"/>
  <c r="T7" i="10"/>
  <c r="K60" i="10"/>
  <c r="K58" i="10"/>
  <c r="S156" i="29"/>
  <c r="H35" i="12"/>
  <c r="K35" i="12"/>
  <c r="F35" i="13"/>
  <c r="H35" i="13"/>
  <c r="K35" i="13"/>
  <c r="H42" i="12"/>
  <c r="K42" i="12"/>
  <c r="F42" i="13"/>
  <c r="H42" i="13"/>
  <c r="K42" i="13"/>
  <c r="R58" i="11"/>
  <c r="R60" i="11"/>
  <c r="F157" i="29"/>
  <c r="S157" i="29"/>
  <c r="S157" i="28"/>
  <c r="X60" i="1"/>
  <c r="X58" i="1"/>
  <c r="D20" i="29"/>
  <c r="S20" i="29"/>
  <c r="S20" i="28"/>
  <c r="S7" i="12"/>
  <c r="S2" i="13"/>
  <c r="I159" i="21"/>
  <c r="H7" i="12"/>
  <c r="F58" i="12"/>
  <c r="F60" i="12"/>
  <c r="F7" i="13"/>
  <c r="R7" i="13"/>
  <c r="F28" i="29"/>
  <c r="F28" i="21"/>
  <c r="S28" i="28"/>
  <c r="D156" i="22"/>
  <c r="S155" i="29"/>
  <c r="Q58" i="13"/>
  <c r="Q60" i="13"/>
  <c r="Q120" i="29"/>
  <c r="S120" i="29"/>
  <c r="S120" i="28"/>
  <c r="I58" i="13"/>
  <c r="I60" i="13"/>
  <c r="D10" i="29"/>
  <c r="S10" i="29"/>
  <c r="S10" i="28"/>
  <c r="F15" i="13"/>
  <c r="H15" i="13"/>
  <c r="K15" i="13"/>
  <c r="H15" i="12"/>
  <c r="K15" i="12"/>
  <c r="H51" i="12"/>
  <c r="K51" i="12"/>
  <c r="F51" i="13"/>
  <c r="H51" i="13"/>
  <c r="K51" i="13"/>
  <c r="O58" i="12"/>
  <c r="O60" i="12"/>
  <c r="J58" i="13"/>
  <c r="K46" i="13"/>
  <c r="S58" i="11"/>
  <c r="S60" i="11"/>
  <c r="S29" i="29"/>
  <c r="I159" i="22"/>
  <c r="K7" i="11"/>
  <c r="H58" i="11"/>
  <c r="H60" i="11"/>
  <c r="M128" i="29"/>
  <c r="S128" i="29"/>
  <c r="S128" i="28"/>
  <c r="O7" i="13"/>
  <c r="N7" i="13"/>
  <c r="H9" i="29"/>
  <c r="H12" i="29"/>
  <c r="H12" i="28"/>
  <c r="E30" i="29"/>
  <c r="S30" i="29"/>
  <c r="S30" i="28"/>
  <c r="S12" i="28"/>
  <c r="E84" i="29"/>
  <c r="S84" i="29"/>
  <c r="S84" i="28"/>
  <c r="D114" i="29"/>
  <c r="S114" i="29"/>
  <c r="S114" i="28"/>
  <c r="J159" i="21"/>
  <c r="H17" i="12"/>
  <c r="K17" i="12"/>
  <c r="F17" i="13"/>
  <c r="H17" i="13"/>
  <c r="K17" i="13"/>
  <c r="N58" i="12"/>
  <c r="N60" i="12"/>
  <c r="F26" i="13"/>
  <c r="H26" i="13"/>
  <c r="K26" i="13"/>
  <c r="H26" i="12"/>
  <c r="K26" i="12"/>
  <c r="D123" i="29"/>
  <c r="S123" i="29"/>
  <c r="S123" i="28"/>
  <c r="E73" i="29"/>
  <c r="S73" i="29"/>
  <c r="S73" i="28"/>
  <c r="F127" i="29"/>
  <c r="S127" i="29"/>
  <c r="S127" i="28"/>
  <c r="M56" i="37"/>
  <c r="M58" i="37"/>
  <c r="L79" i="37"/>
  <c r="L162" i="37"/>
  <c r="L98" i="37"/>
  <c r="L96" i="37"/>
  <c r="L161" i="37"/>
  <c r="L127" i="37"/>
  <c r="L176" i="37"/>
  <c r="L144" i="37"/>
  <c r="L169" i="37"/>
  <c r="L128" i="37"/>
  <c r="L147" i="37"/>
  <c r="L180" i="37"/>
  <c r="L154" i="37"/>
  <c r="L126" i="37"/>
  <c r="L123" i="37"/>
  <c r="L171" i="37"/>
  <c r="L125" i="37"/>
  <c r="L195" i="37"/>
  <c r="L124" i="37"/>
  <c r="L196" i="37"/>
  <c r="L134" i="37"/>
  <c r="L170" i="37"/>
  <c r="L168" i="37"/>
  <c r="L99" i="37"/>
  <c r="L101" i="37"/>
  <c r="L184" i="37"/>
  <c r="M31" i="37"/>
  <c r="M24" i="37"/>
  <c r="M21" i="37"/>
  <c r="M52" i="37"/>
  <c r="M19" i="37"/>
  <c r="M20" i="37"/>
  <c r="L10" i="37"/>
  <c r="R58" i="13"/>
  <c r="R60" i="13"/>
  <c r="S7" i="13"/>
  <c r="T58" i="10"/>
  <c r="T60" i="10"/>
  <c r="W7" i="10"/>
  <c r="R58" i="12"/>
  <c r="R60" i="12"/>
  <c r="N58" i="13"/>
  <c r="N60" i="13"/>
  <c r="S58" i="12"/>
  <c r="S60" i="12"/>
  <c r="M58" i="10"/>
  <c r="M60" i="10"/>
  <c r="O58" i="13"/>
  <c r="O60" i="13"/>
  <c r="F28" i="22"/>
  <c r="S28" i="29"/>
  <c r="K7" i="12"/>
  <c r="H60" i="12"/>
  <c r="H58" i="12"/>
  <c r="P58" i="10"/>
  <c r="P60" i="10"/>
  <c r="S9" i="29"/>
  <c r="K58" i="11"/>
  <c r="P7" i="11"/>
  <c r="M7" i="11"/>
  <c r="T7" i="11"/>
  <c r="K60" i="11"/>
  <c r="H7" i="13"/>
  <c r="F58" i="13"/>
  <c r="F60" i="13"/>
  <c r="S12" i="29"/>
  <c r="M162" i="37"/>
  <c r="M98" i="37"/>
  <c r="M96" i="37"/>
  <c r="M184" i="37"/>
  <c r="M99" i="37"/>
  <c r="M180" i="37"/>
  <c r="M126" i="37"/>
  <c r="M128" i="37"/>
  <c r="M101" i="37"/>
  <c r="M124" i="37"/>
  <c r="M79" i="37"/>
  <c r="M170" i="37"/>
  <c r="M147" i="37"/>
  <c r="M196" i="37"/>
  <c r="M176" i="37"/>
  <c r="M168" i="37"/>
  <c r="M171" i="37"/>
  <c r="M123" i="37"/>
  <c r="M144" i="37"/>
  <c r="M134" i="37"/>
  <c r="M195" i="37"/>
  <c r="M125" i="37"/>
  <c r="M169" i="37"/>
  <c r="M127" i="37"/>
  <c r="J11" i="37"/>
  <c r="J38" i="37"/>
  <c r="J32" i="37"/>
  <c r="K173" i="37"/>
  <c r="M10" i="37"/>
  <c r="K32" i="37"/>
  <c r="K11" i="37"/>
  <c r="K38" i="37"/>
  <c r="K7" i="13"/>
  <c r="H58" i="13"/>
  <c r="H60" i="13"/>
  <c r="P58" i="11"/>
  <c r="P60" i="11"/>
  <c r="T58" i="11"/>
  <c r="T60" i="11"/>
  <c r="W7" i="11"/>
  <c r="S58" i="13"/>
  <c r="S60" i="13"/>
  <c r="M58" i="11"/>
  <c r="M60" i="11"/>
  <c r="P7" i="12"/>
  <c r="K58" i="12"/>
  <c r="T7" i="12"/>
  <c r="K60" i="12"/>
  <c r="M7" i="12"/>
  <c r="W58" i="10"/>
  <c r="X7" i="10"/>
  <c r="W60" i="10"/>
  <c r="Q36" i="20"/>
  <c r="L36" i="20"/>
  <c r="D36" i="20"/>
  <c r="F36" i="20"/>
  <c r="O47" i="22"/>
  <c r="K47" i="22"/>
  <c r="G47" i="22"/>
  <c r="R47" i="22"/>
  <c r="N47" i="22"/>
  <c r="J47" i="22"/>
  <c r="F47" i="22"/>
  <c r="Q47" i="22"/>
  <c r="M47" i="22"/>
  <c r="I47" i="22"/>
  <c r="E47" i="22"/>
  <c r="L47" i="22"/>
  <c r="P47" i="22"/>
  <c r="H47" i="22"/>
  <c r="D47" i="22"/>
  <c r="Q42" i="21"/>
  <c r="M42" i="21"/>
  <c r="I42" i="21"/>
  <c r="E42" i="21"/>
  <c r="P42" i="21"/>
  <c r="L42" i="21"/>
  <c r="H42" i="21"/>
  <c r="D42" i="21"/>
  <c r="O42" i="21"/>
  <c r="K42" i="21"/>
  <c r="G42" i="21"/>
  <c r="N42" i="21"/>
  <c r="J42" i="21"/>
  <c r="R42" i="21"/>
  <c r="F42" i="21"/>
  <c r="Q42" i="20"/>
  <c r="M42" i="20"/>
  <c r="I42" i="20"/>
  <c r="E42" i="20"/>
  <c r="P42" i="20"/>
  <c r="L42" i="20"/>
  <c r="H42" i="20"/>
  <c r="D42" i="20"/>
  <c r="O42" i="20"/>
  <c r="K42" i="20"/>
  <c r="G42" i="20"/>
  <c r="F42" i="20"/>
  <c r="R42" i="20"/>
  <c r="N42" i="20"/>
  <c r="J42" i="20"/>
  <c r="K41" i="15"/>
  <c r="G37" i="21"/>
  <c r="F37" i="21"/>
  <c r="P37" i="21"/>
  <c r="H37" i="21"/>
  <c r="N37" i="21"/>
  <c r="L37" i="21"/>
  <c r="R37" i="21"/>
  <c r="Q37" i="21"/>
  <c r="D37" i="21"/>
  <c r="O37" i="21"/>
  <c r="M37" i="21"/>
  <c r="K37" i="21"/>
  <c r="J37" i="21"/>
  <c r="E37" i="21"/>
  <c r="I37" i="21"/>
  <c r="Q42" i="22"/>
  <c r="M42" i="22"/>
  <c r="I42" i="22"/>
  <c r="E42" i="22"/>
  <c r="P42" i="22"/>
  <c r="L42" i="22"/>
  <c r="H42" i="22"/>
  <c r="D42" i="22"/>
  <c r="O42" i="22"/>
  <c r="K42" i="22"/>
  <c r="G42" i="22"/>
  <c r="F42" i="22"/>
  <c r="R42" i="22"/>
  <c r="N42" i="22"/>
  <c r="J42" i="22"/>
  <c r="K37" i="20"/>
  <c r="J37" i="20"/>
  <c r="P37" i="20"/>
  <c r="M37" i="20"/>
  <c r="K36" i="15"/>
  <c r="I37" i="20"/>
  <c r="G37" i="20"/>
  <c r="F37" i="20"/>
  <c r="Q37" i="20"/>
  <c r="E37" i="20"/>
  <c r="R37" i="20"/>
  <c r="L37" i="20"/>
  <c r="H37" i="20"/>
  <c r="O37" i="20"/>
  <c r="N37" i="20"/>
  <c r="D37" i="20"/>
  <c r="O47" i="20"/>
  <c r="K47" i="20"/>
  <c r="G47" i="20"/>
  <c r="R47" i="20"/>
  <c r="N47" i="20"/>
  <c r="J47" i="20"/>
  <c r="F47" i="20"/>
  <c r="Q47" i="20"/>
  <c r="M47" i="20"/>
  <c r="I47" i="20"/>
  <c r="E47" i="20"/>
  <c r="L47" i="20"/>
  <c r="H47" i="20"/>
  <c r="D47" i="20"/>
  <c r="P47" i="20"/>
  <c r="O47" i="21"/>
  <c r="K47" i="21"/>
  <c r="G47" i="21"/>
  <c r="R47" i="21"/>
  <c r="N47" i="21"/>
  <c r="J47" i="21"/>
  <c r="F47" i="21"/>
  <c r="Q47" i="21"/>
  <c r="M47" i="21"/>
  <c r="I47" i="21"/>
  <c r="E47" i="21"/>
  <c r="D47" i="21"/>
  <c r="P47" i="21"/>
  <c r="L47" i="21"/>
  <c r="H47" i="21"/>
  <c r="P37" i="22"/>
  <c r="O37" i="22"/>
  <c r="N37" i="22"/>
  <c r="E37" i="22"/>
  <c r="L37" i="22"/>
  <c r="K37" i="22"/>
  <c r="J37" i="22"/>
  <c r="Q37" i="22"/>
  <c r="D37" i="22"/>
  <c r="I37" i="22"/>
  <c r="M37" i="22"/>
  <c r="F37" i="22"/>
  <c r="G37" i="22"/>
  <c r="R37" i="22"/>
  <c r="H37" i="22"/>
  <c r="J33" i="37"/>
  <c r="J173" i="37"/>
  <c r="J34" i="37"/>
  <c r="K36" i="20"/>
  <c r="J36" i="20"/>
  <c r="O36" i="20"/>
  <c r="M36" i="20"/>
  <c r="H36" i="20"/>
  <c r="N36" i="20"/>
  <c r="R36" i="20"/>
  <c r="I36" i="20"/>
  <c r="G36" i="20"/>
  <c r="E36" i="20"/>
  <c r="P36" i="20"/>
  <c r="L38" i="37"/>
  <c r="L32" i="37"/>
  <c r="L11" i="37"/>
  <c r="K34" i="37"/>
  <c r="K33" i="37"/>
  <c r="W58" i="11"/>
  <c r="W60" i="11"/>
  <c r="X7" i="11"/>
  <c r="X58" i="10"/>
  <c r="X60" i="10"/>
  <c r="T58" i="12"/>
  <c r="T60" i="12"/>
  <c r="W7" i="12"/>
  <c r="M58" i="12"/>
  <c r="M60" i="12"/>
  <c r="P58" i="12"/>
  <c r="P60" i="12"/>
  <c r="P7" i="13"/>
  <c r="K58" i="13"/>
  <c r="K60" i="13"/>
  <c r="T7" i="13"/>
  <c r="M7" i="13"/>
  <c r="O36" i="21"/>
  <c r="R36" i="21"/>
  <c r="K36" i="21"/>
  <c r="G36" i="21"/>
  <c r="Q36" i="21"/>
  <c r="P36" i="21"/>
  <c r="L36" i="21"/>
  <c r="N36" i="21"/>
  <c r="M36" i="21"/>
  <c r="J36" i="21"/>
  <c r="E36" i="21"/>
  <c r="D36" i="21"/>
  <c r="F36" i="21"/>
  <c r="I36" i="21"/>
  <c r="H36" i="21"/>
  <c r="K35" i="15"/>
  <c r="G36" i="22"/>
  <c r="M36" i="22"/>
  <c r="J36" i="22"/>
  <c r="I36" i="22"/>
  <c r="H36" i="22"/>
  <c r="K36" i="22"/>
  <c r="R36" i="22"/>
  <c r="N36" i="22"/>
  <c r="Q36" i="22"/>
  <c r="L36" i="22"/>
  <c r="O36" i="22"/>
  <c r="D36" i="22"/>
  <c r="P36" i="22"/>
  <c r="F36" i="22"/>
  <c r="E36" i="22"/>
  <c r="L173" i="37"/>
  <c r="L33" i="37"/>
  <c r="M38" i="37"/>
  <c r="M32" i="37"/>
  <c r="M11" i="37"/>
  <c r="L34" i="37"/>
  <c r="T60" i="13"/>
  <c r="T58" i="13"/>
  <c r="W7" i="13"/>
  <c r="W58" i="12"/>
  <c r="X7" i="12"/>
  <c r="W60" i="12"/>
  <c r="X58" i="11"/>
  <c r="X60" i="11"/>
  <c r="M58" i="13"/>
  <c r="M60" i="13"/>
  <c r="P58" i="13"/>
  <c r="P60" i="13"/>
  <c r="M173" i="37"/>
  <c r="M33" i="37"/>
  <c r="M34" i="37"/>
  <c r="W58" i="13"/>
  <c r="X7" i="13"/>
  <c r="W60" i="13"/>
  <c r="X58" i="12"/>
  <c r="X60" i="12"/>
  <c r="J133" i="9"/>
  <c r="X58" i="13"/>
  <c r="X60" i="13"/>
  <c r="F66" i="34"/>
  <c r="J16" i="9"/>
  <c r="O96" i="22"/>
  <c r="K96" i="20"/>
  <c r="H96" i="22"/>
  <c r="H96" i="20"/>
  <c r="F96" i="22"/>
  <c r="E96" i="22"/>
  <c r="N96" i="22"/>
  <c r="L96" i="22"/>
  <c r="J96" i="20"/>
  <c r="G96" i="20"/>
  <c r="K100" i="21"/>
  <c r="O100" i="21"/>
  <c r="G100" i="21"/>
  <c r="E100" i="21"/>
  <c r="D100" i="21"/>
  <c r="F100" i="21"/>
  <c r="N100" i="21"/>
  <c r="L100" i="21"/>
  <c r="J100" i="21"/>
  <c r="M100" i="21"/>
  <c r="H100" i="21"/>
  <c r="I100" i="21"/>
  <c r="I98" i="21"/>
  <c r="H98" i="21"/>
  <c r="J98" i="21"/>
  <c r="G98" i="21"/>
  <c r="M98" i="21"/>
  <c r="E98" i="21"/>
  <c r="N98" i="21"/>
  <c r="L98" i="21"/>
  <c r="D98" i="21"/>
  <c r="O98" i="21"/>
  <c r="F98" i="21"/>
  <c r="K98" i="21"/>
  <c r="F103" i="21"/>
  <c r="K103" i="21"/>
  <c r="L103" i="21"/>
  <c r="E103" i="21"/>
  <c r="O103" i="21"/>
  <c r="N103" i="21"/>
  <c r="J103" i="21"/>
  <c r="D103" i="21"/>
  <c r="I103" i="21"/>
  <c r="H103" i="21"/>
  <c r="G103" i="21"/>
  <c r="M103" i="21"/>
  <c r="I102" i="21"/>
  <c r="D102" i="21"/>
  <c r="L102" i="21"/>
  <c r="J102" i="21"/>
  <c r="F102" i="21"/>
  <c r="G102" i="21"/>
  <c r="N102" i="21"/>
  <c r="O102" i="21"/>
  <c r="K102" i="21"/>
  <c r="M102" i="21"/>
  <c r="E102" i="21"/>
  <c r="H102" i="21"/>
  <c r="D104" i="21"/>
  <c r="O104" i="21"/>
  <c r="N104" i="21"/>
  <c r="M104" i="21"/>
  <c r="E104" i="21"/>
  <c r="G104" i="21"/>
  <c r="F104" i="21"/>
  <c r="I104" i="21"/>
  <c r="K104" i="21"/>
  <c r="H104" i="21"/>
  <c r="J104" i="21"/>
  <c r="L104" i="21"/>
  <c r="I97" i="21"/>
  <c r="H97" i="21"/>
  <c r="F97" i="21"/>
  <c r="M97" i="21"/>
  <c r="D97" i="21"/>
  <c r="O97" i="21"/>
  <c r="K97" i="21"/>
  <c r="G97" i="21"/>
  <c r="J97" i="21"/>
  <c r="N97" i="21"/>
  <c r="L97" i="21"/>
  <c r="E97" i="21"/>
  <c r="O96" i="21"/>
  <c r="M96" i="20"/>
  <c r="J96" i="21"/>
  <c r="I96" i="21"/>
  <c r="E96" i="20"/>
  <c r="M96" i="21"/>
  <c r="N96" i="21"/>
  <c r="D96" i="22"/>
  <c r="H96" i="21"/>
  <c r="I96" i="22"/>
  <c r="E101" i="21"/>
  <c r="H101" i="21"/>
  <c r="M101" i="21"/>
  <c r="G101" i="21"/>
  <c r="F101" i="21"/>
  <c r="N101" i="21"/>
  <c r="L101" i="21"/>
  <c r="I101" i="21"/>
  <c r="K101" i="21"/>
  <c r="J101" i="21"/>
  <c r="O101" i="21"/>
  <c r="D101" i="21"/>
  <c r="G96" i="22"/>
  <c r="F99" i="21"/>
  <c r="I99" i="21"/>
  <c r="N99" i="21"/>
  <c r="J99" i="21"/>
  <c r="G99" i="21"/>
  <c r="O99" i="21"/>
  <c r="E99" i="21"/>
  <c r="H99" i="21"/>
  <c r="D99" i="21"/>
  <c r="L99" i="21"/>
  <c r="M99" i="21"/>
  <c r="K99" i="21"/>
  <c r="I97" i="22"/>
  <c r="M97" i="22"/>
  <c r="G97" i="22"/>
  <c r="E97" i="22"/>
  <c r="F97" i="22"/>
  <c r="K97" i="22"/>
  <c r="D97" i="22"/>
  <c r="H97" i="22"/>
  <c r="O97" i="22"/>
  <c r="N97" i="22"/>
  <c r="J97" i="22"/>
  <c r="L97" i="22"/>
  <c r="H103" i="22"/>
  <c r="J103" i="22"/>
  <c r="D103" i="22"/>
  <c r="G103" i="22"/>
  <c r="L103" i="22"/>
  <c r="O103" i="22"/>
  <c r="N103" i="22"/>
  <c r="K103" i="22"/>
  <c r="F103" i="22"/>
  <c r="I103" i="22"/>
  <c r="E103" i="22"/>
  <c r="M103" i="22"/>
  <c r="J104" i="22"/>
  <c r="K104" i="22"/>
  <c r="F104" i="22"/>
  <c r="D104" i="22"/>
  <c r="I104" i="22"/>
  <c r="M104" i="22"/>
  <c r="O104" i="22"/>
  <c r="H104" i="22"/>
  <c r="G104" i="22"/>
  <c r="L104" i="22"/>
  <c r="N104" i="22"/>
  <c r="E104" i="22"/>
  <c r="N101" i="22"/>
  <c r="F101" i="22"/>
  <c r="K101" i="22"/>
  <c r="M101" i="22"/>
  <c r="L101" i="22"/>
  <c r="D101" i="22"/>
  <c r="E101" i="22"/>
  <c r="I101" i="22"/>
  <c r="H101" i="22"/>
  <c r="G101" i="22"/>
  <c r="O101" i="22"/>
  <c r="J101" i="22"/>
  <c r="E98" i="22"/>
  <c r="I98" i="22"/>
  <c r="G98" i="22"/>
  <c r="D98" i="22"/>
  <c r="N98" i="22"/>
  <c r="O98" i="22"/>
  <c r="F98" i="22"/>
  <c r="J98" i="22"/>
  <c r="L98" i="22"/>
  <c r="K98" i="22"/>
  <c r="H98" i="22"/>
  <c r="M98" i="22"/>
  <c r="E99" i="22"/>
  <c r="K99" i="22"/>
  <c r="L99" i="22"/>
  <c r="J99" i="22"/>
  <c r="H99" i="22"/>
  <c r="I99" i="22"/>
  <c r="N99" i="22"/>
  <c r="F99" i="22"/>
  <c r="M99" i="22"/>
  <c r="D99" i="22"/>
  <c r="O99" i="22"/>
  <c r="G99" i="22"/>
  <c r="G102" i="22"/>
  <c r="M102" i="22"/>
  <c r="D102" i="22"/>
  <c r="L102" i="22"/>
  <c r="E102" i="22"/>
  <c r="F102" i="22"/>
  <c r="J102" i="22"/>
  <c r="H102" i="22"/>
  <c r="K102" i="22"/>
  <c r="N102" i="22"/>
  <c r="O102" i="22"/>
  <c r="I102" i="22"/>
  <c r="G100" i="22"/>
  <c r="I100" i="22"/>
  <c r="K100" i="22"/>
  <c r="O100" i="22"/>
  <c r="L100" i="22"/>
  <c r="E100" i="22"/>
  <c r="D100" i="22"/>
  <c r="N100" i="22"/>
  <c r="M100" i="22"/>
  <c r="J100" i="22"/>
  <c r="F100" i="22"/>
  <c r="H100" i="22"/>
  <c r="E96" i="21"/>
  <c r="M96" i="22"/>
  <c r="K96" i="22"/>
  <c r="G96" i="21"/>
  <c r="I96" i="20"/>
  <c r="O96" i="20"/>
  <c r="J70" i="9"/>
  <c r="K96" i="21"/>
  <c r="J96" i="22"/>
  <c r="L96" i="20"/>
  <c r="K102" i="20"/>
  <c r="E102" i="20"/>
  <c r="H102" i="20"/>
  <c r="G102" i="20"/>
  <c r="D102" i="20"/>
  <c r="J102" i="20"/>
  <c r="I102" i="20"/>
  <c r="M102" i="20"/>
  <c r="F102" i="20"/>
  <c r="O102" i="20"/>
  <c r="N102" i="20"/>
  <c r="L102" i="20"/>
  <c r="M99" i="20"/>
  <c r="N99" i="20"/>
  <c r="H99" i="20"/>
  <c r="J99" i="20"/>
  <c r="L99" i="20"/>
  <c r="O99" i="20"/>
  <c r="D99" i="20"/>
  <c r="F99" i="20"/>
  <c r="E99" i="20"/>
  <c r="K99" i="20"/>
  <c r="G99" i="20"/>
  <c r="I99" i="20"/>
  <c r="D96" i="21"/>
  <c r="G98" i="20"/>
  <c r="J98" i="20"/>
  <c r="M98" i="20"/>
  <c r="F98" i="20"/>
  <c r="N98" i="20"/>
  <c r="K98" i="20"/>
  <c r="O98" i="20"/>
  <c r="L98" i="20"/>
  <c r="H98" i="20"/>
  <c r="D98" i="20"/>
  <c r="E98" i="20"/>
  <c r="I98" i="20"/>
  <c r="M97" i="20"/>
  <c r="H97" i="20"/>
  <c r="D97" i="20"/>
  <c r="N97" i="20"/>
  <c r="J97" i="20"/>
  <c r="K97" i="20"/>
  <c r="I97" i="20"/>
  <c r="E97" i="20"/>
  <c r="L97" i="20"/>
  <c r="O97" i="20"/>
  <c r="G97" i="20"/>
  <c r="F97" i="20"/>
  <c r="I104" i="20"/>
  <c r="M104" i="20"/>
  <c r="D104" i="20"/>
  <c r="H104" i="20"/>
  <c r="O104" i="20"/>
  <c r="G104" i="20"/>
  <c r="E104" i="20"/>
  <c r="L104" i="20"/>
  <c r="F104" i="20"/>
  <c r="J104" i="20"/>
  <c r="K104" i="20"/>
  <c r="N104" i="20"/>
  <c r="E100" i="20"/>
  <c r="M100" i="20"/>
  <c r="H100" i="20"/>
  <c r="N100" i="20"/>
  <c r="D100" i="20"/>
  <c r="K100" i="20"/>
  <c r="F100" i="20"/>
  <c r="O100" i="20"/>
  <c r="L100" i="20"/>
  <c r="J100" i="20"/>
  <c r="G100" i="20"/>
  <c r="I100" i="20"/>
  <c r="O103" i="20"/>
  <c r="L103" i="20"/>
  <c r="N103" i="20"/>
  <c r="M103" i="20"/>
  <c r="D103" i="20"/>
  <c r="E103" i="20"/>
  <c r="K103" i="20"/>
  <c r="G103" i="20"/>
  <c r="J103" i="20"/>
  <c r="F103" i="20"/>
  <c r="H103" i="20"/>
  <c r="I103" i="20"/>
  <c r="N101" i="20"/>
  <c r="L101" i="20"/>
  <c r="F101" i="20"/>
  <c r="K101" i="20"/>
  <c r="G101" i="20"/>
  <c r="I101" i="20"/>
  <c r="J101" i="20"/>
  <c r="H101" i="20"/>
  <c r="O101" i="20"/>
  <c r="D101" i="20"/>
  <c r="M101" i="20"/>
  <c r="E101" i="20"/>
  <c r="L96" i="21"/>
  <c r="F96" i="20"/>
  <c r="F96" i="21"/>
  <c r="N96" i="20"/>
  <c r="D96" i="20"/>
  <c r="J48" i="37"/>
  <c r="K48" i="37"/>
  <c r="L48" i="37"/>
  <c r="J28" i="40"/>
  <c r="J32" i="40"/>
  <c r="P28" i="40"/>
  <c r="P32" i="40"/>
  <c r="M48" i="37"/>
  <c r="J85" i="21"/>
  <c r="M85" i="21"/>
  <c r="I85" i="21"/>
  <c r="E85" i="21"/>
  <c r="D85" i="21"/>
  <c r="F85" i="21"/>
  <c r="N85" i="21"/>
  <c r="O85" i="21"/>
  <c r="K85" i="21"/>
  <c r="G85" i="21"/>
  <c r="L85" i="21"/>
  <c r="H85" i="21"/>
  <c r="K84" i="21"/>
  <c r="E84" i="21"/>
  <c r="O84" i="21"/>
  <c r="L84" i="21"/>
  <c r="I84" i="21"/>
  <c r="F84" i="21"/>
  <c r="M84" i="21"/>
  <c r="G84" i="21"/>
  <c r="D84" i="21"/>
  <c r="N84" i="21"/>
  <c r="J84" i="21"/>
  <c r="H84" i="21"/>
  <c r="L92" i="21"/>
  <c r="O92" i="21"/>
  <c r="J92" i="21"/>
  <c r="I92" i="21"/>
  <c r="N92" i="21"/>
  <c r="G92" i="21"/>
  <c r="K92" i="21"/>
  <c r="M92" i="21"/>
  <c r="E92" i="21"/>
  <c r="F92" i="21"/>
  <c r="H92" i="21"/>
  <c r="D92" i="21"/>
  <c r="O105" i="21"/>
  <c r="K105" i="21"/>
  <c r="I105" i="21"/>
  <c r="M105" i="21"/>
  <c r="D105" i="21"/>
  <c r="E105" i="21"/>
  <c r="N105" i="21"/>
  <c r="G105" i="21"/>
  <c r="F105" i="21"/>
  <c r="J105" i="21"/>
  <c r="L105" i="21"/>
  <c r="H105" i="21"/>
  <c r="G84" i="22"/>
  <c r="O84" i="22"/>
  <c r="I84" i="22"/>
  <c r="F84" i="22"/>
  <c r="K84" i="22"/>
  <c r="H84" i="22"/>
  <c r="D84" i="22"/>
  <c r="J84" i="22"/>
  <c r="L84" i="22"/>
  <c r="E84" i="22"/>
  <c r="M84" i="22"/>
  <c r="N84" i="22"/>
  <c r="L105" i="22"/>
  <c r="H105" i="22"/>
  <c r="F105" i="22"/>
  <c r="N105" i="22"/>
  <c r="G105" i="22"/>
  <c r="I105" i="22"/>
  <c r="J105" i="22"/>
  <c r="M105" i="22"/>
  <c r="K105" i="22"/>
  <c r="D105" i="22"/>
  <c r="O105" i="22"/>
  <c r="E105" i="22"/>
  <c r="F92" i="22"/>
  <c r="K92" i="22"/>
  <c r="G92" i="22"/>
  <c r="N92" i="22"/>
  <c r="M92" i="22"/>
  <c r="H92" i="22"/>
  <c r="O92" i="22"/>
  <c r="L92" i="22"/>
  <c r="D92" i="22"/>
  <c r="J92" i="22"/>
  <c r="I92" i="22"/>
  <c r="E92" i="22"/>
  <c r="I85" i="22"/>
  <c r="M85" i="22"/>
  <c r="D85" i="22"/>
  <c r="K85" i="22"/>
  <c r="G85" i="22"/>
  <c r="O85" i="22"/>
  <c r="N85" i="22"/>
  <c r="J85" i="22"/>
  <c r="L85" i="22"/>
  <c r="F85" i="22"/>
  <c r="E85" i="22"/>
  <c r="H85" i="22"/>
  <c r="V89" i="9"/>
  <c r="P46" i="40"/>
  <c r="K89" i="9"/>
  <c r="L89" i="9" s="1"/>
  <c r="D46" i="40"/>
  <c r="D28" i="40"/>
  <c r="D32" i="40"/>
  <c r="S85" i="21"/>
  <c r="S92" i="22"/>
  <c r="S84" i="21"/>
  <c r="D84" i="20"/>
  <c r="E84" i="20"/>
  <c r="N84" i="20"/>
  <c r="F84" i="20"/>
  <c r="M84" i="20"/>
  <c r="H84" i="20"/>
  <c r="O84" i="20"/>
  <c r="I84" i="20"/>
  <c r="G84" i="20"/>
  <c r="L84" i="20"/>
  <c r="K84" i="20"/>
  <c r="J84" i="20"/>
  <c r="K51" i="9"/>
  <c r="K64" i="9"/>
  <c r="H122" i="37" s="1"/>
  <c r="S59" i="42" s="1"/>
  <c r="N92" i="20"/>
  <c r="G92" i="20"/>
  <c r="F92" i="20"/>
  <c r="D92" i="20"/>
  <c r="O92" i="20"/>
  <c r="K92" i="20"/>
  <c r="I92" i="20"/>
  <c r="L92" i="20"/>
  <c r="J92" i="20"/>
  <c r="M92" i="20"/>
  <c r="E92" i="20"/>
  <c r="H92" i="20"/>
  <c r="H85" i="20"/>
  <c r="N85" i="20"/>
  <c r="J85" i="20"/>
  <c r="I85" i="20"/>
  <c r="O85" i="20"/>
  <c r="F85" i="20"/>
  <c r="G85" i="20"/>
  <c r="M85" i="20"/>
  <c r="D85" i="20"/>
  <c r="L85" i="20"/>
  <c r="E85" i="20"/>
  <c r="K85" i="20"/>
  <c r="K52" i="9"/>
  <c r="S85" i="22"/>
  <c r="S84" i="22"/>
  <c r="D105" i="20"/>
  <c r="O105" i="20"/>
  <c r="I105" i="20"/>
  <c r="J105" i="20"/>
  <c r="H105" i="20"/>
  <c r="M105" i="20"/>
  <c r="E105" i="20"/>
  <c r="K69" i="9"/>
  <c r="H133" i="37" s="1"/>
  <c r="S70" i="42" s="1"/>
  <c r="N105" i="20"/>
  <c r="L105" i="20"/>
  <c r="F105" i="20"/>
  <c r="G105" i="20"/>
  <c r="K105" i="20"/>
  <c r="T89" i="9"/>
  <c r="U89" i="9"/>
  <c r="J46" i="40"/>
  <c r="E33" i="16"/>
  <c r="D33" i="16"/>
  <c r="O179" i="37"/>
  <c r="N179" i="37"/>
  <c r="H155" i="37"/>
  <c r="S94" i="42" s="1"/>
  <c r="J106" i="37"/>
  <c r="K106" i="37"/>
  <c r="J107" i="37"/>
  <c r="J181" i="37"/>
  <c r="K181" i="37"/>
  <c r="J150" i="37"/>
  <c r="K150" i="37"/>
  <c r="J146" i="37"/>
  <c r="K146" i="37"/>
  <c r="K94" i="37"/>
  <c r="J94" i="37"/>
  <c r="K177" i="37"/>
  <c r="J177" i="37"/>
  <c r="J132" i="37"/>
  <c r="K132" i="37"/>
  <c r="K82" i="37"/>
  <c r="J82" i="37"/>
  <c r="J166" i="37"/>
  <c r="K166" i="37"/>
  <c r="K152" i="37"/>
  <c r="J152" i="37"/>
  <c r="S84" i="20"/>
  <c r="J143" i="37"/>
  <c r="K143" i="37"/>
  <c r="K160" i="37"/>
  <c r="J160" i="37"/>
  <c r="K172" i="37"/>
  <c r="J172" i="37"/>
  <c r="K92" i="37"/>
  <c r="J92" i="37"/>
  <c r="K178" i="37"/>
  <c r="J178" i="37"/>
  <c r="K157" i="37"/>
  <c r="J157" i="37"/>
  <c r="J133" i="37"/>
  <c r="K133" i="37"/>
  <c r="K81" i="37"/>
  <c r="J81" i="37"/>
  <c r="K163" i="37"/>
  <c r="J163" i="37"/>
  <c r="J129" i="37"/>
  <c r="K129" i="37"/>
  <c r="J164" i="37"/>
  <c r="K164" i="37"/>
  <c r="J145" i="37"/>
  <c r="K145" i="37"/>
  <c r="J91" i="37"/>
  <c r="K91" i="37"/>
  <c r="K93" i="37"/>
  <c r="J93" i="37"/>
  <c r="J148" i="37"/>
  <c r="K148" i="37"/>
  <c r="K175" i="37"/>
  <c r="J175" i="37"/>
  <c r="K72" i="37"/>
  <c r="J72" i="37"/>
  <c r="J130" i="37"/>
  <c r="K130" i="37"/>
  <c r="K165" i="37"/>
  <c r="J165" i="37"/>
  <c r="J153" i="37"/>
  <c r="K153" i="37"/>
  <c r="K70" i="37"/>
  <c r="J70" i="37"/>
  <c r="J174" i="37"/>
  <c r="K174" i="37"/>
  <c r="K158" i="37"/>
  <c r="J158" i="37"/>
  <c r="K189" i="37"/>
  <c r="K192" i="37" s="1"/>
  <c r="J189" i="37"/>
  <c r="J192" i="37" s="1"/>
  <c r="K167" i="37"/>
  <c r="J167" i="37"/>
  <c r="S92" i="20"/>
  <c r="J122" i="37"/>
  <c r="K122" i="37"/>
  <c r="J159" i="37"/>
  <c r="K159" i="37"/>
  <c r="K71" i="37"/>
  <c r="J71" i="37"/>
  <c r="S118" i="42"/>
  <c r="N118" i="42" s="1"/>
  <c r="J121" i="37"/>
  <c r="K121" i="37"/>
  <c r="K155" i="37"/>
  <c r="J155" i="37"/>
  <c r="K149" i="37"/>
  <c r="J149" i="37"/>
  <c r="K95" i="37"/>
  <c r="J95" i="37"/>
  <c r="J156" i="37"/>
  <c r="K156" i="37"/>
  <c r="J119" i="37"/>
  <c r="K119" i="37"/>
  <c r="S85" i="20"/>
  <c r="J83" i="37"/>
  <c r="K83" i="37"/>
  <c r="K74" i="37"/>
  <c r="J74" i="37"/>
  <c r="K131" i="37"/>
  <c r="J131" i="37"/>
  <c r="R89" i="9"/>
  <c r="M154" i="37"/>
  <c r="L130" i="37"/>
  <c r="L95" i="37"/>
  <c r="L150" i="37"/>
  <c r="L83" i="37"/>
  <c r="L152" i="37"/>
  <c r="L74" i="37"/>
  <c r="L143" i="37"/>
  <c r="L160" i="37"/>
  <c r="L122" i="37"/>
  <c r="L72" i="37"/>
  <c r="L94" i="37"/>
  <c r="L153" i="37"/>
  <c r="L146" i="37"/>
  <c r="L106" i="37"/>
  <c r="L131" i="37"/>
  <c r="L149" i="37"/>
  <c r="L165" i="37"/>
  <c r="L159" i="37"/>
  <c r="L175" i="37"/>
  <c r="L91" i="37"/>
  <c r="L167" i="37"/>
  <c r="M167" i="37"/>
  <c r="L121" i="37"/>
  <c r="L158" i="37"/>
  <c r="L163" i="37"/>
  <c r="L133" i="37"/>
  <c r="L172" i="37"/>
  <c r="L166" i="37"/>
  <c r="L177" i="37"/>
  <c r="L145" i="37"/>
  <c r="L156" i="37"/>
  <c r="L189" i="37"/>
  <c r="L192" i="37" s="1"/>
  <c r="L148" i="37"/>
  <c r="L164" i="37"/>
  <c r="L119" i="37"/>
  <c r="L155" i="37"/>
  <c r="L71" i="37"/>
  <c r="L70" i="37"/>
  <c r="L81" i="37"/>
  <c r="L92" i="37"/>
  <c r="L174" i="37"/>
  <c r="L93" i="37"/>
  <c r="L129" i="37"/>
  <c r="L157" i="37"/>
  <c r="L178" i="37"/>
  <c r="L82" i="37"/>
  <c r="L132" i="37"/>
  <c r="L181" i="37"/>
  <c r="M181" i="37"/>
  <c r="K107" i="37"/>
  <c r="K111" i="37"/>
  <c r="J111" i="37"/>
  <c r="J108" i="37"/>
  <c r="K108" i="37"/>
  <c r="J97" i="37"/>
  <c r="K97" i="37"/>
  <c r="K109" i="37"/>
  <c r="J109" i="37"/>
  <c r="J100" i="37"/>
  <c r="K100" i="37"/>
  <c r="K110" i="37"/>
  <c r="J110" i="37"/>
  <c r="K112" i="37"/>
  <c r="J112" i="37"/>
  <c r="K151" i="37"/>
  <c r="J151" i="37"/>
  <c r="K116" i="37"/>
  <c r="J116" i="37"/>
  <c r="J68" i="37"/>
  <c r="K68" i="37"/>
  <c r="J142" i="37"/>
  <c r="K142" i="37"/>
  <c r="K80" i="37"/>
  <c r="J80" i="37"/>
  <c r="M95" i="37"/>
  <c r="M160" i="37"/>
  <c r="M74" i="37"/>
  <c r="M121" i="37"/>
  <c r="M163" i="37"/>
  <c r="M165" i="37"/>
  <c r="M122" i="37"/>
  <c r="M130" i="37"/>
  <c r="M175" i="37"/>
  <c r="M146" i="37"/>
  <c r="M83" i="37"/>
  <c r="M94" i="37"/>
  <c r="M72" i="37"/>
  <c r="M143" i="37"/>
  <c r="M132" i="37"/>
  <c r="M159" i="37"/>
  <c r="M177" i="37"/>
  <c r="M133" i="37"/>
  <c r="M92" i="37"/>
  <c r="M157" i="37"/>
  <c r="M129" i="37"/>
  <c r="M164" i="37"/>
  <c r="M93" i="37"/>
  <c r="M82" i="37"/>
  <c r="M148" i="37"/>
  <c r="M189" i="37"/>
  <c r="M192" i="37" s="1"/>
  <c r="M119" i="37"/>
  <c r="M156" i="37"/>
  <c r="M166" i="37"/>
  <c r="M155" i="37"/>
  <c r="M174" i="37"/>
  <c r="M71" i="37"/>
  <c r="M131" i="37"/>
  <c r="M172" i="37"/>
  <c r="M70" i="37"/>
  <c r="M91" i="37"/>
  <c r="M149" i="37"/>
  <c r="M178" i="37"/>
  <c r="M153" i="37"/>
  <c r="M145" i="37"/>
  <c r="M150" i="37"/>
  <c r="M106" i="37"/>
  <c r="M81" i="37"/>
  <c r="M158" i="37"/>
  <c r="M152" i="37"/>
  <c r="L151" i="37"/>
  <c r="L142" i="37"/>
  <c r="L68" i="37"/>
  <c r="L76" i="37"/>
  <c r="L111" i="37"/>
  <c r="L107" i="37"/>
  <c r="L80" i="37"/>
  <c r="L116" i="37"/>
  <c r="L100" i="37"/>
  <c r="L110" i="37"/>
  <c r="L112" i="37"/>
  <c r="L109" i="37"/>
  <c r="L108" i="37"/>
  <c r="L97" i="37"/>
  <c r="J86" i="37"/>
  <c r="K86" i="37"/>
  <c r="K76" i="37"/>
  <c r="J76" i="37"/>
  <c r="M80" i="37"/>
  <c r="M86" i="37"/>
  <c r="M68" i="37"/>
  <c r="M76" i="37"/>
  <c r="L86" i="37"/>
  <c r="M151" i="37"/>
  <c r="M111" i="37"/>
  <c r="M109" i="37"/>
  <c r="M100" i="37"/>
  <c r="M116" i="37"/>
  <c r="M108" i="37"/>
  <c r="M142" i="37"/>
  <c r="M112" i="37"/>
  <c r="M107" i="37"/>
  <c r="M110" i="37"/>
  <c r="M97" i="37"/>
  <c r="I69" i="14"/>
  <c r="G70" i="14"/>
  <c r="J53" i="9"/>
  <c r="J55" i="9"/>
  <c r="K89" i="37"/>
  <c r="J89" i="37"/>
  <c r="L89" i="37"/>
  <c r="M89" i="37"/>
  <c r="L32" i="16"/>
  <c r="H161" i="37"/>
  <c r="M161" i="37"/>
  <c r="I32" i="37"/>
  <c r="I45" i="37"/>
  <c r="I72" i="37"/>
  <c r="I145" i="37"/>
  <c r="I153" i="37"/>
  <c r="I118" i="37"/>
  <c r="I129" i="37"/>
  <c r="I167" i="37"/>
  <c r="I49" i="37"/>
  <c r="I82" i="37"/>
  <c r="I166" i="37"/>
  <c r="I120" i="37"/>
  <c r="I162" i="37"/>
  <c r="I149" i="37"/>
  <c r="I181" i="37"/>
  <c r="I96" i="37"/>
  <c r="I112" i="37"/>
  <c r="I171" i="37"/>
  <c r="I134" i="37"/>
  <c r="I59" i="37"/>
  <c r="I20" i="37"/>
  <c r="I116" i="37"/>
  <c r="I157" i="37"/>
  <c r="I146" i="37"/>
  <c r="I163" i="37"/>
  <c r="I119" i="37"/>
  <c r="I177" i="37"/>
  <c r="I95" i="37"/>
  <c r="I73" i="37"/>
  <c r="I164" i="37"/>
  <c r="I125" i="37"/>
  <c r="I147" i="37"/>
  <c r="I37" i="37"/>
  <c r="I57" i="37"/>
  <c r="N57" i="37"/>
  <c r="I53" i="37"/>
  <c r="I19" i="37"/>
  <c r="I81" i="37"/>
  <c r="I11" i="37"/>
  <c r="I148" i="37"/>
  <c r="I35" i="37"/>
  <c r="I158" i="37"/>
  <c r="I175" i="37"/>
  <c r="I173" i="37"/>
  <c r="I74" i="37"/>
  <c r="I156" i="37"/>
  <c r="I150" i="37"/>
  <c r="O150" i="37"/>
  <c r="I110" i="37"/>
  <c r="I111" i="37"/>
  <c r="I124" i="37"/>
  <c r="I180" i="37"/>
  <c r="I169" i="37"/>
  <c r="I54" i="37"/>
  <c r="I68" i="37"/>
  <c r="I94" i="37"/>
  <c r="I22" i="37"/>
  <c r="I107" i="37"/>
  <c r="I143" i="37"/>
  <c r="I38" i="37"/>
  <c r="I189" i="37"/>
  <c r="I192" i="37" s="1"/>
  <c r="I10" i="37"/>
  <c r="I165" i="37"/>
  <c r="I91" i="37"/>
  <c r="I99" i="37"/>
  <c r="N99" i="37"/>
  <c r="I31" i="37"/>
  <c r="I33" i="37"/>
  <c r="I55" i="37"/>
  <c r="I184" i="37"/>
  <c r="I36" i="37"/>
  <c r="O36" i="37"/>
  <c r="I142" i="37"/>
  <c r="I89" i="37"/>
  <c r="I161" i="37"/>
  <c r="I93" i="37"/>
  <c r="I83" i="37"/>
  <c r="I80" i="37"/>
  <c r="I160" i="37"/>
  <c r="I172" i="37"/>
  <c r="I121" i="37"/>
  <c r="I47" i="37"/>
  <c r="I174" i="37"/>
  <c r="I70" i="37"/>
  <c r="I92" i="37"/>
  <c r="I69" i="37"/>
  <c r="I195" i="37"/>
  <c r="I144" i="37"/>
  <c r="I170" i="37"/>
  <c r="I46" i="37"/>
  <c r="I52" i="37"/>
  <c r="I100" i="37"/>
  <c r="I131" i="37"/>
  <c r="I122" i="37"/>
  <c r="I154" i="37"/>
  <c r="I117" i="37"/>
  <c r="I178" i="37"/>
  <c r="I168" i="37"/>
  <c r="I106" i="37"/>
  <c r="I152" i="37"/>
  <c r="I90" i="37"/>
  <c r="I21" i="37"/>
  <c r="I56" i="37"/>
  <c r="I196" i="37"/>
  <c r="I123" i="37"/>
  <c r="I51" i="37"/>
  <c r="I9" i="37"/>
  <c r="I71" i="37"/>
  <c r="I79" i="37"/>
  <c r="I97" i="37"/>
  <c r="I151" i="37"/>
  <c r="I159" i="37"/>
  <c r="I132" i="37"/>
  <c r="I58" i="37"/>
  <c r="I133" i="37"/>
  <c r="I130" i="37"/>
  <c r="I155" i="37"/>
  <c r="I98" i="37"/>
  <c r="I101" i="37"/>
  <c r="I109" i="37"/>
  <c r="O109" i="37"/>
  <c r="I108" i="37"/>
  <c r="I48" i="37"/>
  <c r="I24" i="37"/>
  <c r="I34" i="37"/>
  <c r="I176" i="37"/>
  <c r="I126" i="37"/>
  <c r="I128" i="37"/>
  <c r="I127" i="37"/>
  <c r="N127" i="37"/>
  <c r="I23" i="37"/>
  <c r="N23" i="37"/>
  <c r="I50" i="37"/>
  <c r="N106" i="37"/>
  <c r="O112" i="37"/>
  <c r="I86" i="37"/>
  <c r="N180" i="37"/>
  <c r="N128" i="37"/>
  <c r="N24" i="37"/>
  <c r="O127" i="37"/>
  <c r="O92" i="37"/>
  <c r="N9" i="37"/>
  <c r="O9" i="37"/>
  <c r="O155" i="37"/>
  <c r="N133" i="37"/>
  <c r="N56" i="37"/>
  <c r="N49" i="37"/>
  <c r="N176" i="37"/>
  <c r="O91" i="37"/>
  <c r="O196" i="37"/>
  <c r="N184" i="37"/>
  <c r="O49" i="37"/>
  <c r="O57" i="37"/>
  <c r="N164" i="37"/>
  <c r="N59" i="37"/>
  <c r="N123" i="37"/>
  <c r="O176" i="37"/>
  <c r="O56" i="37"/>
  <c r="N69" i="37"/>
  <c r="N92" i="37"/>
  <c r="N55" i="37"/>
  <c r="O99" i="37"/>
  <c r="O111" i="37"/>
  <c r="N37" i="37"/>
  <c r="O73" i="37"/>
  <c r="O171" i="37"/>
  <c r="O96" i="37"/>
  <c r="N108" i="37"/>
  <c r="N74" i="37"/>
  <c r="O82" i="37"/>
  <c r="N98" i="37"/>
  <c r="N196" i="37"/>
  <c r="N170" i="37"/>
  <c r="O74" i="37"/>
  <c r="O95" i="37"/>
  <c r="O83" i="37"/>
  <c r="O169" i="37"/>
  <c r="N34" i="37"/>
  <c r="O165" i="37"/>
  <c r="I76" i="37"/>
  <c r="N169" i="37"/>
  <c r="O37" i="37"/>
  <c r="N171" i="37"/>
  <c r="N155" i="37"/>
  <c r="N54" i="37"/>
  <c r="O180" i="37"/>
  <c r="N111" i="37"/>
  <c r="N126" i="37"/>
  <c r="O126" i="37"/>
  <c r="N132" i="37"/>
  <c r="O132" i="37"/>
  <c r="N101" i="37"/>
  <c r="N48" i="37"/>
  <c r="O108" i="37"/>
  <c r="O34" i="37"/>
  <c r="N151" i="37"/>
  <c r="O151" i="37"/>
  <c r="N71" i="37"/>
  <c r="O71" i="37"/>
  <c r="O52" i="37"/>
  <c r="N52" i="37"/>
  <c r="O69" i="37"/>
  <c r="O70" i="37"/>
  <c r="O47" i="37"/>
  <c r="N47" i="37"/>
  <c r="O160" i="37"/>
  <c r="N160" i="37"/>
  <c r="N83" i="37"/>
  <c r="O93" i="37"/>
  <c r="N93" i="37"/>
  <c r="O124" i="37"/>
  <c r="O50" i="37"/>
  <c r="O23" i="37"/>
  <c r="O123" i="37"/>
  <c r="O21" i="37"/>
  <c r="O170" i="37"/>
  <c r="N144" i="37"/>
  <c r="O195" i="37"/>
  <c r="N195" i="37"/>
  <c r="O55" i="37"/>
  <c r="O35" i="37"/>
  <c r="N35" i="37"/>
  <c r="N53" i="37"/>
  <c r="O53" i="37"/>
  <c r="O152" i="37"/>
  <c r="O122" i="37"/>
  <c r="O161" i="37"/>
  <c r="N94" i="37"/>
  <c r="O94" i="37"/>
  <c r="N150" i="37"/>
  <c r="O156" i="37"/>
  <c r="N156" i="37"/>
  <c r="O148" i="37"/>
  <c r="N148" i="37"/>
  <c r="O101" i="37"/>
  <c r="O130" i="37"/>
  <c r="N130" i="37"/>
  <c r="N97" i="37"/>
  <c r="O97" i="37"/>
  <c r="N51" i="37"/>
  <c r="O117" i="37"/>
  <c r="N117" i="37"/>
  <c r="O131" i="37"/>
  <c r="N131" i="37"/>
  <c r="N70" i="37"/>
  <c r="N121" i="37"/>
  <c r="O121" i="37"/>
  <c r="N89" i="37"/>
  <c r="O89" i="37"/>
  <c r="O143" i="37"/>
  <c r="N143" i="37"/>
  <c r="O48" i="37"/>
  <c r="O98" i="37"/>
  <c r="O51" i="37"/>
  <c r="N21" i="37"/>
  <c r="O144" i="37"/>
  <c r="O142" i="37"/>
  <c r="N142" i="37"/>
  <c r="O33" i="37"/>
  <c r="O10" i="37"/>
  <c r="N10" i="37"/>
  <c r="O68" i="37"/>
  <c r="N68" i="37"/>
  <c r="O24" i="37"/>
  <c r="O159" i="37"/>
  <c r="N159" i="37"/>
  <c r="N152" i="37"/>
  <c r="N168" i="37"/>
  <c r="O168" i="37"/>
  <c r="N174" i="37"/>
  <c r="O174" i="37"/>
  <c r="O172" i="37"/>
  <c r="N172" i="37"/>
  <c r="N161" i="37"/>
  <c r="O107" i="37"/>
  <c r="N107" i="37"/>
  <c r="N110" i="37"/>
  <c r="O175" i="37"/>
  <c r="N175" i="37"/>
  <c r="N125" i="37"/>
  <c r="O100" i="37"/>
  <c r="N100" i="37"/>
  <c r="N50" i="37"/>
  <c r="O90" i="37"/>
  <c r="N90" i="37"/>
  <c r="O106" i="37"/>
  <c r="N154" i="37"/>
  <c r="O154" i="37"/>
  <c r="N36" i="37"/>
  <c r="O31" i="37"/>
  <c r="N31" i="37"/>
  <c r="O189" i="37"/>
  <c r="O192" i="37" s="1"/>
  <c r="N189" i="37"/>
  <c r="O54" i="37"/>
  <c r="N124" i="37"/>
  <c r="O158" i="37"/>
  <c r="N158" i="37"/>
  <c r="N147" i="37"/>
  <c r="O147" i="37"/>
  <c r="N122" i="37"/>
  <c r="O79" i="37"/>
  <c r="N79" i="37"/>
  <c r="O128" i="37"/>
  <c r="N109" i="37"/>
  <c r="O133" i="37"/>
  <c r="O58" i="37"/>
  <c r="N58" i="37"/>
  <c r="O184" i="37"/>
  <c r="N33" i="37"/>
  <c r="N165" i="37"/>
  <c r="N22" i="37"/>
  <c r="O22" i="37"/>
  <c r="O110" i="37"/>
  <c r="O125" i="37"/>
  <c r="N178" i="37"/>
  <c r="O178" i="37"/>
  <c r="O46" i="37"/>
  <c r="N46" i="37"/>
  <c r="N80" i="37"/>
  <c r="O80" i="37"/>
  <c r="N91" i="37"/>
  <c r="O11" i="37"/>
  <c r="N11" i="37"/>
  <c r="O164" i="37"/>
  <c r="N95" i="37"/>
  <c r="O157" i="37"/>
  <c r="N157" i="37"/>
  <c r="O59" i="37"/>
  <c r="N82" i="37"/>
  <c r="O129" i="37"/>
  <c r="N129" i="37"/>
  <c r="N72" i="37"/>
  <c r="O72" i="37"/>
  <c r="N163" i="37"/>
  <c r="O163" i="37"/>
  <c r="O181" i="37"/>
  <c r="O149" i="37"/>
  <c r="N149" i="37"/>
  <c r="N166" i="37"/>
  <c r="O166" i="37"/>
  <c r="N118" i="37"/>
  <c r="O118" i="37"/>
  <c r="N38" i="37"/>
  <c r="O38" i="37"/>
  <c r="N81" i="37"/>
  <c r="O81" i="37"/>
  <c r="O116" i="37"/>
  <c r="N116" i="37"/>
  <c r="N134" i="37"/>
  <c r="N177" i="37"/>
  <c r="O177" i="37"/>
  <c r="N112" i="37"/>
  <c r="O167" i="37"/>
  <c r="O146" i="37"/>
  <c r="N146" i="37"/>
  <c r="O20" i="37"/>
  <c r="N20" i="37"/>
  <c r="O162" i="37"/>
  <c r="N162" i="37"/>
  <c r="N153" i="37"/>
  <c r="O153" i="37"/>
  <c r="O19" i="37"/>
  <c r="N19" i="37"/>
  <c r="N96" i="37"/>
  <c r="N181" i="37"/>
  <c r="N167" i="37"/>
  <c r="N173" i="37"/>
  <c r="O173" i="37"/>
  <c r="N73" i="37"/>
  <c r="O119" i="37"/>
  <c r="N119" i="37"/>
  <c r="O134" i="37"/>
  <c r="O120" i="37"/>
  <c r="N120" i="37"/>
  <c r="O145" i="37"/>
  <c r="N145" i="37"/>
  <c r="N45" i="37"/>
  <c r="O45" i="37"/>
  <c r="O32" i="37"/>
  <c r="N32" i="37"/>
  <c r="N76" i="37"/>
  <c r="N86" i="37"/>
  <c r="O76" i="37"/>
  <c r="O86" i="37"/>
  <c r="Q62" i="9"/>
  <c r="V62" i="9" s="1"/>
  <c r="K62" i="9"/>
  <c r="L62" i="9" s="1"/>
  <c r="L70" i="9" s="1"/>
  <c r="O62" i="9"/>
  <c r="T62" i="9"/>
  <c r="P130" i="42"/>
  <c r="D130" i="42"/>
  <c r="H126" i="42"/>
  <c r="E76" i="42"/>
  <c r="N76" i="42"/>
  <c r="D76" i="42"/>
  <c r="M76" i="42"/>
  <c r="J76" i="42"/>
  <c r="Q76" i="42"/>
  <c r="H76" i="42"/>
  <c r="G76" i="42"/>
  <c r="P76" i="42"/>
  <c r="F76" i="42"/>
  <c r="O76" i="42"/>
  <c r="K130" i="42"/>
  <c r="E130" i="42"/>
  <c r="L130" i="42"/>
  <c r="H130" i="42"/>
  <c r="C130" i="42"/>
  <c r="J130" i="42"/>
  <c r="I130" i="42"/>
  <c r="O130" i="42"/>
  <c r="G130" i="42"/>
  <c r="Q130" i="42"/>
  <c r="C123" i="42"/>
  <c r="P123" i="42"/>
  <c r="M123" i="42"/>
  <c r="F123" i="42"/>
  <c r="D123" i="42"/>
  <c r="K123" i="42"/>
  <c r="L123" i="42"/>
  <c r="G123" i="42"/>
  <c r="E123" i="42"/>
  <c r="G74" i="42"/>
  <c r="Q74" i="42"/>
  <c r="F74" i="42"/>
  <c r="P74" i="42"/>
  <c r="K74" i="42"/>
  <c r="H74" i="42"/>
  <c r="L74" i="42"/>
  <c r="C74" i="42"/>
  <c r="M74" i="42"/>
  <c r="F48" i="42"/>
  <c r="H40" i="9"/>
  <c r="G22" i="9"/>
  <c r="I13" i="9"/>
  <c r="H9" i="9"/>
  <c r="G43" i="9"/>
  <c r="I20" i="9"/>
  <c r="H15" i="9"/>
  <c r="H20" i="9"/>
  <c r="I25" i="9"/>
  <c r="G46" i="9"/>
  <c r="G15" i="9"/>
  <c r="I27" i="9"/>
  <c r="I37" i="9"/>
  <c r="I22" i="9"/>
  <c r="I50" i="9"/>
  <c r="G9" i="9"/>
  <c r="G33" i="9"/>
  <c r="H33" i="9"/>
  <c r="H49" i="9"/>
  <c r="H22" i="9"/>
  <c r="H25" i="9"/>
  <c r="I9" i="9"/>
  <c r="G37" i="9"/>
  <c r="G36" i="9"/>
  <c r="H46" i="9"/>
  <c r="H13" i="9"/>
  <c r="G13" i="9"/>
  <c r="G20" i="9"/>
  <c r="I49" i="9"/>
  <c r="G47" i="9"/>
  <c r="H47" i="9"/>
  <c r="H43" i="9"/>
  <c r="H37" i="9"/>
  <c r="I33" i="9"/>
  <c r="G25" i="9"/>
  <c r="I47" i="9"/>
  <c r="I46" i="9"/>
  <c r="G50" i="9"/>
  <c r="H36" i="9"/>
  <c r="I43" i="9"/>
  <c r="G40" i="9"/>
  <c r="G27" i="9"/>
  <c r="H50" i="9"/>
  <c r="I28" i="9"/>
  <c r="I36" i="9"/>
  <c r="H27" i="9"/>
  <c r="I15" i="9"/>
  <c r="G49" i="9"/>
  <c r="H28" i="9"/>
  <c r="I40" i="9"/>
  <c r="G28" i="9"/>
  <c r="E15" i="15" l="1"/>
  <c r="D63" i="14"/>
  <c r="E63" i="14"/>
  <c r="F15" i="15"/>
  <c r="Q59" i="14"/>
  <c r="K61" i="14"/>
  <c r="I55" i="14"/>
  <c r="F56" i="14"/>
  <c r="F73" i="14" s="1"/>
  <c r="D56" i="14"/>
  <c r="G60" i="14"/>
  <c r="E56" i="14"/>
  <c r="F62" i="14"/>
  <c r="I43" i="14"/>
  <c r="N55" i="14"/>
  <c r="Q60" i="14"/>
  <c r="K62" i="14"/>
  <c r="Q61" i="14"/>
  <c r="O18" i="19"/>
  <c r="H18" i="18"/>
  <c r="G115" i="25"/>
  <c r="S105" i="20"/>
  <c r="S105" i="22"/>
  <c r="R69" i="9"/>
  <c r="S105" i="21"/>
  <c r="T69" i="9"/>
  <c r="W69" i="9" s="1"/>
  <c r="I124" i="42"/>
  <c r="L124" i="42"/>
  <c r="H124" i="42"/>
  <c r="N124" i="42"/>
  <c r="F124" i="42"/>
  <c r="Q124" i="42"/>
  <c r="D124" i="42"/>
  <c r="O124" i="42"/>
  <c r="K124" i="42"/>
  <c r="G124" i="42"/>
  <c r="M124" i="42"/>
  <c r="C124" i="42"/>
  <c r="P124" i="42"/>
  <c r="E124" i="42"/>
  <c r="M79" i="42"/>
  <c r="Q79" i="42"/>
  <c r="C79" i="42"/>
  <c r="P79" i="42"/>
  <c r="O79" i="42"/>
  <c r="J79" i="42"/>
  <c r="E79" i="42"/>
  <c r="L79" i="42"/>
  <c r="G79" i="42"/>
  <c r="H79" i="42"/>
  <c r="N79" i="42"/>
  <c r="D79" i="42"/>
  <c r="Q125" i="42"/>
  <c r="I51" i="42"/>
  <c r="O51" i="42"/>
  <c r="I52" i="42"/>
  <c r="J125" i="42"/>
  <c r="M125" i="42"/>
  <c r="N51" i="42"/>
  <c r="K51" i="42"/>
  <c r="O52" i="42"/>
  <c r="C52" i="42"/>
  <c r="I125" i="42"/>
  <c r="D51" i="42"/>
  <c r="G51" i="42"/>
  <c r="K52" i="42"/>
  <c r="M52" i="42"/>
  <c r="E125" i="42"/>
  <c r="J51" i="42"/>
  <c r="C51" i="42"/>
  <c r="E52" i="42"/>
  <c r="G52" i="42"/>
  <c r="F125" i="42"/>
  <c r="P125" i="42"/>
  <c r="M51" i="42"/>
  <c r="J52" i="42"/>
  <c r="P52" i="42"/>
  <c r="G125" i="42"/>
  <c r="N125" i="42"/>
  <c r="H125" i="42"/>
  <c r="H51" i="42"/>
  <c r="Q52" i="42"/>
  <c r="L52" i="42"/>
  <c r="K125" i="42"/>
  <c r="D125" i="42"/>
  <c r="L51" i="42"/>
  <c r="F52" i="42"/>
  <c r="H52" i="42"/>
  <c r="K79" i="42"/>
  <c r="C125" i="42"/>
  <c r="E51" i="42"/>
  <c r="F51" i="42"/>
  <c r="N52" i="42"/>
  <c r="F79" i="42"/>
  <c r="O125" i="42"/>
  <c r="P62" i="14"/>
  <c r="K60" i="14"/>
  <c r="P60" i="14"/>
  <c r="P22" i="14"/>
  <c r="P42" i="14"/>
  <c r="N19" i="14"/>
  <c r="K44" i="14"/>
  <c r="K56" i="14" s="1"/>
  <c r="K73" i="14" s="1"/>
  <c r="N53" i="14"/>
  <c r="I48" i="14"/>
  <c r="I70" i="14"/>
  <c r="N70" i="14" s="1"/>
  <c r="S70" i="14" s="1"/>
  <c r="I45" i="14"/>
  <c r="I53" i="14"/>
  <c r="F59" i="14"/>
  <c r="I52" i="14"/>
  <c r="P10" i="14"/>
  <c r="P44" i="14" s="1"/>
  <c r="N50" i="14"/>
  <c r="P180" i="25"/>
  <c r="G18" i="18"/>
  <c r="G22" i="18" s="1"/>
  <c r="O18" i="18"/>
  <c r="H17" i="37"/>
  <c r="P17" i="37" s="1"/>
  <c r="G134" i="42"/>
  <c r="E134" i="42"/>
  <c r="K134" i="42"/>
  <c r="S28" i="21"/>
  <c r="H175" i="25"/>
  <c r="S19" i="18"/>
  <c r="E33" i="18"/>
  <c r="S26" i="18"/>
  <c r="S37" i="18"/>
  <c r="L48" i="18"/>
  <c r="K48" i="18"/>
  <c r="S39" i="18"/>
  <c r="S17" i="19"/>
  <c r="I33" i="19"/>
  <c r="M33" i="19"/>
  <c r="S32" i="19"/>
  <c r="S37" i="19"/>
  <c r="J48" i="19"/>
  <c r="S16" i="20"/>
  <c r="S16" i="22"/>
  <c r="S26" i="22"/>
  <c r="M134" i="42"/>
  <c r="S21" i="21"/>
  <c r="F65" i="25"/>
  <c r="K48" i="19"/>
  <c r="O134" i="42"/>
  <c r="K183" i="25"/>
  <c r="L134" i="42"/>
  <c r="D134" i="42"/>
  <c r="J134" i="42"/>
  <c r="Q134" i="42"/>
  <c r="C134" i="42"/>
  <c r="G97" i="25"/>
  <c r="Q86" i="25"/>
  <c r="S28" i="20"/>
  <c r="I134" i="42"/>
  <c r="O137" i="42"/>
  <c r="Q137" i="42"/>
  <c r="D137" i="42"/>
  <c r="L137" i="42"/>
  <c r="G137" i="42"/>
  <c r="I137" i="42"/>
  <c r="K137" i="42"/>
  <c r="E137" i="42"/>
  <c r="H137" i="42"/>
  <c r="P137" i="42"/>
  <c r="N137" i="42"/>
  <c r="F134" i="42"/>
  <c r="J136" i="42"/>
  <c r="S29" i="22"/>
  <c r="E136" i="42"/>
  <c r="N147" i="25"/>
  <c r="P109" i="25"/>
  <c r="F148" i="25"/>
  <c r="I180" i="25"/>
  <c r="P147" i="25"/>
  <c r="J92" i="25"/>
  <c r="N41" i="25"/>
  <c r="N183" i="25"/>
  <c r="S28" i="22"/>
  <c r="F127" i="25"/>
  <c r="P127" i="25"/>
  <c r="I156" i="25"/>
  <c r="K118" i="25"/>
  <c r="H32" i="25"/>
  <c r="S47" i="21"/>
  <c r="S42" i="20"/>
  <c r="N149" i="25"/>
  <c r="G100" i="25"/>
  <c r="M156" i="25"/>
  <c r="N186" i="25"/>
  <c r="O77" i="25"/>
  <c r="S36" i="22"/>
  <c r="J187" i="25"/>
  <c r="L92" i="25"/>
  <c r="G179" i="25"/>
  <c r="Q187" i="25"/>
  <c r="N77" i="25"/>
  <c r="S19" i="22"/>
  <c r="S20" i="22"/>
  <c r="S21" i="22"/>
  <c r="S31" i="22"/>
  <c r="I109" i="25"/>
  <c r="J89" i="25"/>
  <c r="J143" i="25"/>
  <c r="F106" i="25"/>
  <c r="L188" i="25"/>
  <c r="I124" i="25"/>
  <c r="Q143" i="25"/>
  <c r="P187" i="25"/>
  <c r="I65" i="25"/>
  <c r="I44" i="25"/>
  <c r="N176" i="25"/>
  <c r="H118" i="25"/>
  <c r="G95" i="25"/>
  <c r="G124" i="25"/>
  <c r="P185" i="25"/>
  <c r="N65" i="25"/>
  <c r="F53" i="25"/>
  <c r="G5" i="25"/>
  <c r="L136" i="42"/>
  <c r="K136" i="42"/>
  <c r="O136" i="42"/>
  <c r="Q136" i="42"/>
  <c r="J133" i="42"/>
  <c r="Q133" i="42"/>
  <c r="E133" i="42"/>
  <c r="D133" i="42"/>
  <c r="O133" i="42"/>
  <c r="C133" i="42"/>
  <c r="F133" i="42"/>
  <c r="L133" i="42"/>
  <c r="H133" i="42"/>
  <c r="N133" i="42"/>
  <c r="M136" i="42"/>
  <c r="H136" i="42"/>
  <c r="P136" i="42"/>
  <c r="M133" i="42"/>
  <c r="G133" i="42"/>
  <c r="C129" i="42"/>
  <c r="N129" i="42"/>
  <c r="I129" i="42"/>
  <c r="K129" i="42"/>
  <c r="E129" i="42"/>
  <c r="P129" i="42"/>
  <c r="L129" i="42"/>
  <c r="H129" i="42"/>
  <c r="G129" i="42"/>
  <c r="I136" i="42"/>
  <c r="N136" i="42"/>
  <c r="O129" i="42"/>
  <c r="D136" i="42"/>
  <c r="C136" i="42"/>
  <c r="Q129" i="42"/>
  <c r="J129" i="42"/>
  <c r="F129" i="42"/>
  <c r="M129" i="42"/>
  <c r="P134" i="42"/>
  <c r="N134" i="42"/>
  <c r="C145" i="42"/>
  <c r="H145" i="42"/>
  <c r="M145" i="42"/>
  <c r="J145" i="42"/>
  <c r="L77" i="42"/>
  <c r="J77" i="42"/>
  <c r="Q77" i="42"/>
  <c r="O77" i="42"/>
  <c r="F77" i="42"/>
  <c r="K77" i="42"/>
  <c r="I77" i="42"/>
  <c r="D77" i="42"/>
  <c r="G77" i="42"/>
  <c r="M77" i="42"/>
  <c r="I141" i="42"/>
  <c r="P141" i="42"/>
  <c r="C141" i="42"/>
  <c r="Q141" i="42"/>
  <c r="F141" i="42"/>
  <c r="O141" i="42"/>
  <c r="H141" i="42"/>
  <c r="N141" i="42"/>
  <c r="E141" i="42"/>
  <c r="J141" i="42"/>
  <c r="H103" i="25"/>
  <c r="H92" i="25"/>
  <c r="F158" i="25"/>
  <c r="P156" i="25"/>
  <c r="L158" i="25"/>
  <c r="N191" i="25"/>
  <c r="Q65" i="25"/>
  <c r="Q56" i="25"/>
  <c r="H162" i="25"/>
  <c r="H48" i="19"/>
  <c r="S42" i="19"/>
  <c r="N140" i="25"/>
  <c r="K186" i="25"/>
  <c r="L112" i="25"/>
  <c r="I188" i="25"/>
  <c r="L95" i="25"/>
  <c r="I118" i="25"/>
  <c r="O137" i="25"/>
  <c r="F109" i="25"/>
  <c r="L156" i="25"/>
  <c r="F149" i="25"/>
  <c r="F133" i="25"/>
  <c r="M133" i="25"/>
  <c r="M89" i="25"/>
  <c r="G121" i="25"/>
  <c r="P103" i="25"/>
  <c r="H156" i="25"/>
  <c r="Q130" i="25"/>
  <c r="K148" i="25"/>
  <c r="O188" i="25"/>
  <c r="L137" i="25"/>
  <c r="P121" i="25"/>
  <c r="G127" i="25"/>
  <c r="M130" i="25"/>
  <c r="Q103" i="25"/>
  <c r="P124" i="25"/>
  <c r="J97" i="25"/>
  <c r="P118" i="25"/>
  <c r="N112" i="25"/>
  <c r="L133" i="25"/>
  <c r="L170" i="25"/>
  <c r="P146" i="25"/>
  <c r="F80" i="25"/>
  <c r="O185" i="25"/>
  <c r="P86" i="25"/>
  <c r="N80" i="25"/>
  <c r="O65" i="25"/>
  <c r="I62" i="25"/>
  <c r="G8" i="25"/>
  <c r="P83" i="25"/>
  <c r="M32" i="25"/>
  <c r="O35" i="25"/>
  <c r="N163" i="25"/>
  <c r="H164" i="25"/>
  <c r="P20" i="25"/>
  <c r="F159" i="25"/>
  <c r="J190" i="25"/>
  <c r="H10" i="37"/>
  <c r="V10" i="37" s="1"/>
  <c r="H53" i="37"/>
  <c r="S53" i="37" s="1"/>
  <c r="P95" i="25"/>
  <c r="H112" i="25"/>
  <c r="N189" i="25"/>
  <c r="M146" i="25"/>
  <c r="N106" i="25"/>
  <c r="M86" i="25"/>
  <c r="P59" i="25"/>
  <c r="L11" i="25"/>
  <c r="O160" i="25"/>
  <c r="S36" i="20"/>
  <c r="P18" i="18"/>
  <c r="P22" i="18" s="1"/>
  <c r="M18" i="18"/>
  <c r="M22" i="18" s="1"/>
  <c r="O147" i="25"/>
  <c r="Q188" i="25"/>
  <c r="G137" i="25"/>
  <c r="O143" i="25"/>
  <c r="M100" i="25"/>
  <c r="J189" i="25"/>
  <c r="N127" i="25"/>
  <c r="L103" i="25"/>
  <c r="M180" i="25"/>
  <c r="P106" i="25"/>
  <c r="O97" i="25"/>
  <c r="P92" i="25"/>
  <c r="K89" i="25"/>
  <c r="F121" i="25"/>
  <c r="M134" i="25"/>
  <c r="O140" i="25"/>
  <c r="L124" i="25"/>
  <c r="K170" i="25"/>
  <c r="I170" i="25"/>
  <c r="Q186" i="25"/>
  <c r="L187" i="25"/>
  <c r="M189" i="25"/>
  <c r="G143" i="25"/>
  <c r="O106" i="25"/>
  <c r="P97" i="25"/>
  <c r="F115" i="25"/>
  <c r="G180" i="25"/>
  <c r="Q124" i="25"/>
  <c r="O152" i="25"/>
  <c r="F146" i="25"/>
  <c r="G186" i="25"/>
  <c r="M83" i="25"/>
  <c r="N185" i="25"/>
  <c r="F86" i="25"/>
  <c r="L77" i="25"/>
  <c r="G80" i="25"/>
  <c r="M59" i="25"/>
  <c r="Q62" i="25"/>
  <c r="G65" i="25"/>
  <c r="F47" i="25"/>
  <c r="I17" i="25"/>
  <c r="K23" i="25"/>
  <c r="N23" i="25"/>
  <c r="G41" i="25"/>
  <c r="H14" i="25"/>
  <c r="L17" i="25"/>
  <c r="Q2" i="25"/>
  <c r="J181" i="25"/>
  <c r="L2" i="25"/>
  <c r="O167" i="25"/>
  <c r="D48" i="18"/>
  <c r="S14" i="19"/>
  <c r="P33" i="19"/>
  <c r="S29" i="19"/>
  <c r="P48" i="19"/>
  <c r="G48" i="19"/>
  <c r="O48" i="19"/>
  <c r="M48" i="19"/>
  <c r="S47" i="19"/>
  <c r="S32" i="20"/>
  <c r="S16" i="21"/>
  <c r="S26" i="21"/>
  <c r="S30" i="21"/>
  <c r="O100" i="25"/>
  <c r="H109" i="25"/>
  <c r="K189" i="25"/>
  <c r="G152" i="25"/>
  <c r="F118" i="25"/>
  <c r="N83" i="25"/>
  <c r="O22" i="19"/>
  <c r="F189" i="25"/>
  <c r="F124" i="25"/>
  <c r="L118" i="25"/>
  <c r="K187" i="25"/>
  <c r="Q180" i="25"/>
  <c r="F112" i="25"/>
  <c r="K103" i="25"/>
  <c r="H143" i="25"/>
  <c r="K143" i="25"/>
  <c r="J121" i="25"/>
  <c r="I146" i="25"/>
  <c r="O103" i="25"/>
  <c r="O92" i="25"/>
  <c r="F89" i="25"/>
  <c r="L186" i="25"/>
  <c r="M187" i="25"/>
  <c r="N133" i="25"/>
  <c r="I121" i="25"/>
  <c r="H127" i="25"/>
  <c r="J130" i="25"/>
  <c r="O133" i="25"/>
  <c r="N130" i="25"/>
  <c r="O156" i="25"/>
  <c r="J158" i="25"/>
  <c r="M97" i="25"/>
  <c r="I112" i="25"/>
  <c r="H188" i="25"/>
  <c r="M143" i="25"/>
  <c r="H97" i="25"/>
  <c r="J115" i="25"/>
  <c r="H148" i="25"/>
  <c r="J86" i="25"/>
  <c r="Q185" i="25"/>
  <c r="L86" i="25"/>
  <c r="L83" i="25"/>
  <c r="J191" i="25"/>
  <c r="Q68" i="25"/>
  <c r="I59" i="25"/>
  <c r="Q59" i="25"/>
  <c r="I38" i="25"/>
  <c r="G11" i="25"/>
  <c r="H8" i="25"/>
  <c r="D33" i="18"/>
  <c r="Q159" i="25"/>
  <c r="M165" i="25"/>
  <c r="P56" i="25"/>
  <c r="K184" i="25"/>
  <c r="M176" i="25"/>
  <c r="L159" i="25"/>
  <c r="N161" i="25"/>
  <c r="L169" i="25"/>
  <c r="I160" i="25"/>
  <c r="I35" i="25"/>
  <c r="O184" i="25"/>
  <c r="P159" i="25"/>
  <c r="J171" i="25"/>
  <c r="L172" i="25"/>
  <c r="O32" i="25"/>
  <c r="N14" i="25"/>
  <c r="K56" i="25"/>
  <c r="P5" i="25"/>
  <c r="Q26" i="25"/>
  <c r="H44" i="25"/>
  <c r="Q47" i="25"/>
  <c r="N56" i="25"/>
  <c r="J56" i="25"/>
  <c r="H17" i="25"/>
  <c r="I26" i="25"/>
  <c r="N29" i="25"/>
  <c r="O41" i="25"/>
  <c r="H77" i="25"/>
  <c r="F59" i="25"/>
  <c r="L62" i="25"/>
  <c r="G68" i="25"/>
  <c r="O68" i="25"/>
  <c r="M71" i="25"/>
  <c r="J62" i="25"/>
  <c r="M62" i="25"/>
  <c r="I191" i="25"/>
  <c r="P191" i="25"/>
  <c r="O83" i="25"/>
  <c r="J77" i="25"/>
  <c r="G77" i="25"/>
  <c r="G86" i="25"/>
  <c r="I92" i="25"/>
  <c r="O112" i="25"/>
  <c r="L185" i="25"/>
  <c r="F77" i="25"/>
  <c r="M103" i="25"/>
  <c r="N109" i="25"/>
  <c r="N158" i="25"/>
  <c r="I152" i="25"/>
  <c r="N124" i="25"/>
  <c r="L148" i="25"/>
  <c r="K109" i="25"/>
  <c r="O115" i="25"/>
  <c r="L109" i="25"/>
  <c r="K100" i="25"/>
  <c r="K130" i="25"/>
  <c r="Q133" i="25"/>
  <c r="J146" i="25"/>
  <c r="M148" i="25"/>
  <c r="Q179" i="25"/>
  <c r="F140" i="25"/>
  <c r="K156" i="25"/>
  <c r="I133" i="25"/>
  <c r="P152" i="25"/>
  <c r="O127" i="25"/>
  <c r="J186" i="25"/>
  <c r="P143" i="25"/>
  <c r="H152" i="25"/>
  <c r="L134" i="25"/>
  <c r="P170" i="25"/>
  <c r="J156" i="25"/>
  <c r="H130" i="25"/>
  <c r="M179" i="25"/>
  <c r="J124" i="25"/>
  <c r="M158" i="25"/>
  <c r="P133" i="25"/>
  <c r="P137" i="25"/>
  <c r="P130" i="25"/>
  <c r="G89" i="25"/>
  <c r="L89" i="25"/>
  <c r="F187" i="25"/>
  <c r="Q41" i="25"/>
  <c r="J159" i="25"/>
  <c r="O181" i="25"/>
  <c r="M181" i="25"/>
  <c r="H159" i="25"/>
  <c r="K167" i="25"/>
  <c r="N184" i="25"/>
  <c r="H183" i="25"/>
  <c r="P171" i="25"/>
  <c r="K38" i="25"/>
  <c r="P176" i="25"/>
  <c r="J184" i="25"/>
  <c r="N35" i="25"/>
  <c r="P41" i="25"/>
  <c r="P38" i="25"/>
  <c r="N8" i="25"/>
  <c r="K14" i="25"/>
  <c r="H35" i="25"/>
  <c r="P47" i="25"/>
  <c r="I74" i="25"/>
  <c r="O14" i="25"/>
  <c r="M65" i="25"/>
  <c r="K65" i="25"/>
  <c r="G62" i="25"/>
  <c r="K62" i="25"/>
  <c r="J71" i="25"/>
  <c r="N59" i="25"/>
  <c r="M191" i="25"/>
  <c r="P80" i="25"/>
  <c r="I80" i="25"/>
  <c r="J83" i="25"/>
  <c r="N86" i="25"/>
  <c r="I185" i="25"/>
  <c r="H185" i="25"/>
  <c r="P100" i="25"/>
  <c r="H83" i="25"/>
  <c r="M109" i="25"/>
  <c r="K133" i="25"/>
  <c r="J140" i="25"/>
  <c r="N134" i="25"/>
  <c r="Q95" i="25"/>
  <c r="O170" i="25"/>
  <c r="Q170" i="25"/>
  <c r="K137" i="25"/>
  <c r="M118" i="25"/>
  <c r="N100" i="25"/>
  <c r="K112" i="25"/>
  <c r="F147" i="25"/>
  <c r="J148" i="25"/>
  <c r="N187" i="25"/>
  <c r="M152" i="25"/>
  <c r="P148" i="25"/>
  <c r="I143" i="25"/>
  <c r="G156" i="25"/>
  <c r="L146" i="25"/>
  <c r="H146" i="25"/>
  <c r="K188" i="25"/>
  <c r="N143" i="25"/>
  <c r="L147" i="25"/>
  <c r="L179" i="25"/>
  <c r="I106" i="25"/>
  <c r="G134" i="25"/>
  <c r="G148" i="25"/>
  <c r="F92" i="25"/>
  <c r="H89" i="25"/>
  <c r="G92" i="25"/>
  <c r="P115" i="25"/>
  <c r="M95" i="25"/>
  <c r="K158" i="25"/>
  <c r="O148" i="25"/>
  <c r="J137" i="25"/>
  <c r="N156" i="25"/>
  <c r="P140" i="25"/>
  <c r="P149" i="25"/>
  <c r="L100" i="25"/>
  <c r="I161" i="25"/>
  <c r="H2" i="25"/>
  <c r="M74" i="25"/>
  <c r="I175" i="25"/>
  <c r="K168" i="25"/>
  <c r="I176" i="25"/>
  <c r="M190" i="25"/>
  <c r="O159" i="25"/>
  <c r="J172" i="25"/>
  <c r="L162" i="25"/>
  <c r="K190" i="25"/>
  <c r="O177" i="25"/>
  <c r="O44" i="25"/>
  <c r="P53" i="25"/>
  <c r="P74" i="25"/>
  <c r="F14" i="25"/>
  <c r="G26" i="25"/>
  <c r="H47" i="25"/>
  <c r="H53" i="25"/>
  <c r="F11" i="25"/>
  <c r="O20" i="25"/>
  <c r="P71" i="25"/>
  <c r="P68" i="25"/>
  <c r="I68" i="25"/>
  <c r="F62" i="25"/>
  <c r="N62" i="25"/>
  <c r="H71" i="25"/>
  <c r="K191" i="25"/>
  <c r="M80" i="25"/>
  <c r="O80" i="25"/>
  <c r="Q80" i="25"/>
  <c r="P177" i="25"/>
  <c r="M168" i="25"/>
  <c r="G167" i="25"/>
  <c r="M164" i="25"/>
  <c r="J183" i="25"/>
  <c r="F56" i="25"/>
  <c r="P167" i="25"/>
  <c r="O168" i="25"/>
  <c r="F164" i="25"/>
  <c r="Q38" i="25"/>
  <c r="P77" i="25"/>
  <c r="I5" i="25"/>
  <c r="N20" i="25"/>
  <c r="O29" i="25"/>
  <c r="M11" i="25"/>
  <c r="M5" i="25"/>
  <c r="J14" i="25"/>
  <c r="K47" i="25"/>
  <c r="N68" i="25"/>
  <c r="F71" i="25"/>
  <c r="K68" i="25"/>
  <c r="M68" i="25"/>
  <c r="O62" i="25"/>
  <c r="H62" i="25"/>
  <c r="O191" i="25"/>
  <c r="Q83" i="25"/>
  <c r="H86" i="25"/>
  <c r="K80" i="25"/>
  <c r="M92" i="25"/>
  <c r="M185" i="25"/>
  <c r="O118" i="25"/>
  <c r="G112" i="25"/>
  <c r="K77" i="25"/>
  <c r="H95" i="25"/>
  <c r="L189" i="25"/>
  <c r="K127" i="25"/>
  <c r="H170" i="25"/>
  <c r="N115" i="25"/>
  <c r="I179" i="25"/>
  <c r="L149" i="25"/>
  <c r="G130" i="25"/>
  <c r="F97" i="25"/>
  <c r="Q147" i="25"/>
  <c r="M170" i="25"/>
  <c r="M121" i="25"/>
  <c r="I187" i="25"/>
  <c r="F143" i="25"/>
  <c r="G187" i="25"/>
  <c r="H137" i="25"/>
  <c r="L140" i="25"/>
  <c r="F156" i="25"/>
  <c r="L143" i="25"/>
  <c r="P179" i="25"/>
  <c r="I140" i="25"/>
  <c r="K152" i="25"/>
  <c r="M137" i="25"/>
  <c r="F186" i="25"/>
  <c r="J127" i="25"/>
  <c r="K149" i="25"/>
  <c r="H180" i="25"/>
  <c r="H134" i="25"/>
  <c r="O89" i="25"/>
  <c r="N92" i="25"/>
  <c r="M159" i="25"/>
  <c r="Q190" i="25"/>
  <c r="I163" i="25"/>
  <c r="J165" i="25"/>
  <c r="N38" i="25"/>
  <c r="K165" i="25"/>
  <c r="K162" i="25"/>
  <c r="M161" i="25"/>
  <c r="N74" i="25"/>
  <c r="F2" i="25"/>
  <c r="L38" i="25"/>
  <c r="J44" i="25"/>
  <c r="Q11" i="25"/>
  <c r="F26" i="25"/>
  <c r="O50" i="25"/>
  <c r="M23" i="25"/>
  <c r="Q8" i="25"/>
  <c r="F35" i="25"/>
  <c r="K74" i="25"/>
  <c r="F167" i="25"/>
  <c r="L163" i="25"/>
  <c r="J169" i="25"/>
  <c r="L164" i="25"/>
  <c r="H160" i="25"/>
  <c r="J177" i="25"/>
  <c r="I183" i="25"/>
  <c r="N2" i="25"/>
  <c r="Q184" i="25"/>
  <c r="L41" i="25"/>
  <c r="L184" i="25"/>
  <c r="O23" i="25"/>
  <c r="F5" i="25"/>
  <c r="O38" i="25"/>
  <c r="P26" i="25"/>
  <c r="Q35" i="25"/>
  <c r="J53" i="25"/>
  <c r="G14" i="25"/>
  <c r="H29" i="25"/>
  <c r="M41" i="25"/>
  <c r="O2" i="25"/>
  <c r="I71" i="25"/>
  <c r="P65" i="25"/>
  <c r="Q71" i="25"/>
  <c r="H65" i="25"/>
  <c r="L65" i="25"/>
  <c r="L59" i="25"/>
  <c r="F191" i="25"/>
  <c r="I77" i="25"/>
  <c r="I83" i="25"/>
  <c r="H80" i="25"/>
  <c r="J185" i="25"/>
  <c r="F185" i="25"/>
  <c r="K86" i="25"/>
  <c r="H106" i="25"/>
  <c r="J109" i="25"/>
  <c r="K124" i="25"/>
  <c r="J103" i="25"/>
  <c r="P186" i="25"/>
  <c r="N103" i="25"/>
  <c r="O149" i="25"/>
  <c r="I95" i="25"/>
  <c r="K97" i="25"/>
  <c r="K179" i="25"/>
  <c r="I147" i="25"/>
  <c r="F134" i="25"/>
  <c r="L97" i="25"/>
  <c r="L121" i="25"/>
  <c r="J152" i="25"/>
  <c r="F180" i="25"/>
  <c r="P134" i="25"/>
  <c r="K180" i="25"/>
  <c r="I134" i="25"/>
  <c r="G189" i="25"/>
  <c r="G133" i="25"/>
  <c r="J147" i="25"/>
  <c r="H147" i="25"/>
  <c r="Q148" i="25"/>
  <c r="O146" i="25"/>
  <c r="M147" i="25"/>
  <c r="G109" i="25"/>
  <c r="F95" i="25"/>
  <c r="K95" i="25"/>
  <c r="P89" i="25"/>
  <c r="N89" i="25"/>
  <c r="K121" i="25"/>
  <c r="I186" i="25"/>
  <c r="L180" i="25"/>
  <c r="Q106" i="25"/>
  <c r="O158" i="25"/>
  <c r="J170" i="25"/>
  <c r="O124" i="25"/>
  <c r="I149" i="25"/>
  <c r="G106" i="25"/>
  <c r="O189" i="25"/>
  <c r="K140" i="25"/>
  <c r="J180" i="25"/>
  <c r="M115" i="25"/>
  <c r="L130" i="25"/>
  <c r="O186" i="25"/>
  <c r="O22" i="18"/>
  <c r="O134" i="25"/>
  <c r="F100" i="25"/>
  <c r="J95" i="25"/>
  <c r="Q158" i="25"/>
  <c r="N137" i="25"/>
  <c r="N121" i="25"/>
  <c r="O56" i="25"/>
  <c r="P175" i="25"/>
  <c r="S37" i="22"/>
  <c r="S37" i="20"/>
  <c r="S42" i="21"/>
  <c r="S47" i="22"/>
  <c r="L18" i="18"/>
  <c r="L22" i="18" s="1"/>
  <c r="E20" i="15"/>
  <c r="D37" i="46" s="1"/>
  <c r="D39" i="46" s="1"/>
  <c r="H187" i="25"/>
  <c r="H149" i="25"/>
  <c r="H124" i="25"/>
  <c r="H179" i="25"/>
  <c r="L127" i="25"/>
  <c r="Q127" i="25"/>
  <c r="H100" i="25"/>
  <c r="Q134" i="25"/>
  <c r="M149" i="25"/>
  <c r="I115" i="25"/>
  <c r="I130" i="25"/>
  <c r="Q152" i="25"/>
  <c r="K92" i="25"/>
  <c r="I189" i="25"/>
  <c r="H115" i="25"/>
  <c r="N188" i="25"/>
  <c r="O121" i="25"/>
  <c r="N180" i="25"/>
  <c r="H186" i="25"/>
  <c r="I137" i="25"/>
  <c r="Q121" i="25"/>
  <c r="G140" i="25"/>
  <c r="G170" i="25"/>
  <c r="J100" i="25"/>
  <c r="Q109" i="25"/>
  <c r="O130" i="25"/>
  <c r="K146" i="25"/>
  <c r="J179" i="25"/>
  <c r="J118" i="25"/>
  <c r="Q115" i="25"/>
  <c r="L80" i="25"/>
  <c r="K185" i="25"/>
  <c r="O86" i="25"/>
  <c r="L191" i="25"/>
  <c r="K59" i="25"/>
  <c r="H68" i="25"/>
  <c r="G59" i="25"/>
  <c r="M29" i="25"/>
  <c r="N44" i="25"/>
  <c r="N159" i="25"/>
  <c r="H163" i="25"/>
  <c r="L176" i="25"/>
  <c r="S25" i="19"/>
  <c r="Q112" i="25"/>
  <c r="M112" i="25"/>
  <c r="I100" i="25"/>
  <c r="I148" i="25"/>
  <c r="F137" i="25"/>
  <c r="Q92" i="25"/>
  <c r="L71" i="25"/>
  <c r="L50" i="25"/>
  <c r="S92" i="21"/>
  <c r="S36" i="21"/>
  <c r="S47" i="20"/>
  <c r="S42" i="22"/>
  <c r="S37" i="21"/>
  <c r="I18" i="18"/>
  <c r="I22" i="18" s="1"/>
  <c r="N18" i="18"/>
  <c r="N22" i="18" s="1"/>
  <c r="G146" i="25"/>
  <c r="Q146" i="25"/>
  <c r="I103" i="25"/>
  <c r="F188" i="25"/>
  <c r="O179" i="25"/>
  <c r="P112" i="25"/>
  <c r="M127" i="25"/>
  <c r="F130" i="25"/>
  <c r="M106" i="25"/>
  <c r="G188" i="25"/>
  <c r="J149" i="25"/>
  <c r="Q156" i="25"/>
  <c r="I89" i="25"/>
  <c r="K115" i="25"/>
  <c r="L106" i="25"/>
  <c r="H121" i="25"/>
  <c r="K134" i="25"/>
  <c r="M140" i="25"/>
  <c r="Q140" i="25"/>
  <c r="J133" i="25"/>
  <c r="N170" i="25"/>
  <c r="G149" i="25"/>
  <c r="F170" i="25"/>
  <c r="G103" i="25"/>
  <c r="J134" i="25"/>
  <c r="Q100" i="25"/>
  <c r="O95" i="25"/>
  <c r="I97" i="25"/>
  <c r="N95" i="25"/>
  <c r="M124" i="25"/>
  <c r="J112" i="25"/>
  <c r="I86" i="25"/>
  <c r="O109" i="25"/>
  <c r="Q77" i="25"/>
  <c r="H191" i="25"/>
  <c r="O71" i="25"/>
  <c r="K71" i="25"/>
  <c r="O59" i="25"/>
  <c r="L32" i="25"/>
  <c r="F29" i="25"/>
  <c r="J41" i="25"/>
  <c r="P184" i="25"/>
  <c r="O161" i="25"/>
  <c r="I159" i="25"/>
  <c r="F162" i="25"/>
  <c r="S20" i="21"/>
  <c r="E33" i="19"/>
  <c r="G147" i="25"/>
  <c r="G118" i="25"/>
  <c r="I127" i="25"/>
  <c r="P189" i="25"/>
  <c r="H140" i="25"/>
  <c r="G185" i="25"/>
  <c r="K161" i="25"/>
  <c r="H22" i="18"/>
  <c r="Q149" i="25"/>
  <c r="P188" i="25"/>
  <c r="N146" i="25"/>
  <c r="M188" i="25"/>
  <c r="Q189" i="25"/>
  <c r="N148" i="25"/>
  <c r="O180" i="25"/>
  <c r="J188" i="25"/>
  <c r="N97" i="25"/>
  <c r="O187" i="25"/>
  <c r="F152" i="25"/>
  <c r="P158" i="25"/>
  <c r="Q89" i="25"/>
  <c r="Q118" i="25"/>
  <c r="N118" i="25"/>
  <c r="H189" i="25"/>
  <c r="Q137" i="25"/>
  <c r="N179" i="25"/>
  <c r="M186" i="25"/>
  <c r="N152" i="25"/>
  <c r="H133" i="25"/>
  <c r="L152" i="25"/>
  <c r="H158" i="25"/>
  <c r="K147" i="25"/>
  <c r="I158" i="25"/>
  <c r="L115" i="25"/>
  <c r="F103" i="25"/>
  <c r="K106" i="25"/>
  <c r="G158" i="25"/>
  <c r="F179" i="25"/>
  <c r="J106" i="25"/>
  <c r="S29" i="21"/>
  <c r="J80" i="25"/>
  <c r="Q97" i="25"/>
  <c r="F83" i="25"/>
  <c r="K83" i="25"/>
  <c r="Q191" i="25"/>
  <c r="J68" i="25"/>
  <c r="L68" i="25"/>
  <c r="G83" i="25"/>
  <c r="L20" i="25"/>
  <c r="F17" i="25"/>
  <c r="M44" i="25"/>
  <c r="K20" i="25"/>
  <c r="S29" i="20"/>
  <c r="N167" i="25"/>
  <c r="H177" i="25"/>
  <c r="M160" i="25"/>
  <c r="F184" i="25"/>
  <c r="L171" i="25"/>
  <c r="I33" i="18"/>
  <c r="S30" i="18"/>
  <c r="R48" i="18"/>
  <c r="H48" i="18"/>
  <c r="F48" i="18"/>
  <c r="S46" i="18"/>
  <c r="S12" i="19"/>
  <c r="L33" i="19"/>
  <c r="R33" i="19"/>
  <c r="F48" i="19"/>
  <c r="S36" i="19"/>
  <c r="D48" i="19"/>
  <c r="S44" i="19"/>
  <c r="S45" i="19"/>
  <c r="S26" i="20"/>
  <c r="S32" i="22"/>
  <c r="S20" i="20"/>
  <c r="E11" i="16"/>
  <c r="S13" i="18"/>
  <c r="G162" i="25"/>
  <c r="S16" i="18"/>
  <c r="S17" i="18"/>
  <c r="F33" i="18"/>
  <c r="N33" i="18"/>
  <c r="M33" i="18"/>
  <c r="S27" i="18"/>
  <c r="K33" i="18"/>
  <c r="F172" i="25"/>
  <c r="S29" i="18"/>
  <c r="Q33" i="18"/>
  <c r="O33" i="18"/>
  <c r="N48" i="18"/>
  <c r="E48" i="18"/>
  <c r="M48" i="18"/>
  <c r="S38" i="18"/>
  <c r="G48" i="18"/>
  <c r="S44" i="18"/>
  <c r="S45" i="18"/>
  <c r="S19" i="19"/>
  <c r="S20" i="19"/>
  <c r="J33" i="19"/>
  <c r="Q33" i="19"/>
  <c r="S31" i="19"/>
  <c r="R48" i="19"/>
  <c r="I48" i="19"/>
  <c r="Q48" i="19"/>
  <c r="S41" i="19"/>
  <c r="S30" i="20"/>
  <c r="E48" i="19"/>
  <c r="AI16" i="15"/>
  <c r="AD16" i="15"/>
  <c r="AD72" i="15"/>
  <c r="AI72" i="15"/>
  <c r="J63" i="15"/>
  <c r="AD56" i="15"/>
  <c r="H48" i="37"/>
  <c r="W48" i="37" s="1"/>
  <c r="J47" i="25"/>
  <c r="M167" i="25"/>
  <c r="I47" i="25"/>
  <c r="N168" i="25"/>
  <c r="I169" i="25"/>
  <c r="H168" i="25"/>
  <c r="H184" i="25"/>
  <c r="J163" i="25"/>
  <c r="M184" i="25"/>
  <c r="H36" i="37"/>
  <c r="S199" i="42" s="1"/>
  <c r="H199" i="42" s="1"/>
  <c r="H46" i="37"/>
  <c r="S213" i="42" s="1"/>
  <c r="D213" i="42" s="1"/>
  <c r="H47" i="37"/>
  <c r="S214" i="42" s="1"/>
  <c r="I214" i="42" s="1"/>
  <c r="M67" i="41" s="1"/>
  <c r="H58" i="37"/>
  <c r="R58" i="37" s="1"/>
  <c r="H21" i="37"/>
  <c r="R21" i="37" s="1"/>
  <c r="D64" i="40"/>
  <c r="J58" i="40"/>
  <c r="P71" i="40"/>
  <c r="J74" i="40"/>
  <c r="H23" i="37"/>
  <c r="R23" i="37" s="1"/>
  <c r="H51" i="37"/>
  <c r="U51" i="37" s="1"/>
  <c r="H20" i="37"/>
  <c r="S183" i="42" s="1"/>
  <c r="C183" i="42" s="1"/>
  <c r="H19" i="37"/>
  <c r="V19" i="37" s="1"/>
  <c r="H54" i="37"/>
  <c r="S221" i="42" s="1"/>
  <c r="C221" i="42" s="1"/>
  <c r="H57" i="37"/>
  <c r="Q57" i="37" s="1"/>
  <c r="H37" i="37"/>
  <c r="S200" i="42" s="1"/>
  <c r="H200" i="42" s="1"/>
  <c r="L64" i="41" s="1"/>
  <c r="H31" i="37"/>
  <c r="R31" i="37" s="1"/>
  <c r="H50" i="37"/>
  <c r="S50" i="37" s="1"/>
  <c r="H55" i="37"/>
  <c r="S222" i="42" s="1"/>
  <c r="G222" i="42" s="1"/>
  <c r="H56" i="37"/>
  <c r="S223" i="42" s="1"/>
  <c r="D223" i="42" s="1"/>
  <c r="H24" i="37"/>
  <c r="S187" i="42" s="1"/>
  <c r="C187" i="42" s="1"/>
  <c r="H59" i="37"/>
  <c r="T59" i="37" s="1"/>
  <c r="AD60" i="15"/>
  <c r="AA25" i="15"/>
  <c r="H9" i="37"/>
  <c r="T9" i="37" s="1"/>
  <c r="I2" i="25"/>
  <c r="N50" i="25"/>
  <c r="P168" i="25"/>
  <c r="H38" i="25"/>
  <c r="G169" i="25"/>
  <c r="F169" i="25"/>
  <c r="F168" i="25"/>
  <c r="I167" i="25"/>
  <c r="J168" i="25"/>
  <c r="S19" i="20"/>
  <c r="K159" i="25"/>
  <c r="S12" i="18"/>
  <c r="Q5" i="25"/>
  <c r="Q177" i="25"/>
  <c r="L177" i="25"/>
  <c r="F32" i="25"/>
  <c r="N181" i="25"/>
  <c r="N160" i="25"/>
  <c r="Q164" i="25"/>
  <c r="L168" i="25"/>
  <c r="K176" i="25"/>
  <c r="H190" i="25"/>
  <c r="N165" i="25"/>
  <c r="Q172" i="25"/>
  <c r="P183" i="25"/>
  <c r="P161" i="25"/>
  <c r="F160" i="25"/>
  <c r="H169" i="25"/>
  <c r="K164" i="25"/>
  <c r="J23" i="25"/>
  <c r="L5" i="25"/>
  <c r="J161" i="25"/>
  <c r="I190" i="25"/>
  <c r="Q168" i="25"/>
  <c r="Q29" i="25"/>
  <c r="O171" i="25"/>
  <c r="K181" i="25"/>
  <c r="L161" i="25"/>
  <c r="I23" i="25"/>
  <c r="F161" i="25"/>
  <c r="N177" i="25"/>
  <c r="G2" i="25"/>
  <c r="M77" i="25"/>
  <c r="G53" i="25"/>
  <c r="G17" i="25"/>
  <c r="I8" i="25"/>
  <c r="N47" i="25"/>
  <c r="Q50" i="25"/>
  <c r="G56" i="25"/>
  <c r="P14" i="25"/>
  <c r="L47" i="25"/>
  <c r="M20" i="25"/>
  <c r="I53" i="25"/>
  <c r="J29" i="25"/>
  <c r="F74" i="25"/>
  <c r="K35" i="25"/>
  <c r="M35" i="25"/>
  <c r="G35" i="25"/>
  <c r="H5" i="25"/>
  <c r="P35" i="25"/>
  <c r="I14" i="25"/>
  <c r="Q44" i="25"/>
  <c r="N17" i="25"/>
  <c r="J50" i="25"/>
  <c r="K26" i="25"/>
  <c r="H59" i="25"/>
  <c r="F68" i="25"/>
  <c r="J65" i="25"/>
  <c r="J59" i="25"/>
  <c r="P62" i="25"/>
  <c r="G71" i="25"/>
  <c r="N71" i="25"/>
  <c r="G191" i="25"/>
  <c r="G181" i="25"/>
  <c r="M171" i="25"/>
  <c r="P190" i="25"/>
  <c r="O74" i="25"/>
  <c r="I177" i="25"/>
  <c r="K17" i="25"/>
  <c r="J176" i="25"/>
  <c r="I162" i="25"/>
  <c r="H167" i="25"/>
  <c r="G175" i="25"/>
  <c r="O190" i="25"/>
  <c r="J164" i="25"/>
  <c r="M169" i="25"/>
  <c r="L181" i="25"/>
  <c r="M183" i="25"/>
  <c r="L165" i="25"/>
  <c r="O162" i="25"/>
  <c r="F8" i="25"/>
  <c r="F171" i="25"/>
  <c r="I181" i="25"/>
  <c r="F183" i="25"/>
  <c r="I165" i="25"/>
  <c r="G183" i="25"/>
  <c r="G44" i="25"/>
  <c r="M14" i="25"/>
  <c r="G177" i="25"/>
  <c r="G168" i="25"/>
  <c r="O163" i="25"/>
  <c r="J11" i="25"/>
  <c r="I171" i="25"/>
  <c r="O53" i="25"/>
  <c r="O47" i="25"/>
  <c r="I20" i="25"/>
  <c r="K5" i="25"/>
  <c r="J20" i="25"/>
  <c r="H20" i="25"/>
  <c r="P50" i="25"/>
  <c r="Q23" i="25"/>
  <c r="M56" i="25"/>
  <c r="N32" i="25"/>
  <c r="K2" i="25"/>
  <c r="K41" i="25"/>
  <c r="H11" i="25"/>
  <c r="M47" i="25"/>
  <c r="K50" i="25"/>
  <c r="L8" i="25"/>
  <c r="H41" i="25"/>
  <c r="M17" i="25"/>
  <c r="I50" i="25"/>
  <c r="F23" i="25"/>
  <c r="N53" i="25"/>
  <c r="G32" i="25"/>
  <c r="O11" i="25"/>
  <c r="J167" i="25"/>
  <c r="L167" i="25"/>
  <c r="H171" i="25"/>
  <c r="G160" i="25"/>
  <c r="F175" i="25"/>
  <c r="Q181" i="25"/>
  <c r="Q160" i="25"/>
  <c r="P164" i="25"/>
  <c r="O169" i="25"/>
  <c r="F190" i="25"/>
  <c r="F163" i="25"/>
  <c r="I168" i="25"/>
  <c r="P172" i="25"/>
  <c r="O183" i="25"/>
  <c r="Q175" i="25"/>
  <c r="P162" i="25"/>
  <c r="G161" i="25"/>
  <c r="M50" i="25"/>
  <c r="Q171" i="25"/>
  <c r="H181" i="25"/>
  <c r="J175" i="25"/>
  <c r="M162" i="25"/>
  <c r="G176" i="25"/>
  <c r="G23" i="25"/>
  <c r="M2" i="25"/>
  <c r="K177" i="25"/>
  <c r="F181" i="25"/>
  <c r="K160" i="25"/>
  <c r="F44" i="25"/>
  <c r="G171" i="25"/>
  <c r="G163" i="25"/>
  <c r="K44" i="25"/>
  <c r="I32" i="25"/>
  <c r="O17" i="25"/>
  <c r="P29" i="25"/>
  <c r="J32" i="25"/>
  <c r="L23" i="25"/>
  <c r="H56" i="25"/>
  <c r="I29" i="25"/>
  <c r="J5" i="25"/>
  <c r="F38" i="25"/>
  <c r="O5" i="25"/>
  <c r="G47" i="25"/>
  <c r="H23" i="25"/>
  <c r="Q74" i="25"/>
  <c r="P11" i="25"/>
  <c r="L44" i="25"/>
  <c r="Q20" i="25"/>
  <c r="M53" i="25"/>
  <c r="J26" i="25"/>
  <c r="J74" i="25"/>
  <c r="G38" i="25"/>
  <c r="G190" i="25"/>
  <c r="G165" i="25"/>
  <c r="Q176" i="25"/>
  <c r="L29" i="25"/>
  <c r="Q163" i="25"/>
  <c r="L190" i="25"/>
  <c r="N164" i="25"/>
  <c r="Q169" i="25"/>
  <c r="P181" i="25"/>
  <c r="P160" i="25"/>
  <c r="O164" i="25"/>
  <c r="N172" i="25"/>
  <c r="Q183" i="25"/>
  <c r="Q161" i="25"/>
  <c r="P165" i="25"/>
  <c r="N175" i="25"/>
  <c r="Q162" i="25"/>
  <c r="O176" i="25"/>
  <c r="K8" i="25"/>
  <c r="L53" i="25"/>
  <c r="F177" i="25"/>
  <c r="G172" i="25"/>
  <c r="J162" i="25"/>
  <c r="L175" i="25"/>
  <c r="O165" i="25"/>
  <c r="F20" i="25"/>
  <c r="P2" i="25"/>
  <c r="M172" i="25"/>
  <c r="Q167" i="25"/>
  <c r="K171" i="25"/>
  <c r="K169" i="25"/>
  <c r="Q53" i="25"/>
  <c r="M26" i="25"/>
  <c r="I172" i="25"/>
  <c r="K32" i="25"/>
  <c r="L26" i="25"/>
  <c r="N11" i="25"/>
  <c r="Q14" i="25"/>
  <c r="O8" i="25"/>
  <c r="L35" i="25"/>
  <c r="M8" i="25"/>
  <c r="I41" i="25"/>
  <c r="J17" i="25"/>
  <c r="F50" i="25"/>
  <c r="G20" i="25"/>
  <c r="G74" i="25"/>
  <c r="L74" i="25"/>
  <c r="F41" i="25"/>
  <c r="P23" i="25"/>
  <c r="L56" i="25"/>
  <c r="Q32" i="25"/>
  <c r="N5" i="25"/>
  <c r="J38" i="25"/>
  <c r="K11" i="25"/>
  <c r="K53" i="25"/>
  <c r="S15" i="18"/>
  <c r="S20" i="18"/>
  <c r="S21" i="18"/>
  <c r="S25" i="18"/>
  <c r="L33" i="18"/>
  <c r="J33" i="18"/>
  <c r="R33" i="18"/>
  <c r="S28" i="18"/>
  <c r="H33" i="18"/>
  <c r="G33" i="18"/>
  <c r="S31" i="18"/>
  <c r="S32" i="18"/>
  <c r="S36" i="18"/>
  <c r="J48" i="18"/>
  <c r="Q48" i="18"/>
  <c r="P48" i="18"/>
  <c r="S41" i="18"/>
  <c r="S42" i="18"/>
  <c r="S43" i="18"/>
  <c r="S47" i="18"/>
  <c r="S16" i="19"/>
  <c r="S21" i="19"/>
  <c r="H33" i="19"/>
  <c r="G33" i="19"/>
  <c r="S26" i="19"/>
  <c r="O33" i="19"/>
  <c r="F33" i="19"/>
  <c r="S27" i="19"/>
  <c r="N33" i="19"/>
  <c r="S28" i="19"/>
  <c r="D33" i="19"/>
  <c r="K33" i="19"/>
  <c r="S38" i="19"/>
  <c r="S39" i="19"/>
  <c r="S40" i="19"/>
  <c r="H49" i="37"/>
  <c r="U49" i="37" s="1"/>
  <c r="H45" i="37"/>
  <c r="S212" i="42" s="1"/>
  <c r="G212" i="42" s="1"/>
  <c r="S32" i="21"/>
  <c r="S30" i="22"/>
  <c r="H22" i="37"/>
  <c r="S185" i="42" s="1"/>
  <c r="G185" i="42" s="1"/>
  <c r="K129" i="41" s="1"/>
  <c r="B8" i="15"/>
  <c r="M38" i="25"/>
  <c r="N26" i="25"/>
  <c r="H52" i="37"/>
  <c r="S219" i="42" s="1"/>
  <c r="G219" i="42" s="1"/>
  <c r="K207" i="41" s="1"/>
  <c r="D12" i="16"/>
  <c r="O48" i="18"/>
  <c r="P163" i="25"/>
  <c r="H50" i="25"/>
  <c r="K172" i="25"/>
  <c r="F165" i="25"/>
  <c r="G50" i="25"/>
  <c r="S19" i="21"/>
  <c r="S31" i="21"/>
  <c r="H26" i="25"/>
  <c r="I11" i="25"/>
  <c r="H172" i="25"/>
  <c r="N169" i="25"/>
  <c r="I184" i="25"/>
  <c r="M163" i="25"/>
  <c r="P169" i="25"/>
  <c r="G184" i="25"/>
  <c r="K163" i="25"/>
  <c r="F176" i="25"/>
  <c r="J160" i="25"/>
  <c r="Q165" i="25"/>
  <c r="H176" i="25"/>
  <c r="L160" i="25"/>
  <c r="N162" i="25"/>
  <c r="L183" i="25"/>
  <c r="O172" i="25"/>
  <c r="O26" i="25"/>
  <c r="Q17" i="25"/>
  <c r="N171" i="25"/>
  <c r="I164" i="25"/>
  <c r="N190" i="25"/>
  <c r="M175" i="25"/>
  <c r="H165" i="25"/>
  <c r="G164" i="25"/>
  <c r="J35" i="25"/>
  <c r="P32" i="25"/>
  <c r="M177" i="25"/>
  <c r="G159" i="25"/>
  <c r="O175" i="25"/>
  <c r="P8" i="25"/>
  <c r="H161" i="25"/>
  <c r="H74" i="25"/>
  <c r="P44" i="25"/>
  <c r="K175" i="25"/>
  <c r="J2" i="25"/>
  <c r="G29" i="25"/>
  <c r="L14" i="25"/>
  <c r="I56" i="25"/>
  <c r="K29" i="25"/>
  <c r="P17" i="25"/>
  <c r="J8" i="25"/>
  <c r="S14" i="18"/>
  <c r="S13" i="19"/>
  <c r="S30" i="19"/>
  <c r="U64" i="9"/>
  <c r="W64" i="9" s="1"/>
  <c r="R64" i="9"/>
  <c r="M27" i="21"/>
  <c r="E27" i="21"/>
  <c r="Q27" i="21"/>
  <c r="I27" i="21"/>
  <c r="N27" i="22"/>
  <c r="F27" i="22"/>
  <c r="R27" i="22"/>
  <c r="J27" i="22"/>
  <c r="D58" i="40"/>
  <c r="S31" i="20"/>
  <c r="D11" i="16"/>
  <c r="E12" i="16"/>
  <c r="P33" i="18"/>
  <c r="S40" i="18"/>
  <c r="L48" i="19"/>
  <c r="S43" i="19"/>
  <c r="S21" i="20"/>
  <c r="I48" i="18"/>
  <c r="AI56" i="15"/>
  <c r="AG60" i="15"/>
  <c r="N48" i="19"/>
  <c r="S46" i="19"/>
  <c r="D76" i="40"/>
  <c r="J75" i="40"/>
  <c r="D63" i="40"/>
  <c r="P66" i="40"/>
  <c r="J64" i="40"/>
  <c r="J66" i="40"/>
  <c r="P63" i="40"/>
  <c r="D71" i="40"/>
  <c r="P74" i="40"/>
  <c r="P76" i="40"/>
  <c r="H16" i="15"/>
  <c r="J70" i="40" s="1"/>
  <c r="P62" i="40"/>
  <c r="D65" i="40"/>
  <c r="P65" i="40"/>
  <c r="J63" i="40"/>
  <c r="D59" i="40"/>
  <c r="P73" i="40"/>
  <c r="J71" i="40"/>
  <c r="AF32" i="15"/>
  <c r="U11" i="16" s="1"/>
  <c r="D66" i="40"/>
  <c r="D73" i="40"/>
  <c r="P64" i="40"/>
  <c r="J62" i="40"/>
  <c r="P59" i="40"/>
  <c r="I16" i="15"/>
  <c r="P70" i="40" s="1"/>
  <c r="AD58" i="15"/>
  <c r="D75" i="40"/>
  <c r="J65" i="40"/>
  <c r="D74" i="40"/>
  <c r="P75" i="40"/>
  <c r="J73" i="40"/>
  <c r="J59" i="40"/>
  <c r="J76" i="40"/>
  <c r="P58" i="40"/>
  <c r="D70" i="40"/>
  <c r="J60" i="15"/>
  <c r="D62" i="40"/>
  <c r="M27" i="20"/>
  <c r="E27" i="20"/>
  <c r="L27" i="20"/>
  <c r="D27" i="20"/>
  <c r="R27" i="20"/>
  <c r="Q27" i="20"/>
  <c r="I27" i="20"/>
  <c r="P27" i="20"/>
  <c r="G27" i="20"/>
  <c r="F27" i="20"/>
  <c r="K27" i="20"/>
  <c r="J27" i="20"/>
  <c r="H27" i="20"/>
  <c r="O27" i="20"/>
  <c r="N27" i="20"/>
  <c r="J25" i="15"/>
  <c r="M18" i="19"/>
  <c r="M22" i="19" s="1"/>
  <c r="N18" i="19"/>
  <c r="N22" i="19" s="1"/>
  <c r="K18" i="19"/>
  <c r="K22" i="19" s="1"/>
  <c r="P18" i="19"/>
  <c r="P22" i="19" s="1"/>
  <c r="E50" i="15"/>
  <c r="D38" i="46" s="1"/>
  <c r="D40" i="46" s="1"/>
  <c r="J18" i="19"/>
  <c r="J22" i="19" s="1"/>
  <c r="J49" i="19" s="1"/>
  <c r="H18" i="19"/>
  <c r="H22" i="19" s="1"/>
  <c r="I18" i="19"/>
  <c r="I22" i="19" s="1"/>
  <c r="D42" i="16"/>
  <c r="D44" i="16" s="1"/>
  <c r="F18" i="19"/>
  <c r="D10" i="16"/>
  <c r="L18" i="19"/>
  <c r="L22" i="19" s="1"/>
  <c r="F20" i="15"/>
  <c r="E10" i="16" s="1"/>
  <c r="Q18" i="19"/>
  <c r="Q22" i="19" s="1"/>
  <c r="R18" i="19"/>
  <c r="R22" i="19" s="1"/>
  <c r="G18" i="19"/>
  <c r="G22" i="19" s="1"/>
  <c r="E18" i="19"/>
  <c r="J18" i="18"/>
  <c r="J22" i="18" s="1"/>
  <c r="D10" i="46"/>
  <c r="D13" i="46" s="1"/>
  <c r="E16" i="46"/>
  <c r="E21" i="46"/>
  <c r="H15" i="15"/>
  <c r="G56" i="14"/>
  <c r="G73" i="14" s="1"/>
  <c r="I50" i="14"/>
  <c r="L61" i="14"/>
  <c r="N49" i="14"/>
  <c r="I42" i="14"/>
  <c r="I47" i="14"/>
  <c r="Q56" i="14"/>
  <c r="Q73" i="14" s="1"/>
  <c r="L60" i="14"/>
  <c r="L59" i="14"/>
  <c r="L56" i="14"/>
  <c r="L73" i="14" s="1"/>
  <c r="G63" i="14"/>
  <c r="Q62" i="14"/>
  <c r="Q63" i="14" s="1"/>
  <c r="AG43" i="15" s="1"/>
  <c r="I54" i="14"/>
  <c r="N52" i="14"/>
  <c r="L62" i="14"/>
  <c r="I44" i="14"/>
  <c r="I49" i="14"/>
  <c r="I46" i="14"/>
  <c r="S50" i="14"/>
  <c r="N43" i="14"/>
  <c r="N48" i="14"/>
  <c r="S14" i="14"/>
  <c r="N42" i="14"/>
  <c r="N54" i="14"/>
  <c r="S15" i="14"/>
  <c r="N18" i="14"/>
  <c r="N47" i="14"/>
  <c r="N14" i="14"/>
  <c r="L22" i="14"/>
  <c r="S48" i="14"/>
  <c r="N11" i="14"/>
  <c r="M62" i="14"/>
  <c r="N20" i="14"/>
  <c r="R20" i="14"/>
  <c r="R53" i="14"/>
  <c r="S53" i="14" s="1"/>
  <c r="S19" i="14"/>
  <c r="S18" i="14"/>
  <c r="R52" i="14"/>
  <c r="S52" i="14" s="1"/>
  <c r="H62" i="14"/>
  <c r="I62" i="14" s="1"/>
  <c r="S51" i="14"/>
  <c r="I51" i="14"/>
  <c r="S17" i="14"/>
  <c r="M61" i="14"/>
  <c r="N61" i="14" s="1"/>
  <c r="S16" i="14"/>
  <c r="H61" i="14"/>
  <c r="I61" i="14" s="1"/>
  <c r="N16" i="14"/>
  <c r="R61" i="14"/>
  <c r="S61" i="14" s="1"/>
  <c r="S49" i="14"/>
  <c r="I22" i="14"/>
  <c r="H23" i="14" s="1"/>
  <c r="I75" i="15" s="1"/>
  <c r="S13" i="14"/>
  <c r="R47" i="14"/>
  <c r="S47" i="14" s="1"/>
  <c r="M60" i="14"/>
  <c r="H60" i="14"/>
  <c r="I60" i="14" s="1"/>
  <c r="N13" i="14"/>
  <c r="R46" i="14"/>
  <c r="S12" i="14"/>
  <c r="R11" i="14"/>
  <c r="M45" i="14"/>
  <c r="N45" i="14" s="1"/>
  <c r="L13" i="37"/>
  <c r="R44" i="14"/>
  <c r="S10" i="14"/>
  <c r="H56" i="14"/>
  <c r="I56" i="14" s="1"/>
  <c r="N10" i="14"/>
  <c r="Z12" i="37"/>
  <c r="H59" i="14"/>
  <c r="I59" i="14" s="1"/>
  <c r="M56" i="14"/>
  <c r="M73" i="14" s="1"/>
  <c r="M22" i="14"/>
  <c r="I77" i="14"/>
  <c r="S9" i="14"/>
  <c r="R22" i="14"/>
  <c r="R43" i="14"/>
  <c r="S43" i="14" s="1"/>
  <c r="S42" i="14"/>
  <c r="S8" i="14"/>
  <c r="L61" i="37"/>
  <c r="J13" i="37"/>
  <c r="K13" i="37"/>
  <c r="D78" i="42"/>
  <c r="Q78" i="42"/>
  <c r="J78" i="42"/>
  <c r="I78" i="42"/>
  <c r="H78" i="42"/>
  <c r="L42" i="37"/>
  <c r="J28" i="37"/>
  <c r="Q51" i="42"/>
  <c r="E78" i="42"/>
  <c r="N78" i="42"/>
  <c r="F78" i="42"/>
  <c r="O78" i="42"/>
  <c r="K78" i="42"/>
  <c r="P78" i="42"/>
  <c r="M78" i="42"/>
  <c r="G78" i="42"/>
  <c r="L78" i="42"/>
  <c r="C78" i="42"/>
  <c r="C127" i="42"/>
  <c r="K128" i="42"/>
  <c r="N128" i="42"/>
  <c r="J131" i="42"/>
  <c r="Q131" i="42"/>
  <c r="I131" i="42"/>
  <c r="D131" i="42"/>
  <c r="K131" i="42"/>
  <c r="F131" i="42"/>
  <c r="C131" i="42"/>
  <c r="O131" i="42"/>
  <c r="M131" i="42"/>
  <c r="N131" i="42"/>
  <c r="F128" i="42"/>
  <c r="M128" i="42"/>
  <c r="O128" i="42"/>
  <c r="G128" i="42"/>
  <c r="D128" i="42"/>
  <c r="J128" i="42"/>
  <c r="H128" i="42"/>
  <c r="I128" i="42"/>
  <c r="L128" i="42"/>
  <c r="P128" i="42"/>
  <c r="C128" i="42"/>
  <c r="J132" i="42"/>
  <c r="H132" i="42"/>
  <c r="L127" i="42"/>
  <c r="Q132" i="42"/>
  <c r="I132" i="42"/>
  <c r="I127" i="42"/>
  <c r="E127" i="42"/>
  <c r="P132" i="42"/>
  <c r="L132" i="42"/>
  <c r="G127" i="42"/>
  <c r="E132" i="42"/>
  <c r="K127" i="42"/>
  <c r="N127" i="42"/>
  <c r="M132" i="42"/>
  <c r="O127" i="42"/>
  <c r="P127" i="42"/>
  <c r="J127" i="42"/>
  <c r="K132" i="42"/>
  <c r="D127" i="42"/>
  <c r="F127" i="42"/>
  <c r="G132" i="42"/>
  <c r="N132" i="42"/>
  <c r="M127" i="42"/>
  <c r="C132" i="42"/>
  <c r="O132" i="42"/>
  <c r="D132" i="42"/>
  <c r="H127" i="42"/>
  <c r="W89" i="9"/>
  <c r="L31" i="46"/>
  <c r="L32" i="46" s="1"/>
  <c r="D17" i="46"/>
  <c r="D23" i="46"/>
  <c r="E17" i="46"/>
  <c r="E23" i="46"/>
  <c r="D18" i="46"/>
  <c r="E18" i="46"/>
  <c r="D20" i="46"/>
  <c r="E20" i="46"/>
  <c r="D16" i="46"/>
  <c r="R62" i="9"/>
  <c r="W62" i="9"/>
  <c r="H120" i="37"/>
  <c r="P120" i="37" s="1"/>
  <c r="D115" i="42"/>
  <c r="H142" i="42"/>
  <c r="M42" i="37"/>
  <c r="L28" i="37"/>
  <c r="I13" i="37"/>
  <c r="O61" i="37"/>
  <c r="J42" i="37"/>
  <c r="Q128" i="42"/>
  <c r="P131" i="42"/>
  <c r="M13" i="37"/>
  <c r="M28" i="37"/>
  <c r="O28" i="37"/>
  <c r="O42" i="37"/>
  <c r="K61" i="37"/>
  <c r="O13" i="37"/>
  <c r="N28" i="37"/>
  <c r="N42" i="37"/>
  <c r="I61" i="37"/>
  <c r="N61" i="37"/>
  <c r="I28" i="37"/>
  <c r="K28" i="37"/>
  <c r="G131" i="42"/>
  <c r="H131" i="42"/>
  <c r="K42" i="37"/>
  <c r="M61" i="37"/>
  <c r="N13" i="37"/>
  <c r="I42" i="37"/>
  <c r="J61" i="37"/>
  <c r="E115" i="42"/>
  <c r="K168" i="42"/>
  <c r="G115" i="42"/>
  <c r="C158" i="42"/>
  <c r="F168" i="42"/>
  <c r="E142" i="42"/>
  <c r="P161" i="42"/>
  <c r="O149" i="42"/>
  <c r="N161" i="42"/>
  <c r="I158" i="42"/>
  <c r="G94" i="42"/>
  <c r="C83" i="42"/>
  <c r="H167" i="42"/>
  <c r="J140" i="42"/>
  <c r="Q167" i="42"/>
  <c r="F140" i="42"/>
  <c r="K152" i="42"/>
  <c r="Q140" i="42"/>
  <c r="Q152" i="42"/>
  <c r="M140" i="42"/>
  <c r="C159" i="42"/>
  <c r="O159" i="42"/>
  <c r="J149" i="42"/>
  <c r="H158" i="42"/>
  <c r="P140" i="42"/>
  <c r="N140" i="42"/>
  <c r="P156" i="42"/>
  <c r="F149" i="42"/>
  <c r="E83" i="42"/>
  <c r="H140" i="42"/>
  <c r="M158" i="42"/>
  <c r="C149" i="42"/>
  <c r="F83" i="42"/>
  <c r="C138" i="42"/>
  <c r="G166" i="42"/>
  <c r="E140" i="42"/>
  <c r="J159" i="42"/>
  <c r="G156" i="42"/>
  <c r="L147" i="42"/>
  <c r="K166" i="42"/>
  <c r="M147" i="42"/>
  <c r="P139" i="42"/>
  <c r="D154" i="42"/>
  <c r="I156" i="42"/>
  <c r="L140" i="42"/>
  <c r="C155" i="42"/>
  <c r="J147" i="42"/>
  <c r="M159" i="42"/>
  <c r="I70" i="42"/>
  <c r="M97" i="41" s="1"/>
  <c r="J199" i="37"/>
  <c r="E71" i="42"/>
  <c r="I138" i="42"/>
  <c r="L158" i="42"/>
  <c r="K140" i="42"/>
  <c r="I140" i="42"/>
  <c r="N155" i="42"/>
  <c r="P147" i="42"/>
  <c r="M167" i="42"/>
  <c r="P144" i="42"/>
  <c r="I83" i="42"/>
  <c r="H94" i="42"/>
  <c r="H70" i="42"/>
  <c r="L97" i="41" s="1"/>
  <c r="F70" i="42"/>
  <c r="J97" i="41" s="1"/>
  <c r="G109" i="42"/>
  <c r="R22" i="42"/>
  <c r="H147" i="42"/>
  <c r="J166" i="42"/>
  <c r="D138" i="42"/>
  <c r="G147" i="42"/>
  <c r="M166" i="42"/>
  <c r="I166" i="42"/>
  <c r="E144" i="42"/>
  <c r="O144" i="42"/>
  <c r="T48" i="42"/>
  <c r="U48" i="42" s="1"/>
  <c r="F160" i="42"/>
  <c r="J160" i="42"/>
  <c r="G160" i="42"/>
  <c r="M160" i="42"/>
  <c r="F155" i="42"/>
  <c r="H155" i="42"/>
  <c r="D147" i="42"/>
  <c r="O147" i="42"/>
  <c r="N160" i="42"/>
  <c r="P138" i="42"/>
  <c r="K138" i="42"/>
  <c r="O160" i="42"/>
  <c r="P160" i="42"/>
  <c r="L160" i="42"/>
  <c r="N144" i="42"/>
  <c r="D144" i="42"/>
  <c r="Q149" i="42"/>
  <c r="H149" i="42"/>
  <c r="L149" i="42"/>
  <c r="K149" i="42"/>
  <c r="I149" i="42"/>
  <c r="C115" i="42"/>
  <c r="E151" i="42"/>
  <c r="I159" i="42"/>
  <c r="K118" i="42"/>
  <c r="C118" i="42"/>
  <c r="D109" i="42"/>
  <c r="T188" i="42"/>
  <c r="U188" i="42" s="1"/>
  <c r="I168" i="42"/>
  <c r="O168" i="42"/>
  <c r="O158" i="42"/>
  <c r="K158" i="42"/>
  <c r="L151" i="42"/>
  <c r="Q159" i="42"/>
  <c r="E143" i="42"/>
  <c r="G118" i="42"/>
  <c r="M143" i="42"/>
  <c r="J135" i="42"/>
  <c r="V147" i="37"/>
  <c r="G151" i="42"/>
  <c r="K150" i="42"/>
  <c r="H150" i="42"/>
  <c r="L118" i="42"/>
  <c r="N135" i="42"/>
  <c r="N147" i="42"/>
  <c r="E147" i="42"/>
  <c r="I147" i="42"/>
  <c r="M151" i="42"/>
  <c r="N151" i="42"/>
  <c r="Q151" i="42"/>
  <c r="D159" i="42"/>
  <c r="P159" i="42"/>
  <c r="L159" i="42"/>
  <c r="K151" i="42"/>
  <c r="G159" i="42"/>
  <c r="O150" i="42"/>
  <c r="M135" i="42"/>
  <c r="H151" i="42"/>
  <c r="N159" i="42"/>
  <c r="I151" i="42"/>
  <c r="K143" i="42"/>
  <c r="C164" i="42"/>
  <c r="H164" i="42"/>
  <c r="E172" i="42"/>
  <c r="P151" i="42"/>
  <c r="F159" i="42"/>
  <c r="F151" i="42"/>
  <c r="M142" i="42"/>
  <c r="I145" i="42"/>
  <c r="E145" i="42"/>
  <c r="C142" i="42"/>
  <c r="E94" i="42"/>
  <c r="H115" i="42"/>
  <c r="C152" i="42"/>
  <c r="P142" i="42"/>
  <c r="Q145" i="42"/>
  <c r="R50" i="42"/>
  <c r="N167" i="42"/>
  <c r="L167" i="42"/>
  <c r="E167" i="42"/>
  <c r="D156" i="42"/>
  <c r="F156" i="42"/>
  <c r="L156" i="42"/>
  <c r="T16" i="42"/>
  <c r="U16" i="42" s="1"/>
  <c r="H166" i="42"/>
  <c r="L166" i="42"/>
  <c r="E166" i="42"/>
  <c r="M155" i="42"/>
  <c r="Q155" i="42"/>
  <c r="P155" i="42"/>
  <c r="G155" i="42"/>
  <c r="E155" i="42"/>
  <c r="I155" i="42"/>
  <c r="U169" i="37"/>
  <c r="N192" i="37"/>
  <c r="G65" i="42"/>
  <c r="N168" i="42"/>
  <c r="C168" i="42"/>
  <c r="D168" i="42"/>
  <c r="E168" i="42"/>
  <c r="M168" i="42"/>
  <c r="H168" i="42"/>
  <c r="P168" i="42"/>
  <c r="Q168" i="42"/>
  <c r="J158" i="42"/>
  <c r="D158" i="42"/>
  <c r="P158" i="42"/>
  <c r="E158" i="42"/>
  <c r="G158" i="42"/>
  <c r="N158" i="42"/>
  <c r="F158" i="42"/>
  <c r="I150" i="42"/>
  <c r="G150" i="42"/>
  <c r="C150" i="42"/>
  <c r="F150" i="42"/>
  <c r="Q150" i="42"/>
  <c r="H109" i="42"/>
  <c r="K142" i="42"/>
  <c r="M199" i="37"/>
  <c r="T147" i="37"/>
  <c r="T206" i="42"/>
  <c r="U206" i="42" s="1"/>
  <c r="T173" i="42"/>
  <c r="U173" i="42" s="1"/>
  <c r="T178" i="42"/>
  <c r="U178" i="42" s="1"/>
  <c r="T203" i="42"/>
  <c r="U203" i="42" s="1"/>
  <c r="T207" i="42"/>
  <c r="U207" i="42" s="1"/>
  <c r="R123" i="42"/>
  <c r="S125" i="37"/>
  <c r="N113" i="37"/>
  <c r="Q161" i="37"/>
  <c r="C71" i="42"/>
  <c r="L199" i="37"/>
  <c r="G138" i="42"/>
  <c r="F138" i="42"/>
  <c r="I142" i="42"/>
  <c r="T22" i="42"/>
  <c r="U22" i="42" s="1"/>
  <c r="T75" i="42"/>
  <c r="U75" i="42" s="1"/>
  <c r="C109" i="42"/>
  <c r="G63" i="42"/>
  <c r="I160" i="42"/>
  <c r="H160" i="42"/>
  <c r="D160" i="42"/>
  <c r="Q144" i="42"/>
  <c r="J144" i="42"/>
  <c r="G136" i="42"/>
  <c r="F145" i="42"/>
  <c r="P145" i="42"/>
  <c r="G145" i="42"/>
  <c r="F109" i="42"/>
  <c r="F63" i="42"/>
  <c r="D63" i="42"/>
  <c r="N172" i="42"/>
  <c r="P172" i="42"/>
  <c r="O172" i="42"/>
  <c r="G172" i="42"/>
  <c r="K172" i="42"/>
  <c r="L172" i="42"/>
  <c r="F172" i="42"/>
  <c r="T123" i="37"/>
  <c r="I148" i="42"/>
  <c r="P148" i="42"/>
  <c r="R12" i="42"/>
  <c r="R177" i="42"/>
  <c r="R208" i="42"/>
  <c r="F165" i="42"/>
  <c r="C165" i="42"/>
  <c r="C146" i="42"/>
  <c r="F146" i="42"/>
  <c r="K146" i="42"/>
  <c r="G146" i="42"/>
  <c r="E146" i="42"/>
  <c r="O146" i="42"/>
  <c r="I172" i="42"/>
  <c r="T126" i="42"/>
  <c r="U126" i="42" s="1"/>
  <c r="T14" i="42"/>
  <c r="U14" i="42" s="1"/>
  <c r="R175" i="42"/>
  <c r="C161" i="42"/>
  <c r="I161" i="42"/>
  <c r="M161" i="42"/>
  <c r="O152" i="42"/>
  <c r="F152" i="42"/>
  <c r="D152" i="42"/>
  <c r="E152" i="42"/>
  <c r="P152" i="42"/>
  <c r="M152" i="42"/>
  <c r="I152" i="42"/>
  <c r="L152" i="42"/>
  <c r="G152" i="42"/>
  <c r="G83" i="42"/>
  <c r="D83" i="42"/>
  <c r="D143" i="42"/>
  <c r="I143" i="42"/>
  <c r="O143" i="42"/>
  <c r="N143" i="42"/>
  <c r="F143" i="42"/>
  <c r="H143" i="42"/>
  <c r="G143" i="42"/>
  <c r="Q143" i="42"/>
  <c r="C143" i="42"/>
  <c r="L143" i="42"/>
  <c r="P143" i="42"/>
  <c r="C135" i="42"/>
  <c r="L135" i="42"/>
  <c r="H135" i="42"/>
  <c r="E135" i="42"/>
  <c r="F135" i="42"/>
  <c r="K135" i="42"/>
  <c r="I135" i="42"/>
  <c r="P135" i="42"/>
  <c r="D135" i="42"/>
  <c r="O135" i="42"/>
  <c r="G135" i="42"/>
  <c r="N199" i="37"/>
  <c r="H162" i="42"/>
  <c r="F71" i="42"/>
  <c r="D71" i="42"/>
  <c r="T72" i="42"/>
  <c r="U72" i="42" s="1"/>
  <c r="R72" i="42"/>
  <c r="T50" i="42"/>
  <c r="U50" i="42" s="1"/>
  <c r="T73" i="42"/>
  <c r="U73" i="42" s="1"/>
  <c r="U161" i="37"/>
  <c r="T76" i="42"/>
  <c r="U76" i="42" s="1"/>
  <c r="C94" i="42"/>
  <c r="R206" i="42"/>
  <c r="T210" i="42"/>
  <c r="U210" i="42" s="1"/>
  <c r="R229" i="42"/>
  <c r="T189" i="42"/>
  <c r="U189" i="42" s="1"/>
  <c r="T193" i="42"/>
  <c r="U193" i="42" s="1"/>
  <c r="T28" i="42"/>
  <c r="U28" i="42" s="1"/>
  <c r="T80" i="42"/>
  <c r="U80" i="42" s="1"/>
  <c r="F147" i="42"/>
  <c r="C147" i="42"/>
  <c r="K147" i="42"/>
  <c r="O113" i="37"/>
  <c r="M113" i="37"/>
  <c r="J139" i="37"/>
  <c r="R48" i="42"/>
  <c r="P127" i="37"/>
  <c r="D70" i="42"/>
  <c r="H97" i="41" s="1"/>
  <c r="K199" i="37"/>
  <c r="H159" i="42"/>
  <c r="K159" i="42"/>
  <c r="D151" i="42"/>
  <c r="O151" i="42"/>
  <c r="C151" i="42"/>
  <c r="H71" i="42"/>
  <c r="D162" i="42"/>
  <c r="T229" i="42"/>
  <c r="U229" i="42" s="1"/>
  <c r="T177" i="42"/>
  <c r="U177" i="42" s="1"/>
  <c r="G142" i="42"/>
  <c r="F142" i="42"/>
  <c r="E109" i="42"/>
  <c r="G71" i="42"/>
  <c r="P166" i="42"/>
  <c r="D166" i="42"/>
  <c r="K155" i="42"/>
  <c r="L155" i="42"/>
  <c r="I115" i="42"/>
  <c r="L131" i="42"/>
  <c r="R74" i="42"/>
  <c r="T130" i="42"/>
  <c r="U130" i="42" s="1"/>
  <c r="R130" i="42"/>
  <c r="R76" i="42"/>
  <c r="D59" i="42"/>
  <c r="H93" i="41" s="1"/>
  <c r="C59" i="42"/>
  <c r="G93" i="41" s="1"/>
  <c r="S176" i="37"/>
  <c r="M115" i="42" s="1"/>
  <c r="F115" i="42"/>
  <c r="R127" i="37"/>
  <c r="E65" i="42"/>
  <c r="Q128" i="37"/>
  <c r="K65" i="42" s="1"/>
  <c r="S126" i="37"/>
  <c r="M63" i="42" s="1"/>
  <c r="E63" i="42"/>
  <c r="Q126" i="37"/>
  <c r="K63" i="42" s="1"/>
  <c r="O199" i="37"/>
  <c r="P195" i="37"/>
  <c r="W195" i="37"/>
  <c r="Q162" i="42" s="1"/>
  <c r="Q195" i="37"/>
  <c r="K162" i="42" s="1"/>
  <c r="I162" i="42"/>
  <c r="Q133" i="37"/>
  <c r="K70" i="42" s="1"/>
  <c r="O97" i="41" s="1"/>
  <c r="E70" i="42"/>
  <c r="I97" i="41" s="1"/>
  <c r="S127" i="37"/>
  <c r="S64" i="42"/>
  <c r="H64" i="42" s="1"/>
  <c r="V127" i="37"/>
  <c r="U127" i="37"/>
  <c r="T127" i="37"/>
  <c r="W127" i="37"/>
  <c r="R202" i="42"/>
  <c r="T202" i="42"/>
  <c r="U202" i="42" s="1"/>
  <c r="R27" i="42"/>
  <c r="T27" i="42"/>
  <c r="U27" i="42" s="1"/>
  <c r="R80" i="42"/>
  <c r="R126" i="42"/>
  <c r="T211" i="42"/>
  <c r="U211" i="42" s="1"/>
  <c r="Q144" i="37"/>
  <c r="K83" i="42" s="1"/>
  <c r="T144" i="37"/>
  <c r="N83" i="42" s="1"/>
  <c r="T169" i="37"/>
  <c r="R169" i="37"/>
  <c r="S169" i="37"/>
  <c r="R205" i="42"/>
  <c r="R176" i="42"/>
  <c r="T176" i="42"/>
  <c r="U176" i="42" s="1"/>
  <c r="N148" i="42"/>
  <c r="G148" i="42"/>
  <c r="O148" i="42"/>
  <c r="Q148" i="42"/>
  <c r="D148" i="42"/>
  <c r="K148" i="42"/>
  <c r="J148" i="42"/>
  <c r="E148" i="42"/>
  <c r="M148" i="42"/>
  <c r="C148" i="42"/>
  <c r="F148" i="42"/>
  <c r="H148" i="42"/>
  <c r="L148" i="42"/>
  <c r="S123" i="37"/>
  <c r="U123" i="37"/>
  <c r="V123" i="37"/>
  <c r="P123" i="37"/>
  <c r="S180" i="37"/>
  <c r="P180" i="37"/>
  <c r="V180" i="37"/>
  <c r="U122" i="37"/>
  <c r="O59" i="42" s="1"/>
  <c r="S93" i="41" s="1"/>
  <c r="S122" i="37"/>
  <c r="M59" i="42" s="1"/>
  <c r="Q93" i="41" s="1"/>
  <c r="T122" i="37"/>
  <c r="N59" i="42" s="1"/>
  <c r="V122" i="37"/>
  <c r="P59" i="42" s="1"/>
  <c r="T93" i="41" s="1"/>
  <c r="R122" i="37"/>
  <c r="L59" i="42" s="1"/>
  <c r="P93" i="41" s="1"/>
  <c r="M172" i="42"/>
  <c r="H172" i="42"/>
  <c r="C172" i="42"/>
  <c r="Q172" i="42"/>
  <c r="J172" i="42"/>
  <c r="Q127" i="37"/>
  <c r="F59" i="42"/>
  <c r="J93" i="41" s="1"/>
  <c r="S195" i="37"/>
  <c r="M162" i="42" s="1"/>
  <c r="R195" i="37"/>
  <c r="L162" i="42" s="1"/>
  <c r="G162" i="42"/>
  <c r="C162" i="42"/>
  <c r="F162" i="42"/>
  <c r="E162" i="42"/>
  <c r="U144" i="37"/>
  <c r="O83" i="42" s="1"/>
  <c r="V144" i="37"/>
  <c r="P83" i="42" s="1"/>
  <c r="T74" i="42"/>
  <c r="U74" i="42" s="1"/>
  <c r="I167" i="42"/>
  <c r="J167" i="42"/>
  <c r="O167" i="42"/>
  <c r="G167" i="42"/>
  <c r="K167" i="42"/>
  <c r="P167" i="42"/>
  <c r="P149" i="42"/>
  <c r="D149" i="42"/>
  <c r="G149" i="42"/>
  <c r="E149" i="42"/>
  <c r="N149" i="42"/>
  <c r="T195" i="37"/>
  <c r="N162" i="42" s="1"/>
  <c r="U195" i="37"/>
  <c r="O162" i="42" s="1"/>
  <c r="V195" i="37"/>
  <c r="P162" i="42" s="1"/>
  <c r="S60" i="42"/>
  <c r="H60" i="42" s="1"/>
  <c r="R123" i="37"/>
  <c r="R193" i="42"/>
  <c r="R49" i="42"/>
  <c r="T49" i="42"/>
  <c r="U49" i="42" s="1"/>
  <c r="R28" i="42"/>
  <c r="R14" i="42"/>
  <c r="R23" i="42"/>
  <c r="R173" i="42"/>
  <c r="R188" i="42"/>
  <c r="T208" i="42"/>
  <c r="U208" i="42" s="1"/>
  <c r="T175" i="42"/>
  <c r="U175" i="42" s="1"/>
  <c r="R207" i="42"/>
  <c r="R178" i="42"/>
  <c r="T192" i="42"/>
  <c r="U192" i="42" s="1"/>
  <c r="J152" i="42"/>
  <c r="H152" i="42"/>
  <c r="W144" i="37"/>
  <c r="Q83" i="42" s="1"/>
  <c r="P144" i="37"/>
  <c r="J83" i="42" s="1"/>
  <c r="K186" i="37"/>
  <c r="P169" i="37"/>
  <c r="V169" i="37"/>
  <c r="Q169" i="37"/>
  <c r="T228" i="42"/>
  <c r="U228" i="42" s="1"/>
  <c r="R210" i="42"/>
  <c r="Q160" i="42"/>
  <c r="C160" i="42"/>
  <c r="K160" i="42"/>
  <c r="E160" i="42"/>
  <c r="D146" i="42"/>
  <c r="J146" i="42"/>
  <c r="I146" i="42"/>
  <c r="P146" i="42"/>
  <c r="N146" i="42"/>
  <c r="M146" i="42"/>
  <c r="L146" i="42"/>
  <c r="Q146" i="42"/>
  <c r="S86" i="42"/>
  <c r="P147" i="37"/>
  <c r="V170" i="37"/>
  <c r="P109" i="42" s="1"/>
  <c r="P170" i="37"/>
  <c r="J109" i="42" s="1"/>
  <c r="M138" i="42"/>
  <c r="E138" i="42"/>
  <c r="J138" i="42"/>
  <c r="H138" i="42"/>
  <c r="F94" i="42"/>
  <c r="I109" i="42"/>
  <c r="R161" i="37"/>
  <c r="L186" i="37"/>
  <c r="N150" i="42"/>
  <c r="M150" i="42"/>
  <c r="J150" i="42"/>
  <c r="P150" i="42"/>
  <c r="L150" i="42"/>
  <c r="E150" i="42"/>
  <c r="I144" i="42"/>
  <c r="M144" i="42"/>
  <c r="C144" i="42"/>
  <c r="L144" i="42"/>
  <c r="K144" i="42"/>
  <c r="G144" i="42"/>
  <c r="F144" i="42"/>
  <c r="J137" i="42"/>
  <c r="M137" i="42"/>
  <c r="I133" i="42"/>
  <c r="N142" i="42"/>
  <c r="J142" i="42"/>
  <c r="D142" i="42"/>
  <c r="N145" i="42"/>
  <c r="K133" i="42"/>
  <c r="I71" i="42"/>
  <c r="N186" i="37"/>
  <c r="T128" i="37"/>
  <c r="N65" i="42" s="1"/>
  <c r="I113" i="37"/>
  <c r="T196" i="37"/>
  <c r="M186" i="37"/>
  <c r="J186" i="37"/>
  <c r="J113" i="37"/>
  <c r="D145" i="42"/>
  <c r="Q142" i="42"/>
  <c r="K145" i="42"/>
  <c r="O142" i="42"/>
  <c r="O145" i="42"/>
  <c r="O164" i="42"/>
  <c r="N164" i="42"/>
  <c r="E164" i="42"/>
  <c r="F164" i="42"/>
  <c r="P164" i="42"/>
  <c r="M164" i="42"/>
  <c r="K164" i="42"/>
  <c r="I164" i="42"/>
  <c r="Q164" i="42"/>
  <c r="L164" i="42"/>
  <c r="D164" i="42"/>
  <c r="J164" i="42"/>
  <c r="Q153" i="42"/>
  <c r="E153" i="42"/>
  <c r="J153" i="42"/>
  <c r="O153" i="42"/>
  <c r="P153" i="42"/>
  <c r="H153" i="42"/>
  <c r="I153" i="42"/>
  <c r="M153" i="42"/>
  <c r="K153" i="42"/>
  <c r="G153" i="42"/>
  <c r="F153" i="42"/>
  <c r="L153" i="42"/>
  <c r="D153" i="42"/>
  <c r="C153" i="42"/>
  <c r="E139" i="42"/>
  <c r="G139" i="42"/>
  <c r="D139" i="42"/>
  <c r="L139" i="42"/>
  <c r="M139" i="42"/>
  <c r="I139" i="42"/>
  <c r="K139" i="42"/>
  <c r="F139" i="42"/>
  <c r="N139" i="42"/>
  <c r="Q139" i="42"/>
  <c r="O139" i="42"/>
  <c r="J139" i="42"/>
  <c r="C139" i="42"/>
  <c r="R26" i="42"/>
  <c r="T26" i="42"/>
  <c r="U26" i="42" s="1"/>
  <c r="T15" i="42"/>
  <c r="U15" i="42" s="1"/>
  <c r="R15" i="42"/>
  <c r="R13" i="42"/>
  <c r="T13" i="42"/>
  <c r="U13" i="42" s="1"/>
  <c r="R11" i="42"/>
  <c r="T11" i="42"/>
  <c r="U11" i="42" s="1"/>
  <c r="T204" i="42"/>
  <c r="U204" i="42" s="1"/>
  <c r="R204" i="42"/>
  <c r="R227" i="42"/>
  <c r="T227" i="42"/>
  <c r="U227" i="42" s="1"/>
  <c r="R231" i="42"/>
  <c r="T231" i="42"/>
  <c r="U231" i="42" s="1"/>
  <c r="R203" i="42"/>
  <c r="T209" i="42"/>
  <c r="U209" i="42" s="1"/>
  <c r="R209" i="42"/>
  <c r="T191" i="42"/>
  <c r="U191" i="42" s="1"/>
  <c r="R191" i="42"/>
  <c r="T125" i="37"/>
  <c r="Q125" i="37"/>
  <c r="V125" i="37"/>
  <c r="R125" i="37"/>
  <c r="U125" i="37"/>
  <c r="S62" i="42"/>
  <c r="P125" i="37"/>
  <c r="W125" i="37"/>
  <c r="V196" i="37"/>
  <c r="U196" i="37"/>
  <c r="S163" i="42"/>
  <c r="Q196" i="37"/>
  <c r="S196" i="37"/>
  <c r="W196" i="37"/>
  <c r="P196" i="37"/>
  <c r="H199" i="37"/>
  <c r="R196" i="37"/>
  <c r="R25" i="42"/>
  <c r="T25" i="42"/>
  <c r="U25" i="42" s="1"/>
  <c r="N139" i="37"/>
  <c r="O139" i="37"/>
  <c r="U171" i="37"/>
  <c r="Q171" i="37"/>
  <c r="T171" i="37"/>
  <c r="P171" i="37"/>
  <c r="R171" i="37"/>
  <c r="Q184" i="37"/>
  <c r="U184" i="37"/>
  <c r="P184" i="37"/>
  <c r="V184" i="37"/>
  <c r="P155" i="37"/>
  <c r="W155" i="37"/>
  <c r="Q94" i="42" s="1"/>
  <c r="T155" i="37"/>
  <c r="I94" i="42"/>
  <c r="I186" i="37"/>
  <c r="I139" i="37"/>
  <c r="T124" i="37"/>
  <c r="W124" i="37"/>
  <c r="R124" i="37"/>
  <c r="P124" i="37"/>
  <c r="R134" i="37"/>
  <c r="L71" i="42" s="1"/>
  <c r="S134" i="37"/>
  <c r="M71" i="42" s="1"/>
  <c r="T134" i="37"/>
  <c r="N71" i="42" s="1"/>
  <c r="U134" i="37"/>
  <c r="O71" i="42" s="1"/>
  <c r="V134" i="37"/>
  <c r="P71" i="42" s="1"/>
  <c r="W134" i="37"/>
  <c r="Q71" i="42" s="1"/>
  <c r="Q134" i="37"/>
  <c r="K71" i="42" s="1"/>
  <c r="L113" i="37"/>
  <c r="I65" i="42"/>
  <c r="C65" i="42"/>
  <c r="H65" i="42"/>
  <c r="D65" i="42"/>
  <c r="F65" i="42"/>
  <c r="T123" i="42"/>
  <c r="U123" i="42" s="1"/>
  <c r="G59" i="42"/>
  <c r="K93" i="41" s="1"/>
  <c r="D118" i="42"/>
  <c r="Q118" i="42"/>
  <c r="I118" i="42"/>
  <c r="E118" i="42"/>
  <c r="M118" i="42"/>
  <c r="J118" i="42"/>
  <c r="O118" i="42"/>
  <c r="H118" i="42"/>
  <c r="P118" i="42"/>
  <c r="F118" i="42"/>
  <c r="G70" i="42"/>
  <c r="K97" i="41" s="1"/>
  <c r="C70" i="42"/>
  <c r="V161" i="37"/>
  <c r="S161" i="37"/>
  <c r="W161" i="37"/>
  <c r="R147" i="37"/>
  <c r="S147" i="37"/>
  <c r="U147" i="37"/>
  <c r="Q147" i="37"/>
  <c r="K139" i="37"/>
  <c r="W123" i="37"/>
  <c r="Q123" i="37"/>
  <c r="P128" i="37"/>
  <c r="J65" i="42" s="1"/>
  <c r="W128" i="37"/>
  <c r="Q65" i="42" s="1"/>
  <c r="U128" i="37"/>
  <c r="O65" i="42" s="1"/>
  <c r="S128" i="37"/>
  <c r="M65" i="42" s="1"/>
  <c r="R128" i="37"/>
  <c r="L65" i="42" s="1"/>
  <c r="V128" i="37"/>
  <c r="P65" i="42" s="1"/>
  <c r="I63" i="42"/>
  <c r="H63" i="42"/>
  <c r="C63" i="42"/>
  <c r="S119" i="42"/>
  <c r="U180" i="37"/>
  <c r="T180" i="37"/>
  <c r="Q180" i="37"/>
  <c r="W180" i="37"/>
  <c r="R180" i="37"/>
  <c r="R190" i="42"/>
  <c r="T190" i="42"/>
  <c r="U190" i="42" s="1"/>
  <c r="T230" i="42"/>
  <c r="U230" i="42" s="1"/>
  <c r="R230" i="42"/>
  <c r="R189" i="42"/>
  <c r="R24" i="42"/>
  <c r="T24" i="42"/>
  <c r="U24" i="42" s="1"/>
  <c r="R75" i="42"/>
  <c r="T174" i="42"/>
  <c r="U174" i="42" s="1"/>
  <c r="R174" i="42"/>
  <c r="R228" i="42"/>
  <c r="F161" i="42"/>
  <c r="E161" i="42"/>
  <c r="Q161" i="42"/>
  <c r="D161" i="42"/>
  <c r="K161" i="42"/>
  <c r="G161" i="42"/>
  <c r="O161" i="42"/>
  <c r="J161" i="42"/>
  <c r="H161" i="42"/>
  <c r="O186" i="37"/>
  <c r="D94" i="42"/>
  <c r="W122" i="37"/>
  <c r="Q59" i="42" s="1"/>
  <c r="U93" i="41" s="1"/>
  <c r="P133" i="37"/>
  <c r="P122" i="37"/>
  <c r="E156" i="42"/>
  <c r="Q156" i="42"/>
  <c r="M156" i="42"/>
  <c r="K156" i="42"/>
  <c r="J156" i="42"/>
  <c r="H156" i="42"/>
  <c r="O156" i="42"/>
  <c r="N156" i="42"/>
  <c r="R16" i="42"/>
  <c r="R155" i="37"/>
  <c r="L94" i="42" s="1"/>
  <c r="V155" i="37"/>
  <c r="Q155" i="37"/>
  <c r="K94" i="42" s="1"/>
  <c r="V124" i="37"/>
  <c r="U124" i="37"/>
  <c r="S61" i="42"/>
  <c r="Q124" i="37"/>
  <c r="S124" i="37"/>
  <c r="W184" i="37"/>
  <c r="S120" i="42"/>
  <c r="R184" i="37"/>
  <c r="S184" i="37"/>
  <c r="T184" i="37"/>
  <c r="T12" i="42"/>
  <c r="U12" i="42" s="1"/>
  <c r="R211" i="42"/>
  <c r="R192" i="42"/>
  <c r="E165" i="42"/>
  <c r="J165" i="42"/>
  <c r="N165" i="42"/>
  <c r="D165" i="42"/>
  <c r="I165" i="42"/>
  <c r="O165" i="42"/>
  <c r="L165" i="42"/>
  <c r="P165" i="42"/>
  <c r="G165" i="42"/>
  <c r="M165" i="42"/>
  <c r="H165" i="42"/>
  <c r="K165" i="42"/>
  <c r="Q165" i="42"/>
  <c r="J155" i="42"/>
  <c r="D155" i="42"/>
  <c r="K141" i="42"/>
  <c r="M141" i="42"/>
  <c r="L141" i="42"/>
  <c r="G141" i="42"/>
  <c r="U133" i="37"/>
  <c r="O70" i="42" s="1"/>
  <c r="S97" i="41" s="1"/>
  <c r="V133" i="37"/>
  <c r="P70" i="42" s="1"/>
  <c r="T97" i="41" s="1"/>
  <c r="I59" i="42"/>
  <c r="M93" i="41" s="1"/>
  <c r="H59" i="42"/>
  <c r="L93" i="41" s="1"/>
  <c r="E59" i="42"/>
  <c r="R126" i="37"/>
  <c r="L63" i="42" s="1"/>
  <c r="T126" i="37"/>
  <c r="N63" i="42" s="1"/>
  <c r="U126" i="37"/>
  <c r="O63" i="42" s="1"/>
  <c r="W126" i="37"/>
  <c r="Q63" i="42" s="1"/>
  <c r="T170" i="37"/>
  <c r="N109" i="42" s="1"/>
  <c r="Q170" i="37"/>
  <c r="S170" i="37"/>
  <c r="M109" i="42" s="1"/>
  <c r="S110" i="42"/>
  <c r="V171" i="37"/>
  <c r="S171" i="37"/>
  <c r="W171" i="37"/>
  <c r="R176" i="37"/>
  <c r="L115" i="42" s="1"/>
  <c r="W176" i="37"/>
  <c r="Q115" i="42" s="1"/>
  <c r="T176" i="37"/>
  <c r="N115" i="42" s="1"/>
  <c r="P176" i="37"/>
  <c r="U176" i="37"/>
  <c r="O115" i="42" s="1"/>
  <c r="V176" i="37"/>
  <c r="P115" i="42" s="1"/>
  <c r="Q176" i="37"/>
  <c r="K115" i="42" s="1"/>
  <c r="T23" i="42"/>
  <c r="U23" i="42" s="1"/>
  <c r="R73" i="42"/>
  <c r="P154" i="42"/>
  <c r="C154" i="42"/>
  <c r="Q154" i="42"/>
  <c r="I154" i="42"/>
  <c r="N154" i="42"/>
  <c r="F154" i="42"/>
  <c r="G154" i="42"/>
  <c r="H154" i="42"/>
  <c r="E154" i="42"/>
  <c r="K154" i="42"/>
  <c r="L154" i="42"/>
  <c r="O154" i="42"/>
  <c r="J154" i="42"/>
  <c r="C140" i="42"/>
  <c r="G140" i="42"/>
  <c r="D140" i="42"/>
  <c r="R144" i="37"/>
  <c r="S144" i="37"/>
  <c r="M83" i="42" s="1"/>
  <c r="W133" i="37"/>
  <c r="Q70" i="42" s="1"/>
  <c r="U97" i="41" s="1"/>
  <c r="R133" i="37"/>
  <c r="L70" i="42" s="1"/>
  <c r="P97" i="41" s="1"/>
  <c r="T133" i="37"/>
  <c r="N70" i="42" s="1"/>
  <c r="S133" i="37"/>
  <c r="M70" i="42" s="1"/>
  <c r="Q97" i="41" s="1"/>
  <c r="U155" i="37"/>
  <c r="O94" i="42" s="1"/>
  <c r="S155" i="37"/>
  <c r="M94" i="42" s="1"/>
  <c r="I199" i="37"/>
  <c r="L139" i="37"/>
  <c r="H83" i="42"/>
  <c r="J168" i="42"/>
  <c r="L168" i="42"/>
  <c r="P161" i="37"/>
  <c r="T161" i="37"/>
  <c r="S100" i="42"/>
  <c r="K113" i="37"/>
  <c r="T205" i="42"/>
  <c r="U205" i="42" s="1"/>
  <c r="M139" i="37"/>
  <c r="W147" i="37"/>
  <c r="W169" i="37"/>
  <c r="S108" i="42"/>
  <c r="P134" i="37"/>
  <c r="F166" i="42"/>
  <c r="C166" i="42"/>
  <c r="O166" i="42"/>
  <c r="N166" i="42"/>
  <c r="O138" i="42"/>
  <c r="N138" i="42"/>
  <c r="L138" i="42"/>
  <c r="V126" i="37"/>
  <c r="P63" i="42" s="1"/>
  <c r="P126" i="37"/>
  <c r="Q122" i="37"/>
  <c r="R170" i="37"/>
  <c r="L109" i="42" s="1"/>
  <c r="W170" i="37"/>
  <c r="Q109" i="42" s="1"/>
  <c r="U170" i="37"/>
  <c r="O109" i="42" s="1"/>
  <c r="D167" i="42"/>
  <c r="F167" i="42"/>
  <c r="F137" i="42"/>
  <c r="F60" i="21"/>
  <c r="K60" i="21"/>
  <c r="H60" i="21"/>
  <c r="E60" i="21"/>
  <c r="D60" i="21"/>
  <c r="O60" i="21"/>
  <c r="M60" i="21"/>
  <c r="N60" i="21"/>
  <c r="G60" i="21"/>
  <c r="L60" i="21"/>
  <c r="J60" i="21"/>
  <c r="P15" i="9"/>
  <c r="U15" i="9" s="1"/>
  <c r="I60" i="21"/>
  <c r="P33" i="9"/>
  <c r="U33" i="9" s="1"/>
  <c r="I83" i="21"/>
  <c r="P50" i="9"/>
  <c r="U50" i="9" s="1"/>
  <c r="N83" i="21"/>
  <c r="J83" i="21"/>
  <c r="M83" i="21"/>
  <c r="E83" i="21"/>
  <c r="L83" i="21"/>
  <c r="O83" i="21"/>
  <c r="F83" i="21"/>
  <c r="G83" i="21"/>
  <c r="H83" i="21"/>
  <c r="D83" i="21"/>
  <c r="K83" i="21"/>
  <c r="N65" i="22"/>
  <c r="M65" i="22"/>
  <c r="G65" i="22"/>
  <c r="J65" i="22"/>
  <c r="Q20" i="9"/>
  <c r="V20" i="9" s="1"/>
  <c r="L65" i="22"/>
  <c r="K65" i="22"/>
  <c r="D65" i="22"/>
  <c r="I65" i="22"/>
  <c r="E65" i="22"/>
  <c r="F65" i="22"/>
  <c r="O65" i="22"/>
  <c r="H65" i="22"/>
  <c r="K70" i="22"/>
  <c r="N70" i="22"/>
  <c r="G70" i="22"/>
  <c r="M70" i="22"/>
  <c r="I70" i="22"/>
  <c r="F70" i="22"/>
  <c r="E70" i="22"/>
  <c r="L70" i="22"/>
  <c r="J70" i="22"/>
  <c r="H70" i="22"/>
  <c r="O70" i="22"/>
  <c r="Q25" i="9"/>
  <c r="V25" i="9" s="1"/>
  <c r="D70" i="22"/>
  <c r="P36" i="9"/>
  <c r="U36" i="9" s="1"/>
  <c r="M79" i="22"/>
  <c r="H79" i="22"/>
  <c r="E79" i="22"/>
  <c r="J79" i="22"/>
  <c r="K79" i="22"/>
  <c r="D79" i="22"/>
  <c r="N79" i="22"/>
  <c r="F79" i="22"/>
  <c r="Q46" i="9"/>
  <c r="V46" i="9" s="1"/>
  <c r="I79" i="22"/>
  <c r="O79" i="22"/>
  <c r="L79" i="22"/>
  <c r="G79" i="22"/>
  <c r="H83" i="20"/>
  <c r="E83" i="20"/>
  <c r="O83" i="20"/>
  <c r="F83" i="20"/>
  <c r="O50" i="9"/>
  <c r="J83" i="20"/>
  <c r="K83" i="20"/>
  <c r="L83" i="20"/>
  <c r="G83" i="20"/>
  <c r="D83" i="20"/>
  <c r="N83" i="20"/>
  <c r="K50" i="9"/>
  <c r="H107" i="37" s="1"/>
  <c r="I83" i="20"/>
  <c r="M83" i="20"/>
  <c r="G73" i="21"/>
  <c r="K73" i="21"/>
  <c r="F73" i="21"/>
  <c r="N73" i="21"/>
  <c r="J73" i="21"/>
  <c r="H73" i="21"/>
  <c r="P28" i="9"/>
  <c r="U28" i="9" s="1"/>
  <c r="I73" i="21"/>
  <c r="L73" i="21"/>
  <c r="D73" i="21"/>
  <c r="E73" i="21"/>
  <c r="M73" i="21"/>
  <c r="O73" i="21"/>
  <c r="O37" i="9"/>
  <c r="K37" i="9"/>
  <c r="H94" i="37" s="1"/>
  <c r="F72" i="20"/>
  <c r="O27" i="9"/>
  <c r="D72" i="20"/>
  <c r="K72" i="20"/>
  <c r="M72" i="20"/>
  <c r="L72" i="20"/>
  <c r="E72" i="20"/>
  <c r="O72" i="20"/>
  <c r="N72" i="20"/>
  <c r="G72" i="20"/>
  <c r="J72" i="20"/>
  <c r="I72" i="20"/>
  <c r="H72" i="20"/>
  <c r="N79" i="20"/>
  <c r="H79" i="20"/>
  <c r="M79" i="20"/>
  <c r="D79" i="20"/>
  <c r="G79" i="20"/>
  <c r="F79" i="20"/>
  <c r="J79" i="20"/>
  <c r="E79" i="20"/>
  <c r="K46" i="9"/>
  <c r="H103" i="37" s="1"/>
  <c r="L79" i="20"/>
  <c r="O46" i="9"/>
  <c r="I79" i="20"/>
  <c r="O79" i="20"/>
  <c r="K79" i="20"/>
  <c r="D60" i="22"/>
  <c r="Q15" i="9"/>
  <c r="V15" i="9" s="1"/>
  <c r="J60" i="22"/>
  <c r="G60" i="22"/>
  <c r="K60" i="22"/>
  <c r="E60" i="22"/>
  <c r="F60" i="22"/>
  <c r="O60" i="22"/>
  <c r="M60" i="22"/>
  <c r="H60" i="22"/>
  <c r="L60" i="22"/>
  <c r="N60" i="22"/>
  <c r="I60" i="22"/>
  <c r="H82" i="21"/>
  <c r="I82" i="21"/>
  <c r="D82" i="21"/>
  <c r="K82" i="21"/>
  <c r="P49" i="9"/>
  <c r="U49" i="9" s="1"/>
  <c r="F82" i="21"/>
  <c r="J82" i="21"/>
  <c r="G82" i="21"/>
  <c r="O82" i="21"/>
  <c r="N82" i="21"/>
  <c r="M82" i="21"/>
  <c r="E82" i="21"/>
  <c r="L82" i="21"/>
  <c r="Q43" i="9"/>
  <c r="V43" i="9" s="1"/>
  <c r="O49" i="9"/>
  <c r="J82" i="20"/>
  <c r="E82" i="20"/>
  <c r="D82" i="20"/>
  <c r="H82" i="20"/>
  <c r="I82" i="20"/>
  <c r="O82" i="20"/>
  <c r="M82" i="20"/>
  <c r="N82" i="20"/>
  <c r="K82" i="20"/>
  <c r="F82" i="20"/>
  <c r="K49" i="9"/>
  <c r="H106" i="37" s="1"/>
  <c r="G82" i="20"/>
  <c r="L82" i="20"/>
  <c r="H58" i="21"/>
  <c r="O58" i="21"/>
  <c r="K58" i="21"/>
  <c r="E58" i="21"/>
  <c r="G58" i="21"/>
  <c r="D58" i="21"/>
  <c r="L58" i="21"/>
  <c r="J58" i="21"/>
  <c r="M58" i="21"/>
  <c r="N58" i="21"/>
  <c r="I58" i="21"/>
  <c r="F58" i="21"/>
  <c r="P13" i="9"/>
  <c r="U13" i="9" s="1"/>
  <c r="O70" i="20"/>
  <c r="N70" i="20"/>
  <c r="G70" i="20"/>
  <c r="I70" i="20"/>
  <c r="L70" i="20"/>
  <c r="J70" i="20"/>
  <c r="K70" i="20"/>
  <c r="D70" i="20"/>
  <c r="O25" i="9"/>
  <c r="M70" i="20"/>
  <c r="F70" i="20"/>
  <c r="E70" i="20"/>
  <c r="H70" i="20"/>
  <c r="D58" i="22"/>
  <c r="G58" i="22"/>
  <c r="Q13" i="9"/>
  <c r="V13" i="9" s="1"/>
  <c r="F58" i="22"/>
  <c r="N58" i="22"/>
  <c r="L58" i="22"/>
  <c r="I58" i="22"/>
  <c r="O58" i="22"/>
  <c r="M58" i="22"/>
  <c r="J58" i="22"/>
  <c r="E58" i="22"/>
  <c r="H58" i="22"/>
  <c r="K58" i="22"/>
  <c r="G83" i="22"/>
  <c r="L83" i="22"/>
  <c r="M83" i="22"/>
  <c r="J83" i="22"/>
  <c r="E83" i="22"/>
  <c r="F83" i="22"/>
  <c r="O83" i="22"/>
  <c r="K83" i="22"/>
  <c r="N83" i="22"/>
  <c r="Q50" i="9"/>
  <c r="V50" i="9" s="1"/>
  <c r="D83" i="22"/>
  <c r="H83" i="22"/>
  <c r="I83" i="22"/>
  <c r="L80" i="20"/>
  <c r="H80" i="20"/>
  <c r="K80" i="20"/>
  <c r="G80" i="20"/>
  <c r="J80" i="20"/>
  <c r="I80" i="20"/>
  <c r="O80" i="20"/>
  <c r="O47" i="9"/>
  <c r="D80" i="20"/>
  <c r="K47" i="9"/>
  <c r="H104" i="37" s="1"/>
  <c r="F80" i="20"/>
  <c r="N80" i="20"/>
  <c r="E80" i="20"/>
  <c r="M80" i="20"/>
  <c r="Q28" i="9"/>
  <c r="V28" i="9" s="1"/>
  <c r="D73" i="22"/>
  <c r="O73" i="22"/>
  <c r="N73" i="22"/>
  <c r="M73" i="22"/>
  <c r="K73" i="22"/>
  <c r="H73" i="22"/>
  <c r="I73" i="22"/>
  <c r="L73" i="22"/>
  <c r="J73" i="22"/>
  <c r="G73" i="22"/>
  <c r="F73" i="22"/>
  <c r="E73" i="22"/>
  <c r="Q40" i="9"/>
  <c r="V40" i="9" s="1"/>
  <c r="O40" i="9"/>
  <c r="K40" i="9"/>
  <c r="H97" i="37" s="1"/>
  <c r="G79" i="21"/>
  <c r="F79" i="21"/>
  <c r="E79" i="21"/>
  <c r="M79" i="21"/>
  <c r="O79" i="21"/>
  <c r="L79" i="21"/>
  <c r="H79" i="21"/>
  <c r="N79" i="21"/>
  <c r="K79" i="21"/>
  <c r="J79" i="21"/>
  <c r="D79" i="21"/>
  <c r="I79" i="21"/>
  <c r="P46" i="9"/>
  <c r="U46" i="9" s="1"/>
  <c r="H67" i="20"/>
  <c r="L67" i="20"/>
  <c r="E67" i="20"/>
  <c r="M67" i="20"/>
  <c r="G67" i="20"/>
  <c r="O67" i="20"/>
  <c r="O22" i="9"/>
  <c r="N67" i="20"/>
  <c r="K67" i="20"/>
  <c r="F67" i="20"/>
  <c r="J67" i="20"/>
  <c r="D67" i="20"/>
  <c r="I67" i="20"/>
  <c r="P40" i="9"/>
  <c r="U40" i="9" s="1"/>
  <c r="H70" i="21"/>
  <c r="D70" i="21"/>
  <c r="N70" i="21"/>
  <c r="I70" i="21"/>
  <c r="J70" i="21"/>
  <c r="G70" i="21"/>
  <c r="O70" i="21"/>
  <c r="F70" i="21"/>
  <c r="P25" i="9"/>
  <c r="U25" i="9" s="1"/>
  <c r="E70" i="21"/>
  <c r="K70" i="21"/>
  <c r="M70" i="21"/>
  <c r="L70" i="21"/>
  <c r="N67" i="22"/>
  <c r="L67" i="22"/>
  <c r="G67" i="22"/>
  <c r="I67" i="22"/>
  <c r="O67" i="22"/>
  <c r="E67" i="22"/>
  <c r="H67" i="22"/>
  <c r="M67" i="22"/>
  <c r="F67" i="22"/>
  <c r="Q22" i="9"/>
  <c r="V22" i="9" s="1"/>
  <c r="J67" i="22"/>
  <c r="K67" i="22"/>
  <c r="D67" i="22"/>
  <c r="M80" i="21"/>
  <c r="H80" i="21"/>
  <c r="J80" i="21"/>
  <c r="I80" i="21"/>
  <c r="E80" i="21"/>
  <c r="N80" i="21"/>
  <c r="P47" i="9"/>
  <c r="U47" i="9" s="1"/>
  <c r="G80" i="21"/>
  <c r="O80" i="21"/>
  <c r="F80" i="21"/>
  <c r="D80" i="21"/>
  <c r="K80" i="21"/>
  <c r="L80" i="21"/>
  <c r="O72" i="21"/>
  <c r="L72" i="21"/>
  <c r="G72" i="21"/>
  <c r="H72" i="21"/>
  <c r="F72" i="21"/>
  <c r="P27" i="9"/>
  <c r="U27" i="9" s="1"/>
  <c r="E72" i="21"/>
  <c r="M72" i="21"/>
  <c r="N72" i="21"/>
  <c r="I72" i="21"/>
  <c r="K72" i="21"/>
  <c r="J72" i="21"/>
  <c r="D72" i="21"/>
  <c r="P43" i="9"/>
  <c r="U43" i="9" s="1"/>
  <c r="F67" i="21"/>
  <c r="H67" i="21"/>
  <c r="E67" i="21"/>
  <c r="L67" i="21"/>
  <c r="P22" i="9"/>
  <c r="U22" i="9" s="1"/>
  <c r="J67" i="21"/>
  <c r="K67" i="21"/>
  <c r="D67" i="21"/>
  <c r="N67" i="21"/>
  <c r="O67" i="21"/>
  <c r="G67" i="21"/>
  <c r="I67" i="21"/>
  <c r="M67" i="21"/>
  <c r="H65" i="21"/>
  <c r="K65" i="21"/>
  <c r="F65" i="21"/>
  <c r="L65" i="21"/>
  <c r="G65" i="21"/>
  <c r="O65" i="21"/>
  <c r="M65" i="21"/>
  <c r="J65" i="21"/>
  <c r="P20" i="9"/>
  <c r="U20" i="9" s="1"/>
  <c r="N65" i="21"/>
  <c r="I65" i="21"/>
  <c r="D65" i="21"/>
  <c r="E65" i="21"/>
  <c r="K54" i="22"/>
  <c r="N54" i="22"/>
  <c r="Q9" i="9"/>
  <c r="V9" i="9" s="1"/>
  <c r="I54" i="22"/>
  <c r="O54" i="22"/>
  <c r="D54" i="22"/>
  <c r="G54" i="22"/>
  <c r="H54" i="22"/>
  <c r="L54" i="22"/>
  <c r="E54" i="22"/>
  <c r="M54" i="22"/>
  <c r="J54" i="22"/>
  <c r="F54" i="22"/>
  <c r="M82" i="22"/>
  <c r="G82" i="22"/>
  <c r="J82" i="22"/>
  <c r="F82" i="22"/>
  <c r="D82" i="22"/>
  <c r="E82" i="22"/>
  <c r="H82" i="22"/>
  <c r="N82" i="22"/>
  <c r="L82" i="22"/>
  <c r="Q49" i="9"/>
  <c r="V49" i="9" s="1"/>
  <c r="I82" i="22"/>
  <c r="K82" i="22"/>
  <c r="O82" i="22"/>
  <c r="G54" i="21"/>
  <c r="L54" i="21"/>
  <c r="P9" i="9"/>
  <c r="U9" i="9" s="1"/>
  <c r="O54" i="21"/>
  <c r="K54" i="21"/>
  <c r="J54" i="21"/>
  <c r="D54" i="21"/>
  <c r="H54" i="21"/>
  <c r="I54" i="21"/>
  <c r="E54" i="21"/>
  <c r="M54" i="21"/>
  <c r="F54" i="21"/>
  <c r="N54" i="21"/>
  <c r="O36" i="9"/>
  <c r="K36" i="9"/>
  <c r="H93" i="37" s="1"/>
  <c r="O33" i="9"/>
  <c r="K33" i="9"/>
  <c r="H90" i="37" s="1"/>
  <c r="Q36" i="9"/>
  <c r="V36" i="9" s="1"/>
  <c r="M80" i="22"/>
  <c r="G80" i="22"/>
  <c r="H80" i="22"/>
  <c r="Q47" i="9"/>
  <c r="V47" i="9" s="1"/>
  <c r="D80" i="22"/>
  <c r="I80" i="22"/>
  <c r="F80" i="22"/>
  <c r="J80" i="22"/>
  <c r="K80" i="22"/>
  <c r="N80" i="22"/>
  <c r="O80" i="22"/>
  <c r="E80" i="22"/>
  <c r="L80" i="22"/>
  <c r="P37" i="9"/>
  <c r="U37" i="9" s="1"/>
  <c r="I72" i="22"/>
  <c r="J72" i="22"/>
  <c r="Q27" i="9"/>
  <c r="V27" i="9" s="1"/>
  <c r="L72" i="22"/>
  <c r="G72" i="22"/>
  <c r="E72" i="22"/>
  <c r="M72" i="22"/>
  <c r="H72" i="22"/>
  <c r="K72" i="22"/>
  <c r="O72" i="22"/>
  <c r="D72" i="22"/>
  <c r="N72" i="22"/>
  <c r="F72" i="22"/>
  <c r="Q33" i="9"/>
  <c r="V33" i="9" s="1"/>
  <c r="M73" i="20"/>
  <c r="K73" i="20"/>
  <c r="F73" i="20"/>
  <c r="G73" i="20"/>
  <c r="I73" i="20"/>
  <c r="D73" i="20"/>
  <c r="O73" i="20"/>
  <c r="N73" i="20"/>
  <c r="H73" i="20"/>
  <c r="E73" i="20"/>
  <c r="O28" i="9"/>
  <c r="J73" i="20"/>
  <c r="L73" i="20"/>
  <c r="F60" i="20"/>
  <c r="J60" i="20"/>
  <c r="L60" i="20"/>
  <c r="D60" i="20"/>
  <c r="H60" i="20"/>
  <c r="G60" i="20"/>
  <c r="E60" i="20"/>
  <c r="O15" i="9"/>
  <c r="K60" i="20"/>
  <c r="M60" i="20"/>
  <c r="N60" i="20"/>
  <c r="O60" i="20"/>
  <c r="I60" i="20"/>
  <c r="E58" i="20"/>
  <c r="J58" i="20"/>
  <c r="L58" i="20"/>
  <c r="H58" i="20"/>
  <c r="D58" i="20"/>
  <c r="G58" i="20"/>
  <c r="K58" i="20"/>
  <c r="O58" i="20"/>
  <c r="F58" i="20"/>
  <c r="I58" i="20"/>
  <c r="O13" i="9"/>
  <c r="M58" i="20"/>
  <c r="K13" i="9"/>
  <c r="H73" i="37" s="1"/>
  <c r="N58" i="20"/>
  <c r="O9" i="9"/>
  <c r="G54" i="20"/>
  <c r="F54" i="20"/>
  <c r="N54" i="20"/>
  <c r="J54" i="20"/>
  <c r="K9" i="9"/>
  <c r="H69" i="37" s="1"/>
  <c r="M54" i="20"/>
  <c r="D54" i="20"/>
  <c r="E54" i="20"/>
  <c r="L54" i="20"/>
  <c r="K54" i="20"/>
  <c r="O54" i="20"/>
  <c r="I54" i="20"/>
  <c r="H54" i="20"/>
  <c r="O43" i="9"/>
  <c r="K43" i="9"/>
  <c r="H100" i="37" s="1"/>
  <c r="I65" i="20"/>
  <c r="J65" i="20"/>
  <c r="F65" i="20"/>
  <c r="M65" i="20"/>
  <c r="O65" i="20"/>
  <c r="K65" i="20"/>
  <c r="D65" i="20"/>
  <c r="E65" i="20"/>
  <c r="L65" i="20"/>
  <c r="O20" i="9"/>
  <c r="H65" i="20"/>
  <c r="G65" i="20"/>
  <c r="N65" i="20"/>
  <c r="Q37" i="9"/>
  <c r="V37" i="9" s="1"/>
  <c r="S44" i="14" l="1"/>
  <c r="K59" i="14"/>
  <c r="AA15" i="15" s="1"/>
  <c r="D18" i="19"/>
  <c r="E37" i="16"/>
  <c r="E39" i="16" s="1"/>
  <c r="N44" i="14"/>
  <c r="D5" i="18"/>
  <c r="D5" i="19"/>
  <c r="Q18" i="18"/>
  <c r="Q22" i="18" s="1"/>
  <c r="D37" i="16"/>
  <c r="D39" i="16" s="1"/>
  <c r="F18" i="18"/>
  <c r="F22" i="18" s="1"/>
  <c r="K18" i="18"/>
  <c r="K22" i="18" s="1"/>
  <c r="E18" i="18"/>
  <c r="E22" i="18" s="1"/>
  <c r="E49" i="18" s="1"/>
  <c r="R18" i="18"/>
  <c r="R22" i="18" s="1"/>
  <c r="D18" i="18"/>
  <c r="D22" i="18" s="1"/>
  <c r="M49" i="19"/>
  <c r="I49" i="19"/>
  <c r="Q49" i="19"/>
  <c r="Q156" i="19" s="1"/>
  <c r="E15" i="20" s="1"/>
  <c r="T124" i="42"/>
  <c r="U124" i="42" s="1"/>
  <c r="R124" i="42"/>
  <c r="T79" i="42"/>
  <c r="U79" i="42" s="1"/>
  <c r="R79" i="42"/>
  <c r="Q17" i="37"/>
  <c r="T125" i="42"/>
  <c r="U125" i="42" s="1"/>
  <c r="R125" i="42"/>
  <c r="S17" i="37"/>
  <c r="R17" i="37"/>
  <c r="T17" i="37"/>
  <c r="S180" i="42"/>
  <c r="J180" i="42" s="1"/>
  <c r="R52" i="42"/>
  <c r="T51" i="42"/>
  <c r="U51" i="42" s="1"/>
  <c r="V17" i="37"/>
  <c r="U17" i="37"/>
  <c r="W17" i="37"/>
  <c r="R51" i="42"/>
  <c r="T52" i="42"/>
  <c r="U52" i="42" s="1"/>
  <c r="F63" i="14"/>
  <c r="G43" i="15" s="1"/>
  <c r="G15" i="15"/>
  <c r="P59" i="14"/>
  <c r="P56" i="14"/>
  <c r="P73" i="14" s="1"/>
  <c r="K63" i="14"/>
  <c r="AA43" i="15" s="1"/>
  <c r="O49" i="19"/>
  <c r="G49" i="18"/>
  <c r="K49" i="18"/>
  <c r="R49" i="19"/>
  <c r="R156" i="19" s="1"/>
  <c r="F15" i="20" s="1"/>
  <c r="S15" i="20" s="1"/>
  <c r="I49" i="18"/>
  <c r="T134" i="42"/>
  <c r="U134" i="42" s="1"/>
  <c r="P49" i="19"/>
  <c r="P156" i="19" s="1"/>
  <c r="D15" i="20" s="1"/>
  <c r="P19" i="37"/>
  <c r="R56" i="37"/>
  <c r="L223" i="42" s="1"/>
  <c r="S217" i="42"/>
  <c r="M217" i="42" s="1"/>
  <c r="R134" i="42"/>
  <c r="V49" i="37"/>
  <c r="L49" i="19"/>
  <c r="R47" i="37"/>
  <c r="L214" i="42" s="1"/>
  <c r="P67" i="41" s="1"/>
  <c r="H49" i="18"/>
  <c r="E13" i="16"/>
  <c r="H49" i="19"/>
  <c r="O49" i="18"/>
  <c r="P56" i="37"/>
  <c r="J223" i="42" s="1"/>
  <c r="V21" i="37"/>
  <c r="T136" i="42"/>
  <c r="U136" i="42" s="1"/>
  <c r="T21" i="37"/>
  <c r="V56" i="37"/>
  <c r="W21" i="37"/>
  <c r="W19" i="37"/>
  <c r="U56" i="37"/>
  <c r="O223" i="42" s="1"/>
  <c r="S184" i="42"/>
  <c r="E184" i="42" s="1"/>
  <c r="U19" i="37"/>
  <c r="R129" i="42"/>
  <c r="Q36" i="37"/>
  <c r="K199" i="42" s="1"/>
  <c r="W36" i="37"/>
  <c r="Q199" i="42" s="1"/>
  <c r="Q47" i="37"/>
  <c r="K214" i="42" s="1"/>
  <c r="O206" i="41" s="1"/>
  <c r="S218" i="42"/>
  <c r="D218" i="42" s="1"/>
  <c r="V36" i="37"/>
  <c r="P199" i="42" s="1"/>
  <c r="T129" i="42"/>
  <c r="U129" i="42" s="1"/>
  <c r="C185" i="42"/>
  <c r="G198" i="41" s="1"/>
  <c r="R54" i="37"/>
  <c r="V54" i="37"/>
  <c r="P221" i="42" s="1"/>
  <c r="U54" i="37"/>
  <c r="O221" i="42" s="1"/>
  <c r="Q54" i="37"/>
  <c r="K221" i="42" s="1"/>
  <c r="V48" i="37"/>
  <c r="S48" i="37"/>
  <c r="U48" i="37"/>
  <c r="Q48" i="37"/>
  <c r="R48" i="37"/>
  <c r="S215" i="42"/>
  <c r="G215" i="42" s="1"/>
  <c r="P48" i="37"/>
  <c r="T48" i="37"/>
  <c r="S224" i="42"/>
  <c r="C224" i="42" s="1"/>
  <c r="S182" i="42"/>
  <c r="F182" i="42" s="1"/>
  <c r="J196" i="41" s="1"/>
  <c r="S21" i="37"/>
  <c r="W56" i="37"/>
  <c r="Q223" i="42" s="1"/>
  <c r="R19" i="37"/>
  <c r="S19" i="37"/>
  <c r="Q21" i="37"/>
  <c r="U21" i="37"/>
  <c r="Q19" i="37"/>
  <c r="T19" i="37"/>
  <c r="P21" i="37"/>
  <c r="Q56" i="37"/>
  <c r="K223" i="42" s="1"/>
  <c r="S56" i="37"/>
  <c r="M223" i="42" s="1"/>
  <c r="T56" i="37"/>
  <c r="T54" i="37"/>
  <c r="N221" i="42" s="1"/>
  <c r="S57" i="37"/>
  <c r="S225" i="42"/>
  <c r="C225" i="42" s="1"/>
  <c r="R77" i="42"/>
  <c r="U53" i="37"/>
  <c r="V59" i="37"/>
  <c r="W53" i="37"/>
  <c r="T36" i="37"/>
  <c r="N199" i="42" s="1"/>
  <c r="T57" i="37"/>
  <c r="U10" i="37"/>
  <c r="Q53" i="37"/>
  <c r="U59" i="37"/>
  <c r="V53" i="37"/>
  <c r="P57" i="37"/>
  <c r="P10" i="37"/>
  <c r="W57" i="37"/>
  <c r="U57" i="37"/>
  <c r="V57" i="37"/>
  <c r="S27" i="22"/>
  <c r="R53" i="37"/>
  <c r="R57" i="37"/>
  <c r="S170" i="42"/>
  <c r="I170" i="42" s="1"/>
  <c r="M192" i="41" s="1"/>
  <c r="S59" i="37"/>
  <c r="W59" i="37"/>
  <c r="P53" i="37"/>
  <c r="S220" i="42"/>
  <c r="W10" i="37"/>
  <c r="R59" i="37"/>
  <c r="T53" i="37"/>
  <c r="T77" i="42"/>
  <c r="U77" i="42" s="1"/>
  <c r="P59" i="37"/>
  <c r="T10" i="37"/>
  <c r="Q10" i="37"/>
  <c r="S36" i="37"/>
  <c r="M199" i="42" s="1"/>
  <c r="Q59" i="37"/>
  <c r="K225" i="42" s="1"/>
  <c r="P36" i="37"/>
  <c r="J199" i="42" s="1"/>
  <c r="R10" i="37"/>
  <c r="S10" i="37"/>
  <c r="P50" i="37"/>
  <c r="U47" i="37"/>
  <c r="O214" i="42" s="1"/>
  <c r="S206" i="41" s="1"/>
  <c r="V58" i="37"/>
  <c r="P51" i="37"/>
  <c r="E222" i="42"/>
  <c r="S226" i="42"/>
  <c r="D226" i="42" s="1"/>
  <c r="H69" i="41" s="1"/>
  <c r="V47" i="37"/>
  <c r="P214" i="42" s="1"/>
  <c r="T138" i="41" s="1"/>
  <c r="P47" i="37"/>
  <c r="J214" i="42" s="1"/>
  <c r="W58" i="37"/>
  <c r="S49" i="37"/>
  <c r="U20" i="37"/>
  <c r="O183" i="42" s="1"/>
  <c r="T47" i="37"/>
  <c r="N214" i="42" s="1"/>
  <c r="U50" i="37"/>
  <c r="W47" i="37"/>
  <c r="Q214" i="42" s="1"/>
  <c r="W50" i="37"/>
  <c r="S47" i="37"/>
  <c r="M214" i="42" s="1"/>
  <c r="T50" i="37"/>
  <c r="S158" i="25"/>
  <c r="Q9" i="37"/>
  <c r="Q20" i="37"/>
  <c r="K183" i="42" s="1"/>
  <c r="O128" i="41" s="1"/>
  <c r="Q58" i="37"/>
  <c r="W20" i="37"/>
  <c r="Q183" i="42" s="1"/>
  <c r="R9" i="37"/>
  <c r="R20" i="37"/>
  <c r="L183" i="42" s="1"/>
  <c r="V20" i="37"/>
  <c r="P183" i="42" s="1"/>
  <c r="T58" i="41" s="1"/>
  <c r="S58" i="37"/>
  <c r="S20" i="37"/>
  <c r="M183" i="42" s="1"/>
  <c r="Q197" i="41" s="1"/>
  <c r="P20" i="37"/>
  <c r="J183" i="42" s="1"/>
  <c r="N58" i="41" s="1"/>
  <c r="U58" i="37"/>
  <c r="T58" i="37"/>
  <c r="D222" i="42"/>
  <c r="W55" i="37"/>
  <c r="Q222" i="42" s="1"/>
  <c r="T20" i="37"/>
  <c r="N183" i="42" s="1"/>
  <c r="P58" i="37"/>
  <c r="P223" i="42"/>
  <c r="F223" i="42"/>
  <c r="H223" i="42"/>
  <c r="E223" i="42"/>
  <c r="I223" i="42"/>
  <c r="C223" i="42"/>
  <c r="G223" i="42"/>
  <c r="G214" i="42"/>
  <c r="K67" i="41" s="1"/>
  <c r="C214" i="42"/>
  <c r="G206" i="41" s="1"/>
  <c r="D214" i="42"/>
  <c r="H138" i="41" s="1"/>
  <c r="S216" i="42"/>
  <c r="F216" i="42" s="1"/>
  <c r="Q51" i="37"/>
  <c r="H214" i="42"/>
  <c r="L138" i="41" s="1"/>
  <c r="E219" i="42"/>
  <c r="I68" i="41" s="1"/>
  <c r="V50" i="37"/>
  <c r="W49" i="37"/>
  <c r="V51" i="37"/>
  <c r="R51" i="37"/>
  <c r="W51" i="37"/>
  <c r="T51" i="37"/>
  <c r="E214" i="42"/>
  <c r="I206" i="41" s="1"/>
  <c r="S51" i="37"/>
  <c r="Q50" i="37"/>
  <c r="R50" i="37"/>
  <c r="R52" i="37"/>
  <c r="L219" i="42" s="1"/>
  <c r="P139" i="41" s="1"/>
  <c r="F214" i="42"/>
  <c r="J206" i="41" s="1"/>
  <c r="T49" i="37"/>
  <c r="R49" i="37"/>
  <c r="P49" i="37"/>
  <c r="Q49" i="37"/>
  <c r="W22" i="37"/>
  <c r="Q185" i="42" s="1"/>
  <c r="U198" i="41" s="1"/>
  <c r="F222" i="42"/>
  <c r="H185" i="42"/>
  <c r="L59" i="41" s="1"/>
  <c r="I185" i="42"/>
  <c r="M59" i="41" s="1"/>
  <c r="U55" i="37"/>
  <c r="O222" i="42" s="1"/>
  <c r="W9" i="37"/>
  <c r="R45" i="37"/>
  <c r="L212" i="42" s="1"/>
  <c r="V22" i="37"/>
  <c r="P185" i="42" s="1"/>
  <c r="T198" i="41" s="1"/>
  <c r="S96" i="25"/>
  <c r="V45" i="37"/>
  <c r="P212" i="42" s="1"/>
  <c r="C212" i="42"/>
  <c r="T55" i="37"/>
  <c r="N222" i="42" s="1"/>
  <c r="F183" i="42"/>
  <c r="J58" i="41" s="1"/>
  <c r="H221" i="42"/>
  <c r="H183" i="42"/>
  <c r="L128" i="41" s="1"/>
  <c r="D212" i="42"/>
  <c r="C222" i="42"/>
  <c r="S9" i="37"/>
  <c r="P55" i="37"/>
  <c r="J222" i="42" s="1"/>
  <c r="T45" i="37"/>
  <c r="N212" i="42" s="1"/>
  <c r="P9" i="37"/>
  <c r="D183" i="42"/>
  <c r="H58" i="41" s="1"/>
  <c r="F185" i="42"/>
  <c r="J129" i="41" s="1"/>
  <c r="E183" i="42"/>
  <c r="I128" i="41" s="1"/>
  <c r="I183" i="42"/>
  <c r="M58" i="41" s="1"/>
  <c r="F212" i="42"/>
  <c r="I212" i="42"/>
  <c r="I222" i="42"/>
  <c r="I221" i="42"/>
  <c r="D185" i="42"/>
  <c r="H198" i="41" s="1"/>
  <c r="H222" i="42"/>
  <c r="G183" i="42"/>
  <c r="K58" i="41" s="1"/>
  <c r="L221" i="42"/>
  <c r="T22" i="37"/>
  <c r="N185" i="42" s="1"/>
  <c r="R55" i="37"/>
  <c r="L222" i="42" s="1"/>
  <c r="Q55" i="37"/>
  <c r="K222" i="42" s="1"/>
  <c r="V9" i="37"/>
  <c r="S154" i="25"/>
  <c r="E221" i="42"/>
  <c r="S55" i="37"/>
  <c r="M222" i="42" s="1"/>
  <c r="W45" i="37"/>
  <c r="Q212" i="42" s="1"/>
  <c r="Q45" i="37"/>
  <c r="K212" i="42" s="1"/>
  <c r="S169" i="42"/>
  <c r="F169" i="42" s="1"/>
  <c r="J52" i="41" s="1"/>
  <c r="H212" i="42"/>
  <c r="D221" i="42"/>
  <c r="E185" i="42"/>
  <c r="I129" i="41" s="1"/>
  <c r="U9" i="37"/>
  <c r="F221" i="42"/>
  <c r="G221" i="42"/>
  <c r="S45" i="37"/>
  <c r="M212" i="42" s="1"/>
  <c r="U45" i="37"/>
  <c r="O212" i="42" s="1"/>
  <c r="E212" i="42"/>
  <c r="V55" i="37"/>
  <c r="P222" i="42" s="1"/>
  <c r="P45" i="37"/>
  <c r="J212" i="42" s="1"/>
  <c r="S54" i="37"/>
  <c r="M221" i="42" s="1"/>
  <c r="W54" i="37"/>
  <c r="Q221" i="42" s="1"/>
  <c r="S22" i="37"/>
  <c r="M185" i="42" s="1"/>
  <c r="Q198" i="41" s="1"/>
  <c r="T37" i="37"/>
  <c r="N200" i="42" s="1"/>
  <c r="P22" i="37"/>
  <c r="J185" i="42" s="1"/>
  <c r="N59" i="41" s="1"/>
  <c r="P54" i="37"/>
  <c r="J221" i="42" s="1"/>
  <c r="U36" i="37"/>
  <c r="O199" i="42" s="1"/>
  <c r="U24" i="37"/>
  <c r="O187" i="42" s="1"/>
  <c r="S130" i="41" s="1"/>
  <c r="R36" i="37"/>
  <c r="L199" i="42" s="1"/>
  <c r="U22" i="37"/>
  <c r="O185" i="42" s="1"/>
  <c r="S198" i="41" s="1"/>
  <c r="R22" i="37"/>
  <c r="L185" i="42" s="1"/>
  <c r="P59" i="41" s="1"/>
  <c r="Q22" i="37"/>
  <c r="K185" i="42" s="1"/>
  <c r="O59" i="41" s="1"/>
  <c r="I199" i="42"/>
  <c r="C199" i="42"/>
  <c r="R37" i="37"/>
  <c r="L200" i="42" s="1"/>
  <c r="P135" i="41" s="1"/>
  <c r="D199" i="42"/>
  <c r="E199" i="42"/>
  <c r="U37" i="37"/>
  <c r="O200" i="42" s="1"/>
  <c r="S64" i="41" s="1"/>
  <c r="S37" i="37"/>
  <c r="M200" i="42" s="1"/>
  <c r="Q135" i="41" s="1"/>
  <c r="W37" i="37"/>
  <c r="Q200" i="42" s="1"/>
  <c r="U135" i="41" s="1"/>
  <c r="P37" i="37"/>
  <c r="J200" i="42" s="1"/>
  <c r="N135" i="41" s="1"/>
  <c r="F199" i="42"/>
  <c r="G199" i="42"/>
  <c r="V37" i="37"/>
  <c r="P200" i="42" s="1"/>
  <c r="T135" i="41" s="1"/>
  <c r="Q37" i="37"/>
  <c r="F213" i="42"/>
  <c r="J205" i="41" s="1"/>
  <c r="S31" i="37"/>
  <c r="T23" i="37"/>
  <c r="S194" i="42"/>
  <c r="C194" i="42" s="1"/>
  <c r="S76" i="25"/>
  <c r="Q23" i="37"/>
  <c r="J16" i="15"/>
  <c r="K16" i="15" s="1"/>
  <c r="N49" i="18"/>
  <c r="F49" i="18"/>
  <c r="G49" i="19"/>
  <c r="M49" i="18"/>
  <c r="S192" i="25"/>
  <c r="R49" i="18"/>
  <c r="R156" i="18" s="1"/>
  <c r="F15" i="19" s="1"/>
  <c r="F22" i="19" s="1"/>
  <c r="F49" i="19" s="1"/>
  <c r="S25" i="25"/>
  <c r="D49" i="18"/>
  <c r="J49" i="18"/>
  <c r="F50" i="15"/>
  <c r="E38" i="46" s="1"/>
  <c r="E40" i="46" s="1"/>
  <c r="L49" i="18"/>
  <c r="S27" i="21"/>
  <c r="S55" i="25"/>
  <c r="H213" i="42"/>
  <c r="L205" i="41" s="1"/>
  <c r="F219" i="42"/>
  <c r="J207" i="41" s="1"/>
  <c r="E187" i="42"/>
  <c r="I130" i="41" s="1"/>
  <c r="R24" i="37"/>
  <c r="L187" i="42" s="1"/>
  <c r="P130" i="41" s="1"/>
  <c r="S24" i="37"/>
  <c r="M187" i="42" s="1"/>
  <c r="Q130" i="41" s="1"/>
  <c r="W52" i="37"/>
  <c r="Q219" i="42" s="1"/>
  <c r="U68" i="41" s="1"/>
  <c r="U52" i="37"/>
  <c r="O219" i="42" s="1"/>
  <c r="S68" i="41" s="1"/>
  <c r="Q24" i="37"/>
  <c r="K187" i="42" s="1"/>
  <c r="O130" i="41" s="1"/>
  <c r="V23" i="37"/>
  <c r="H61" i="37"/>
  <c r="Q46" i="37"/>
  <c r="K213" i="42" s="1"/>
  <c r="O137" i="41" s="1"/>
  <c r="I213" i="42"/>
  <c r="M137" i="41" s="1"/>
  <c r="D219" i="42"/>
  <c r="H68" i="41" s="1"/>
  <c r="D187" i="42"/>
  <c r="H130" i="41" s="1"/>
  <c r="P46" i="37"/>
  <c r="J213" i="42" s="1"/>
  <c r="N137" i="41" s="1"/>
  <c r="S52" i="37"/>
  <c r="M219" i="42" s="1"/>
  <c r="Q139" i="41" s="1"/>
  <c r="S186" i="42"/>
  <c r="F186" i="42" s="1"/>
  <c r="F187" i="42"/>
  <c r="J130" i="41" s="1"/>
  <c r="E213" i="42"/>
  <c r="I137" i="41" s="1"/>
  <c r="G187" i="42"/>
  <c r="K130" i="41" s="1"/>
  <c r="C213" i="42"/>
  <c r="H219" i="42"/>
  <c r="L207" i="41" s="1"/>
  <c r="S23" i="37"/>
  <c r="S174" i="25"/>
  <c r="W46" i="37"/>
  <c r="Q213" i="42" s="1"/>
  <c r="U205" i="41" s="1"/>
  <c r="Q49" i="18"/>
  <c r="Q156" i="18" s="1"/>
  <c r="E15" i="19" s="1"/>
  <c r="E22" i="19" s="1"/>
  <c r="E49" i="19" s="1"/>
  <c r="I187" i="42"/>
  <c r="M130" i="41" s="1"/>
  <c r="H187" i="42"/>
  <c r="L130" i="41" s="1"/>
  <c r="G213" i="42"/>
  <c r="K137" i="41" s="1"/>
  <c r="U46" i="37"/>
  <c r="O213" i="42" s="1"/>
  <c r="S66" i="41" s="1"/>
  <c r="T46" i="37"/>
  <c r="N213" i="42" s="1"/>
  <c r="V46" i="37"/>
  <c r="P213" i="42" s="1"/>
  <c r="T137" i="41" s="1"/>
  <c r="E37" i="46"/>
  <c r="E39" i="46" s="1"/>
  <c r="D13" i="16"/>
  <c r="AG25" i="15"/>
  <c r="AI60" i="15"/>
  <c r="C219" i="42"/>
  <c r="G139" i="41" s="1"/>
  <c r="W31" i="37"/>
  <c r="R46" i="37"/>
  <c r="L213" i="42" s="1"/>
  <c r="P205" i="41" s="1"/>
  <c r="V31" i="37"/>
  <c r="T24" i="37"/>
  <c r="N187" i="42" s="1"/>
  <c r="K49" i="19"/>
  <c r="AA32" i="15"/>
  <c r="P11" i="16" s="1"/>
  <c r="AD25" i="15"/>
  <c r="AD32" i="15" s="1"/>
  <c r="S11" i="16" s="1"/>
  <c r="T31" i="37"/>
  <c r="T52" i="37"/>
  <c r="N219" i="42" s="1"/>
  <c r="Q52" i="37"/>
  <c r="K219" i="42" s="1"/>
  <c r="O139" i="41" s="1"/>
  <c r="U23" i="37"/>
  <c r="V24" i="37"/>
  <c r="P187" i="42" s="1"/>
  <c r="T130" i="41" s="1"/>
  <c r="P31" i="37"/>
  <c r="W24" i="37"/>
  <c r="Q187" i="42" s="1"/>
  <c r="U130" i="41" s="1"/>
  <c r="N49" i="19"/>
  <c r="I219" i="42"/>
  <c r="M68" i="41" s="1"/>
  <c r="U31" i="37"/>
  <c r="S46" i="37"/>
  <c r="M213" i="42" s="1"/>
  <c r="Q205" i="41" s="1"/>
  <c r="W23" i="37"/>
  <c r="P24" i="37"/>
  <c r="J187" i="42" s="1"/>
  <c r="N130" i="41" s="1"/>
  <c r="P23" i="37"/>
  <c r="Q31" i="37"/>
  <c r="P52" i="37"/>
  <c r="J219" i="42" s="1"/>
  <c r="N139" i="41" s="1"/>
  <c r="V52" i="37"/>
  <c r="P219" i="42" s="1"/>
  <c r="T68" i="41" s="1"/>
  <c r="P49" i="18"/>
  <c r="P156" i="18" s="1"/>
  <c r="D15" i="19" s="1"/>
  <c r="L63" i="37"/>
  <c r="S27" i="20"/>
  <c r="H18" i="37"/>
  <c r="K25" i="15"/>
  <c r="E10" i="46"/>
  <c r="E13" i="46" s="1"/>
  <c r="E42" i="16"/>
  <c r="E44" i="16" s="1"/>
  <c r="D43" i="16"/>
  <c r="D45" i="16" s="1"/>
  <c r="S18" i="19"/>
  <c r="S18" i="18"/>
  <c r="AG10" i="15"/>
  <c r="AG3" i="15"/>
  <c r="N60" i="14"/>
  <c r="AG15" i="15"/>
  <c r="H13" i="15"/>
  <c r="J68" i="40" s="1"/>
  <c r="H14" i="15"/>
  <c r="D5" i="21"/>
  <c r="H43" i="15"/>
  <c r="H10" i="15"/>
  <c r="H23" i="15"/>
  <c r="N62" i="14"/>
  <c r="N22" i="14"/>
  <c r="L23" i="14" s="1"/>
  <c r="L63" i="14"/>
  <c r="AB43" i="15" s="1"/>
  <c r="AB15" i="15"/>
  <c r="Q18" i="21"/>
  <c r="I18" i="21"/>
  <c r="H18" i="21"/>
  <c r="E18" i="21"/>
  <c r="D18" i="21"/>
  <c r="O18" i="21"/>
  <c r="K18" i="21"/>
  <c r="F18" i="21"/>
  <c r="J18" i="21"/>
  <c r="M18" i="21"/>
  <c r="P18" i="21"/>
  <c r="G18" i="21"/>
  <c r="J67" i="40"/>
  <c r="R18" i="21"/>
  <c r="N18" i="21"/>
  <c r="L18" i="21"/>
  <c r="S20" i="14"/>
  <c r="R54" i="14"/>
  <c r="S54" i="14" s="1"/>
  <c r="F23" i="14"/>
  <c r="G75" i="15" s="1"/>
  <c r="AA75" i="15" s="1"/>
  <c r="G23" i="14"/>
  <c r="H75" i="15" s="1"/>
  <c r="AB75" i="15" s="1"/>
  <c r="I15" i="15"/>
  <c r="L18" i="22" s="1"/>
  <c r="H46" i="8"/>
  <c r="G39" i="8"/>
  <c r="E15" i="8"/>
  <c r="E19" i="8"/>
  <c r="G17" i="8"/>
  <c r="F14" i="8"/>
  <c r="H65" i="8"/>
  <c r="S46" i="14"/>
  <c r="R60" i="14"/>
  <c r="S60" i="14" s="1"/>
  <c r="E54" i="8"/>
  <c r="F54" i="8"/>
  <c r="G53" i="8"/>
  <c r="H41" i="8"/>
  <c r="H8" i="8"/>
  <c r="N56" i="14"/>
  <c r="N73" i="14" s="1"/>
  <c r="H52" i="8"/>
  <c r="G74" i="8"/>
  <c r="G21" i="8"/>
  <c r="H36" i="8"/>
  <c r="H11" i="8"/>
  <c r="D15" i="8"/>
  <c r="I15" i="8" s="1"/>
  <c r="D13" i="8"/>
  <c r="I13" i="8" s="1"/>
  <c r="H9" i="8"/>
  <c r="E36" i="8"/>
  <c r="E12" i="8"/>
  <c r="E21" i="8"/>
  <c r="H12" i="8"/>
  <c r="F36" i="8"/>
  <c r="G46" i="8"/>
  <c r="M59" i="14"/>
  <c r="AC15" i="15" s="1"/>
  <c r="E53" i="8"/>
  <c r="F18" i="8"/>
  <c r="E18" i="8"/>
  <c r="S11" i="14"/>
  <c r="R45" i="14"/>
  <c r="R56" i="14" s="1"/>
  <c r="S56" i="14" s="1"/>
  <c r="S73" i="14" s="1"/>
  <c r="H73" i="14"/>
  <c r="F37" i="8"/>
  <c r="F19" i="8"/>
  <c r="F59" i="8"/>
  <c r="D46" i="8"/>
  <c r="I46" i="8" s="1"/>
  <c r="E13" i="8"/>
  <c r="F50" i="8"/>
  <c r="E74" i="8"/>
  <c r="E76" i="8" s="1"/>
  <c r="G56" i="8"/>
  <c r="D17" i="8"/>
  <c r="I17" i="8" s="1"/>
  <c r="D39" i="8"/>
  <c r="I39" i="8" s="1"/>
  <c r="G35" i="8"/>
  <c r="D48" i="8"/>
  <c r="I48" i="8" s="1"/>
  <c r="H63" i="14"/>
  <c r="I43" i="15" s="1"/>
  <c r="M23" i="14"/>
  <c r="H70" i="8"/>
  <c r="H71" i="8" s="1"/>
  <c r="H18" i="8"/>
  <c r="E61" i="8"/>
  <c r="D47" i="8"/>
  <c r="I47" i="8" s="1"/>
  <c r="H32" i="8"/>
  <c r="E37" i="8"/>
  <c r="H20" i="8"/>
  <c r="G57" i="8"/>
  <c r="E64" i="8"/>
  <c r="F53" i="8"/>
  <c r="G41" i="8"/>
  <c r="F48" i="8"/>
  <c r="H50" i="8"/>
  <c r="F49" i="8"/>
  <c r="F52" i="8"/>
  <c r="H55" i="8"/>
  <c r="H61" i="8"/>
  <c r="F11" i="8"/>
  <c r="F23" i="8"/>
  <c r="F44" i="8"/>
  <c r="D21" i="8"/>
  <c r="I21" i="8" s="1"/>
  <c r="D57" i="8"/>
  <c r="I57" i="8" s="1"/>
  <c r="E23" i="8"/>
  <c r="D64" i="8"/>
  <c r="I64" i="8" s="1"/>
  <c r="G52" i="8"/>
  <c r="H31" i="8"/>
  <c r="H53" i="8"/>
  <c r="G50" i="8"/>
  <c r="G62" i="8"/>
  <c r="G23" i="8"/>
  <c r="D43" i="8"/>
  <c r="I43" i="8" s="1"/>
  <c r="G51" i="8"/>
  <c r="D23" i="8"/>
  <c r="I23" i="8" s="1"/>
  <c r="F33" i="8"/>
  <c r="G48" i="8"/>
  <c r="D11" i="8"/>
  <c r="I11" i="8" s="1"/>
  <c r="F63" i="8"/>
  <c r="G13" i="8"/>
  <c r="D58" i="8"/>
  <c r="I58" i="8" s="1"/>
  <c r="H42" i="8"/>
  <c r="H58" i="8"/>
  <c r="E22" i="8"/>
  <c r="D40" i="8"/>
  <c r="I40" i="8" s="1"/>
  <c r="F26" i="8"/>
  <c r="H14" i="8"/>
  <c r="D35" i="8"/>
  <c r="I35" i="8" s="1"/>
  <c r="F66" i="8"/>
  <c r="G36" i="8"/>
  <c r="I73" i="14"/>
  <c r="F62" i="8"/>
  <c r="E58" i="8"/>
  <c r="E49" i="8"/>
  <c r="G47" i="8"/>
  <c r="H74" i="8"/>
  <c r="H47" i="8"/>
  <c r="G34" i="8"/>
  <c r="D45" i="8"/>
  <c r="I45" i="8" s="1"/>
  <c r="H56" i="8"/>
  <c r="H34" i="8"/>
  <c r="D37" i="8"/>
  <c r="I37" i="8" s="1"/>
  <c r="D42" i="8"/>
  <c r="I42" i="8" s="1"/>
  <c r="G59" i="8"/>
  <c r="F12" i="8"/>
  <c r="G66" i="8"/>
  <c r="G70" i="8"/>
  <c r="G71" i="8" s="1"/>
  <c r="F17" i="8"/>
  <c r="G9" i="8"/>
  <c r="F46" i="8"/>
  <c r="D9" i="8"/>
  <c r="I9" i="8" s="1"/>
  <c r="D10" i="8"/>
  <c r="I10" i="8" s="1"/>
  <c r="E44" i="8"/>
  <c r="E43" i="8"/>
  <c r="D41" i="8"/>
  <c r="I41" i="8" s="1"/>
  <c r="E60" i="8"/>
  <c r="E50" i="8"/>
  <c r="E55" i="8"/>
  <c r="G15" i="8"/>
  <c r="G11" i="8"/>
  <c r="F22" i="8"/>
  <c r="F55" i="8"/>
  <c r="G25" i="8"/>
  <c r="D27" i="8"/>
  <c r="I27" i="8" s="1"/>
  <c r="E70" i="8"/>
  <c r="E71" i="8" s="1"/>
  <c r="E32" i="8"/>
  <c r="D8" i="8"/>
  <c r="G26" i="8"/>
  <c r="D34" i="8"/>
  <c r="I34" i="8" s="1"/>
  <c r="D20" i="8"/>
  <c r="I20" i="8" s="1"/>
  <c r="G61" i="8"/>
  <c r="F32" i="8"/>
  <c r="G10" i="8"/>
  <c r="E40" i="8"/>
  <c r="F64" i="8"/>
  <c r="F27" i="8"/>
  <c r="F25" i="8"/>
  <c r="F13" i="8"/>
  <c r="G8" i="8"/>
  <c r="E41" i="8"/>
  <c r="E31" i="8"/>
  <c r="E67" i="8" s="1"/>
  <c r="D26" i="8"/>
  <c r="I26" i="8" s="1"/>
  <c r="D59" i="8"/>
  <c r="I59" i="8" s="1"/>
  <c r="G14" i="8"/>
  <c r="G45" i="8"/>
  <c r="D31" i="8"/>
  <c r="D36" i="8"/>
  <c r="I36" i="8" s="1"/>
  <c r="D65" i="8"/>
  <c r="I65" i="8" s="1"/>
  <c r="G12" i="8"/>
  <c r="D14" i="8"/>
  <c r="I14" i="8" s="1"/>
  <c r="H44" i="8"/>
  <c r="E65" i="8"/>
  <c r="F56" i="8"/>
  <c r="H117" i="9"/>
  <c r="H43" i="8"/>
  <c r="G117" i="9"/>
  <c r="H45" i="8"/>
  <c r="D66" i="8"/>
  <c r="I66" i="8" s="1"/>
  <c r="D55" i="8"/>
  <c r="I55" i="8" s="1"/>
  <c r="E11" i="8"/>
  <c r="E75" i="8"/>
  <c r="G16" i="8"/>
  <c r="G54" i="8"/>
  <c r="H35" i="8"/>
  <c r="E17" i="8"/>
  <c r="F41" i="8"/>
  <c r="E66" i="8"/>
  <c r="D60" i="8"/>
  <c r="I60" i="8" s="1"/>
  <c r="D33" i="8"/>
  <c r="I33" i="8" s="1"/>
  <c r="E27" i="8"/>
  <c r="F42" i="8"/>
  <c r="F34" i="8"/>
  <c r="E47" i="8"/>
  <c r="H19" i="8"/>
  <c r="G43" i="8"/>
  <c r="H33" i="8"/>
  <c r="H39" i="8"/>
  <c r="D53" i="8"/>
  <c r="I53" i="8" s="1"/>
  <c r="G33" i="8"/>
  <c r="G60" i="8"/>
  <c r="D32" i="8"/>
  <c r="I32" i="8" s="1"/>
  <c r="G55" i="8"/>
  <c r="H59" i="8"/>
  <c r="D56" i="8"/>
  <c r="I56" i="8" s="1"/>
  <c r="F45" i="8"/>
  <c r="G49" i="8"/>
  <c r="E56" i="8"/>
  <c r="G44" i="8"/>
  <c r="E34" i="8"/>
  <c r="D12" i="8"/>
  <c r="I12" i="8" s="1"/>
  <c r="H27" i="8"/>
  <c r="D74" i="8"/>
  <c r="G58" i="8"/>
  <c r="E10" i="8"/>
  <c r="E38" i="8"/>
  <c r="E48" i="8"/>
  <c r="D38" i="8"/>
  <c r="I38" i="8" s="1"/>
  <c r="D22" i="8"/>
  <c r="I22" i="8" s="1"/>
  <c r="E14" i="8"/>
  <c r="H25" i="8"/>
  <c r="E20" i="8"/>
  <c r="H64" i="8"/>
  <c r="E42" i="8"/>
  <c r="E51" i="8"/>
  <c r="F20" i="8"/>
  <c r="D25" i="8"/>
  <c r="I25" i="8" s="1"/>
  <c r="H26" i="8"/>
  <c r="G18" i="8"/>
  <c r="F40" i="8"/>
  <c r="E63" i="8"/>
  <c r="H21" i="8"/>
  <c r="G19" i="8"/>
  <c r="D62" i="8"/>
  <c r="I62" i="8" s="1"/>
  <c r="H62" i="8"/>
  <c r="D61" i="8"/>
  <c r="I61" i="8" s="1"/>
  <c r="H49" i="8"/>
  <c r="G20" i="8"/>
  <c r="G42" i="8"/>
  <c r="D52" i="8"/>
  <c r="I52" i="8" s="1"/>
  <c r="G37" i="8"/>
  <c r="E9" i="8"/>
  <c r="H10" i="8"/>
  <c r="G75" i="8"/>
  <c r="D70" i="8"/>
  <c r="G24" i="8"/>
  <c r="E52" i="8"/>
  <c r="D16" i="8"/>
  <c r="I16" i="8" s="1"/>
  <c r="E24" i="8"/>
  <c r="G63" i="8"/>
  <c r="H24" i="8"/>
  <c r="F39" i="8"/>
  <c r="H63" i="8"/>
  <c r="F15" i="8"/>
  <c r="H17" i="8"/>
  <c r="D54" i="8"/>
  <c r="I54" i="8" s="1"/>
  <c r="F75" i="8"/>
  <c r="H54" i="8"/>
  <c r="G40" i="8"/>
  <c r="E57" i="8"/>
  <c r="E45" i="8"/>
  <c r="D75" i="8"/>
  <c r="I75" i="8" s="1"/>
  <c r="E46" i="8"/>
  <c r="H40" i="8"/>
  <c r="D49" i="8"/>
  <c r="I49" i="8" s="1"/>
  <c r="E25" i="8"/>
  <c r="H38" i="8"/>
  <c r="F10" i="8"/>
  <c r="F24" i="8"/>
  <c r="F16" i="8"/>
  <c r="F8" i="8"/>
  <c r="G32" i="8"/>
  <c r="H57" i="8"/>
  <c r="H48" i="8"/>
  <c r="F9" i="8"/>
  <c r="F51" i="8"/>
  <c r="F43" i="8"/>
  <c r="D51" i="8"/>
  <c r="I51" i="8" s="1"/>
  <c r="E39" i="8"/>
  <c r="D24" i="8"/>
  <c r="I24" i="8" s="1"/>
  <c r="E62" i="8"/>
  <c r="E59" i="8"/>
  <c r="H51" i="8"/>
  <c r="D44" i="8"/>
  <c r="I44" i="8" s="1"/>
  <c r="D50" i="8"/>
  <c r="I50" i="8" s="1"/>
  <c r="F57" i="8"/>
  <c r="E16" i="8"/>
  <c r="H60" i="8"/>
  <c r="G64" i="8"/>
  <c r="H75" i="8"/>
  <c r="E33" i="8"/>
  <c r="F35" i="8"/>
  <c r="H15" i="8"/>
  <c r="D18" i="8"/>
  <c r="I18" i="8" s="1"/>
  <c r="H66" i="8"/>
  <c r="G65" i="8"/>
  <c r="E8" i="8"/>
  <c r="E28" i="8" s="1"/>
  <c r="E78" i="8" s="1"/>
  <c r="F70" i="8"/>
  <c r="F71" i="8" s="1"/>
  <c r="F47" i="8"/>
  <c r="D19" i="8"/>
  <c r="I19" i="8" s="1"/>
  <c r="H23" i="8"/>
  <c r="F58" i="8"/>
  <c r="F38" i="8"/>
  <c r="G31" i="8"/>
  <c r="D63" i="8"/>
  <c r="I63" i="8" s="1"/>
  <c r="G27" i="8"/>
  <c r="F60" i="8"/>
  <c r="E26" i="8"/>
  <c r="F21" i="8"/>
  <c r="H13" i="8"/>
  <c r="G22" i="8"/>
  <c r="H16" i="8"/>
  <c r="G38" i="8"/>
  <c r="H22" i="8"/>
  <c r="F65" i="8"/>
  <c r="F61" i="8"/>
  <c r="H37" i="8"/>
  <c r="E35" i="8"/>
  <c r="F31" i="8"/>
  <c r="F74" i="8"/>
  <c r="O63" i="37"/>
  <c r="I46" i="15"/>
  <c r="AC46" i="15" s="1"/>
  <c r="AH46" i="15" s="1"/>
  <c r="AC75" i="15"/>
  <c r="G46" i="15"/>
  <c r="AA46" i="15" s="1"/>
  <c r="J63" i="37"/>
  <c r="I63" i="37"/>
  <c r="N63" i="37"/>
  <c r="M63" i="37"/>
  <c r="K63" i="37"/>
  <c r="T78" i="42"/>
  <c r="U78" i="42" s="1"/>
  <c r="R78" i="42"/>
  <c r="T127" i="42"/>
  <c r="U127" i="42" s="1"/>
  <c r="R127" i="42"/>
  <c r="T128" i="42"/>
  <c r="U128" i="42" s="1"/>
  <c r="T132" i="42"/>
  <c r="U132" i="42" s="1"/>
  <c r="R128" i="42"/>
  <c r="R132" i="42"/>
  <c r="Q120" i="37"/>
  <c r="U120" i="37"/>
  <c r="S120" i="37"/>
  <c r="T120" i="37"/>
  <c r="R120" i="37"/>
  <c r="V120" i="37"/>
  <c r="S57" i="42"/>
  <c r="C57" i="42" s="1"/>
  <c r="W120" i="37"/>
  <c r="T131" i="42"/>
  <c r="U131" i="42" s="1"/>
  <c r="R131" i="42"/>
  <c r="G200" i="42"/>
  <c r="K203" i="41" s="1"/>
  <c r="E200" i="42"/>
  <c r="I203" i="41" s="1"/>
  <c r="M138" i="41"/>
  <c r="M206" i="41"/>
  <c r="L135" i="41"/>
  <c r="C200" i="42"/>
  <c r="G203" i="41" s="1"/>
  <c r="L203" i="41"/>
  <c r="I200" i="42"/>
  <c r="M64" i="41" s="1"/>
  <c r="F200" i="42"/>
  <c r="J135" i="41" s="1"/>
  <c r="D200" i="42"/>
  <c r="H203" i="41" s="1"/>
  <c r="G64" i="42"/>
  <c r="R136" i="42"/>
  <c r="L60" i="42"/>
  <c r="Q199" i="37"/>
  <c r="E60" i="42"/>
  <c r="P86" i="42"/>
  <c r="K139" i="41"/>
  <c r="Q60" i="42"/>
  <c r="K59" i="41"/>
  <c r="R159" i="42"/>
  <c r="R143" i="42"/>
  <c r="W199" i="37"/>
  <c r="K198" i="41"/>
  <c r="T199" i="37"/>
  <c r="F60" i="42"/>
  <c r="N201" i="37"/>
  <c r="D60" i="42"/>
  <c r="L86" i="42"/>
  <c r="Q86" i="42"/>
  <c r="R158" i="42"/>
  <c r="K201" i="37"/>
  <c r="T150" i="42"/>
  <c r="U150" i="42" s="1"/>
  <c r="T159" i="42"/>
  <c r="U159" i="42" s="1"/>
  <c r="R151" i="42"/>
  <c r="M201" i="37"/>
  <c r="K64" i="42"/>
  <c r="K68" i="41"/>
  <c r="L201" i="37"/>
  <c r="T71" i="42"/>
  <c r="U71" i="42" s="1"/>
  <c r="T109" i="42"/>
  <c r="U109" i="42" s="1"/>
  <c r="X169" i="37"/>
  <c r="Z169" i="37" s="1"/>
  <c r="U199" i="37"/>
  <c r="J64" i="42"/>
  <c r="T168" i="42"/>
  <c r="U168" i="42" s="1"/>
  <c r="T149" i="42"/>
  <c r="U149" i="42" s="1"/>
  <c r="T115" i="42"/>
  <c r="U115" i="42" s="1"/>
  <c r="T158" i="42"/>
  <c r="U158" i="42" s="1"/>
  <c r="J201" i="37"/>
  <c r="O201" i="37"/>
  <c r="T151" i="42"/>
  <c r="U151" i="42" s="1"/>
  <c r="C64" i="42"/>
  <c r="T138" i="42"/>
  <c r="U138" i="42" s="1"/>
  <c r="O64" i="42"/>
  <c r="X161" i="37"/>
  <c r="Z161" i="37" s="1"/>
  <c r="R168" i="42"/>
  <c r="G128" i="41"/>
  <c r="G197" i="41"/>
  <c r="G58" i="41"/>
  <c r="R135" i="42"/>
  <c r="T135" i="42"/>
  <c r="U135" i="42" s="1"/>
  <c r="S199" i="37"/>
  <c r="M64" i="42"/>
  <c r="O60" i="42"/>
  <c r="R152" i="42"/>
  <c r="T143" i="42"/>
  <c r="U143" i="42" s="1"/>
  <c r="R199" i="37"/>
  <c r="V199" i="37"/>
  <c r="T147" i="42"/>
  <c r="U147" i="42" s="1"/>
  <c r="R147" i="42"/>
  <c r="M86" i="42"/>
  <c r="T148" i="42"/>
  <c r="U148" i="42" s="1"/>
  <c r="R148" i="42"/>
  <c r="J60" i="42"/>
  <c r="Q64" i="42"/>
  <c r="E64" i="42"/>
  <c r="T142" i="42"/>
  <c r="U142" i="42" s="1"/>
  <c r="R142" i="42"/>
  <c r="T160" i="42"/>
  <c r="U160" i="42" s="1"/>
  <c r="R160" i="42"/>
  <c r="I60" i="42"/>
  <c r="N60" i="42"/>
  <c r="P60" i="42"/>
  <c r="N64" i="42"/>
  <c r="L64" i="42"/>
  <c r="X180" i="37"/>
  <c r="Z180" i="37" s="1"/>
  <c r="X127" i="37"/>
  <c r="Z127" i="37" s="1"/>
  <c r="R144" i="42"/>
  <c r="T144" i="42"/>
  <c r="U144" i="42" s="1"/>
  <c r="R149" i="42"/>
  <c r="T162" i="42"/>
  <c r="U162" i="42" s="1"/>
  <c r="M60" i="42"/>
  <c r="P64" i="42"/>
  <c r="X126" i="37"/>
  <c r="Z126" i="37" s="1"/>
  <c r="T133" i="42"/>
  <c r="U133" i="42" s="1"/>
  <c r="R133" i="42"/>
  <c r="J86" i="42"/>
  <c r="T172" i="42"/>
  <c r="U172" i="42" s="1"/>
  <c r="R172" i="42"/>
  <c r="T152" i="42"/>
  <c r="U152" i="42" s="1"/>
  <c r="C60" i="42"/>
  <c r="H205" i="41"/>
  <c r="H137" i="41"/>
  <c r="H66" i="41"/>
  <c r="D64" i="42"/>
  <c r="I64" i="42"/>
  <c r="F64" i="42"/>
  <c r="G60" i="42"/>
  <c r="R93" i="41"/>
  <c r="R139" i="42"/>
  <c r="D86" i="42"/>
  <c r="G86" i="42"/>
  <c r="F86" i="42"/>
  <c r="E86" i="42"/>
  <c r="H86" i="42"/>
  <c r="C86" i="42"/>
  <c r="N86" i="42"/>
  <c r="T145" i="42"/>
  <c r="U145" i="42" s="1"/>
  <c r="R145" i="42"/>
  <c r="R150" i="42"/>
  <c r="R146" i="42"/>
  <c r="T146" i="42"/>
  <c r="U146" i="42" s="1"/>
  <c r="I86" i="42"/>
  <c r="X195" i="37"/>
  <c r="Z195" i="37" s="1"/>
  <c r="J162" i="42"/>
  <c r="R162" i="42" s="1"/>
  <c r="R97" i="41"/>
  <c r="G100" i="42"/>
  <c r="K179" i="41" s="1"/>
  <c r="F100" i="42"/>
  <c r="J179" i="41" s="1"/>
  <c r="I100" i="42"/>
  <c r="M179" i="41" s="1"/>
  <c r="O100" i="42"/>
  <c r="S179" i="41" s="1"/>
  <c r="L100" i="42"/>
  <c r="P179" i="41" s="1"/>
  <c r="H100" i="42"/>
  <c r="L179" i="41" s="1"/>
  <c r="J100" i="42"/>
  <c r="N179" i="41" s="1"/>
  <c r="N100" i="42"/>
  <c r="K100" i="42"/>
  <c r="O179" i="41" s="1"/>
  <c r="Q100" i="42"/>
  <c r="U179" i="41" s="1"/>
  <c r="D100" i="42"/>
  <c r="H179" i="41" s="1"/>
  <c r="M100" i="42"/>
  <c r="Q179" i="41" s="1"/>
  <c r="E100" i="42"/>
  <c r="I179" i="41" s="1"/>
  <c r="P100" i="42"/>
  <c r="T179" i="41" s="1"/>
  <c r="C100" i="42"/>
  <c r="J94" i="42"/>
  <c r="X155" i="37"/>
  <c r="Z155" i="37" s="1"/>
  <c r="T139" i="42"/>
  <c r="U139" i="42" s="1"/>
  <c r="T140" i="42"/>
  <c r="U140" i="42" s="1"/>
  <c r="R140" i="42"/>
  <c r="T156" i="42"/>
  <c r="U156" i="42" s="1"/>
  <c r="R156" i="42"/>
  <c r="G130" i="41"/>
  <c r="T63" i="42"/>
  <c r="U63" i="42" s="1"/>
  <c r="X144" i="37"/>
  <c r="T155" i="42"/>
  <c r="U155" i="42" s="1"/>
  <c r="R155" i="42"/>
  <c r="J59" i="42"/>
  <c r="N93" i="41" s="1"/>
  <c r="X122" i="37"/>
  <c r="T161" i="42"/>
  <c r="U161" i="42" s="1"/>
  <c r="R161" i="42"/>
  <c r="X147" i="37"/>
  <c r="Z147" i="37" s="1"/>
  <c r="K86" i="42"/>
  <c r="X184" i="37"/>
  <c r="Z184" i="37" s="1"/>
  <c r="D163" i="42"/>
  <c r="L163" i="42"/>
  <c r="C163" i="42"/>
  <c r="P163" i="42"/>
  <c r="N163" i="42"/>
  <c r="I163" i="42"/>
  <c r="G163" i="42"/>
  <c r="J163" i="42"/>
  <c r="K163" i="42"/>
  <c r="Q163" i="42"/>
  <c r="O163" i="42"/>
  <c r="M163" i="42"/>
  <c r="F163" i="42"/>
  <c r="E163" i="42"/>
  <c r="H163" i="42"/>
  <c r="T137" i="42"/>
  <c r="U137" i="42" s="1"/>
  <c r="R137" i="42"/>
  <c r="T83" i="42"/>
  <c r="U83" i="42" s="1"/>
  <c r="G110" i="42"/>
  <c r="Q110" i="42"/>
  <c r="M110" i="42"/>
  <c r="O110" i="42"/>
  <c r="E110" i="42"/>
  <c r="N110" i="42"/>
  <c r="K110" i="42"/>
  <c r="I110" i="42"/>
  <c r="F110" i="42"/>
  <c r="H110" i="42"/>
  <c r="J110" i="42"/>
  <c r="L110" i="42"/>
  <c r="C110" i="42"/>
  <c r="D110" i="42"/>
  <c r="P110" i="42"/>
  <c r="I93" i="41"/>
  <c r="K61" i="42"/>
  <c r="J61" i="42"/>
  <c r="L61" i="42"/>
  <c r="O61" i="42"/>
  <c r="M61" i="42"/>
  <c r="I61" i="42"/>
  <c r="P61" i="42"/>
  <c r="N61" i="42"/>
  <c r="C61" i="42"/>
  <c r="Q61" i="42"/>
  <c r="E61" i="42"/>
  <c r="H61" i="42"/>
  <c r="D61" i="42"/>
  <c r="G61" i="42"/>
  <c r="F61" i="42"/>
  <c r="X133" i="37"/>
  <c r="Z133" i="37" s="1"/>
  <c r="J70" i="42"/>
  <c r="N97" i="41" s="1"/>
  <c r="O86" i="42"/>
  <c r="T118" i="42"/>
  <c r="U118" i="42" s="1"/>
  <c r="R118" i="42"/>
  <c r="I201" i="37"/>
  <c r="T164" i="42"/>
  <c r="U164" i="42" s="1"/>
  <c r="R138" i="42"/>
  <c r="R166" i="42"/>
  <c r="T166" i="42"/>
  <c r="U166" i="42" s="1"/>
  <c r="L83" i="42"/>
  <c r="R83" i="42" s="1"/>
  <c r="J115" i="42"/>
  <c r="R115" i="42" s="1"/>
  <c r="X176" i="37"/>
  <c r="Z176" i="37" s="1"/>
  <c r="T94" i="42"/>
  <c r="U94" i="42" s="1"/>
  <c r="R153" i="42"/>
  <c r="T153" i="42"/>
  <c r="U153" i="42" s="1"/>
  <c r="T167" i="42"/>
  <c r="U167" i="42" s="1"/>
  <c r="R167" i="42"/>
  <c r="T154" i="42"/>
  <c r="U154" i="42" s="1"/>
  <c r="R154" i="42"/>
  <c r="K109" i="42"/>
  <c r="R109" i="42" s="1"/>
  <c r="X170" i="37"/>
  <c r="Z170" i="37" s="1"/>
  <c r="K59" i="42"/>
  <c r="O93" i="41" s="1"/>
  <c r="R165" i="42"/>
  <c r="J63" i="42"/>
  <c r="R63" i="42" s="1"/>
  <c r="X128" i="37"/>
  <c r="Z128" i="37" s="1"/>
  <c r="T59" i="42"/>
  <c r="U59" i="42" s="1"/>
  <c r="X134" i="37"/>
  <c r="Z134" i="37" s="1"/>
  <c r="J71" i="42"/>
  <c r="R71" i="42" s="1"/>
  <c r="R141" i="42"/>
  <c r="T141" i="42"/>
  <c r="U141" i="42" s="1"/>
  <c r="N119" i="42"/>
  <c r="M119" i="42"/>
  <c r="Q119" i="42"/>
  <c r="L119" i="42"/>
  <c r="K119" i="42"/>
  <c r="D119" i="42"/>
  <c r="O119" i="42"/>
  <c r="E119" i="42"/>
  <c r="P119" i="42"/>
  <c r="I119" i="42"/>
  <c r="G119" i="42"/>
  <c r="C119" i="42"/>
  <c r="F119" i="42"/>
  <c r="J119" i="42"/>
  <c r="H119" i="42"/>
  <c r="T65" i="42"/>
  <c r="U65" i="42" s="1"/>
  <c r="R65" i="42"/>
  <c r="N94" i="42"/>
  <c r="X171" i="37"/>
  <c r="Z171" i="37" s="1"/>
  <c r="P199" i="37"/>
  <c r="X196" i="37"/>
  <c r="X125" i="37"/>
  <c r="Z125" i="37" s="1"/>
  <c r="T165" i="42"/>
  <c r="U165" i="42" s="1"/>
  <c r="G108" i="42"/>
  <c r="Q108" i="42"/>
  <c r="I108" i="42"/>
  <c r="P108" i="42"/>
  <c r="O108" i="42"/>
  <c r="L108" i="42"/>
  <c r="M108" i="42"/>
  <c r="C108" i="42"/>
  <c r="F108" i="42"/>
  <c r="J108" i="42"/>
  <c r="D108" i="42"/>
  <c r="H108" i="42"/>
  <c r="K108" i="42"/>
  <c r="E108" i="42"/>
  <c r="N108" i="42"/>
  <c r="Q120" i="42"/>
  <c r="K120" i="42"/>
  <c r="H120" i="42"/>
  <c r="O120" i="42"/>
  <c r="C120" i="42"/>
  <c r="N120" i="42"/>
  <c r="I120" i="42"/>
  <c r="D120" i="42"/>
  <c r="L120" i="42"/>
  <c r="M120" i="42"/>
  <c r="F120" i="42"/>
  <c r="J120" i="42"/>
  <c r="P120" i="42"/>
  <c r="G120" i="42"/>
  <c r="E120" i="42"/>
  <c r="P94" i="42"/>
  <c r="K60" i="42"/>
  <c r="X123" i="37"/>
  <c r="Z123" i="37" s="1"/>
  <c r="G97" i="41"/>
  <c r="T70" i="42"/>
  <c r="U70" i="42" s="1"/>
  <c r="X124" i="37"/>
  <c r="Z124" i="37" s="1"/>
  <c r="H62" i="42"/>
  <c r="F62" i="42"/>
  <c r="L62" i="42"/>
  <c r="K62" i="42"/>
  <c r="G62" i="42"/>
  <c r="C62" i="42"/>
  <c r="P62" i="42"/>
  <c r="M62" i="42"/>
  <c r="N62" i="42"/>
  <c r="O62" i="42"/>
  <c r="D62" i="42"/>
  <c r="I62" i="42"/>
  <c r="Q62" i="42"/>
  <c r="J62" i="42"/>
  <c r="E62" i="42"/>
  <c r="R164" i="42"/>
  <c r="S54" i="20"/>
  <c r="S72" i="21"/>
  <c r="R20" i="9"/>
  <c r="T20" i="9"/>
  <c r="W20" i="9" s="1"/>
  <c r="T43" i="9"/>
  <c r="W43" i="9" s="1"/>
  <c r="R43" i="9"/>
  <c r="S73" i="20"/>
  <c r="S54" i="22"/>
  <c r="S72" i="20"/>
  <c r="R107" i="37"/>
  <c r="T107" i="37"/>
  <c r="W107" i="37"/>
  <c r="S47" i="42"/>
  <c r="P107" i="37"/>
  <c r="S107" i="37"/>
  <c r="Q107" i="37"/>
  <c r="V107" i="37"/>
  <c r="U107" i="37"/>
  <c r="S65" i="22"/>
  <c r="S83" i="21"/>
  <c r="R50" i="9"/>
  <c r="T50" i="9"/>
  <c r="W50" i="9" s="1"/>
  <c r="W69" i="37"/>
  <c r="T69" i="37"/>
  <c r="S5" i="42"/>
  <c r="V69" i="37"/>
  <c r="R69" i="37"/>
  <c r="S69" i="37"/>
  <c r="U69" i="37"/>
  <c r="Q69" i="37"/>
  <c r="P69" i="37"/>
  <c r="P73" i="37"/>
  <c r="T73" i="37"/>
  <c r="R73" i="37"/>
  <c r="S9" i="42"/>
  <c r="Q73" i="37"/>
  <c r="V73" i="37"/>
  <c r="U73" i="37"/>
  <c r="S73" i="37"/>
  <c r="W73" i="37"/>
  <c r="S58" i="20"/>
  <c r="T15" i="9"/>
  <c r="W15" i="9" s="1"/>
  <c r="R15" i="9"/>
  <c r="S72" i="22"/>
  <c r="S80" i="22"/>
  <c r="S67" i="22"/>
  <c r="R22" i="9"/>
  <c r="T22" i="9"/>
  <c r="W22" i="9" s="1"/>
  <c r="U104" i="37"/>
  <c r="V104" i="37"/>
  <c r="R104" i="37"/>
  <c r="W104" i="37"/>
  <c r="S104" i="37"/>
  <c r="T104" i="37"/>
  <c r="P104" i="37"/>
  <c r="S44" i="42"/>
  <c r="Q104" i="37"/>
  <c r="R49" i="9"/>
  <c r="T49" i="9"/>
  <c r="W49" i="9" s="1"/>
  <c r="S82" i="21"/>
  <c r="R27" i="9"/>
  <c r="T27" i="9"/>
  <c r="W27" i="9" s="1"/>
  <c r="S79" i="21"/>
  <c r="S80" i="20"/>
  <c r="S79" i="20"/>
  <c r="S83" i="20"/>
  <c r="S60" i="21"/>
  <c r="T36" i="9"/>
  <c r="W36" i="9" s="1"/>
  <c r="R36" i="9"/>
  <c r="S65" i="20"/>
  <c r="R13" i="9"/>
  <c r="T13" i="9"/>
  <c r="W13" i="9" s="1"/>
  <c r="T28" i="9"/>
  <c r="W28" i="9" s="1"/>
  <c r="R28" i="9"/>
  <c r="S73" i="22"/>
  <c r="R47" i="9"/>
  <c r="T47" i="9"/>
  <c r="W47" i="9" s="1"/>
  <c r="R25" i="9"/>
  <c r="T25" i="9"/>
  <c r="W25" i="9" s="1"/>
  <c r="R46" i="9"/>
  <c r="T46" i="9"/>
  <c r="W46" i="9" s="1"/>
  <c r="S40" i="42"/>
  <c r="U100" i="37"/>
  <c r="V100" i="37"/>
  <c r="W100" i="37"/>
  <c r="S100" i="37"/>
  <c r="R100" i="37"/>
  <c r="P100" i="37"/>
  <c r="Q100" i="37"/>
  <c r="T100" i="37"/>
  <c r="Q90" i="37"/>
  <c r="R90" i="37"/>
  <c r="V90" i="37"/>
  <c r="W90" i="37"/>
  <c r="U90" i="37"/>
  <c r="S30" i="42"/>
  <c r="S90" i="37"/>
  <c r="P90" i="37"/>
  <c r="T90" i="37"/>
  <c r="S67" i="20"/>
  <c r="S58" i="22"/>
  <c r="S70" i="20"/>
  <c r="S60" i="20"/>
  <c r="R33" i="9"/>
  <c r="T33" i="9"/>
  <c r="W33" i="9" s="1"/>
  <c r="S82" i="22"/>
  <c r="S65" i="21"/>
  <c r="S97" i="37"/>
  <c r="W97" i="37"/>
  <c r="T97" i="37"/>
  <c r="Q97" i="37"/>
  <c r="R97" i="37"/>
  <c r="S37" i="42"/>
  <c r="P97" i="37"/>
  <c r="V97" i="37"/>
  <c r="U97" i="37"/>
  <c r="S83" i="22"/>
  <c r="S60" i="22"/>
  <c r="Q103" i="37"/>
  <c r="S43" i="42"/>
  <c r="R103" i="37"/>
  <c r="S103" i="37"/>
  <c r="W103" i="37"/>
  <c r="T103" i="37"/>
  <c r="P103" i="37"/>
  <c r="V103" i="37"/>
  <c r="U103" i="37"/>
  <c r="S34" i="42"/>
  <c r="W94" i="37"/>
  <c r="T94" i="37"/>
  <c r="U94" i="37"/>
  <c r="S94" i="37"/>
  <c r="R94" i="37"/>
  <c r="Q94" i="37"/>
  <c r="V94" i="37"/>
  <c r="P94" i="37"/>
  <c r="S79" i="22"/>
  <c r="T9" i="9"/>
  <c r="W9" i="9" s="1"/>
  <c r="R9" i="9"/>
  <c r="P93" i="37"/>
  <c r="W93" i="37"/>
  <c r="V93" i="37"/>
  <c r="U93" i="37"/>
  <c r="T93" i="37"/>
  <c r="S33" i="42"/>
  <c r="S93" i="37"/>
  <c r="R93" i="37"/>
  <c r="Q93" i="37"/>
  <c r="S54" i="21"/>
  <c r="S67" i="21"/>
  <c r="S80" i="21"/>
  <c r="S70" i="21"/>
  <c r="T40" i="9"/>
  <c r="W40" i="9" s="1"/>
  <c r="R40" i="9"/>
  <c r="S58" i="21"/>
  <c r="U106" i="37"/>
  <c r="P106" i="37"/>
  <c r="W106" i="37"/>
  <c r="S46" i="42"/>
  <c r="R106" i="37"/>
  <c r="T106" i="37"/>
  <c r="S106" i="37"/>
  <c r="Q106" i="37"/>
  <c r="V106" i="37"/>
  <c r="S82" i="20"/>
  <c r="R37" i="9"/>
  <c r="T37" i="9"/>
  <c r="W37" i="9" s="1"/>
  <c r="S73" i="21"/>
  <c r="S70" i="22"/>
  <c r="E43" i="16" l="1"/>
  <c r="E45" i="16" s="1"/>
  <c r="R62" i="14"/>
  <c r="S62" i="14" s="1"/>
  <c r="N226" i="42"/>
  <c r="N182" i="42"/>
  <c r="F184" i="42"/>
  <c r="H184" i="42"/>
  <c r="M184" i="42"/>
  <c r="P184" i="42"/>
  <c r="D215" i="42"/>
  <c r="U59" i="41"/>
  <c r="E215" i="42"/>
  <c r="H215" i="42"/>
  <c r="K138" i="41"/>
  <c r="L215" i="42"/>
  <c r="E217" i="42"/>
  <c r="J137" i="41"/>
  <c r="N217" i="42"/>
  <c r="Q226" i="42"/>
  <c r="U69" i="41" s="1"/>
  <c r="P215" i="42"/>
  <c r="O218" i="42"/>
  <c r="P218" i="42"/>
  <c r="X17" i="37"/>
  <c r="Z17" i="37" s="1"/>
  <c r="I218" i="42"/>
  <c r="M225" i="42"/>
  <c r="G218" i="42"/>
  <c r="H218" i="42"/>
  <c r="K206" i="41"/>
  <c r="N198" i="41"/>
  <c r="P220" i="42"/>
  <c r="J59" i="41"/>
  <c r="G138" i="41"/>
  <c r="G67" i="41"/>
  <c r="L218" i="42"/>
  <c r="J218" i="42"/>
  <c r="M218" i="42"/>
  <c r="G225" i="42"/>
  <c r="E218" i="42"/>
  <c r="C218" i="42"/>
  <c r="N218" i="42"/>
  <c r="K218" i="42"/>
  <c r="K215" i="42"/>
  <c r="F218" i="42"/>
  <c r="Q218" i="42"/>
  <c r="O215" i="42"/>
  <c r="I184" i="42"/>
  <c r="D184" i="42"/>
  <c r="Q184" i="42"/>
  <c r="G180" i="42"/>
  <c r="F180" i="42"/>
  <c r="P180" i="42"/>
  <c r="E180" i="42"/>
  <c r="O138" i="41"/>
  <c r="L184" i="42"/>
  <c r="C180" i="42"/>
  <c r="H180" i="42"/>
  <c r="G59" i="41"/>
  <c r="J184" i="42"/>
  <c r="Q180" i="42"/>
  <c r="D180" i="42"/>
  <c r="K180" i="42"/>
  <c r="I180" i="42"/>
  <c r="G184" i="42"/>
  <c r="L180" i="42"/>
  <c r="M215" i="42"/>
  <c r="N184" i="42"/>
  <c r="N180" i="42"/>
  <c r="M180" i="42"/>
  <c r="G129" i="41"/>
  <c r="C184" i="42"/>
  <c r="O180" i="42"/>
  <c r="O198" i="41"/>
  <c r="O129" i="41"/>
  <c r="K220" i="42"/>
  <c r="L224" i="42"/>
  <c r="J225" i="42"/>
  <c r="G224" i="42"/>
  <c r="N129" i="41"/>
  <c r="P225" i="42"/>
  <c r="C215" i="42"/>
  <c r="Q215" i="42"/>
  <c r="E224" i="42"/>
  <c r="N225" i="42"/>
  <c r="H224" i="42"/>
  <c r="D225" i="42"/>
  <c r="E225" i="42"/>
  <c r="I215" i="42"/>
  <c r="I224" i="42"/>
  <c r="K224" i="42"/>
  <c r="I66" i="41"/>
  <c r="F225" i="42"/>
  <c r="I225" i="42"/>
  <c r="F215" i="42"/>
  <c r="J224" i="42"/>
  <c r="H225" i="42"/>
  <c r="D224" i="42"/>
  <c r="F224" i="42"/>
  <c r="O224" i="42"/>
  <c r="K197" i="41"/>
  <c r="C170" i="42"/>
  <c r="G123" i="41" s="1"/>
  <c r="K170" i="42"/>
  <c r="O123" i="41" s="1"/>
  <c r="K128" i="41"/>
  <c r="G170" i="42"/>
  <c r="K192" i="41" s="1"/>
  <c r="M53" i="41"/>
  <c r="L170" i="42"/>
  <c r="P192" i="41" s="1"/>
  <c r="H170" i="42"/>
  <c r="L192" i="41" s="1"/>
  <c r="J170" i="42"/>
  <c r="N53" i="41" s="1"/>
  <c r="D170" i="42"/>
  <c r="H192" i="41" s="1"/>
  <c r="M170" i="42"/>
  <c r="Q192" i="41" s="1"/>
  <c r="M123" i="41"/>
  <c r="P170" i="42"/>
  <c r="T53" i="41" s="1"/>
  <c r="E170" i="42"/>
  <c r="I53" i="41" s="1"/>
  <c r="Q170" i="42"/>
  <c r="U53" i="41" s="1"/>
  <c r="F170" i="42"/>
  <c r="J192" i="41" s="1"/>
  <c r="O184" i="42"/>
  <c r="H67" i="41"/>
  <c r="L129" i="41"/>
  <c r="P207" i="41"/>
  <c r="J66" i="41"/>
  <c r="I205" i="41"/>
  <c r="Q66" i="41"/>
  <c r="O68" i="41"/>
  <c r="Q194" i="42"/>
  <c r="P137" i="41"/>
  <c r="I217" i="42"/>
  <c r="D217" i="42"/>
  <c r="H217" i="42"/>
  <c r="P66" i="41"/>
  <c r="F217" i="42"/>
  <c r="G217" i="42"/>
  <c r="K217" i="42"/>
  <c r="O217" i="42"/>
  <c r="C217" i="42"/>
  <c r="L217" i="42"/>
  <c r="J217" i="42"/>
  <c r="P217" i="42"/>
  <c r="Q217" i="42"/>
  <c r="K23" i="14"/>
  <c r="AA3" i="15"/>
  <c r="AA10" i="15"/>
  <c r="P63" i="14"/>
  <c r="AF43" i="15" s="1"/>
  <c r="AF15" i="15"/>
  <c r="Q18" i="20"/>
  <c r="G18" i="20"/>
  <c r="D18" i="20"/>
  <c r="O18" i="20"/>
  <c r="D67" i="40"/>
  <c r="P18" i="20"/>
  <c r="R18" i="20"/>
  <c r="F18" i="20"/>
  <c r="L18" i="20"/>
  <c r="I18" i="20"/>
  <c r="H18" i="20"/>
  <c r="M18" i="20"/>
  <c r="K18" i="20"/>
  <c r="E18" i="20"/>
  <c r="J18" i="20"/>
  <c r="N18" i="20"/>
  <c r="D5" i="20"/>
  <c r="G14" i="15"/>
  <c r="G10" i="15"/>
  <c r="G13" i="15"/>
  <c r="D68" i="40" s="1"/>
  <c r="G23" i="15"/>
  <c r="N224" i="42"/>
  <c r="K184" i="42"/>
  <c r="N66" i="41"/>
  <c r="Q137" i="41"/>
  <c r="I59" i="41"/>
  <c r="J215" i="42"/>
  <c r="I139" i="41"/>
  <c r="H206" i="41"/>
  <c r="L139" i="41"/>
  <c r="D194" i="42"/>
  <c r="X53" i="37"/>
  <c r="Z53" i="37" s="1"/>
  <c r="Q207" i="41"/>
  <c r="L137" i="41"/>
  <c r="L204" i="37"/>
  <c r="L215" i="37" s="1"/>
  <c r="Q68" i="41"/>
  <c r="L66" i="41"/>
  <c r="T66" i="41"/>
  <c r="T205" i="41"/>
  <c r="L225" i="42"/>
  <c r="O225" i="42"/>
  <c r="P224" i="42"/>
  <c r="M224" i="42"/>
  <c r="S197" i="41"/>
  <c r="S128" i="41"/>
  <c r="S58" i="41"/>
  <c r="J220" i="42"/>
  <c r="N215" i="42"/>
  <c r="L68" i="41"/>
  <c r="J127" i="41"/>
  <c r="H182" i="42"/>
  <c r="L57" i="41" s="1"/>
  <c r="E194" i="42"/>
  <c r="N194" i="42"/>
  <c r="I138" i="41"/>
  <c r="J57" i="41"/>
  <c r="H194" i="42"/>
  <c r="T223" i="42"/>
  <c r="U223" i="42" s="1"/>
  <c r="O170" i="42"/>
  <c r="S53" i="41" s="1"/>
  <c r="C182" i="42"/>
  <c r="G57" i="41" s="1"/>
  <c r="I67" i="41"/>
  <c r="J197" i="41"/>
  <c r="M182" i="42"/>
  <c r="Q127" i="41" s="1"/>
  <c r="K182" i="42"/>
  <c r="O196" i="41" s="1"/>
  <c r="J182" i="42"/>
  <c r="N57" i="41" s="1"/>
  <c r="L67" i="41"/>
  <c r="J128" i="41"/>
  <c r="S205" i="41"/>
  <c r="D182" i="42"/>
  <c r="H127" i="41" s="1"/>
  <c r="F194" i="42"/>
  <c r="O182" i="42"/>
  <c r="S127" i="41" s="1"/>
  <c r="S137" i="41"/>
  <c r="Q182" i="42"/>
  <c r="U57" i="41" s="1"/>
  <c r="L194" i="42"/>
  <c r="P182" i="42"/>
  <c r="T127" i="41" s="1"/>
  <c r="S207" i="41"/>
  <c r="I182" i="42"/>
  <c r="M196" i="41" s="1"/>
  <c r="E182" i="42"/>
  <c r="I57" i="41" s="1"/>
  <c r="G194" i="42"/>
  <c r="I194" i="42"/>
  <c r="P194" i="42"/>
  <c r="S139" i="41"/>
  <c r="G182" i="42"/>
  <c r="K196" i="41" s="1"/>
  <c r="L182" i="42"/>
  <c r="P127" i="41" s="1"/>
  <c r="P128" i="41"/>
  <c r="P58" i="41"/>
  <c r="P197" i="41"/>
  <c r="N170" i="42"/>
  <c r="T139" i="41"/>
  <c r="O207" i="41"/>
  <c r="E216" i="42"/>
  <c r="F220" i="42"/>
  <c r="I220" i="42"/>
  <c r="C220" i="42"/>
  <c r="D220" i="42"/>
  <c r="X21" i="37"/>
  <c r="Z21" i="37" s="1"/>
  <c r="E220" i="42"/>
  <c r="O216" i="42"/>
  <c r="N220" i="42"/>
  <c r="Q220" i="42"/>
  <c r="X48" i="37"/>
  <c r="Z48" i="37" s="1"/>
  <c r="O220" i="42"/>
  <c r="G220" i="42"/>
  <c r="M220" i="42"/>
  <c r="L220" i="42"/>
  <c r="H220" i="42"/>
  <c r="X9" i="37"/>
  <c r="Z9" i="37" s="1"/>
  <c r="I207" i="41"/>
  <c r="J138" i="41"/>
  <c r="G186" i="42"/>
  <c r="M197" i="41"/>
  <c r="J67" i="41"/>
  <c r="G216" i="42"/>
  <c r="H186" i="42"/>
  <c r="M216" i="42"/>
  <c r="X59" i="37"/>
  <c r="Z59" i="37" s="1"/>
  <c r="X56" i="37"/>
  <c r="Z56" i="37" s="1"/>
  <c r="M128" i="41"/>
  <c r="D216" i="42"/>
  <c r="C216" i="42"/>
  <c r="L216" i="42"/>
  <c r="Q216" i="42"/>
  <c r="P216" i="42"/>
  <c r="N216" i="42"/>
  <c r="N186" i="42"/>
  <c r="K216" i="42"/>
  <c r="K204" i="37"/>
  <c r="K215" i="37" s="1"/>
  <c r="L186" i="42"/>
  <c r="J216" i="42"/>
  <c r="M129" i="41"/>
  <c r="H216" i="42"/>
  <c r="I216" i="42"/>
  <c r="X57" i="37"/>
  <c r="Z57" i="37" s="1"/>
  <c r="X19" i="37"/>
  <c r="Z19" i="37" s="1"/>
  <c r="T59" i="41"/>
  <c r="Q225" i="42"/>
  <c r="N223" i="42"/>
  <c r="R223" i="42" s="1"/>
  <c r="Q224" i="42"/>
  <c r="X10" i="37"/>
  <c r="Z10" i="37" s="1"/>
  <c r="Q67" i="41"/>
  <c r="Q206" i="41"/>
  <c r="Q138" i="41"/>
  <c r="N138" i="41"/>
  <c r="N67" i="41"/>
  <c r="N206" i="41"/>
  <c r="T129" i="41"/>
  <c r="H128" i="41"/>
  <c r="X50" i="37"/>
  <c r="Z50" i="37" s="1"/>
  <c r="H208" i="41"/>
  <c r="H197" i="41"/>
  <c r="H140" i="41"/>
  <c r="I204" i="37"/>
  <c r="I215" i="37" s="1"/>
  <c r="I217" i="37" s="1"/>
  <c r="L58" i="41"/>
  <c r="L197" i="41"/>
  <c r="U206" i="41"/>
  <c r="U138" i="41"/>
  <c r="U197" i="41"/>
  <c r="U128" i="41"/>
  <c r="U58" i="41"/>
  <c r="X20" i="37"/>
  <c r="Z20" i="37" s="1"/>
  <c r="E186" i="42"/>
  <c r="G226" i="42"/>
  <c r="K208" i="41" s="1"/>
  <c r="H35" i="37"/>
  <c r="R35" i="37" s="1"/>
  <c r="X49" i="37"/>
  <c r="Z49" i="37" s="1"/>
  <c r="I186" i="42"/>
  <c r="L226" i="42"/>
  <c r="P208" i="41" s="1"/>
  <c r="U66" i="41"/>
  <c r="U137" i="41"/>
  <c r="J186" i="42"/>
  <c r="X36" i="37"/>
  <c r="Z36" i="37" s="1"/>
  <c r="C226" i="42"/>
  <c r="G208" i="41" s="1"/>
  <c r="Q186" i="42"/>
  <c r="O186" i="42"/>
  <c r="X47" i="37"/>
  <c r="Z47" i="37" s="1"/>
  <c r="D186" i="42"/>
  <c r="P226" i="42"/>
  <c r="T69" i="41" s="1"/>
  <c r="K226" i="42"/>
  <c r="O69" i="41" s="1"/>
  <c r="J139" i="41"/>
  <c r="S67" i="41"/>
  <c r="C186" i="42"/>
  <c r="I226" i="42"/>
  <c r="M140" i="41" s="1"/>
  <c r="O226" i="42"/>
  <c r="S69" i="41" s="1"/>
  <c r="J68" i="41"/>
  <c r="S138" i="41"/>
  <c r="K186" i="42"/>
  <c r="E226" i="42"/>
  <c r="I140" i="41" s="1"/>
  <c r="J226" i="42"/>
  <c r="N69" i="41" s="1"/>
  <c r="M226" i="42"/>
  <c r="Q69" i="41" s="1"/>
  <c r="P186" i="42"/>
  <c r="F226" i="42"/>
  <c r="J140" i="41" s="1"/>
  <c r="H226" i="42"/>
  <c r="L140" i="41" s="1"/>
  <c r="U61" i="37"/>
  <c r="T199" i="42"/>
  <c r="U199" i="42" s="1"/>
  <c r="U67" i="41"/>
  <c r="J198" i="41"/>
  <c r="L198" i="41"/>
  <c r="M205" i="41"/>
  <c r="N68" i="41"/>
  <c r="K194" i="42"/>
  <c r="T67" i="41"/>
  <c r="P206" i="41"/>
  <c r="H59" i="41"/>
  <c r="M66" i="41"/>
  <c r="J194" i="42"/>
  <c r="T206" i="41"/>
  <c r="P138" i="41"/>
  <c r="H129" i="41"/>
  <c r="S59" i="41"/>
  <c r="X58" i="37"/>
  <c r="Z58" i="37" s="1"/>
  <c r="X54" i="37"/>
  <c r="Z54" i="37" s="1"/>
  <c r="R61" i="37"/>
  <c r="N207" i="41"/>
  <c r="S129" i="41"/>
  <c r="P68" i="41"/>
  <c r="M194" i="42"/>
  <c r="T221" i="42"/>
  <c r="U221" i="42" s="1"/>
  <c r="T212" i="42"/>
  <c r="U212" i="42" s="1"/>
  <c r="Q58" i="41"/>
  <c r="O67" i="41"/>
  <c r="X51" i="37"/>
  <c r="Z51" i="37" s="1"/>
  <c r="Q128" i="41"/>
  <c r="R214" i="42"/>
  <c r="D169" i="42"/>
  <c r="H122" i="41" s="1"/>
  <c r="N169" i="42"/>
  <c r="I169" i="42"/>
  <c r="M191" i="41" s="1"/>
  <c r="X37" i="37"/>
  <c r="Z37" i="37" s="1"/>
  <c r="T214" i="42"/>
  <c r="U214" i="42" s="1"/>
  <c r="R221" i="42"/>
  <c r="M186" i="42"/>
  <c r="T128" i="41"/>
  <c r="R128" i="41" s="1"/>
  <c r="T197" i="41"/>
  <c r="J191" i="41"/>
  <c r="L206" i="41"/>
  <c r="U129" i="41"/>
  <c r="R212" i="42"/>
  <c r="E169" i="42"/>
  <c r="I122" i="41" s="1"/>
  <c r="O169" i="42"/>
  <c r="S191" i="41" s="1"/>
  <c r="T213" i="42"/>
  <c r="U213" i="42" s="1"/>
  <c r="T222" i="42"/>
  <c r="U222" i="42" s="1"/>
  <c r="P198" i="41"/>
  <c r="H139" i="41"/>
  <c r="R222" i="42"/>
  <c r="M139" i="41"/>
  <c r="I58" i="41"/>
  <c r="X22" i="37"/>
  <c r="Z22" i="37" s="1"/>
  <c r="T183" i="42"/>
  <c r="U183" i="42" s="1"/>
  <c r="P129" i="41"/>
  <c r="K66" i="41"/>
  <c r="G66" i="41"/>
  <c r="Q129" i="41"/>
  <c r="H207" i="41"/>
  <c r="M207" i="41"/>
  <c r="I197" i="41"/>
  <c r="K169" i="42"/>
  <c r="O52" i="41" s="1"/>
  <c r="R199" i="42"/>
  <c r="K205" i="41"/>
  <c r="G137" i="41"/>
  <c r="Q59" i="41"/>
  <c r="R185" i="42"/>
  <c r="U139" i="41"/>
  <c r="G207" i="41"/>
  <c r="K200" i="42"/>
  <c r="O203" i="41" s="1"/>
  <c r="L169" i="42"/>
  <c r="P122" i="41" s="1"/>
  <c r="C169" i="42"/>
  <c r="G191" i="41" s="1"/>
  <c r="G205" i="41"/>
  <c r="G68" i="41"/>
  <c r="J122" i="41"/>
  <c r="I198" i="41"/>
  <c r="U207" i="41"/>
  <c r="S61" i="37"/>
  <c r="T185" i="42"/>
  <c r="U185" i="42" s="1"/>
  <c r="M198" i="41"/>
  <c r="N197" i="41"/>
  <c r="T207" i="41"/>
  <c r="X55" i="37"/>
  <c r="Z55" i="37" s="1"/>
  <c r="X45" i="37"/>
  <c r="Z45" i="37" s="1"/>
  <c r="G169" i="42"/>
  <c r="K122" i="41" s="1"/>
  <c r="H169" i="42"/>
  <c r="L191" i="41" s="1"/>
  <c r="T219" i="42"/>
  <c r="U219" i="42" s="1"/>
  <c r="N128" i="41"/>
  <c r="V61" i="37"/>
  <c r="J169" i="42"/>
  <c r="N52" i="41" s="1"/>
  <c r="Q169" i="42"/>
  <c r="U122" i="41" s="1"/>
  <c r="P169" i="42"/>
  <c r="T191" i="41" s="1"/>
  <c r="M169" i="42"/>
  <c r="Q122" i="41" s="1"/>
  <c r="X31" i="37"/>
  <c r="Z31" i="37" s="1"/>
  <c r="R68" i="41"/>
  <c r="R130" i="41"/>
  <c r="V130" i="41" s="1"/>
  <c r="W130" i="41" s="1"/>
  <c r="T187" i="42"/>
  <c r="U187" i="42" s="1"/>
  <c r="R213" i="42"/>
  <c r="O66" i="41"/>
  <c r="Q61" i="37"/>
  <c r="W61" i="37"/>
  <c r="O205" i="41"/>
  <c r="J204" i="37"/>
  <c r="J215" i="37" s="1"/>
  <c r="N205" i="41"/>
  <c r="R219" i="42"/>
  <c r="P61" i="37"/>
  <c r="X46" i="37"/>
  <c r="Z46" i="37" s="1"/>
  <c r="X23" i="37"/>
  <c r="Z23" i="37" s="1"/>
  <c r="AG32" i="15"/>
  <c r="V11" i="16" s="1"/>
  <c r="AI25" i="15"/>
  <c r="AI32" i="15" s="1"/>
  <c r="X11" i="16" s="1"/>
  <c r="X24" i="37"/>
  <c r="Z24" i="37" s="1"/>
  <c r="O194" i="42"/>
  <c r="X52" i="37"/>
  <c r="Z52" i="37" s="1"/>
  <c r="T61" i="37"/>
  <c r="S15" i="19"/>
  <c r="D22" i="19"/>
  <c r="D49" i="19" s="1"/>
  <c r="S135" i="41"/>
  <c r="R135" i="41" s="1"/>
  <c r="S203" i="41"/>
  <c r="R18" i="37"/>
  <c r="U18" i="37"/>
  <c r="P18" i="37"/>
  <c r="W18" i="37"/>
  <c r="S181" i="42"/>
  <c r="S18" i="37"/>
  <c r="V18" i="37"/>
  <c r="Q18" i="37"/>
  <c r="T18" i="37"/>
  <c r="F44" i="21"/>
  <c r="K44" i="21"/>
  <c r="G44" i="21"/>
  <c r="I44" i="21"/>
  <c r="E44" i="21"/>
  <c r="Q44" i="21"/>
  <c r="J72" i="40"/>
  <c r="N44" i="21"/>
  <c r="D44" i="21"/>
  <c r="R44" i="21"/>
  <c r="M44" i="21"/>
  <c r="J44" i="21"/>
  <c r="O44" i="21"/>
  <c r="L44" i="21"/>
  <c r="H44" i="21"/>
  <c r="P44" i="21"/>
  <c r="G12" i="21"/>
  <c r="H13" i="21"/>
  <c r="F12" i="21"/>
  <c r="O13" i="21"/>
  <c r="N13" i="21"/>
  <c r="G13" i="21"/>
  <c r="D12" i="21"/>
  <c r="F13" i="21"/>
  <c r="E12" i="21"/>
  <c r="K12" i="21"/>
  <c r="J12" i="21"/>
  <c r="J13" i="21"/>
  <c r="M13" i="21"/>
  <c r="D13" i="21"/>
  <c r="M12" i="21"/>
  <c r="O12" i="21"/>
  <c r="K13" i="21"/>
  <c r="I12" i="21"/>
  <c r="H12" i="21"/>
  <c r="E13" i="21"/>
  <c r="I13" i="21"/>
  <c r="L12" i="21"/>
  <c r="N12" i="21"/>
  <c r="L13" i="21"/>
  <c r="F17" i="21"/>
  <c r="P17" i="21"/>
  <c r="D17" i="21"/>
  <c r="J17" i="21"/>
  <c r="G17" i="21"/>
  <c r="M17" i="21"/>
  <c r="Q17" i="21"/>
  <c r="Q22" i="21" s="1"/>
  <c r="I17" i="21"/>
  <c r="N17" i="21"/>
  <c r="K17" i="21"/>
  <c r="H17" i="21"/>
  <c r="E17" i="21"/>
  <c r="R17" i="21"/>
  <c r="R22" i="21" s="1"/>
  <c r="O17" i="21"/>
  <c r="J69" i="40"/>
  <c r="L17" i="21"/>
  <c r="AB10" i="15"/>
  <c r="AB3" i="15"/>
  <c r="S18" i="21"/>
  <c r="E25" i="21"/>
  <c r="E33" i="21" s="1"/>
  <c r="L25" i="21"/>
  <c r="L33" i="21" s="1"/>
  <c r="H25" i="21"/>
  <c r="H33" i="21" s="1"/>
  <c r="P25" i="21"/>
  <c r="P33" i="21" s="1"/>
  <c r="M25" i="21"/>
  <c r="M33" i="21" s="1"/>
  <c r="O25" i="21"/>
  <c r="O33" i="21" s="1"/>
  <c r="H32" i="15"/>
  <c r="D25" i="21"/>
  <c r="J25" i="21"/>
  <c r="J33" i="21" s="1"/>
  <c r="R25" i="21"/>
  <c r="R33" i="21" s="1"/>
  <c r="K25" i="21"/>
  <c r="K33" i="21" s="1"/>
  <c r="Q25" i="21"/>
  <c r="Q33" i="21" s="1"/>
  <c r="J61" i="40"/>
  <c r="I25" i="21"/>
  <c r="I33" i="21" s="1"/>
  <c r="N25" i="21"/>
  <c r="N33" i="21" s="1"/>
  <c r="F25" i="21"/>
  <c r="F33" i="21" s="1"/>
  <c r="G25" i="21"/>
  <c r="G33" i="21" s="1"/>
  <c r="AG13" i="15"/>
  <c r="AG14" i="15"/>
  <c r="H42" i="46"/>
  <c r="J60" i="40"/>
  <c r="L14" i="21"/>
  <c r="H47" i="16"/>
  <c r="O14" i="21"/>
  <c r="G14" i="21"/>
  <c r="H97" i="9"/>
  <c r="D14" i="21"/>
  <c r="J14" i="21"/>
  <c r="M14" i="21"/>
  <c r="H20" i="15"/>
  <c r="F14" i="21"/>
  <c r="K14" i="21"/>
  <c r="I14" i="21"/>
  <c r="E14" i="21"/>
  <c r="N14" i="21"/>
  <c r="H99" i="9"/>
  <c r="H14" i="21"/>
  <c r="I23" i="15"/>
  <c r="P61" i="40" s="1"/>
  <c r="J18" i="22"/>
  <c r="R18" i="22"/>
  <c r="S22" i="14"/>
  <c r="P23" i="14" s="1"/>
  <c r="D18" i="22"/>
  <c r="N204" i="37"/>
  <c r="N215" i="37" s="1"/>
  <c r="H46" i="15"/>
  <c r="AB46" i="15" s="1"/>
  <c r="AG46" i="15" s="1"/>
  <c r="E18" i="22"/>
  <c r="F18" i="22"/>
  <c r="O18" i="22"/>
  <c r="M18" i="22"/>
  <c r="N18" i="22"/>
  <c r="P18" i="22"/>
  <c r="G76" i="8"/>
  <c r="J203" i="41"/>
  <c r="R73" i="14"/>
  <c r="H18" i="22"/>
  <c r="I18" i="22"/>
  <c r="K18" i="22"/>
  <c r="J15" i="15"/>
  <c r="H32" i="37" s="1"/>
  <c r="G18" i="22"/>
  <c r="P67" i="40"/>
  <c r="Q18" i="22"/>
  <c r="D5" i="22"/>
  <c r="J12" i="22" s="1"/>
  <c r="I14" i="15"/>
  <c r="Q17" i="22" s="1"/>
  <c r="I13" i="15"/>
  <c r="P68" i="40" s="1"/>
  <c r="I10" i="15"/>
  <c r="J10" i="15" s="1"/>
  <c r="K10" i="15" s="1"/>
  <c r="M204" i="37"/>
  <c r="M215" i="37" s="1"/>
  <c r="O204" i="37"/>
  <c r="O215" i="37" s="1"/>
  <c r="G67" i="8"/>
  <c r="Q23" i="14"/>
  <c r="I63" i="14"/>
  <c r="H64" i="14" s="1"/>
  <c r="I38" i="15" s="1"/>
  <c r="AC38" i="15" s="1"/>
  <c r="AH38" i="15" s="1"/>
  <c r="N59" i="14"/>
  <c r="M63" i="14"/>
  <c r="AC43" i="15" s="1"/>
  <c r="AD15" i="15"/>
  <c r="H76" i="8"/>
  <c r="S45" i="14"/>
  <c r="R59" i="14"/>
  <c r="F67" i="8"/>
  <c r="F28" i="8"/>
  <c r="H28" i="8"/>
  <c r="F76" i="8"/>
  <c r="H67" i="8"/>
  <c r="G28" i="8"/>
  <c r="H149" i="21"/>
  <c r="H151" i="21" s="1"/>
  <c r="G149" i="21"/>
  <c r="G151" i="21" s="1"/>
  <c r="P117" i="9"/>
  <c r="N149" i="21"/>
  <c r="N151" i="21" s="1"/>
  <c r="M149" i="21"/>
  <c r="M151" i="21" s="1"/>
  <c r="E149" i="21"/>
  <c r="E151" i="21" s="1"/>
  <c r="L149" i="21"/>
  <c r="L151" i="21" s="1"/>
  <c r="H119" i="9"/>
  <c r="H23" i="16" s="1"/>
  <c r="D149" i="21"/>
  <c r="F149" i="21"/>
  <c r="F151" i="21" s="1"/>
  <c r="J149" i="21"/>
  <c r="J151" i="21" s="1"/>
  <c r="I149" i="21"/>
  <c r="I151" i="21" s="1"/>
  <c r="O149" i="21"/>
  <c r="O151" i="21" s="1"/>
  <c r="K149" i="21"/>
  <c r="K151" i="21" s="1"/>
  <c r="D67" i="8"/>
  <c r="I31" i="8"/>
  <c r="I67" i="8" s="1"/>
  <c r="D71" i="8"/>
  <c r="I70" i="8"/>
  <c r="I71" i="8" s="1"/>
  <c r="I74" i="8"/>
  <c r="I76" i="8" s="1"/>
  <c r="D76" i="8"/>
  <c r="I8" i="8"/>
  <c r="I28" i="8" s="1"/>
  <c r="I78" i="8" s="1"/>
  <c r="D28" i="8"/>
  <c r="D78" i="8" s="1"/>
  <c r="E44" i="22"/>
  <c r="P44" i="22"/>
  <c r="J43" i="15"/>
  <c r="K43" i="15" s="1"/>
  <c r="D44" i="22"/>
  <c r="K44" i="22"/>
  <c r="Q44" i="22"/>
  <c r="H44" i="22"/>
  <c r="M44" i="22"/>
  <c r="J44" i="22"/>
  <c r="R44" i="22"/>
  <c r="N44" i="22"/>
  <c r="I44" i="22"/>
  <c r="O44" i="22"/>
  <c r="P72" i="40"/>
  <c r="F44" i="22"/>
  <c r="G44" i="22"/>
  <c r="L44" i="22"/>
  <c r="F149" i="20"/>
  <c r="F151" i="20" s="1"/>
  <c r="O117" i="9"/>
  <c r="I149" i="20"/>
  <c r="I151" i="20" s="1"/>
  <c r="D149" i="20"/>
  <c r="J117" i="9"/>
  <c r="J119" i="9" s="1"/>
  <c r="L149" i="20"/>
  <c r="L151" i="20" s="1"/>
  <c r="H149" i="20"/>
  <c r="H151" i="20" s="1"/>
  <c r="J149" i="20"/>
  <c r="J151" i="20" s="1"/>
  <c r="G149" i="20"/>
  <c r="G151" i="20" s="1"/>
  <c r="O149" i="20"/>
  <c r="O151" i="20" s="1"/>
  <c r="N149" i="20"/>
  <c r="N151" i="20" s="1"/>
  <c r="E149" i="20"/>
  <c r="E151" i="20" s="1"/>
  <c r="G119" i="9"/>
  <c r="M149" i="20"/>
  <c r="M151" i="20" s="1"/>
  <c r="K149" i="20"/>
  <c r="K151" i="20" s="1"/>
  <c r="AF46" i="15"/>
  <c r="AF75" i="15"/>
  <c r="AH75" i="15"/>
  <c r="AG75" i="15"/>
  <c r="T203" i="41"/>
  <c r="J64" i="41"/>
  <c r="T64" i="41"/>
  <c r="J57" i="42"/>
  <c r="K57" i="42"/>
  <c r="M135" i="41"/>
  <c r="Q203" i="41"/>
  <c r="M203" i="41"/>
  <c r="H57" i="42"/>
  <c r="P203" i="41"/>
  <c r="E57" i="42"/>
  <c r="M57" i="42"/>
  <c r="F57" i="42"/>
  <c r="L57" i="42"/>
  <c r="I57" i="42"/>
  <c r="G57" i="42"/>
  <c r="D57" i="42"/>
  <c r="P64" i="41"/>
  <c r="Q64" i="41"/>
  <c r="P57" i="42"/>
  <c r="N57" i="42"/>
  <c r="O57" i="42"/>
  <c r="R187" i="42"/>
  <c r="R183" i="42"/>
  <c r="U64" i="41"/>
  <c r="U203" i="41"/>
  <c r="N203" i="41"/>
  <c r="O58" i="41"/>
  <c r="O197" i="41"/>
  <c r="X120" i="37"/>
  <c r="Z120" i="37" s="1"/>
  <c r="H135" i="41"/>
  <c r="H64" i="41"/>
  <c r="I64" i="41"/>
  <c r="I135" i="41"/>
  <c r="K135" i="41"/>
  <c r="Q57" i="42"/>
  <c r="K64" i="41"/>
  <c r="N64" i="41"/>
  <c r="T200" i="42"/>
  <c r="U200" i="42" s="1"/>
  <c r="G64" i="41"/>
  <c r="G135" i="41"/>
  <c r="T60" i="42"/>
  <c r="U60" i="42" s="1"/>
  <c r="R60" i="42"/>
  <c r="V97" i="41"/>
  <c r="W97" i="41" s="1"/>
  <c r="T64" i="42"/>
  <c r="U64" i="42" s="1"/>
  <c r="R70" i="42"/>
  <c r="R94" i="42"/>
  <c r="R64" i="42"/>
  <c r="R198" i="41"/>
  <c r="T108" i="42"/>
  <c r="U108" i="42" s="1"/>
  <c r="T61" i="42"/>
  <c r="U61" i="42" s="1"/>
  <c r="T86" i="42"/>
  <c r="U86" i="42" s="1"/>
  <c r="T62" i="42"/>
  <c r="U62" i="42" s="1"/>
  <c r="T119" i="42"/>
  <c r="U119" i="42" s="1"/>
  <c r="T100" i="42"/>
  <c r="U100" i="42" s="1"/>
  <c r="T120" i="42"/>
  <c r="U120" i="42" s="1"/>
  <c r="T110" i="42"/>
  <c r="U110" i="42" s="1"/>
  <c r="T163" i="42"/>
  <c r="U163" i="42" s="1"/>
  <c r="R62" i="42"/>
  <c r="X199" i="37"/>
  <c r="Z196" i="37"/>
  <c r="Z199" i="37" s="1"/>
  <c r="R119" i="42"/>
  <c r="R110" i="42"/>
  <c r="R163" i="42"/>
  <c r="Z122" i="37"/>
  <c r="R100" i="42"/>
  <c r="G179" i="41"/>
  <c r="R59" i="42"/>
  <c r="R108" i="42"/>
  <c r="V93" i="41"/>
  <c r="W93" i="41" s="1"/>
  <c r="R86" i="42"/>
  <c r="R120" i="42"/>
  <c r="Z144" i="37"/>
  <c r="R179" i="41"/>
  <c r="R61" i="42"/>
  <c r="X94" i="37"/>
  <c r="Z94" i="37" s="1"/>
  <c r="X93" i="37"/>
  <c r="Z93" i="37" s="1"/>
  <c r="X97" i="37"/>
  <c r="Z97" i="37" s="1"/>
  <c r="O5" i="42"/>
  <c r="P5" i="42"/>
  <c r="L5" i="42"/>
  <c r="N5" i="42"/>
  <c r="M5" i="42"/>
  <c r="G5" i="42"/>
  <c r="H5" i="42"/>
  <c r="E5" i="42"/>
  <c r="J5" i="42"/>
  <c r="F5" i="42"/>
  <c r="I5" i="42"/>
  <c r="C5" i="42"/>
  <c r="Q5" i="42"/>
  <c r="K5" i="42"/>
  <c r="D5" i="42"/>
  <c r="F37" i="42"/>
  <c r="N37" i="42"/>
  <c r="D37" i="42"/>
  <c r="J37" i="42"/>
  <c r="K37" i="42"/>
  <c r="H37" i="42"/>
  <c r="L37" i="42"/>
  <c r="O37" i="42"/>
  <c r="G37" i="42"/>
  <c r="I37" i="42"/>
  <c r="P37" i="42"/>
  <c r="C37" i="42"/>
  <c r="Q37" i="42"/>
  <c r="M37" i="42"/>
  <c r="E37" i="42"/>
  <c r="G34" i="42"/>
  <c r="O34" i="42"/>
  <c r="L34" i="42"/>
  <c r="E34" i="42"/>
  <c r="K34" i="42"/>
  <c r="D34" i="42"/>
  <c r="I34" i="42"/>
  <c r="F34" i="42"/>
  <c r="Q34" i="42"/>
  <c r="M34" i="42"/>
  <c r="P34" i="42"/>
  <c r="H34" i="42"/>
  <c r="N34" i="42"/>
  <c r="C34" i="42"/>
  <c r="J34" i="42"/>
  <c r="I9" i="42"/>
  <c r="J9" i="42"/>
  <c r="G9" i="42"/>
  <c r="L9" i="42"/>
  <c r="E9" i="42"/>
  <c r="M9" i="42"/>
  <c r="D9" i="42"/>
  <c r="O9" i="42"/>
  <c r="F9" i="42"/>
  <c r="N9" i="42"/>
  <c r="C9" i="42"/>
  <c r="H9" i="42"/>
  <c r="Q9" i="42"/>
  <c r="P9" i="42"/>
  <c r="K9" i="42"/>
  <c r="X69" i="37"/>
  <c r="Z69" i="37" s="1"/>
  <c r="Q46" i="42"/>
  <c r="P46" i="42"/>
  <c r="E46" i="42"/>
  <c r="L46" i="42"/>
  <c r="G46" i="42"/>
  <c r="H46" i="42"/>
  <c r="F46" i="42"/>
  <c r="K46" i="42"/>
  <c r="J46" i="42"/>
  <c r="O46" i="42"/>
  <c r="C46" i="42"/>
  <c r="M46" i="42"/>
  <c r="D46" i="42"/>
  <c r="N46" i="42"/>
  <c r="I46" i="42"/>
  <c r="E43" i="42"/>
  <c r="K43" i="42"/>
  <c r="G43" i="42"/>
  <c r="M43" i="42"/>
  <c r="Q43" i="42"/>
  <c r="P43" i="42"/>
  <c r="I43" i="42"/>
  <c r="C43" i="42"/>
  <c r="F43" i="42"/>
  <c r="H43" i="42"/>
  <c r="J43" i="42"/>
  <c r="O43" i="42"/>
  <c r="N43" i="42"/>
  <c r="D43" i="42"/>
  <c r="L43" i="42"/>
  <c r="G40" i="42"/>
  <c r="N40" i="42"/>
  <c r="F40" i="42"/>
  <c r="H40" i="42"/>
  <c r="E40" i="42"/>
  <c r="L40" i="42"/>
  <c r="I40" i="42"/>
  <c r="J40" i="42"/>
  <c r="C40" i="42"/>
  <c r="K40" i="42"/>
  <c r="O40" i="42"/>
  <c r="D40" i="42"/>
  <c r="Q40" i="42"/>
  <c r="M40" i="42"/>
  <c r="P40" i="42"/>
  <c r="X90" i="37"/>
  <c r="Z90" i="37" s="1"/>
  <c r="P44" i="42"/>
  <c r="J44" i="42"/>
  <c r="I44" i="42"/>
  <c r="K44" i="42"/>
  <c r="M44" i="42"/>
  <c r="D44" i="42"/>
  <c r="H44" i="42"/>
  <c r="G44" i="42"/>
  <c r="E44" i="42"/>
  <c r="L44" i="42"/>
  <c r="N44" i="42"/>
  <c r="O44" i="42"/>
  <c r="Q44" i="42"/>
  <c r="C44" i="42"/>
  <c r="F44" i="42"/>
  <c r="X107" i="37"/>
  <c r="Z107" i="37" s="1"/>
  <c r="X106" i="37"/>
  <c r="Z106" i="37" s="1"/>
  <c r="F33" i="42"/>
  <c r="P33" i="42"/>
  <c r="D33" i="42"/>
  <c r="O33" i="42"/>
  <c r="E33" i="42"/>
  <c r="N33" i="42"/>
  <c r="H33" i="42"/>
  <c r="I33" i="42"/>
  <c r="M33" i="42"/>
  <c r="L33" i="42"/>
  <c r="G33" i="42"/>
  <c r="J33" i="42"/>
  <c r="C33" i="42"/>
  <c r="Q33" i="42"/>
  <c r="K33" i="42"/>
  <c r="X100" i="37"/>
  <c r="Z100" i="37" s="1"/>
  <c r="X104" i="37"/>
  <c r="Z104" i="37" s="1"/>
  <c r="X73" i="37"/>
  <c r="Z73" i="37" s="1"/>
  <c r="Q47" i="42"/>
  <c r="H47" i="42"/>
  <c r="M47" i="42"/>
  <c r="D47" i="42"/>
  <c r="I47" i="42"/>
  <c r="G47" i="42"/>
  <c r="K47" i="42"/>
  <c r="E47" i="42"/>
  <c r="P47" i="42"/>
  <c r="L47" i="42"/>
  <c r="N47" i="42"/>
  <c r="O47" i="42"/>
  <c r="J47" i="42"/>
  <c r="C47" i="42"/>
  <c r="F47" i="42"/>
  <c r="X103" i="37"/>
  <c r="Z103" i="37" s="1"/>
  <c r="G30" i="42"/>
  <c r="P30" i="42"/>
  <c r="E30" i="42"/>
  <c r="Q30" i="42"/>
  <c r="D30" i="42"/>
  <c r="N30" i="42"/>
  <c r="F30" i="42"/>
  <c r="J30" i="42"/>
  <c r="O30" i="42"/>
  <c r="I30" i="42"/>
  <c r="K30" i="42"/>
  <c r="L30" i="42"/>
  <c r="H30" i="42"/>
  <c r="C30" i="42"/>
  <c r="M30" i="42"/>
  <c r="I37" i="15" l="1"/>
  <c r="AC37" i="15" s="1"/>
  <c r="AH37" i="15" s="1"/>
  <c r="U140" i="41"/>
  <c r="H57" i="41"/>
  <c r="N123" i="41"/>
  <c r="H123" i="41"/>
  <c r="H53" i="41"/>
  <c r="G53" i="41"/>
  <c r="M127" i="41"/>
  <c r="H196" i="41"/>
  <c r="G192" i="41"/>
  <c r="K53" i="41"/>
  <c r="N192" i="41"/>
  <c r="U208" i="41"/>
  <c r="G127" i="41"/>
  <c r="T52" i="41"/>
  <c r="M69" i="41"/>
  <c r="M208" i="41"/>
  <c r="K52" i="41"/>
  <c r="M57" i="41"/>
  <c r="T184" i="42"/>
  <c r="U184" i="42" s="1"/>
  <c r="T192" i="41"/>
  <c r="P53" i="41"/>
  <c r="K57" i="41"/>
  <c r="V35" i="37"/>
  <c r="G69" i="41"/>
  <c r="J53" i="41"/>
  <c r="P123" i="41"/>
  <c r="U192" i="41"/>
  <c r="U123" i="41"/>
  <c r="R218" i="42"/>
  <c r="T123" i="41"/>
  <c r="K123" i="41"/>
  <c r="I192" i="41"/>
  <c r="O208" i="41"/>
  <c r="L25" i="22"/>
  <c r="L33" i="22" s="1"/>
  <c r="I123" i="41"/>
  <c r="D25" i="22"/>
  <c r="R25" i="22"/>
  <c r="R33" i="22" s="1"/>
  <c r="T180" i="42"/>
  <c r="U180" i="42" s="1"/>
  <c r="T218" i="42"/>
  <c r="U218" i="42" s="1"/>
  <c r="L123" i="41"/>
  <c r="U52" i="41"/>
  <c r="K127" i="41"/>
  <c r="O122" i="41"/>
  <c r="T35" i="37"/>
  <c r="S123" i="41"/>
  <c r="P35" i="37"/>
  <c r="G140" i="41"/>
  <c r="T196" i="41"/>
  <c r="T170" i="42"/>
  <c r="U170" i="42" s="1"/>
  <c r="U191" i="41"/>
  <c r="R191" i="41" s="1"/>
  <c r="T57" i="41"/>
  <c r="S35" i="37"/>
  <c r="J123" i="41"/>
  <c r="U35" i="37"/>
  <c r="S198" i="42"/>
  <c r="L198" i="42" s="1"/>
  <c r="P63" i="41" s="1"/>
  <c r="L53" i="41"/>
  <c r="Q35" i="37"/>
  <c r="R58" i="41"/>
  <c r="V58" i="41" s="1"/>
  <c r="W58" i="41" s="1"/>
  <c r="R66" i="41"/>
  <c r="V66" i="41" s="1"/>
  <c r="W66" i="41" s="1"/>
  <c r="R184" i="42"/>
  <c r="W35" i="37"/>
  <c r="S192" i="41"/>
  <c r="N140" i="41"/>
  <c r="N208" i="41"/>
  <c r="P25" i="22"/>
  <c r="P33" i="22" s="1"/>
  <c r="H25" i="22"/>
  <c r="H33" i="22" s="1"/>
  <c r="S57" i="41"/>
  <c r="R57" i="41" s="1"/>
  <c r="S196" i="41"/>
  <c r="H191" i="41"/>
  <c r="Q57" i="41"/>
  <c r="L208" i="41"/>
  <c r="R59" i="41"/>
  <c r="V59" i="41" s="1"/>
  <c r="W59" i="41" s="1"/>
  <c r="Q196" i="41"/>
  <c r="L69" i="41"/>
  <c r="H52" i="41"/>
  <c r="T215" i="42"/>
  <c r="U215" i="42" s="1"/>
  <c r="T225" i="42"/>
  <c r="U225" i="42" s="1"/>
  <c r="T140" i="41"/>
  <c r="T224" i="42"/>
  <c r="U224" i="42" s="1"/>
  <c r="R180" i="42"/>
  <c r="I127" i="41"/>
  <c r="O53" i="41"/>
  <c r="Q53" i="41"/>
  <c r="Q123" i="41"/>
  <c r="O192" i="41"/>
  <c r="R200" i="42"/>
  <c r="L122" i="41"/>
  <c r="R197" i="41"/>
  <c r="V197" i="41" s="1"/>
  <c r="W197" i="41" s="1"/>
  <c r="R53" i="41"/>
  <c r="O64" i="41"/>
  <c r="O135" i="41"/>
  <c r="V135" i="41" s="1"/>
  <c r="W135" i="41" s="1"/>
  <c r="I196" i="41"/>
  <c r="L52" i="41"/>
  <c r="J208" i="41"/>
  <c r="O191" i="41"/>
  <c r="J69" i="41"/>
  <c r="I229" i="37"/>
  <c r="I233" i="37" s="1"/>
  <c r="R67" i="41"/>
  <c r="V67" i="41" s="1"/>
  <c r="W67" i="41" s="1"/>
  <c r="T217" i="42"/>
  <c r="U217" i="42" s="1"/>
  <c r="R217" i="42"/>
  <c r="I208" i="41"/>
  <c r="I69" i="41"/>
  <c r="T226" i="42"/>
  <c r="U226" i="42" s="1"/>
  <c r="R23" i="14"/>
  <c r="J17" i="20"/>
  <c r="E17" i="20"/>
  <c r="D17" i="20"/>
  <c r="D69" i="40"/>
  <c r="P17" i="20"/>
  <c r="G17" i="20"/>
  <c r="N17" i="20"/>
  <c r="Q17" i="20"/>
  <c r="Q22" i="20" s="1"/>
  <c r="K17" i="20"/>
  <c r="H17" i="20"/>
  <c r="L17" i="20"/>
  <c r="O17" i="20"/>
  <c r="F17" i="20"/>
  <c r="R17" i="20"/>
  <c r="R22" i="20" s="1"/>
  <c r="M17" i="20"/>
  <c r="I17" i="20"/>
  <c r="S18" i="20"/>
  <c r="H44" i="20"/>
  <c r="Q44" i="20"/>
  <c r="L44" i="20"/>
  <c r="K44" i="20"/>
  <c r="P44" i="20"/>
  <c r="O44" i="20"/>
  <c r="G44" i="20"/>
  <c r="R44" i="20"/>
  <c r="N44" i="20"/>
  <c r="M44" i="20"/>
  <c r="I44" i="20"/>
  <c r="E44" i="20"/>
  <c r="F44" i="20"/>
  <c r="D44" i="20"/>
  <c r="D72" i="40"/>
  <c r="J44" i="20"/>
  <c r="K13" i="20"/>
  <c r="N12" i="20"/>
  <c r="N22" i="20" s="1"/>
  <c r="L12" i="20"/>
  <c r="L22" i="20" s="1"/>
  <c r="F13" i="20"/>
  <c r="F12" i="20"/>
  <c r="F22" i="20" s="1"/>
  <c r="I12" i="20"/>
  <c r="I22" i="20" s="1"/>
  <c r="N13" i="20"/>
  <c r="G12" i="20"/>
  <c r="G22" i="20" s="1"/>
  <c r="J12" i="20"/>
  <c r="J22" i="20" s="1"/>
  <c r="O13" i="20"/>
  <c r="H13" i="20"/>
  <c r="M12" i="20"/>
  <c r="M22" i="20" s="1"/>
  <c r="J13" i="20"/>
  <c r="G13" i="20"/>
  <c r="O12" i="20"/>
  <c r="O22" i="20" s="1"/>
  <c r="E13" i="20"/>
  <c r="M13" i="20"/>
  <c r="E12" i="20"/>
  <c r="E22" i="20" s="1"/>
  <c r="D12" i="20"/>
  <c r="D13" i="20"/>
  <c r="K12" i="20"/>
  <c r="K22" i="20" s="1"/>
  <c r="L13" i="20"/>
  <c r="I13" i="20"/>
  <c r="H12" i="20"/>
  <c r="H22" i="20" s="1"/>
  <c r="AF3" i="15"/>
  <c r="AF10" i="15"/>
  <c r="R224" i="42"/>
  <c r="I25" i="20"/>
  <c r="I33" i="20" s="1"/>
  <c r="R25" i="20"/>
  <c r="R33" i="20" s="1"/>
  <c r="O25" i="20"/>
  <c r="O33" i="20" s="1"/>
  <c r="M25" i="20"/>
  <c r="M33" i="20" s="1"/>
  <c r="H25" i="20"/>
  <c r="H33" i="20" s="1"/>
  <c r="K25" i="20"/>
  <c r="K33" i="20" s="1"/>
  <c r="J25" i="20"/>
  <c r="J33" i="20" s="1"/>
  <c r="D61" i="40"/>
  <c r="F25" i="20"/>
  <c r="F33" i="20" s="1"/>
  <c r="D25" i="20"/>
  <c r="P25" i="20"/>
  <c r="P33" i="20" s="1"/>
  <c r="Q25" i="20"/>
  <c r="Q33" i="20" s="1"/>
  <c r="G25" i="20"/>
  <c r="G33" i="20" s="1"/>
  <c r="G32" i="15"/>
  <c r="E25" i="20"/>
  <c r="E33" i="20" s="1"/>
  <c r="N25" i="20"/>
  <c r="N33" i="20" s="1"/>
  <c r="L25" i="20"/>
  <c r="L33" i="20" s="1"/>
  <c r="AA13" i="15"/>
  <c r="AA14" i="15"/>
  <c r="AA20" i="15" s="1"/>
  <c r="P10" i="16" s="1"/>
  <c r="F42" i="46"/>
  <c r="H14" i="20"/>
  <c r="F14" i="20"/>
  <c r="E14" i="20"/>
  <c r="G97" i="9"/>
  <c r="N14" i="20"/>
  <c r="F47" i="16"/>
  <c r="D60" i="40"/>
  <c r="I14" i="20"/>
  <c r="G99" i="9"/>
  <c r="M14" i="20"/>
  <c r="G14" i="20"/>
  <c r="O14" i="20"/>
  <c r="J14" i="20"/>
  <c r="K14" i="20"/>
  <c r="L14" i="20"/>
  <c r="D14" i="20"/>
  <c r="S14" i="20" s="1"/>
  <c r="G20" i="15"/>
  <c r="O25" i="22"/>
  <c r="O33" i="22" s="1"/>
  <c r="P57" i="41"/>
  <c r="I191" i="41"/>
  <c r="Q140" i="41"/>
  <c r="G196" i="41"/>
  <c r="P196" i="41"/>
  <c r="R215" i="42"/>
  <c r="T122" i="41"/>
  <c r="L196" i="41"/>
  <c r="T182" i="42"/>
  <c r="U182" i="42" s="1"/>
  <c r="L127" i="41"/>
  <c r="I52" i="41"/>
  <c r="Q208" i="41"/>
  <c r="J25" i="22"/>
  <c r="J33" i="22" s="1"/>
  <c r="V68" i="41"/>
  <c r="W68" i="41" s="1"/>
  <c r="R138" i="41"/>
  <c r="V138" i="41" s="1"/>
  <c r="W138" i="41" s="1"/>
  <c r="R137" i="41"/>
  <c r="V137" i="41" s="1"/>
  <c r="W137" i="41" s="1"/>
  <c r="R205" i="41"/>
  <c r="V205" i="41" s="1"/>
  <c r="W205" i="41" s="1"/>
  <c r="T186" i="42"/>
  <c r="U186" i="42" s="1"/>
  <c r="V128" i="41"/>
  <c r="W128" i="41" s="1"/>
  <c r="T208" i="41"/>
  <c r="G122" i="41"/>
  <c r="R69" i="41"/>
  <c r="R170" i="42"/>
  <c r="V198" i="41"/>
  <c r="W198" i="41" s="1"/>
  <c r="O127" i="41"/>
  <c r="O57" i="41"/>
  <c r="T216" i="42"/>
  <c r="U216" i="42" s="1"/>
  <c r="T220" i="42"/>
  <c r="U220" i="42" s="1"/>
  <c r="R139" i="41"/>
  <c r="V139" i="41" s="1"/>
  <c r="W139" i="41" s="1"/>
  <c r="T194" i="42"/>
  <c r="U194" i="42" s="1"/>
  <c r="R225" i="42"/>
  <c r="R186" i="42"/>
  <c r="R182" i="42"/>
  <c r="R216" i="42"/>
  <c r="U196" i="41"/>
  <c r="N196" i="41"/>
  <c r="O140" i="41"/>
  <c r="U127" i="41"/>
  <c r="R127" i="41" s="1"/>
  <c r="N127" i="41"/>
  <c r="R194" i="42"/>
  <c r="R220" i="42"/>
  <c r="N122" i="41"/>
  <c r="R207" i="41"/>
  <c r="V207" i="41" s="1"/>
  <c r="W207" i="41" s="1"/>
  <c r="R129" i="41"/>
  <c r="V129" i="41" s="1"/>
  <c r="W129" i="41" s="1"/>
  <c r="R206" i="41"/>
  <c r="V206" i="41" s="1"/>
  <c r="W206" i="41" s="1"/>
  <c r="N191" i="41"/>
  <c r="K191" i="41"/>
  <c r="R226" i="42"/>
  <c r="P140" i="41"/>
  <c r="S122" i="41"/>
  <c r="P69" i="41"/>
  <c r="S52" i="41"/>
  <c r="S208" i="41"/>
  <c r="S140" i="41"/>
  <c r="Q191" i="41"/>
  <c r="K140" i="41"/>
  <c r="K69" i="41"/>
  <c r="Q52" i="41"/>
  <c r="G52" i="41"/>
  <c r="Z61" i="37"/>
  <c r="M52" i="41"/>
  <c r="X61" i="37"/>
  <c r="T169" i="42"/>
  <c r="U169" i="42" s="1"/>
  <c r="M122" i="41"/>
  <c r="R169" i="42"/>
  <c r="P191" i="41"/>
  <c r="P52" i="41"/>
  <c r="R203" i="41"/>
  <c r="V203" i="41" s="1"/>
  <c r="W203" i="41" s="1"/>
  <c r="P14" i="21"/>
  <c r="S14" i="21" s="1"/>
  <c r="S44" i="21"/>
  <c r="R64" i="41"/>
  <c r="F181" i="42"/>
  <c r="C181" i="42"/>
  <c r="D181" i="42"/>
  <c r="N181" i="42"/>
  <c r="L181" i="42"/>
  <c r="O181" i="42"/>
  <c r="H181" i="42"/>
  <c r="G181" i="42"/>
  <c r="J181" i="42"/>
  <c r="I181" i="42"/>
  <c r="E181" i="42"/>
  <c r="M181" i="42"/>
  <c r="K181" i="42"/>
  <c r="Q181" i="42"/>
  <c r="P181" i="42"/>
  <c r="X18" i="37"/>
  <c r="Z18" i="37" s="1"/>
  <c r="AG20" i="15"/>
  <c r="V10" i="16" s="1"/>
  <c r="G131" i="21"/>
  <c r="O131" i="21"/>
  <c r="M131" i="21"/>
  <c r="J131" i="21"/>
  <c r="F131" i="21"/>
  <c r="J52" i="40"/>
  <c r="D131" i="21"/>
  <c r="P99" i="9"/>
  <c r="U99" i="9" s="1"/>
  <c r="N131" i="21"/>
  <c r="L131" i="21"/>
  <c r="I131" i="21"/>
  <c r="E131" i="21"/>
  <c r="H131" i="21"/>
  <c r="K131" i="21"/>
  <c r="O22" i="21"/>
  <c r="N22" i="21"/>
  <c r="M22" i="21"/>
  <c r="P12" i="21"/>
  <c r="S12" i="21" s="1"/>
  <c r="G129" i="21"/>
  <c r="P97" i="9"/>
  <c r="U97" i="9" s="1"/>
  <c r="N129" i="21"/>
  <c r="M129" i="21"/>
  <c r="D129" i="21"/>
  <c r="I129" i="21"/>
  <c r="F129" i="21"/>
  <c r="J129" i="21"/>
  <c r="O129" i="21"/>
  <c r="J51" i="40"/>
  <c r="E129" i="21"/>
  <c r="K129" i="21"/>
  <c r="H129" i="21"/>
  <c r="L129" i="21"/>
  <c r="L22" i="21"/>
  <c r="P13" i="21"/>
  <c r="S13" i="21" s="1"/>
  <c r="S25" i="21"/>
  <c r="D33" i="21"/>
  <c r="S17" i="21"/>
  <c r="H22" i="21"/>
  <c r="J22" i="21"/>
  <c r="H10" i="16"/>
  <c r="H10" i="46"/>
  <c r="Q10" i="46" s="1"/>
  <c r="H11" i="46"/>
  <c r="Q11" i="46" s="1"/>
  <c r="H11" i="16"/>
  <c r="AB13" i="15"/>
  <c r="AB14" i="15"/>
  <c r="I22" i="21"/>
  <c r="K22" i="21"/>
  <c r="G22" i="21"/>
  <c r="N25" i="22"/>
  <c r="N33" i="22" s="1"/>
  <c r="G25" i="22"/>
  <c r="G33" i="22" s="1"/>
  <c r="E14" i="22"/>
  <c r="I25" i="22"/>
  <c r="I33" i="22" s="1"/>
  <c r="J23" i="15"/>
  <c r="J32" i="15" s="1"/>
  <c r="Q25" i="22"/>
  <c r="Q33" i="22" s="1"/>
  <c r="E25" i="22"/>
  <c r="E33" i="22" s="1"/>
  <c r="K25" i="22"/>
  <c r="K33" i="22" s="1"/>
  <c r="I32" i="15"/>
  <c r="J11" i="46" s="1"/>
  <c r="M25" i="22"/>
  <c r="M33" i="22" s="1"/>
  <c r="F25" i="22"/>
  <c r="F33" i="22" s="1"/>
  <c r="M13" i="22"/>
  <c r="J17" i="22"/>
  <c r="F17" i="22"/>
  <c r="L12" i="22"/>
  <c r="L14" i="22"/>
  <c r="D12" i="22"/>
  <c r="P60" i="40"/>
  <c r="F13" i="22"/>
  <c r="F14" i="22"/>
  <c r="I12" i="22"/>
  <c r="K14" i="22"/>
  <c r="I99" i="9"/>
  <c r="D131" i="22" s="1"/>
  <c r="E12" i="22"/>
  <c r="H13" i="22"/>
  <c r="J14" i="22"/>
  <c r="I14" i="22"/>
  <c r="K12" i="22"/>
  <c r="J42" i="46"/>
  <c r="D13" i="22"/>
  <c r="M14" i="22"/>
  <c r="O13" i="22"/>
  <c r="L13" i="22"/>
  <c r="H14" i="22"/>
  <c r="K15" i="15"/>
  <c r="G13" i="22"/>
  <c r="K13" i="22"/>
  <c r="G12" i="22"/>
  <c r="O12" i="22"/>
  <c r="S18" i="22"/>
  <c r="M8" i="46"/>
  <c r="Q22" i="22"/>
  <c r="J47" i="16"/>
  <c r="I97" i="9"/>
  <c r="O129" i="22" s="1"/>
  <c r="G78" i="8"/>
  <c r="I42" i="15"/>
  <c r="N14" i="22"/>
  <c r="I17" i="22"/>
  <c r="G14" i="22"/>
  <c r="D14" i="22"/>
  <c r="P69" i="40"/>
  <c r="I13" i="22"/>
  <c r="M12" i="22"/>
  <c r="F12" i="22"/>
  <c r="O14" i="22"/>
  <c r="R17" i="22"/>
  <c r="R22" i="22" s="1"/>
  <c r="H12" i="22"/>
  <c r="E13" i="22"/>
  <c r="J13" i="22"/>
  <c r="I20" i="15"/>
  <c r="J10" i="16" s="1"/>
  <c r="J13" i="15"/>
  <c r="H33" i="37" s="1"/>
  <c r="O17" i="22"/>
  <c r="N12" i="22"/>
  <c r="N13" i="22"/>
  <c r="H17" i="22"/>
  <c r="L17" i="22"/>
  <c r="I44" i="15"/>
  <c r="G45" i="22" s="1"/>
  <c r="G17" i="22"/>
  <c r="D17" i="22"/>
  <c r="E17" i="22"/>
  <c r="G64" i="14"/>
  <c r="H38" i="15" s="1"/>
  <c r="AB38" i="15" s="1"/>
  <c r="I39" i="15"/>
  <c r="J14" i="15"/>
  <c r="K17" i="22"/>
  <c r="M8" i="16"/>
  <c r="I40" i="15"/>
  <c r="G41" i="22" s="1"/>
  <c r="N17" i="22"/>
  <c r="M17" i="22"/>
  <c r="F64" i="14"/>
  <c r="G39" i="15" s="1"/>
  <c r="AA39" i="15" s="1"/>
  <c r="AF39" i="15" s="1"/>
  <c r="H78" i="8"/>
  <c r="P17" i="22"/>
  <c r="AC3" i="15"/>
  <c r="AC13" i="15" s="1"/>
  <c r="AC10" i="15"/>
  <c r="N63" i="14"/>
  <c r="F78" i="8"/>
  <c r="R63" i="14"/>
  <c r="AH43" i="15" s="1"/>
  <c r="AH15" i="15"/>
  <c r="AI15" i="15" s="1"/>
  <c r="S59" i="14"/>
  <c r="M39" i="22"/>
  <c r="D39" i="22"/>
  <c r="F39" i="22"/>
  <c r="G39" i="22"/>
  <c r="N39" i="22"/>
  <c r="P39" i="22"/>
  <c r="I39" i="22"/>
  <c r="E39" i="22"/>
  <c r="H39" i="22"/>
  <c r="O39" i="22"/>
  <c r="K39" i="22"/>
  <c r="Q39" i="22"/>
  <c r="L39" i="22"/>
  <c r="R39" i="22"/>
  <c r="J39" i="22"/>
  <c r="D151" i="20"/>
  <c r="S149" i="20"/>
  <c r="G38" i="22"/>
  <c r="J38" i="22"/>
  <c r="F38" i="22"/>
  <c r="H38" i="22"/>
  <c r="L38" i="22"/>
  <c r="O38" i="22"/>
  <c r="Q38" i="22"/>
  <c r="I38" i="22"/>
  <c r="K38" i="22"/>
  <c r="M38" i="22"/>
  <c r="P38" i="22"/>
  <c r="N38" i="22"/>
  <c r="D38" i="22"/>
  <c r="R38" i="22"/>
  <c r="E38" i="22"/>
  <c r="S195" i="42"/>
  <c r="V32" i="37"/>
  <c r="Q32" i="37"/>
  <c r="S32" i="37"/>
  <c r="T32" i="37"/>
  <c r="U32" i="37"/>
  <c r="P32" i="37"/>
  <c r="W32" i="37"/>
  <c r="R32" i="37"/>
  <c r="R117" i="9"/>
  <c r="O119" i="9"/>
  <c r="P23" i="16" s="1"/>
  <c r="T117" i="9"/>
  <c r="H11" i="37"/>
  <c r="Z10" i="15"/>
  <c r="G37" i="15"/>
  <c r="AA37" i="15" s="1"/>
  <c r="AF37" i="15" s="1"/>
  <c r="I40" i="22"/>
  <c r="S44" i="22"/>
  <c r="J48" i="15"/>
  <c r="H38" i="37"/>
  <c r="H41" i="22"/>
  <c r="D33" i="22"/>
  <c r="P119" i="9"/>
  <c r="Q23" i="16" s="1"/>
  <c r="U117" i="9"/>
  <c r="U119" i="9" s="1"/>
  <c r="V23" i="16" s="1"/>
  <c r="F23" i="16"/>
  <c r="F23" i="46"/>
  <c r="L23" i="16"/>
  <c r="L23" i="46"/>
  <c r="Q97" i="9"/>
  <c r="D151" i="21"/>
  <c r="S149" i="21"/>
  <c r="AI46" i="15"/>
  <c r="AD46" i="15"/>
  <c r="T57" i="42"/>
  <c r="U57" i="42" s="1"/>
  <c r="R57" i="42"/>
  <c r="V179" i="41"/>
  <c r="W179" i="41" s="1"/>
  <c r="I232" i="37"/>
  <c r="J217" i="37"/>
  <c r="T34" i="42"/>
  <c r="U34" i="42" s="1"/>
  <c r="T40" i="42"/>
  <c r="U40" i="42" s="1"/>
  <c r="T30" i="42"/>
  <c r="U30" i="42" s="1"/>
  <c r="T44" i="42"/>
  <c r="U44" i="42" s="1"/>
  <c r="T43" i="42"/>
  <c r="U43" i="42" s="1"/>
  <c r="T5" i="42"/>
  <c r="U5" i="42" s="1"/>
  <c r="T33" i="42"/>
  <c r="U33" i="42" s="1"/>
  <c r="T37" i="42"/>
  <c r="U37" i="42" s="1"/>
  <c r="T46" i="42"/>
  <c r="U46" i="42" s="1"/>
  <c r="T9" i="42"/>
  <c r="U9" i="42" s="1"/>
  <c r="R30" i="42"/>
  <c r="R47" i="42"/>
  <c r="R33" i="42"/>
  <c r="R46" i="42"/>
  <c r="R34" i="42"/>
  <c r="R37" i="42"/>
  <c r="R5" i="42"/>
  <c r="T47" i="42"/>
  <c r="U47" i="42" s="1"/>
  <c r="R44" i="42"/>
  <c r="R40" i="42"/>
  <c r="R43" i="42"/>
  <c r="R9" i="42"/>
  <c r="K22" i="22" l="1"/>
  <c r="L129" i="22"/>
  <c r="P51" i="40"/>
  <c r="K129" i="22"/>
  <c r="L195" i="42"/>
  <c r="P60" i="41" s="1"/>
  <c r="R140" i="41"/>
  <c r="V140" i="41" s="1"/>
  <c r="W140" i="41" s="1"/>
  <c r="V64" i="41"/>
  <c r="W64" i="41" s="1"/>
  <c r="F198" i="42"/>
  <c r="J134" i="41" s="1"/>
  <c r="R192" i="41"/>
  <c r="V192" i="41" s="1"/>
  <c r="W192" i="41" s="1"/>
  <c r="R123" i="41"/>
  <c r="V123" i="41" s="1"/>
  <c r="W123" i="41" s="1"/>
  <c r="V53" i="41"/>
  <c r="W53" i="41" s="1"/>
  <c r="X35" i="37"/>
  <c r="Z35" i="37" s="1"/>
  <c r="J229" i="37"/>
  <c r="J233" i="37" s="1"/>
  <c r="R52" i="41"/>
  <c r="V52" i="41" s="1"/>
  <c r="W52" i="41" s="1"/>
  <c r="R196" i="41"/>
  <c r="V196" i="41" s="1"/>
  <c r="W196" i="41" s="1"/>
  <c r="C198" i="42"/>
  <c r="G63" i="41" s="1"/>
  <c r="P198" i="42"/>
  <c r="T134" i="41" s="1"/>
  <c r="O198" i="42"/>
  <c r="I198" i="42"/>
  <c r="M134" i="41" s="1"/>
  <c r="J198" i="42"/>
  <c r="N63" i="41" s="1"/>
  <c r="Q198" i="42"/>
  <c r="U202" i="41" s="1"/>
  <c r="D198" i="42"/>
  <c r="H63" i="41" s="1"/>
  <c r="N198" i="42"/>
  <c r="E198" i="42"/>
  <c r="I134" i="41" s="1"/>
  <c r="K198" i="42"/>
  <c r="O202" i="41" s="1"/>
  <c r="G198" i="42"/>
  <c r="K63" i="41" s="1"/>
  <c r="M198" i="42"/>
  <c r="Q134" i="41" s="1"/>
  <c r="H198" i="42"/>
  <c r="L202" i="41" s="1"/>
  <c r="S44" i="20"/>
  <c r="V57" i="41"/>
  <c r="W57" i="41" s="1"/>
  <c r="R122" i="41"/>
  <c r="V122" i="41" s="1"/>
  <c r="W122" i="41" s="1"/>
  <c r="S13" i="20"/>
  <c r="P13" i="20"/>
  <c r="F10" i="46"/>
  <c r="F10" i="16"/>
  <c r="L10" i="16" s="1"/>
  <c r="P12" i="20"/>
  <c r="P22" i="20" s="1"/>
  <c r="D22" i="20"/>
  <c r="S12" i="20"/>
  <c r="P14" i="20"/>
  <c r="D52" i="40"/>
  <c r="D131" i="20"/>
  <c r="M131" i="20"/>
  <c r="O99" i="9"/>
  <c r="T99" i="9" s="1"/>
  <c r="L131" i="20"/>
  <c r="F131" i="20"/>
  <c r="G131" i="20"/>
  <c r="I131" i="20"/>
  <c r="K131" i="20"/>
  <c r="H131" i="20"/>
  <c r="N131" i="20"/>
  <c r="O131" i="20"/>
  <c r="E131" i="20"/>
  <c r="J131" i="20"/>
  <c r="F11" i="16"/>
  <c r="F11" i="46"/>
  <c r="L11" i="46" s="1"/>
  <c r="AF14" i="15"/>
  <c r="AF13" i="15"/>
  <c r="AI43" i="15"/>
  <c r="AD43" i="15"/>
  <c r="S17" i="20"/>
  <c r="D33" i="20"/>
  <c r="S25" i="20"/>
  <c r="H129" i="20"/>
  <c r="M129" i="20"/>
  <c r="I129" i="20"/>
  <c r="K129" i="20"/>
  <c r="N129" i="20"/>
  <c r="D129" i="20"/>
  <c r="O129" i="20"/>
  <c r="E129" i="20"/>
  <c r="F129" i="20"/>
  <c r="O97" i="9"/>
  <c r="T97" i="9" s="1"/>
  <c r="G129" i="20"/>
  <c r="J129" i="20"/>
  <c r="D51" i="40"/>
  <c r="L129" i="20"/>
  <c r="P46" i="22"/>
  <c r="AC45" i="15"/>
  <c r="AH45" i="15" s="1"/>
  <c r="M129" i="22"/>
  <c r="Q40" i="22"/>
  <c r="AC39" i="15"/>
  <c r="AG38" i="15"/>
  <c r="P43" i="22"/>
  <c r="AC42" i="15"/>
  <c r="AH42" i="15" s="1"/>
  <c r="J41" i="22"/>
  <c r="AC40" i="15"/>
  <c r="AH40" i="15" s="1"/>
  <c r="H45" i="22"/>
  <c r="AC44" i="15"/>
  <c r="AH44" i="15" s="1"/>
  <c r="J129" i="22"/>
  <c r="H129" i="22"/>
  <c r="D129" i="22"/>
  <c r="N129" i="22"/>
  <c r="K97" i="9"/>
  <c r="G129" i="22"/>
  <c r="R208" i="41"/>
  <c r="V208" i="41" s="1"/>
  <c r="W208" i="41" s="1"/>
  <c r="V127" i="41"/>
  <c r="W127" i="41" s="1"/>
  <c r="V69" i="41"/>
  <c r="W69" i="41" s="1"/>
  <c r="I22" i="22"/>
  <c r="V191" i="41"/>
  <c r="W191" i="41" s="1"/>
  <c r="J11" i="16"/>
  <c r="F129" i="22"/>
  <c r="I129" i="22"/>
  <c r="N41" i="22"/>
  <c r="L131" i="22"/>
  <c r="P41" i="22"/>
  <c r="E129" i="22"/>
  <c r="M46" i="22"/>
  <c r="N43" i="22"/>
  <c r="H131" i="22"/>
  <c r="K131" i="22"/>
  <c r="Q99" i="9"/>
  <c r="P202" i="41"/>
  <c r="P134" i="41"/>
  <c r="K56" i="41"/>
  <c r="K195" i="41"/>
  <c r="K126" i="41"/>
  <c r="T126" i="41"/>
  <c r="T195" i="41"/>
  <c r="T56" i="41"/>
  <c r="L56" i="41"/>
  <c r="L126" i="41"/>
  <c r="L195" i="41"/>
  <c r="U126" i="41"/>
  <c r="U56" i="41"/>
  <c r="U195" i="41"/>
  <c r="S126" i="41"/>
  <c r="S195" i="41"/>
  <c r="S56" i="41"/>
  <c r="O56" i="41"/>
  <c r="O126" i="41"/>
  <c r="O195" i="41"/>
  <c r="P126" i="41"/>
  <c r="P56" i="41"/>
  <c r="P195" i="41"/>
  <c r="Q56" i="41"/>
  <c r="Q126" i="41"/>
  <c r="Q195" i="41"/>
  <c r="I126" i="41"/>
  <c r="I195" i="41"/>
  <c r="I56" i="41"/>
  <c r="H56" i="41"/>
  <c r="H126" i="41"/>
  <c r="H195" i="41"/>
  <c r="M126" i="41"/>
  <c r="M56" i="41"/>
  <c r="M195" i="41"/>
  <c r="G56" i="41"/>
  <c r="T181" i="42"/>
  <c r="U181" i="42" s="1"/>
  <c r="R181" i="42"/>
  <c r="G195" i="41"/>
  <c r="G126" i="41"/>
  <c r="N195" i="41"/>
  <c r="N126" i="41"/>
  <c r="N56" i="41"/>
  <c r="J195" i="41"/>
  <c r="J56" i="41"/>
  <c r="J126" i="41"/>
  <c r="AB20" i="15"/>
  <c r="Q10" i="16" s="1"/>
  <c r="J10" i="46"/>
  <c r="K23" i="15"/>
  <c r="L41" i="22"/>
  <c r="D40" i="22"/>
  <c r="F40" i="22"/>
  <c r="P22" i="21"/>
  <c r="S129" i="21"/>
  <c r="L46" i="22"/>
  <c r="O41" i="22"/>
  <c r="J131" i="22"/>
  <c r="H40" i="22"/>
  <c r="S25" i="22"/>
  <c r="K99" i="9"/>
  <c r="H173" i="37" s="1"/>
  <c r="U173" i="37" s="1"/>
  <c r="H16" i="37"/>
  <c r="P16" i="37" s="1"/>
  <c r="F46" i="22"/>
  <c r="E41" i="22"/>
  <c r="Q41" i="22"/>
  <c r="G131" i="22"/>
  <c r="K45" i="22"/>
  <c r="I45" i="22"/>
  <c r="F131" i="22"/>
  <c r="N46" i="22"/>
  <c r="N131" i="22"/>
  <c r="K46" i="22"/>
  <c r="P52" i="40"/>
  <c r="Q46" i="22"/>
  <c r="O131" i="22"/>
  <c r="M131" i="22"/>
  <c r="G44" i="15"/>
  <c r="J45" i="22"/>
  <c r="M22" i="22"/>
  <c r="D46" i="22"/>
  <c r="L99" i="9"/>
  <c r="I131" i="22"/>
  <c r="P13" i="22"/>
  <c r="S13" i="22" s="1"/>
  <c r="I46" i="22"/>
  <c r="E131" i="22"/>
  <c r="G40" i="15"/>
  <c r="R45" i="22"/>
  <c r="I41" i="22"/>
  <c r="D41" i="22"/>
  <c r="P40" i="22"/>
  <c r="G45" i="15"/>
  <c r="H40" i="15"/>
  <c r="AB40" i="15" s="1"/>
  <c r="N22" i="22"/>
  <c r="J22" i="22"/>
  <c r="R41" i="22"/>
  <c r="M40" i="22"/>
  <c r="O45" i="22"/>
  <c r="L22" i="22"/>
  <c r="H22" i="22"/>
  <c r="O46" i="22"/>
  <c r="J46" i="22"/>
  <c r="K13" i="15"/>
  <c r="O22" i="22"/>
  <c r="J43" i="22"/>
  <c r="H46" i="22"/>
  <c r="R46" i="22"/>
  <c r="P12" i="22"/>
  <c r="S12" i="22" s="1"/>
  <c r="E46" i="22"/>
  <c r="G46" i="22"/>
  <c r="J20" i="15"/>
  <c r="E43" i="22"/>
  <c r="L43" i="22"/>
  <c r="I48" i="15"/>
  <c r="J12" i="46" s="1"/>
  <c r="L40" i="22"/>
  <c r="L45" i="22"/>
  <c r="H42" i="15"/>
  <c r="AB42" i="15" s="1"/>
  <c r="K43" i="22"/>
  <c r="E40" i="22"/>
  <c r="O40" i="22"/>
  <c r="P45" i="22"/>
  <c r="R43" i="22"/>
  <c r="F43" i="22"/>
  <c r="I43" i="22"/>
  <c r="D43" i="22"/>
  <c r="J40" i="22"/>
  <c r="K40" i="22"/>
  <c r="I64" i="14"/>
  <c r="F45" i="22"/>
  <c r="N195" i="42"/>
  <c r="Q43" i="22"/>
  <c r="H43" i="22"/>
  <c r="M43" i="22"/>
  <c r="O43" i="22"/>
  <c r="G43" i="22"/>
  <c r="P14" i="22"/>
  <c r="S14" i="22" s="1"/>
  <c r="M41" i="22"/>
  <c r="F41" i="22"/>
  <c r="N40" i="22"/>
  <c r="R40" i="22"/>
  <c r="Q45" i="22"/>
  <c r="H45" i="15"/>
  <c r="K41" i="22"/>
  <c r="G40" i="22"/>
  <c r="G38" i="15"/>
  <c r="Q39" i="20" s="1"/>
  <c r="N45" i="22"/>
  <c r="O195" i="42"/>
  <c r="S60" i="41" s="1"/>
  <c r="G42" i="15"/>
  <c r="D45" i="22"/>
  <c r="M45" i="22"/>
  <c r="H37" i="15"/>
  <c r="H39" i="15"/>
  <c r="E45" i="22"/>
  <c r="H44" i="15"/>
  <c r="N45" i="21" s="1"/>
  <c r="G22" i="22"/>
  <c r="S17" i="22"/>
  <c r="K14" i="15"/>
  <c r="H34" i="37"/>
  <c r="R34" i="37" s="1"/>
  <c r="M195" i="42"/>
  <c r="Q131" i="41" s="1"/>
  <c r="S63" i="14"/>
  <c r="AH3" i="15"/>
  <c r="AH10" i="15"/>
  <c r="AI10" i="15" s="1"/>
  <c r="T23" i="15"/>
  <c r="T22" i="15"/>
  <c r="M64" i="14"/>
  <c r="L64" i="14"/>
  <c r="K64" i="14"/>
  <c r="AD10" i="15"/>
  <c r="AD13" i="15"/>
  <c r="AC14" i="15"/>
  <c r="AD14" i="15" s="1"/>
  <c r="K195" i="42"/>
  <c r="O60" i="41" s="1"/>
  <c r="P195" i="42"/>
  <c r="T199" i="41" s="1"/>
  <c r="Q195" i="42"/>
  <c r="U60" i="41" s="1"/>
  <c r="S39" i="22"/>
  <c r="N41" i="20"/>
  <c r="L39" i="21"/>
  <c r="I39" i="21"/>
  <c r="H39" i="21"/>
  <c r="O39" i="21"/>
  <c r="J39" i="21"/>
  <c r="N39" i="21"/>
  <c r="E39" i="21"/>
  <c r="M39" i="21"/>
  <c r="F39" i="21"/>
  <c r="R39" i="21"/>
  <c r="Q39" i="21"/>
  <c r="K39" i="21"/>
  <c r="D39" i="21"/>
  <c r="P39" i="21"/>
  <c r="G39" i="21"/>
  <c r="G40" i="20"/>
  <c r="N40" i="20"/>
  <c r="H40" i="20"/>
  <c r="M40" i="20"/>
  <c r="R40" i="20"/>
  <c r="D40" i="20"/>
  <c r="Q40" i="20"/>
  <c r="O40" i="20"/>
  <c r="P40" i="20"/>
  <c r="K40" i="20"/>
  <c r="E40" i="20"/>
  <c r="F40" i="20"/>
  <c r="L40" i="20"/>
  <c r="J40" i="20"/>
  <c r="I40" i="20"/>
  <c r="V97" i="9"/>
  <c r="W97" i="9" s="1"/>
  <c r="R97" i="9"/>
  <c r="P199" i="41"/>
  <c r="P131" i="41"/>
  <c r="E195" i="42"/>
  <c r="H195" i="42"/>
  <c r="D195" i="42"/>
  <c r="G195" i="42"/>
  <c r="C195" i="42"/>
  <c r="I195" i="42"/>
  <c r="F195" i="42"/>
  <c r="H172" i="37"/>
  <c r="L97" i="9"/>
  <c r="S196" i="42"/>
  <c r="T33" i="37"/>
  <c r="U33" i="37"/>
  <c r="S33" i="37"/>
  <c r="P33" i="37"/>
  <c r="W33" i="37"/>
  <c r="R33" i="37"/>
  <c r="V33" i="37"/>
  <c r="Q33" i="37"/>
  <c r="S171" i="42"/>
  <c r="Q11" i="37"/>
  <c r="T11" i="37"/>
  <c r="S11" i="37"/>
  <c r="U11" i="37"/>
  <c r="P11" i="37"/>
  <c r="W11" i="37"/>
  <c r="H13" i="37"/>
  <c r="R11" i="37"/>
  <c r="V11" i="37"/>
  <c r="E45" i="21"/>
  <c r="H45" i="21"/>
  <c r="D45" i="21"/>
  <c r="K45" i="21"/>
  <c r="O45" i="21"/>
  <c r="S201" i="42"/>
  <c r="U38" i="37"/>
  <c r="W38" i="37"/>
  <c r="R38" i="37"/>
  <c r="T38" i="37"/>
  <c r="S38" i="37"/>
  <c r="P38" i="37"/>
  <c r="V38" i="37"/>
  <c r="Q38" i="37"/>
  <c r="R39" i="20"/>
  <c r="F39" i="20"/>
  <c r="K39" i="20"/>
  <c r="M39" i="20"/>
  <c r="H39" i="20"/>
  <c r="O39" i="20"/>
  <c r="I39" i="20"/>
  <c r="N39" i="20"/>
  <c r="P39" i="20"/>
  <c r="D39" i="20"/>
  <c r="L39" i="20"/>
  <c r="E39" i="20"/>
  <c r="K38" i="15"/>
  <c r="W117" i="9"/>
  <c r="T119" i="9"/>
  <c r="U23" i="16" s="1"/>
  <c r="J195" i="42"/>
  <c r="X32" i="37"/>
  <c r="Z32" i="37" s="1"/>
  <c r="O41" i="21"/>
  <c r="G41" i="21"/>
  <c r="P41" i="21"/>
  <c r="L41" i="21"/>
  <c r="E41" i="21"/>
  <c r="R41" i="21"/>
  <c r="D41" i="21"/>
  <c r="F41" i="21"/>
  <c r="Q41" i="21"/>
  <c r="O38" i="20"/>
  <c r="F38" i="20"/>
  <c r="I38" i="20"/>
  <c r="E38" i="20"/>
  <c r="M38" i="20"/>
  <c r="J38" i="20"/>
  <c r="L38" i="20"/>
  <c r="K37" i="15"/>
  <c r="R38" i="20"/>
  <c r="N38" i="20"/>
  <c r="Q38" i="20"/>
  <c r="G38" i="20"/>
  <c r="K38" i="20"/>
  <c r="D38" i="20"/>
  <c r="P38" i="20"/>
  <c r="H38" i="20"/>
  <c r="S38" i="22"/>
  <c r="G43" i="21"/>
  <c r="H43" i="21"/>
  <c r="M43" i="21"/>
  <c r="Q43" i="21"/>
  <c r="O43" i="21"/>
  <c r="R43" i="21"/>
  <c r="E43" i="21"/>
  <c r="I43" i="21"/>
  <c r="P43" i="21"/>
  <c r="J43" i="21"/>
  <c r="N43" i="21"/>
  <c r="I119" i="9"/>
  <c r="H23" i="46" s="1"/>
  <c r="I234" i="37"/>
  <c r="K217" i="37"/>
  <c r="J232" i="37"/>
  <c r="M41" i="21" l="1"/>
  <c r="R99" i="9"/>
  <c r="AF20" i="15"/>
  <c r="U10" i="16" s="1"/>
  <c r="J63" i="41"/>
  <c r="O134" i="41"/>
  <c r="J202" i="41"/>
  <c r="U63" i="41"/>
  <c r="O63" i="41"/>
  <c r="T202" i="41"/>
  <c r="K201" i="42"/>
  <c r="O136" i="41" s="1"/>
  <c r="L10" i="46"/>
  <c r="K229" i="37"/>
  <c r="K233" i="37" s="1"/>
  <c r="L63" i="41"/>
  <c r="L134" i="41"/>
  <c r="N202" i="41"/>
  <c r="N134" i="41"/>
  <c r="U134" i="41"/>
  <c r="H134" i="41"/>
  <c r="H202" i="41"/>
  <c r="I202" i="41"/>
  <c r="G134" i="41"/>
  <c r="T198" i="42"/>
  <c r="U198" i="42" s="1"/>
  <c r="I63" i="41"/>
  <c r="G202" i="41"/>
  <c r="K134" i="41"/>
  <c r="M63" i="41"/>
  <c r="Q202" i="41"/>
  <c r="K202" i="41"/>
  <c r="M202" i="41"/>
  <c r="R198" i="42"/>
  <c r="Q63" i="41"/>
  <c r="S134" i="41"/>
  <c r="S202" i="41"/>
  <c r="R202" i="41" s="1"/>
  <c r="S63" i="41"/>
  <c r="T63" i="41"/>
  <c r="S129" i="22"/>
  <c r="S173" i="37"/>
  <c r="F41" i="20"/>
  <c r="AA40" i="15"/>
  <c r="AF40" i="15" s="1"/>
  <c r="E45" i="20"/>
  <c r="AA44" i="15"/>
  <c r="AF44" i="15" s="1"/>
  <c r="S129" i="20"/>
  <c r="I45" i="21"/>
  <c r="G45" i="21"/>
  <c r="O43" i="20"/>
  <c r="AA42" i="15"/>
  <c r="AF42" i="15" s="1"/>
  <c r="L46" i="20"/>
  <c r="AA45" i="15"/>
  <c r="AF45" i="15" s="1"/>
  <c r="P45" i="21"/>
  <c r="G39" i="20"/>
  <c r="AA38" i="15"/>
  <c r="Q45" i="21"/>
  <c r="L11" i="16"/>
  <c r="F43" i="21"/>
  <c r="K43" i="21"/>
  <c r="G48" i="15"/>
  <c r="F12" i="46" s="1"/>
  <c r="F13" i="46" s="1"/>
  <c r="N41" i="21"/>
  <c r="H41" i="21"/>
  <c r="E43" i="20"/>
  <c r="K41" i="21"/>
  <c r="D43" i="20"/>
  <c r="I45" i="20"/>
  <c r="R45" i="21"/>
  <c r="AB44" i="15"/>
  <c r="D48" i="22"/>
  <c r="AH39" i="15"/>
  <c r="AH48" i="15" s="1"/>
  <c r="W12" i="16" s="1"/>
  <c r="AC48" i="15"/>
  <c r="R12" i="16" s="1"/>
  <c r="F43" i="20"/>
  <c r="O45" i="20"/>
  <c r="L43" i="21"/>
  <c r="D43" i="21"/>
  <c r="I41" i="21"/>
  <c r="S41" i="21" s="1"/>
  <c r="J41" i="21"/>
  <c r="Q43" i="20"/>
  <c r="F45" i="20"/>
  <c r="V99" i="9"/>
  <c r="W99" i="9" s="1"/>
  <c r="D40" i="21"/>
  <c r="AB39" i="15"/>
  <c r="K43" i="20"/>
  <c r="D46" i="20"/>
  <c r="D38" i="21"/>
  <c r="AB37" i="15"/>
  <c r="M43" i="20"/>
  <c r="F46" i="20"/>
  <c r="L46" i="21"/>
  <c r="AB45" i="15"/>
  <c r="H43" i="20"/>
  <c r="AG42" i="15"/>
  <c r="AG40" i="15"/>
  <c r="I50" i="15"/>
  <c r="Q48" i="22"/>
  <c r="Q49" i="22" s="1"/>
  <c r="Q156" i="22" s="1"/>
  <c r="S112" i="42"/>
  <c r="E112" i="42" s="1"/>
  <c r="V173" i="37"/>
  <c r="P173" i="37"/>
  <c r="Q173" i="37"/>
  <c r="E41" i="20"/>
  <c r="E48" i="20" s="1"/>
  <c r="E49" i="20" s="1"/>
  <c r="I41" i="20"/>
  <c r="J39" i="20"/>
  <c r="H41" i="20"/>
  <c r="D41" i="20"/>
  <c r="I48" i="22"/>
  <c r="I49" i="22" s="1"/>
  <c r="S40" i="22"/>
  <c r="P48" i="22"/>
  <c r="G40" i="21"/>
  <c r="L48" i="22"/>
  <c r="L49" i="22" s="1"/>
  <c r="S131" i="41"/>
  <c r="R46" i="20"/>
  <c r="O41" i="20"/>
  <c r="S199" i="41"/>
  <c r="U199" i="41"/>
  <c r="R56" i="41"/>
  <c r="V56" i="41" s="1"/>
  <c r="W56" i="41" s="1"/>
  <c r="R195" i="41"/>
  <c r="V195" i="41" s="1"/>
  <c r="W195" i="41" s="1"/>
  <c r="R126" i="41"/>
  <c r="V126" i="41" s="1"/>
  <c r="W126" i="41" s="1"/>
  <c r="R173" i="37"/>
  <c r="U131" i="41"/>
  <c r="T131" i="41"/>
  <c r="W16" i="37"/>
  <c r="W28" i="37" s="1"/>
  <c r="Q16" i="37"/>
  <c r="S179" i="42"/>
  <c r="D179" i="42" s="1"/>
  <c r="T16" i="37"/>
  <c r="H28" i="37"/>
  <c r="V16" i="37"/>
  <c r="V28" i="37" s="1"/>
  <c r="U16" i="37"/>
  <c r="U28" i="37" s="1"/>
  <c r="W173" i="37"/>
  <c r="T173" i="37"/>
  <c r="R16" i="37"/>
  <c r="S16" i="37"/>
  <c r="K45" i="20"/>
  <c r="N46" i="20"/>
  <c r="N45" i="20"/>
  <c r="E46" i="20"/>
  <c r="N46" i="21"/>
  <c r="H46" i="20"/>
  <c r="D45" i="20"/>
  <c r="J46" i="21"/>
  <c r="P45" i="20"/>
  <c r="J45" i="20"/>
  <c r="K42" i="15"/>
  <c r="O48" i="22"/>
  <c r="O49" i="22" s="1"/>
  <c r="S43" i="22"/>
  <c r="R48" i="22"/>
  <c r="R49" i="22" s="1"/>
  <c r="R156" i="22" s="1"/>
  <c r="S45" i="22"/>
  <c r="J43" i="20"/>
  <c r="P43" i="20"/>
  <c r="N40" i="21"/>
  <c r="J46" i="20"/>
  <c r="N43" i="20"/>
  <c r="I43" i="20"/>
  <c r="L40" i="21"/>
  <c r="Q46" i="20"/>
  <c r="G46" i="20"/>
  <c r="K39" i="15"/>
  <c r="J48" i="22"/>
  <c r="J49" i="22" s="1"/>
  <c r="R43" i="20"/>
  <c r="L43" i="20"/>
  <c r="R40" i="21"/>
  <c r="O46" i="20"/>
  <c r="M46" i="20"/>
  <c r="P40" i="21"/>
  <c r="E40" i="21"/>
  <c r="I46" i="20"/>
  <c r="K46" i="20"/>
  <c r="T60" i="41"/>
  <c r="R60" i="41" s="1"/>
  <c r="G43" i="20"/>
  <c r="H40" i="21"/>
  <c r="P46" i="20"/>
  <c r="F48" i="22"/>
  <c r="H48" i="22"/>
  <c r="H49" i="22" s="1"/>
  <c r="S41" i="22"/>
  <c r="J40" i="21"/>
  <c r="J45" i="21"/>
  <c r="M45" i="21"/>
  <c r="G45" i="20"/>
  <c r="R38" i="21"/>
  <c r="R41" i="20"/>
  <c r="L45" i="21"/>
  <c r="M45" i="20"/>
  <c r="H45" i="20"/>
  <c r="J12" i="16"/>
  <c r="J13" i="16" s="1"/>
  <c r="K41" i="20"/>
  <c r="S46" i="22"/>
  <c r="K40" i="15"/>
  <c r="P34" i="37"/>
  <c r="P42" i="37" s="1"/>
  <c r="Q45" i="20"/>
  <c r="L45" i="20"/>
  <c r="J41" i="20"/>
  <c r="M41" i="20"/>
  <c r="F45" i="21"/>
  <c r="Q46" i="21"/>
  <c r="R45" i="20"/>
  <c r="G41" i="20"/>
  <c r="Q41" i="20"/>
  <c r="I46" i="21"/>
  <c r="P41" i="20"/>
  <c r="Q38" i="21"/>
  <c r="L41" i="20"/>
  <c r="M46" i="21"/>
  <c r="M48" i="21" s="1"/>
  <c r="M49" i="21" s="1"/>
  <c r="G46" i="21"/>
  <c r="M48" i="22"/>
  <c r="M49" i="22" s="1"/>
  <c r="R46" i="21"/>
  <c r="K46" i="21"/>
  <c r="D46" i="21"/>
  <c r="N48" i="22"/>
  <c r="N49" i="22" s="1"/>
  <c r="H46" i="21"/>
  <c r="F46" i="21"/>
  <c r="N38" i="21"/>
  <c r="G48" i="22"/>
  <c r="K48" i="22"/>
  <c r="K49" i="22" s="1"/>
  <c r="E48" i="22"/>
  <c r="P38" i="21"/>
  <c r="O40" i="21"/>
  <c r="M40" i="21"/>
  <c r="K38" i="21"/>
  <c r="P22" i="22"/>
  <c r="F40" i="21"/>
  <c r="I40" i="21"/>
  <c r="G38" i="21"/>
  <c r="N201" i="42"/>
  <c r="K40" i="21"/>
  <c r="I38" i="21"/>
  <c r="Q40" i="21"/>
  <c r="J38" i="21"/>
  <c r="Q199" i="41"/>
  <c r="E38" i="21"/>
  <c r="Q60" i="41"/>
  <c r="O46" i="21"/>
  <c r="P46" i="21"/>
  <c r="O38" i="21"/>
  <c r="H38" i="21"/>
  <c r="H48" i="15"/>
  <c r="H12" i="46" s="1"/>
  <c r="G49" i="22"/>
  <c r="L38" i="21"/>
  <c r="F38" i="21"/>
  <c r="E46" i="21"/>
  <c r="O131" i="41"/>
  <c r="M38" i="21"/>
  <c r="T34" i="37"/>
  <c r="T42" i="37" s="1"/>
  <c r="S197" i="42"/>
  <c r="E197" i="42" s="1"/>
  <c r="U34" i="37"/>
  <c r="U42" i="37" s="1"/>
  <c r="V34" i="37"/>
  <c r="V42" i="37" s="1"/>
  <c r="Q34" i="37"/>
  <c r="W34" i="37"/>
  <c r="W42" i="37" s="1"/>
  <c r="H42" i="37"/>
  <c r="AC20" i="15"/>
  <c r="R10" i="16" s="1"/>
  <c r="S34" i="37"/>
  <c r="L201" i="42"/>
  <c r="P136" i="41" s="1"/>
  <c r="AH14" i="15"/>
  <c r="AI14" i="15" s="1"/>
  <c r="AH13" i="15"/>
  <c r="R64" i="14"/>
  <c r="P64" i="14"/>
  <c r="Q64" i="14"/>
  <c r="N64" i="14"/>
  <c r="O199" i="41"/>
  <c r="S40" i="20"/>
  <c r="Q201" i="42"/>
  <c r="L171" i="42"/>
  <c r="R13" i="37"/>
  <c r="C171" i="42"/>
  <c r="E171" i="42"/>
  <c r="H171" i="42"/>
  <c r="D171" i="42"/>
  <c r="F171" i="42"/>
  <c r="I171" i="42"/>
  <c r="G171" i="42"/>
  <c r="N196" i="42"/>
  <c r="M131" i="41"/>
  <c r="M199" i="41"/>
  <c r="M60" i="41"/>
  <c r="O201" i="42"/>
  <c r="K196" i="42"/>
  <c r="E196" i="42"/>
  <c r="G196" i="42"/>
  <c r="F196" i="42"/>
  <c r="C196" i="42"/>
  <c r="H196" i="42"/>
  <c r="I196" i="42"/>
  <c r="D196" i="42"/>
  <c r="G131" i="41"/>
  <c r="G199" i="41"/>
  <c r="R195" i="42"/>
  <c r="G60" i="41"/>
  <c r="T195" i="42"/>
  <c r="U195" i="42" s="1"/>
  <c r="S39" i="21"/>
  <c r="M201" i="42"/>
  <c r="H201" i="42"/>
  <c r="I201" i="42"/>
  <c r="G201" i="42"/>
  <c r="D201" i="42"/>
  <c r="E201" i="42"/>
  <c r="C201" i="42"/>
  <c r="F201" i="42"/>
  <c r="Q171" i="42"/>
  <c r="W13" i="37"/>
  <c r="P196" i="42"/>
  <c r="K199" i="41"/>
  <c r="K60" i="41"/>
  <c r="K131" i="41"/>
  <c r="S43" i="21"/>
  <c r="S38" i="20"/>
  <c r="P201" i="42"/>
  <c r="P13" i="37"/>
  <c r="J171" i="42"/>
  <c r="X11" i="37"/>
  <c r="L196" i="42"/>
  <c r="R42" i="37"/>
  <c r="H199" i="41"/>
  <c r="H60" i="41"/>
  <c r="H131" i="41"/>
  <c r="S39" i="20"/>
  <c r="J201" i="42"/>
  <c r="X38" i="37"/>
  <c r="Z38" i="37" s="1"/>
  <c r="U13" i="37"/>
  <c r="O171" i="42"/>
  <c r="Q196" i="42"/>
  <c r="R172" i="37"/>
  <c r="Q172" i="37"/>
  <c r="T172" i="37"/>
  <c r="U172" i="37"/>
  <c r="S172" i="37"/>
  <c r="W172" i="37"/>
  <c r="P172" i="37"/>
  <c r="S111" i="42"/>
  <c r="V172" i="37"/>
  <c r="L131" i="41"/>
  <c r="L60" i="41"/>
  <c r="L199" i="41"/>
  <c r="N199" i="41"/>
  <c r="N131" i="41"/>
  <c r="N60" i="41"/>
  <c r="M171" i="42"/>
  <c r="S13" i="37"/>
  <c r="J196" i="42"/>
  <c r="X33" i="37"/>
  <c r="I60" i="41"/>
  <c r="I131" i="41"/>
  <c r="I199" i="41"/>
  <c r="I48" i="20"/>
  <c r="I49" i="20" s="1"/>
  <c r="F48" i="20"/>
  <c r="F49" i="20" s="1"/>
  <c r="J13" i="46"/>
  <c r="N171" i="42"/>
  <c r="T13" i="37"/>
  <c r="M196" i="42"/>
  <c r="P28" i="37"/>
  <c r="N48" i="21"/>
  <c r="N49" i="21" s="1"/>
  <c r="P171" i="42"/>
  <c r="V13" i="37"/>
  <c r="K171" i="42"/>
  <c r="Q13" i="37"/>
  <c r="O196" i="42"/>
  <c r="J60" i="41"/>
  <c r="J131" i="41"/>
  <c r="J199" i="41"/>
  <c r="N150" i="22"/>
  <c r="N151" i="22" s="1"/>
  <c r="H150" i="22"/>
  <c r="H151" i="22" s="1"/>
  <c r="I150" i="22"/>
  <c r="I151" i="22" s="1"/>
  <c r="D150" i="22"/>
  <c r="D151" i="22" s="1"/>
  <c r="Q118" i="9"/>
  <c r="V118" i="9" s="1"/>
  <c r="K150" i="22"/>
  <c r="K151" i="22" s="1"/>
  <c r="F150" i="22"/>
  <c r="F151" i="22" s="1"/>
  <c r="L150" i="22"/>
  <c r="L151" i="22" s="1"/>
  <c r="G150" i="22"/>
  <c r="G151" i="22" s="1"/>
  <c r="E150" i="22"/>
  <c r="E151" i="22" s="1"/>
  <c r="O150" i="22"/>
  <c r="O151" i="22" s="1"/>
  <c r="M150" i="22"/>
  <c r="M151" i="22" s="1"/>
  <c r="J150" i="22"/>
  <c r="J151" i="22" s="1"/>
  <c r="J23" i="46"/>
  <c r="J234" i="37"/>
  <c r="K232" i="37"/>
  <c r="L217" i="37"/>
  <c r="AD42" i="15" l="1"/>
  <c r="S45" i="20"/>
  <c r="L48" i="21"/>
  <c r="L49" i="21" s="1"/>
  <c r="D48" i="21"/>
  <c r="K48" i="20"/>
  <c r="K49" i="20" s="1"/>
  <c r="AD40" i="15"/>
  <c r="AI40" i="15"/>
  <c r="M179" i="42"/>
  <c r="Q125" i="41" s="1"/>
  <c r="O65" i="41"/>
  <c r="O204" i="41"/>
  <c r="L229" i="37"/>
  <c r="R134" i="41"/>
  <c r="V134" i="41" s="1"/>
  <c r="W134" i="41" s="1"/>
  <c r="R63" i="41"/>
  <c r="V63" i="41" s="1"/>
  <c r="W63" i="41" s="1"/>
  <c r="V202" i="41"/>
  <c r="W202" i="41" s="1"/>
  <c r="J112" i="42"/>
  <c r="N185" i="41" s="1"/>
  <c r="H12" i="16"/>
  <c r="H13" i="16" s="1"/>
  <c r="F12" i="16"/>
  <c r="F13" i="16" s="1"/>
  <c r="G50" i="15"/>
  <c r="P49" i="22"/>
  <c r="P156" i="22" s="1"/>
  <c r="S41" i="20"/>
  <c r="R48" i="20"/>
  <c r="R49" i="20" s="1"/>
  <c r="R156" i="20" s="1"/>
  <c r="F15" i="21" s="1"/>
  <c r="F22" i="21" s="1"/>
  <c r="AF38" i="15"/>
  <c r="AA48" i="15"/>
  <c r="AD38" i="15"/>
  <c r="AI42" i="15"/>
  <c r="O48" i="20"/>
  <c r="O49" i="20" s="1"/>
  <c r="D48" i="20"/>
  <c r="D49" i="20" s="1"/>
  <c r="AG37" i="15"/>
  <c r="AD37" i="15"/>
  <c r="AB48" i="15"/>
  <c r="AG44" i="15"/>
  <c r="AI44" i="15" s="1"/>
  <c r="AD44" i="15"/>
  <c r="AG45" i="15"/>
  <c r="AI45" i="15" s="1"/>
  <c r="AD45" i="15"/>
  <c r="AG39" i="15"/>
  <c r="AI39" i="15" s="1"/>
  <c r="AD39" i="15"/>
  <c r="H50" i="15"/>
  <c r="F179" i="42"/>
  <c r="J125" i="41" s="1"/>
  <c r="I112" i="42"/>
  <c r="M46" i="41" s="1"/>
  <c r="D112" i="42"/>
  <c r="H116" i="41" s="1"/>
  <c r="H112" i="42"/>
  <c r="L185" i="41" s="1"/>
  <c r="K112" i="42"/>
  <c r="O116" i="41" s="1"/>
  <c r="F112" i="42"/>
  <c r="J185" i="41" s="1"/>
  <c r="M112" i="42"/>
  <c r="Q46" i="41" s="1"/>
  <c r="N112" i="42"/>
  <c r="G112" i="42"/>
  <c r="K116" i="41" s="1"/>
  <c r="O112" i="42"/>
  <c r="S116" i="41" s="1"/>
  <c r="P112" i="42"/>
  <c r="T116" i="41" s="1"/>
  <c r="C112" i="42"/>
  <c r="G185" i="41" s="1"/>
  <c r="Q112" i="42"/>
  <c r="U116" i="41" s="1"/>
  <c r="G179" i="42"/>
  <c r="K125" i="41" s="1"/>
  <c r="L112" i="42"/>
  <c r="P185" i="41" s="1"/>
  <c r="I179" i="42"/>
  <c r="M125" i="41" s="1"/>
  <c r="R199" i="41"/>
  <c r="V199" i="41" s="1"/>
  <c r="W199" i="41" s="1"/>
  <c r="S46" i="21"/>
  <c r="M48" i="20"/>
  <c r="M49" i="20" s="1"/>
  <c r="S45" i="21"/>
  <c r="S43" i="20"/>
  <c r="N48" i="20"/>
  <c r="N49" i="20" s="1"/>
  <c r="S46" i="20"/>
  <c r="Q48" i="20"/>
  <c r="Q49" i="20" s="1"/>
  <c r="Q156" i="20" s="1"/>
  <c r="E15" i="21" s="1"/>
  <c r="E22" i="21" s="1"/>
  <c r="P48" i="21"/>
  <c r="P49" i="21" s="1"/>
  <c r="P156" i="21" s="1"/>
  <c r="D15" i="22" s="1"/>
  <c r="H48" i="20"/>
  <c r="H49" i="20" s="1"/>
  <c r="AC50" i="15"/>
  <c r="R13" i="16" s="1"/>
  <c r="J179" i="42"/>
  <c r="N194" i="41" s="1"/>
  <c r="C179" i="42"/>
  <c r="G125" i="41" s="1"/>
  <c r="L179" i="42"/>
  <c r="P194" i="41" s="1"/>
  <c r="K179" i="42"/>
  <c r="O55" i="41" s="1"/>
  <c r="S28" i="37"/>
  <c r="C197" i="42"/>
  <c r="G62" i="41" s="1"/>
  <c r="H179" i="42"/>
  <c r="L125" i="41" s="1"/>
  <c r="P65" i="41"/>
  <c r="E179" i="42"/>
  <c r="I125" i="41" s="1"/>
  <c r="R131" i="41"/>
  <c r="V131" i="41" s="1"/>
  <c r="W131" i="41" s="1"/>
  <c r="P204" i="41"/>
  <c r="Q179" i="42"/>
  <c r="U55" i="41" s="1"/>
  <c r="O179" i="42"/>
  <c r="S55" i="41" s="1"/>
  <c r="P179" i="42"/>
  <c r="T125" i="41" s="1"/>
  <c r="I197" i="42"/>
  <c r="M133" i="41" s="1"/>
  <c r="H63" i="37"/>
  <c r="F197" i="42"/>
  <c r="J62" i="41" s="1"/>
  <c r="N179" i="42"/>
  <c r="X173" i="37"/>
  <c r="Z173" i="37" s="1"/>
  <c r="X16" i="37"/>
  <c r="X28" i="37" s="1"/>
  <c r="Q28" i="37"/>
  <c r="R28" i="37"/>
  <c r="R63" i="37" s="1"/>
  <c r="T28" i="37"/>
  <c r="T63" i="37" s="1"/>
  <c r="G197" i="42"/>
  <c r="K133" i="41" s="1"/>
  <c r="H197" i="42"/>
  <c r="L201" i="41" s="1"/>
  <c r="D197" i="42"/>
  <c r="H201" i="41" s="1"/>
  <c r="J48" i="21"/>
  <c r="J49" i="21" s="1"/>
  <c r="G48" i="21"/>
  <c r="G49" i="21" s="1"/>
  <c r="L48" i="20"/>
  <c r="L49" i="20" s="1"/>
  <c r="H48" i="21"/>
  <c r="H49" i="21" s="1"/>
  <c r="M197" i="42"/>
  <c r="Q201" i="41" s="1"/>
  <c r="G48" i="20"/>
  <c r="G49" i="20" s="1"/>
  <c r="J197" i="42"/>
  <c r="N201" i="41" s="1"/>
  <c r="O48" i="21"/>
  <c r="O49" i="21" s="1"/>
  <c r="I48" i="21"/>
  <c r="I49" i="21" s="1"/>
  <c r="S38" i="21"/>
  <c r="J48" i="20"/>
  <c r="J49" i="20" s="1"/>
  <c r="K48" i="21"/>
  <c r="K49" i="21" s="1"/>
  <c r="R48" i="21"/>
  <c r="R49" i="21" s="1"/>
  <c r="R156" i="21" s="1"/>
  <c r="F15" i="22" s="1"/>
  <c r="F22" i="22" s="1"/>
  <c r="F49" i="22" s="1"/>
  <c r="P48" i="20"/>
  <c r="P49" i="20" s="1"/>
  <c r="P156" i="20" s="1"/>
  <c r="D15" i="21" s="1"/>
  <c r="D22" i="21" s="1"/>
  <c r="D49" i="21" s="1"/>
  <c r="E48" i="21"/>
  <c r="E49" i="21" s="1"/>
  <c r="Q48" i="21"/>
  <c r="Q49" i="21" s="1"/>
  <c r="Q156" i="21" s="1"/>
  <c r="E15" i="22" s="1"/>
  <c r="E22" i="22" s="1"/>
  <c r="E49" i="22" s="1"/>
  <c r="F48" i="21"/>
  <c r="S40" i="21"/>
  <c r="AD20" i="15"/>
  <c r="S42" i="37"/>
  <c r="K197" i="42"/>
  <c r="O201" i="41" s="1"/>
  <c r="Q42" i="37"/>
  <c r="Q197" i="42"/>
  <c r="U62" i="41" s="1"/>
  <c r="O197" i="42"/>
  <c r="S201" i="41" s="1"/>
  <c r="N197" i="42"/>
  <c r="U63" i="37"/>
  <c r="X34" i="37"/>
  <c r="Z34" i="37" s="1"/>
  <c r="L197" i="42"/>
  <c r="P133" i="41" s="1"/>
  <c r="S64" i="14"/>
  <c r="P197" i="42"/>
  <c r="T201" i="41" s="1"/>
  <c r="P63" i="37"/>
  <c r="AI13" i="15"/>
  <c r="AH20" i="15"/>
  <c r="W63" i="37"/>
  <c r="O111" i="42"/>
  <c r="S184" i="41" s="1"/>
  <c r="V60" i="41"/>
  <c r="W60" i="41" s="1"/>
  <c r="S200" i="41"/>
  <c r="S61" i="41"/>
  <c r="S132" i="41"/>
  <c r="Q12" i="46"/>
  <c r="Q13" i="46" s="1"/>
  <c r="H13" i="46"/>
  <c r="P7" i="46" s="1"/>
  <c r="P111" i="42"/>
  <c r="L111" i="42"/>
  <c r="V63" i="37"/>
  <c r="K204" i="41"/>
  <c r="K65" i="41"/>
  <c r="K136" i="41"/>
  <c r="H61" i="41"/>
  <c r="H132" i="41"/>
  <c r="H200" i="41"/>
  <c r="O61" i="41"/>
  <c r="O200" i="41"/>
  <c r="O132" i="41"/>
  <c r="M54" i="41"/>
  <c r="M124" i="41"/>
  <c r="M193" i="41"/>
  <c r="U204" i="41"/>
  <c r="U136" i="41"/>
  <c r="U65" i="41"/>
  <c r="Q54" i="41"/>
  <c r="Q193" i="41"/>
  <c r="Q124" i="41"/>
  <c r="H55" i="41"/>
  <c r="H194" i="41"/>
  <c r="H125" i="41"/>
  <c r="F111" i="42"/>
  <c r="G111" i="42"/>
  <c r="I111" i="42"/>
  <c r="E111" i="42"/>
  <c r="H111" i="42"/>
  <c r="C111" i="42"/>
  <c r="D111" i="42"/>
  <c r="T204" i="41"/>
  <c r="T136" i="41"/>
  <c r="T65" i="41"/>
  <c r="T200" i="41"/>
  <c r="T132" i="41"/>
  <c r="T61" i="41"/>
  <c r="M65" i="41"/>
  <c r="M204" i="41"/>
  <c r="M136" i="41"/>
  <c r="M132" i="41"/>
  <c r="M61" i="41"/>
  <c r="M200" i="41"/>
  <c r="S136" i="41"/>
  <c r="S65" i="41"/>
  <c r="S204" i="41"/>
  <c r="J193" i="41"/>
  <c r="J124" i="41"/>
  <c r="J54" i="41"/>
  <c r="O124" i="41"/>
  <c r="O54" i="41"/>
  <c r="O193" i="41"/>
  <c r="Q200" i="41"/>
  <c r="Q132" i="41"/>
  <c r="Q61" i="41"/>
  <c r="L12" i="16"/>
  <c r="L13" i="16" s="1"/>
  <c r="F9" i="16" s="1"/>
  <c r="J111" i="42"/>
  <c r="X172" i="37"/>
  <c r="Z172" i="37" s="1"/>
  <c r="U61" i="41"/>
  <c r="U132" i="41"/>
  <c r="U200" i="41"/>
  <c r="L204" i="41"/>
  <c r="L136" i="41"/>
  <c r="L65" i="41"/>
  <c r="L132" i="41"/>
  <c r="L200" i="41"/>
  <c r="L61" i="41"/>
  <c r="H124" i="41"/>
  <c r="H193" i="41"/>
  <c r="H54" i="41"/>
  <c r="T124" i="41"/>
  <c r="T54" i="41"/>
  <c r="T193" i="41"/>
  <c r="Q111" i="42"/>
  <c r="U193" i="41"/>
  <c r="U54" i="41"/>
  <c r="U124" i="41"/>
  <c r="Q204" i="41"/>
  <c r="Q65" i="41"/>
  <c r="Q136" i="41"/>
  <c r="G61" i="41"/>
  <c r="G132" i="41"/>
  <c r="G200" i="41"/>
  <c r="T196" i="42"/>
  <c r="U196" i="42" s="1"/>
  <c r="R196" i="42"/>
  <c r="L54" i="41"/>
  <c r="L124" i="41"/>
  <c r="L193" i="41"/>
  <c r="S193" i="41"/>
  <c r="S124" i="41"/>
  <c r="S54" i="41"/>
  <c r="L12" i="46"/>
  <c r="L13" i="46" s="1"/>
  <c r="I201" i="41"/>
  <c r="I62" i="41"/>
  <c r="I133" i="41"/>
  <c r="M111" i="42"/>
  <c r="J65" i="41"/>
  <c r="J204" i="41"/>
  <c r="J136" i="41"/>
  <c r="J200" i="41"/>
  <c r="J61" i="41"/>
  <c r="J132" i="41"/>
  <c r="I193" i="41"/>
  <c r="I124" i="41"/>
  <c r="I54" i="41"/>
  <c r="P200" i="41"/>
  <c r="P132" i="41"/>
  <c r="P61" i="41"/>
  <c r="G65" i="41"/>
  <c r="T201" i="42"/>
  <c r="U201" i="42" s="1"/>
  <c r="R201" i="42"/>
  <c r="G136" i="41"/>
  <c r="G204" i="41"/>
  <c r="K200" i="41"/>
  <c r="K132" i="41"/>
  <c r="K61" i="41"/>
  <c r="I116" i="41"/>
  <c r="I185" i="41"/>
  <c r="I46" i="41"/>
  <c r="T171" i="42"/>
  <c r="U171" i="42" s="1"/>
  <c r="G124" i="41"/>
  <c r="R171" i="42"/>
  <c r="G193" i="41"/>
  <c r="G54" i="41"/>
  <c r="Z33" i="37"/>
  <c r="N111" i="42"/>
  <c r="N65" i="41"/>
  <c r="N204" i="41"/>
  <c r="N136" i="41"/>
  <c r="Z11" i="37"/>
  <c r="X13" i="37"/>
  <c r="I204" i="41"/>
  <c r="I136" i="41"/>
  <c r="I65" i="41"/>
  <c r="I200" i="41"/>
  <c r="I61" i="41"/>
  <c r="I132" i="41"/>
  <c r="D22" i="22"/>
  <c r="D49" i="22" s="1"/>
  <c r="N132" i="41"/>
  <c r="N200" i="41"/>
  <c r="N61" i="41"/>
  <c r="K111" i="42"/>
  <c r="N54" i="41"/>
  <c r="N193" i="41"/>
  <c r="N124" i="41"/>
  <c r="H136" i="41"/>
  <c r="H204" i="41"/>
  <c r="H65" i="41"/>
  <c r="K124" i="41"/>
  <c r="K54" i="41"/>
  <c r="K193" i="41"/>
  <c r="P193" i="41"/>
  <c r="P124" i="41"/>
  <c r="P54" i="41"/>
  <c r="R118" i="9"/>
  <c r="R119" i="9" s="1"/>
  <c r="S23" i="16" s="1"/>
  <c r="Q119" i="9"/>
  <c r="R23" i="16" s="1"/>
  <c r="S150" i="22"/>
  <c r="V119" i="9"/>
  <c r="W118" i="9"/>
  <c r="W119" i="9" s="1"/>
  <c r="K234" i="37"/>
  <c r="M217" i="37"/>
  <c r="L232" i="37"/>
  <c r="M229" i="37"/>
  <c r="L233" i="37"/>
  <c r="Q194" i="41" l="1"/>
  <c r="S15" i="22"/>
  <c r="F49" i="21"/>
  <c r="Q55" i="41"/>
  <c r="N46" i="41"/>
  <c r="M116" i="41"/>
  <c r="N116" i="41"/>
  <c r="N125" i="41"/>
  <c r="I55" i="41"/>
  <c r="I194" i="41"/>
  <c r="N55" i="41"/>
  <c r="G46" i="41"/>
  <c r="G116" i="41"/>
  <c r="J116" i="41"/>
  <c r="P116" i="41"/>
  <c r="Z16" i="37"/>
  <c r="Z28" i="37" s="1"/>
  <c r="U194" i="41"/>
  <c r="S194" i="41"/>
  <c r="J55" i="41"/>
  <c r="K185" i="41"/>
  <c r="T194" i="41"/>
  <c r="S125" i="41"/>
  <c r="J194" i="41"/>
  <c r="K46" i="41"/>
  <c r="M194" i="41"/>
  <c r="M55" i="41"/>
  <c r="Z42" i="37"/>
  <c r="T55" i="41"/>
  <c r="R55" i="41" s="1"/>
  <c r="G133" i="41"/>
  <c r="M185" i="41"/>
  <c r="S185" i="41"/>
  <c r="S46" i="41"/>
  <c r="J50" i="15"/>
  <c r="F52" i="15" s="1"/>
  <c r="F113" i="9" s="1"/>
  <c r="N145" i="19" s="1"/>
  <c r="N146" i="19" s="1"/>
  <c r="N152" i="19" s="1"/>
  <c r="N161" i="19" s="1"/>
  <c r="N163" i="19" s="1"/>
  <c r="G201" i="41"/>
  <c r="T112" i="42"/>
  <c r="U112" i="42" s="1"/>
  <c r="M201" i="41"/>
  <c r="H185" i="41"/>
  <c r="M62" i="41"/>
  <c r="H46" i="41"/>
  <c r="G52" i="15"/>
  <c r="AN34" i="50"/>
  <c r="N34" i="50" s="1"/>
  <c r="AF34" i="50"/>
  <c r="F34" i="50" s="1"/>
  <c r="AJ33" i="50"/>
  <c r="AN32" i="50"/>
  <c r="AF32" i="50"/>
  <c r="F32" i="50" s="1"/>
  <c r="J32" i="34" s="1"/>
  <c r="AJ31" i="50"/>
  <c r="AN30" i="50"/>
  <c r="AF30" i="50"/>
  <c r="F30" i="50" s="1"/>
  <c r="J30" i="34" s="1"/>
  <c r="AJ34" i="50"/>
  <c r="J34" i="50" s="1"/>
  <c r="AN33" i="50"/>
  <c r="AF33" i="50"/>
  <c r="F33" i="50" s="1"/>
  <c r="AJ32" i="50"/>
  <c r="AN31" i="50"/>
  <c r="AF31" i="50"/>
  <c r="F31" i="50" s="1"/>
  <c r="J31" i="34" s="1"/>
  <c r="AJ30" i="50"/>
  <c r="AN29" i="50"/>
  <c r="AL34" i="50"/>
  <c r="L34" i="50" s="1"/>
  <c r="AM33" i="50"/>
  <c r="AC33" i="50"/>
  <c r="AD32" i="50"/>
  <c r="D32" i="50" s="1"/>
  <c r="H32" i="34" s="1"/>
  <c r="AE31" i="50"/>
  <c r="AG30" i="50"/>
  <c r="AI29" i="50"/>
  <c r="AM28" i="50"/>
  <c r="AE28" i="50"/>
  <c r="AI27" i="50"/>
  <c r="AM26" i="50"/>
  <c r="AE26" i="50"/>
  <c r="AI25" i="50"/>
  <c r="AM24" i="50"/>
  <c r="AE24" i="50"/>
  <c r="AI23" i="50"/>
  <c r="AH34" i="50"/>
  <c r="H34" i="50" s="1"/>
  <c r="AI33" i="50"/>
  <c r="AK32" i="50"/>
  <c r="AL31" i="50"/>
  <c r="AM30" i="50"/>
  <c r="AC30" i="50"/>
  <c r="AF29" i="50"/>
  <c r="AJ28" i="50"/>
  <c r="AN27" i="50"/>
  <c r="AF27" i="50"/>
  <c r="AJ26" i="50"/>
  <c r="AN25" i="50"/>
  <c r="AF25" i="50"/>
  <c r="AJ24" i="50"/>
  <c r="AN23" i="50"/>
  <c r="AF23" i="50"/>
  <c r="AM31" i="50"/>
  <c r="AM32" i="50"/>
  <c r="AD34" i="50"/>
  <c r="D34" i="50" s="1"/>
  <c r="AH29" i="50"/>
  <c r="AC25" i="50"/>
  <c r="AC34" i="50"/>
  <c r="C34" i="50" s="1"/>
  <c r="AL32" i="50"/>
  <c r="AI31" i="50"/>
  <c r="AH30" i="50"/>
  <c r="H30" i="50" s="1"/>
  <c r="L30" i="34" s="1"/>
  <c r="AG29" i="50"/>
  <c r="AH28" i="50"/>
  <c r="AJ27" i="50"/>
  <c r="AK26" i="50"/>
  <c r="AL25" i="50"/>
  <c r="AN24" i="50"/>
  <c r="AC24" i="50"/>
  <c r="AD23" i="50"/>
  <c r="AL33" i="50"/>
  <c r="AI32" i="50"/>
  <c r="AH31" i="50"/>
  <c r="H31" i="50" s="1"/>
  <c r="L31" i="34" s="1"/>
  <c r="AE30" i="50"/>
  <c r="AE29" i="50"/>
  <c r="AG28" i="50"/>
  <c r="AH27" i="50"/>
  <c r="AI26" i="50"/>
  <c r="AK25" i="50"/>
  <c r="AL24" i="50"/>
  <c r="AM23" i="50"/>
  <c r="AC23" i="50"/>
  <c r="AG34" i="50"/>
  <c r="G34" i="50" s="1"/>
  <c r="AC32" i="50"/>
  <c r="AL30" i="50"/>
  <c r="AL28" i="50"/>
  <c r="AC27" i="50"/>
  <c r="AE25" i="50"/>
  <c r="AH23" i="50"/>
  <c r="AE34" i="50"/>
  <c r="E34" i="50" s="1"/>
  <c r="AK30" i="50"/>
  <c r="AK28" i="50"/>
  <c r="AN26" i="50"/>
  <c r="AD25" i="50"/>
  <c r="AG23" i="50"/>
  <c r="AI30" i="50"/>
  <c r="AK27" i="50"/>
  <c r="AM25" i="50"/>
  <c r="AE23" i="50"/>
  <c r="AM34" i="50"/>
  <c r="M34" i="50" s="1"/>
  <c r="AK33" i="50"/>
  <c r="AH32" i="50"/>
  <c r="H32" i="50" s="1"/>
  <c r="L32" i="34" s="1"/>
  <c r="AG31" i="50"/>
  <c r="AD30" i="50"/>
  <c r="D30" i="50" s="1"/>
  <c r="H30" i="34" s="1"/>
  <c r="AD29" i="50"/>
  <c r="AF28" i="50"/>
  <c r="AG27" i="50"/>
  <c r="AH26" i="50"/>
  <c r="AJ25" i="50"/>
  <c r="AK24" i="50"/>
  <c r="AL23" i="50"/>
  <c r="AK34" i="50"/>
  <c r="K34" i="50" s="1"/>
  <c r="AH33" i="50"/>
  <c r="H33" i="50" s="1"/>
  <c r="AG32" i="50"/>
  <c r="AD31" i="50"/>
  <c r="D31" i="50" s="1"/>
  <c r="H31" i="34" s="1"/>
  <c r="AM29" i="50"/>
  <c r="AC29" i="50"/>
  <c r="AD28" i="50"/>
  <c r="AE27" i="50"/>
  <c r="AG26" i="50"/>
  <c r="AH25" i="50"/>
  <c r="AI24" i="50"/>
  <c r="AK23" i="50"/>
  <c r="AI34" i="50"/>
  <c r="I34" i="50" s="1"/>
  <c r="AG33" i="50"/>
  <c r="AE32" i="50"/>
  <c r="AC31" i="50"/>
  <c r="AL29" i="50"/>
  <c r="AN28" i="50"/>
  <c r="AC28" i="50"/>
  <c r="AD27" i="50"/>
  <c r="AF26" i="50"/>
  <c r="AG25" i="50"/>
  <c r="AH24" i="50"/>
  <c r="AJ23" i="50"/>
  <c r="AE33" i="50"/>
  <c r="AK29" i="50"/>
  <c r="AM27" i="50"/>
  <c r="AD26" i="50"/>
  <c r="AG24" i="50"/>
  <c r="AD33" i="50"/>
  <c r="D33" i="50" s="1"/>
  <c r="AJ29" i="50"/>
  <c r="AL27" i="50"/>
  <c r="AC26" i="50"/>
  <c r="AF24" i="50"/>
  <c r="AK31" i="50"/>
  <c r="AI28" i="50"/>
  <c r="AL26" i="50"/>
  <c r="AD24" i="50"/>
  <c r="J46" i="41"/>
  <c r="P12" i="16"/>
  <c r="AA50" i="15"/>
  <c r="P13" i="16" s="1"/>
  <c r="AF48" i="15"/>
  <c r="AI38" i="15"/>
  <c r="U201" i="41"/>
  <c r="R201" i="41" s="1"/>
  <c r="Q12" i="16"/>
  <c r="AB50" i="15"/>
  <c r="Q13" i="16" s="1"/>
  <c r="AD48" i="15"/>
  <c r="S12" i="16" s="1"/>
  <c r="AI37" i="15"/>
  <c r="AG48" i="15"/>
  <c r="G194" i="41"/>
  <c r="O46" i="41"/>
  <c r="O185" i="41"/>
  <c r="L116" i="41"/>
  <c r="L46" i="41"/>
  <c r="Q185" i="41"/>
  <c r="Q116" i="41"/>
  <c r="U133" i="41"/>
  <c r="R116" i="41"/>
  <c r="G55" i="41"/>
  <c r="T46" i="41"/>
  <c r="Q63" i="37"/>
  <c r="U185" i="41"/>
  <c r="K55" i="41"/>
  <c r="K194" i="41"/>
  <c r="L133" i="41"/>
  <c r="P46" i="41"/>
  <c r="T185" i="41"/>
  <c r="U46" i="41"/>
  <c r="R112" i="42"/>
  <c r="P55" i="41"/>
  <c r="P125" i="41"/>
  <c r="O125" i="41"/>
  <c r="O194" i="41"/>
  <c r="U125" i="41"/>
  <c r="L194" i="41"/>
  <c r="S63" i="37"/>
  <c r="K201" i="41"/>
  <c r="L62" i="41"/>
  <c r="N133" i="41"/>
  <c r="N62" i="41"/>
  <c r="T179" i="42"/>
  <c r="U179" i="42" s="1"/>
  <c r="L55" i="41"/>
  <c r="R179" i="42"/>
  <c r="R132" i="41"/>
  <c r="V132" i="41" s="1"/>
  <c r="W132" i="41" s="1"/>
  <c r="X42" i="37"/>
  <c r="J133" i="41"/>
  <c r="K62" i="41"/>
  <c r="J201" i="41"/>
  <c r="R197" i="42"/>
  <c r="T197" i="42"/>
  <c r="U197" i="42" s="1"/>
  <c r="S115" i="41"/>
  <c r="T62" i="41"/>
  <c r="S45" i="41"/>
  <c r="H62" i="41"/>
  <c r="H133" i="41"/>
  <c r="H9" i="16"/>
  <c r="Q62" i="41"/>
  <c r="T133" i="41"/>
  <c r="Q133" i="41"/>
  <c r="J9" i="16"/>
  <c r="S15" i="21"/>
  <c r="R193" i="41"/>
  <c r="V193" i="41" s="1"/>
  <c r="W193" i="41" s="1"/>
  <c r="O62" i="41"/>
  <c r="R200" i="41"/>
  <c r="V200" i="41" s="1"/>
  <c r="W200" i="41" s="1"/>
  <c r="S62" i="41"/>
  <c r="O133" i="41"/>
  <c r="P201" i="41"/>
  <c r="S10" i="16"/>
  <c r="P62" i="41"/>
  <c r="S133" i="41"/>
  <c r="R124" i="41"/>
  <c r="V124" i="41" s="1"/>
  <c r="W124" i="41" s="1"/>
  <c r="W10" i="16"/>
  <c r="AI20" i="15"/>
  <c r="AH50" i="15"/>
  <c r="W13" i="16" s="1"/>
  <c r="R54" i="41"/>
  <c r="V54" i="41" s="1"/>
  <c r="W54" i="41" s="1"/>
  <c r="R65" i="41"/>
  <c r="V65" i="41" s="1"/>
  <c r="W65" i="41" s="1"/>
  <c r="R61" i="41"/>
  <c r="V61" i="41" s="1"/>
  <c r="W61" i="41" s="1"/>
  <c r="G100" i="9"/>
  <c r="I184" i="41"/>
  <c r="I45" i="41"/>
  <c r="I115" i="41"/>
  <c r="O115" i="41"/>
  <c r="O45" i="41"/>
  <c r="O184" i="41"/>
  <c r="Z13" i="37"/>
  <c r="M115" i="41"/>
  <c r="M184" i="41"/>
  <c r="M45" i="41"/>
  <c r="K115" i="41"/>
  <c r="K45" i="41"/>
  <c r="K184" i="41"/>
  <c r="R204" i="41"/>
  <c r="V204" i="41" s="1"/>
  <c r="W204" i="41" s="1"/>
  <c r="R136" i="41"/>
  <c r="V136" i="41" s="1"/>
  <c r="W136" i="41" s="1"/>
  <c r="J184" i="41"/>
  <c r="J115" i="41"/>
  <c r="J45" i="41"/>
  <c r="U184" i="41"/>
  <c r="U115" i="41"/>
  <c r="U45" i="41"/>
  <c r="N184" i="41"/>
  <c r="N45" i="41"/>
  <c r="N115" i="41"/>
  <c r="H115" i="41"/>
  <c r="H45" i="41"/>
  <c r="H184" i="41"/>
  <c r="Q115" i="41"/>
  <c r="Q45" i="41"/>
  <c r="Q184" i="41"/>
  <c r="G184" i="41"/>
  <c r="G45" i="41"/>
  <c r="G115" i="41"/>
  <c r="R111" i="42"/>
  <c r="T111" i="42"/>
  <c r="U111" i="42" s="1"/>
  <c r="P115" i="41"/>
  <c r="P184" i="41"/>
  <c r="P45" i="41"/>
  <c r="L45" i="41"/>
  <c r="L115" i="41"/>
  <c r="L184" i="41"/>
  <c r="T45" i="41"/>
  <c r="T184" i="41"/>
  <c r="T115" i="41"/>
  <c r="X23" i="16"/>
  <c r="W23" i="16"/>
  <c r="M233" i="37"/>
  <c r="N229" i="37"/>
  <c r="L234" i="37"/>
  <c r="N217" i="37"/>
  <c r="M232" i="37"/>
  <c r="AI48" i="15" l="1"/>
  <c r="X12" i="16" s="1"/>
  <c r="G60" i="9"/>
  <c r="G74" i="9"/>
  <c r="D110" i="20" s="1"/>
  <c r="R194" i="41"/>
  <c r="V194" i="41" s="1"/>
  <c r="W194" i="41" s="1"/>
  <c r="R46" i="41"/>
  <c r="V46" i="41" s="1"/>
  <c r="W46" i="41" s="1"/>
  <c r="G63" i="9"/>
  <c r="M91" i="20" s="1"/>
  <c r="Z63" i="37"/>
  <c r="G65" i="9"/>
  <c r="H93" i="20" s="1"/>
  <c r="G91" i="9"/>
  <c r="O91" i="9" s="1"/>
  <c r="G59" i="9"/>
  <c r="D24" i="40" s="1"/>
  <c r="O145" i="19"/>
  <c r="O146" i="19" s="1"/>
  <c r="O152" i="19" s="1"/>
  <c r="O161" i="19" s="1"/>
  <c r="O163" i="19" s="1"/>
  <c r="F114" i="9"/>
  <c r="F121" i="9" s="1"/>
  <c r="F124" i="9" s="1"/>
  <c r="R125" i="41"/>
  <c r="V125" i="41" s="1"/>
  <c r="W125" i="41" s="1"/>
  <c r="K145" i="19"/>
  <c r="K146" i="19" s="1"/>
  <c r="K152" i="19" s="1"/>
  <c r="K161" i="19" s="1"/>
  <c r="K163" i="19" s="1"/>
  <c r="X63" i="37"/>
  <c r="D145" i="19"/>
  <c r="D146" i="19" s="1"/>
  <c r="D152" i="19" s="1"/>
  <c r="M145" i="19"/>
  <c r="M146" i="19" s="1"/>
  <c r="M152" i="19" s="1"/>
  <c r="M161" i="19" s="1"/>
  <c r="M163" i="19" s="1"/>
  <c r="G145" i="19"/>
  <c r="G146" i="19" s="1"/>
  <c r="G152" i="19" s="1"/>
  <c r="G161" i="19" s="1"/>
  <c r="G163" i="19" s="1"/>
  <c r="H145" i="19"/>
  <c r="H146" i="19" s="1"/>
  <c r="H152" i="19" s="1"/>
  <c r="H161" i="19" s="1"/>
  <c r="H163" i="19" s="1"/>
  <c r="L145" i="19"/>
  <c r="L146" i="19" s="1"/>
  <c r="L152" i="19" s="1"/>
  <c r="L161" i="19" s="1"/>
  <c r="L163" i="19" s="1"/>
  <c r="F145" i="19"/>
  <c r="F146" i="19" s="1"/>
  <c r="F152" i="19" s="1"/>
  <c r="F161" i="19" s="1"/>
  <c r="F163" i="19" s="1"/>
  <c r="J145" i="19"/>
  <c r="J146" i="19" s="1"/>
  <c r="J152" i="19" s="1"/>
  <c r="J161" i="19" s="1"/>
  <c r="J163" i="19" s="1"/>
  <c r="I145" i="19"/>
  <c r="I146" i="19" s="1"/>
  <c r="I152" i="19" s="1"/>
  <c r="I161" i="19" s="1"/>
  <c r="I163" i="19" s="1"/>
  <c r="E145" i="19"/>
  <c r="E146" i="19" s="1"/>
  <c r="E152" i="19" s="1"/>
  <c r="E161" i="19" s="1"/>
  <c r="E163" i="19" s="1"/>
  <c r="K50" i="15"/>
  <c r="E52" i="15"/>
  <c r="E113" i="9" s="1"/>
  <c r="G145" i="18" s="1"/>
  <c r="G95" i="9"/>
  <c r="K128" i="20" s="1"/>
  <c r="G88" i="9"/>
  <c r="L124" i="20" s="1"/>
  <c r="G90" i="9"/>
  <c r="D47" i="40" s="1"/>
  <c r="G101" i="9"/>
  <c r="G133" i="20" s="1"/>
  <c r="G103" i="9"/>
  <c r="D135" i="20" s="1"/>
  <c r="G87" i="9"/>
  <c r="D44" i="40" s="1"/>
  <c r="G61" i="9"/>
  <c r="F90" i="20" s="1"/>
  <c r="G92" i="9"/>
  <c r="M126" i="20" s="1"/>
  <c r="G68" i="9"/>
  <c r="L95" i="20" s="1"/>
  <c r="G106" i="9"/>
  <c r="G138" i="20" s="1"/>
  <c r="G105" i="9"/>
  <c r="H137" i="20" s="1"/>
  <c r="G76" i="9"/>
  <c r="G81" i="9"/>
  <c r="H117" i="20" s="1"/>
  <c r="G94" i="9"/>
  <c r="O94" i="9" s="1"/>
  <c r="G98" i="9"/>
  <c r="I130" i="20" s="1"/>
  <c r="G109" i="9"/>
  <c r="G141" i="20" s="1"/>
  <c r="G78" i="9"/>
  <c r="M114" i="20" s="1"/>
  <c r="G107" i="9"/>
  <c r="F139" i="20" s="1"/>
  <c r="G79" i="9"/>
  <c r="L115" i="20" s="1"/>
  <c r="G85" i="9"/>
  <c r="L121" i="20" s="1"/>
  <c r="G80" i="9"/>
  <c r="O116" i="20" s="1"/>
  <c r="G82" i="9"/>
  <c r="J118" i="20" s="1"/>
  <c r="G96" i="9"/>
  <c r="O96" i="9" s="1"/>
  <c r="G75" i="9"/>
  <c r="I111" i="20" s="1"/>
  <c r="G66" i="9"/>
  <c r="J94" i="20" s="1"/>
  <c r="G77" i="9"/>
  <c r="M113" i="20" s="1"/>
  <c r="G67" i="9"/>
  <c r="O67" i="9" s="1"/>
  <c r="G102" i="9"/>
  <c r="O102" i="9" s="1"/>
  <c r="G73" i="9"/>
  <c r="E109" i="20" s="1"/>
  <c r="G58" i="9"/>
  <c r="N89" i="20" s="1"/>
  <c r="G104" i="9"/>
  <c r="I136" i="20" s="1"/>
  <c r="G108" i="9"/>
  <c r="N140" i="20" s="1"/>
  <c r="G83" i="9"/>
  <c r="L119" i="20" s="1"/>
  <c r="G86" i="9"/>
  <c r="H122" i="20" s="1"/>
  <c r="G93" i="9"/>
  <c r="O93" i="9" s="1"/>
  <c r="G113" i="9"/>
  <c r="F145" i="20" s="1"/>
  <c r="F146" i="20" s="1"/>
  <c r="G84" i="9"/>
  <c r="O84" i="9" s="1"/>
  <c r="L26" i="50"/>
  <c r="P26" i="34" s="1"/>
  <c r="G24" i="50"/>
  <c r="K24" i="34" s="1"/>
  <c r="F26" i="50"/>
  <c r="J26" i="34" s="1"/>
  <c r="M29" i="50"/>
  <c r="Q29" i="34" s="1"/>
  <c r="H26" i="50"/>
  <c r="L26" i="34" s="1"/>
  <c r="K28" i="50"/>
  <c r="O28" i="34" s="1"/>
  <c r="C32" i="50"/>
  <c r="G32" i="34" s="1"/>
  <c r="G28" i="50"/>
  <c r="K28" i="34" s="1"/>
  <c r="N24" i="50"/>
  <c r="L32" i="50"/>
  <c r="P32" i="34" s="1"/>
  <c r="N23" i="50"/>
  <c r="F29" i="50"/>
  <c r="J29" i="34" s="1"/>
  <c r="E24" i="50"/>
  <c r="I24" i="34" s="1"/>
  <c r="I29" i="50"/>
  <c r="M29" i="34" s="1"/>
  <c r="J30" i="50"/>
  <c r="N30" i="34" s="1"/>
  <c r="N30" i="50"/>
  <c r="I28" i="50"/>
  <c r="M28" i="34" s="1"/>
  <c r="D26" i="50"/>
  <c r="H26" i="34" s="1"/>
  <c r="D27" i="50"/>
  <c r="H27" i="34" s="1"/>
  <c r="K23" i="50"/>
  <c r="O23" i="34" s="1"/>
  <c r="G27" i="50"/>
  <c r="K27" i="34" s="1"/>
  <c r="E23" i="50"/>
  <c r="I23" i="34" s="1"/>
  <c r="K30" i="50"/>
  <c r="O30" i="34" s="1"/>
  <c r="E29" i="50"/>
  <c r="I29" i="34" s="1"/>
  <c r="L25" i="50"/>
  <c r="P25" i="34" s="1"/>
  <c r="J24" i="50"/>
  <c r="N24" i="34" s="1"/>
  <c r="C30" i="50"/>
  <c r="G30" i="34" s="1"/>
  <c r="M24" i="50"/>
  <c r="Q24" i="34" s="1"/>
  <c r="G30" i="50"/>
  <c r="K30" i="34" s="1"/>
  <c r="J31" i="50"/>
  <c r="N31" i="34" s="1"/>
  <c r="K31" i="50"/>
  <c r="O31" i="34" s="1"/>
  <c r="M27" i="50"/>
  <c r="Q27" i="34" s="1"/>
  <c r="C28" i="50"/>
  <c r="G28" i="34" s="1"/>
  <c r="I24" i="50"/>
  <c r="M24" i="34" s="1"/>
  <c r="G32" i="50"/>
  <c r="K32" i="34" s="1"/>
  <c r="F28" i="50"/>
  <c r="J28" i="34" s="1"/>
  <c r="M25" i="50"/>
  <c r="Q25" i="34" s="1"/>
  <c r="C23" i="50"/>
  <c r="G23" i="34" s="1"/>
  <c r="E30" i="50"/>
  <c r="I30" i="34" s="1"/>
  <c r="K26" i="50"/>
  <c r="O26" i="34" s="1"/>
  <c r="C25" i="50"/>
  <c r="G25" i="34" s="1"/>
  <c r="F25" i="50"/>
  <c r="J25" i="34" s="1"/>
  <c r="M30" i="50"/>
  <c r="Q30" i="34" s="1"/>
  <c r="I25" i="50"/>
  <c r="M25" i="34" s="1"/>
  <c r="E31" i="50"/>
  <c r="I31" i="34" s="1"/>
  <c r="N31" i="50"/>
  <c r="H52" i="15"/>
  <c r="H60" i="9" s="1"/>
  <c r="J25" i="40" s="1"/>
  <c r="AI52" i="50"/>
  <c r="I52" i="50" s="1"/>
  <c r="AM51" i="50"/>
  <c r="M51" i="50" s="1"/>
  <c r="AE51" i="50"/>
  <c r="E51" i="50" s="1"/>
  <c r="AI50" i="50"/>
  <c r="I50" i="50" s="1"/>
  <c r="M22" i="34" s="1"/>
  <c r="AM49" i="50"/>
  <c r="M49" i="50" s="1"/>
  <c r="Q21" i="34" s="1"/>
  <c r="AE49" i="50"/>
  <c r="E49" i="50" s="1"/>
  <c r="I21" i="34" s="1"/>
  <c r="AI48" i="50"/>
  <c r="I48" i="50" s="1"/>
  <c r="M20" i="34" s="1"/>
  <c r="AM47" i="50"/>
  <c r="M47" i="50" s="1"/>
  <c r="Q19" i="34" s="1"/>
  <c r="AE47" i="50"/>
  <c r="E47" i="50" s="1"/>
  <c r="I19" i="34" s="1"/>
  <c r="AI46" i="50"/>
  <c r="I46" i="50" s="1"/>
  <c r="M18" i="34" s="1"/>
  <c r="AM45" i="50"/>
  <c r="M45" i="50" s="1"/>
  <c r="Q17" i="34" s="1"/>
  <c r="AE45" i="50"/>
  <c r="E45" i="50" s="1"/>
  <c r="I17" i="34" s="1"/>
  <c r="AI44" i="50"/>
  <c r="I44" i="50" s="1"/>
  <c r="M16" i="34" s="1"/>
  <c r="AM43" i="50"/>
  <c r="M43" i="50" s="1"/>
  <c r="Q15" i="34" s="1"/>
  <c r="AE43" i="50"/>
  <c r="E43" i="50" s="1"/>
  <c r="I15" i="34" s="1"/>
  <c r="AI42" i="50"/>
  <c r="I42" i="50" s="1"/>
  <c r="M14" i="34" s="1"/>
  <c r="AN52" i="50"/>
  <c r="N52" i="50" s="1"/>
  <c r="AF52" i="50"/>
  <c r="AJ51" i="50"/>
  <c r="J51" i="50" s="1"/>
  <c r="AN50" i="50"/>
  <c r="N50" i="50" s="1"/>
  <c r="AF50" i="50"/>
  <c r="AJ49" i="50"/>
  <c r="J49" i="50" s="1"/>
  <c r="N21" i="34" s="1"/>
  <c r="AN48" i="50"/>
  <c r="N48" i="50" s="1"/>
  <c r="AF48" i="50"/>
  <c r="AJ47" i="50"/>
  <c r="J47" i="50" s="1"/>
  <c r="N19" i="34" s="1"/>
  <c r="AN46" i="50"/>
  <c r="N46" i="50" s="1"/>
  <c r="AF46" i="50"/>
  <c r="F46" i="50" s="1"/>
  <c r="J18" i="34" s="1"/>
  <c r="AJ45" i="50"/>
  <c r="J45" i="50" s="1"/>
  <c r="N17" i="34" s="1"/>
  <c r="AN44" i="50"/>
  <c r="N44" i="50" s="1"/>
  <c r="AF44" i="50"/>
  <c r="F44" i="50" s="1"/>
  <c r="J16" i="34" s="1"/>
  <c r="AJ43" i="50"/>
  <c r="J43" i="50" s="1"/>
  <c r="N15" i="34" s="1"/>
  <c r="AN42" i="50"/>
  <c r="N42" i="50" s="1"/>
  <c r="AF42" i="50"/>
  <c r="F42" i="50" s="1"/>
  <c r="J14" i="34" s="1"/>
  <c r="AJ41" i="50"/>
  <c r="J41" i="50" s="1"/>
  <c r="N13" i="34" s="1"/>
  <c r="AM52" i="50"/>
  <c r="M52" i="50" s="1"/>
  <c r="AE52" i="50"/>
  <c r="E52" i="50" s="1"/>
  <c r="AI51" i="50"/>
  <c r="I51" i="50" s="1"/>
  <c r="AM50" i="50"/>
  <c r="M50" i="50" s="1"/>
  <c r="Q22" i="34" s="1"/>
  <c r="AE50" i="50"/>
  <c r="E50" i="50" s="1"/>
  <c r="I22" i="34" s="1"/>
  <c r="AI49" i="50"/>
  <c r="I49" i="50" s="1"/>
  <c r="M21" i="34" s="1"/>
  <c r="AM48" i="50"/>
  <c r="M48" i="50" s="1"/>
  <c r="Q20" i="34" s="1"/>
  <c r="AE48" i="50"/>
  <c r="E48" i="50" s="1"/>
  <c r="I20" i="34" s="1"/>
  <c r="AI47" i="50"/>
  <c r="I47" i="50" s="1"/>
  <c r="M19" i="34" s="1"/>
  <c r="AM46" i="50"/>
  <c r="M46" i="50" s="1"/>
  <c r="Q18" i="34" s="1"/>
  <c r="AE46" i="50"/>
  <c r="E46" i="50" s="1"/>
  <c r="I18" i="34" s="1"/>
  <c r="AI45" i="50"/>
  <c r="I45" i="50" s="1"/>
  <c r="M17" i="34" s="1"/>
  <c r="AM44" i="50"/>
  <c r="M44" i="50" s="1"/>
  <c r="Q16" i="34" s="1"/>
  <c r="AE44" i="50"/>
  <c r="E44" i="50" s="1"/>
  <c r="I16" i="34" s="1"/>
  <c r="AI43" i="50"/>
  <c r="I43" i="50" s="1"/>
  <c r="M15" i="34" s="1"/>
  <c r="AM42" i="50"/>
  <c r="M42" i="50" s="1"/>
  <c r="Q14" i="34" s="1"/>
  <c r="AJ52" i="50"/>
  <c r="J52" i="50" s="1"/>
  <c r="AN51" i="50"/>
  <c r="N51" i="50" s="1"/>
  <c r="AF51" i="50"/>
  <c r="AJ50" i="50"/>
  <c r="J50" i="50" s="1"/>
  <c r="N22" i="34" s="1"/>
  <c r="AN49" i="50"/>
  <c r="N49" i="50" s="1"/>
  <c r="AF49" i="50"/>
  <c r="AJ48" i="50"/>
  <c r="J48" i="50" s="1"/>
  <c r="N20" i="34" s="1"/>
  <c r="AN47" i="50"/>
  <c r="N47" i="50" s="1"/>
  <c r="AF47" i="50"/>
  <c r="F47" i="50" s="1"/>
  <c r="J19" i="34" s="1"/>
  <c r="AJ46" i="50"/>
  <c r="J46" i="50" s="1"/>
  <c r="N18" i="34" s="1"/>
  <c r="AN45" i="50"/>
  <c r="N45" i="50" s="1"/>
  <c r="AF45" i="50"/>
  <c r="F45" i="50" s="1"/>
  <c r="J17" i="34" s="1"/>
  <c r="AJ44" i="50"/>
  <c r="J44" i="50" s="1"/>
  <c r="N16" i="34" s="1"/>
  <c r="AN43" i="50"/>
  <c r="N43" i="50" s="1"/>
  <c r="AF43" i="50"/>
  <c r="F43" i="50" s="1"/>
  <c r="J15" i="34" s="1"/>
  <c r="AJ42" i="50"/>
  <c r="J42" i="50" s="1"/>
  <c r="N14" i="34" s="1"/>
  <c r="AN41" i="50"/>
  <c r="N41" i="50" s="1"/>
  <c r="AF41" i="50"/>
  <c r="F41" i="50" s="1"/>
  <c r="J13" i="34" s="1"/>
  <c r="AC52" i="50"/>
  <c r="C52" i="50" s="1"/>
  <c r="AK50" i="50"/>
  <c r="K50" i="50" s="1"/>
  <c r="O22" i="34" s="1"/>
  <c r="AG49" i="50"/>
  <c r="G49" i="50" s="1"/>
  <c r="K21" i="34" s="1"/>
  <c r="AC48" i="50"/>
  <c r="C48" i="50" s="1"/>
  <c r="G20" i="34" s="1"/>
  <c r="AK46" i="50"/>
  <c r="K46" i="50" s="1"/>
  <c r="O18" i="34" s="1"/>
  <c r="AG45" i="50"/>
  <c r="G45" i="50" s="1"/>
  <c r="K17" i="34" s="1"/>
  <c r="AC44" i="50"/>
  <c r="C44" i="50" s="1"/>
  <c r="G16" i="34" s="1"/>
  <c r="AK42" i="50"/>
  <c r="K42" i="50" s="1"/>
  <c r="O14" i="34" s="1"/>
  <c r="AK41" i="50"/>
  <c r="K41" i="50" s="1"/>
  <c r="O13" i="34" s="1"/>
  <c r="AL52" i="50"/>
  <c r="L52" i="50" s="1"/>
  <c r="AH51" i="50"/>
  <c r="AD50" i="50"/>
  <c r="AL48" i="50"/>
  <c r="L48" i="50" s="1"/>
  <c r="P20" i="34" s="1"/>
  <c r="AH47" i="50"/>
  <c r="H47" i="50" s="1"/>
  <c r="L19" i="34" s="1"/>
  <c r="AD46" i="50"/>
  <c r="D46" i="50" s="1"/>
  <c r="H18" i="34" s="1"/>
  <c r="AL44" i="50"/>
  <c r="L44" i="50" s="1"/>
  <c r="P16" i="34" s="1"/>
  <c r="AH43" i="50"/>
  <c r="H43" i="50" s="1"/>
  <c r="L15" i="34" s="1"/>
  <c r="AE42" i="50"/>
  <c r="E42" i="50" s="1"/>
  <c r="I14" i="34" s="1"/>
  <c r="AG41" i="50"/>
  <c r="G41" i="50" s="1"/>
  <c r="K13" i="34" s="1"/>
  <c r="AG51" i="50"/>
  <c r="G51" i="50" s="1"/>
  <c r="AK49" i="50"/>
  <c r="K49" i="50" s="1"/>
  <c r="O21" i="34" s="1"/>
  <c r="AL47" i="50"/>
  <c r="L47" i="50" s="1"/>
  <c r="P19" i="34" s="1"/>
  <c r="AC46" i="50"/>
  <c r="C46" i="50" s="1"/>
  <c r="G18" i="34" s="1"/>
  <c r="AG44" i="50"/>
  <c r="G44" i="50" s="1"/>
  <c r="K16" i="34" s="1"/>
  <c r="AD51" i="50"/>
  <c r="AH49" i="50"/>
  <c r="AK47" i="50"/>
  <c r="K47" i="50" s="1"/>
  <c r="O19" i="34" s="1"/>
  <c r="AL45" i="50"/>
  <c r="L45" i="50" s="1"/>
  <c r="P17" i="34" s="1"/>
  <c r="AD44" i="50"/>
  <c r="D44" i="50" s="1"/>
  <c r="H16" i="34" s="1"/>
  <c r="AG42" i="50"/>
  <c r="G42" i="50" s="1"/>
  <c r="K14" i="34" s="1"/>
  <c r="AD41" i="50"/>
  <c r="D41" i="50" s="1"/>
  <c r="H13" i="34" s="1"/>
  <c r="AK52" i="50"/>
  <c r="K52" i="50" s="1"/>
  <c r="AC51" i="50"/>
  <c r="C51" i="50" s="1"/>
  <c r="AD49" i="50"/>
  <c r="AG47" i="50"/>
  <c r="G47" i="50" s="1"/>
  <c r="K19" i="34" s="1"/>
  <c r="AK45" i="50"/>
  <c r="K45" i="50" s="1"/>
  <c r="O17" i="34" s="1"/>
  <c r="AL43" i="50"/>
  <c r="L43" i="50" s="1"/>
  <c r="P15" i="34" s="1"/>
  <c r="AD42" i="50"/>
  <c r="D42" i="50" s="1"/>
  <c r="H14" i="34" s="1"/>
  <c r="AC41" i="50"/>
  <c r="C41" i="50" s="1"/>
  <c r="G13" i="34" s="1"/>
  <c r="AH46" i="50"/>
  <c r="H46" i="50" s="1"/>
  <c r="L18" i="34" s="1"/>
  <c r="AI41" i="50"/>
  <c r="I41" i="50" s="1"/>
  <c r="M13" i="34" s="1"/>
  <c r="AL49" i="50"/>
  <c r="L49" i="50" s="1"/>
  <c r="P21" i="34" s="1"/>
  <c r="AG46" i="50"/>
  <c r="G46" i="50" s="1"/>
  <c r="K18" i="34" s="1"/>
  <c r="AL42" i="50"/>
  <c r="L42" i="50" s="1"/>
  <c r="P14" i="34" s="1"/>
  <c r="AE41" i="50"/>
  <c r="E41" i="50" s="1"/>
  <c r="I13" i="34" s="1"/>
  <c r="AH52" i="50"/>
  <c r="AL50" i="50"/>
  <c r="L50" i="50" s="1"/>
  <c r="P22" i="34" s="1"/>
  <c r="AC49" i="50"/>
  <c r="C49" i="50" s="1"/>
  <c r="G21" i="34" s="1"/>
  <c r="AD47" i="50"/>
  <c r="D47" i="50" s="1"/>
  <c r="H19" i="34" s="1"/>
  <c r="AH45" i="50"/>
  <c r="H45" i="50" s="1"/>
  <c r="L17" i="34" s="1"/>
  <c r="AK43" i="50"/>
  <c r="K43" i="50" s="1"/>
  <c r="O15" i="34" s="1"/>
  <c r="AC42" i="50"/>
  <c r="C42" i="50" s="1"/>
  <c r="G14" i="34" s="1"/>
  <c r="AK44" i="50"/>
  <c r="K44" i="50" s="1"/>
  <c r="O16" i="34" s="1"/>
  <c r="AG52" i="50"/>
  <c r="G52" i="50" s="1"/>
  <c r="AH50" i="50"/>
  <c r="AK48" i="50"/>
  <c r="K48" i="50" s="1"/>
  <c r="O20" i="34" s="1"/>
  <c r="AC47" i="50"/>
  <c r="C47" i="50" s="1"/>
  <c r="G19" i="34" s="1"/>
  <c r="AD45" i="50"/>
  <c r="D45" i="50" s="1"/>
  <c r="H17" i="34" s="1"/>
  <c r="AG43" i="50"/>
  <c r="G43" i="50" s="1"/>
  <c r="K15" i="34" s="1"/>
  <c r="AM41" i="50"/>
  <c r="M41" i="50" s="1"/>
  <c r="Q13" i="34" s="1"/>
  <c r="AD52" i="50"/>
  <c r="AG50" i="50"/>
  <c r="G50" i="50" s="1"/>
  <c r="K22" i="34" s="1"/>
  <c r="AH48" i="50"/>
  <c r="AL46" i="50"/>
  <c r="L46" i="50" s="1"/>
  <c r="P18" i="34" s="1"/>
  <c r="AC45" i="50"/>
  <c r="C45" i="50" s="1"/>
  <c r="G17" i="34" s="1"/>
  <c r="AD43" i="50"/>
  <c r="D43" i="50" s="1"/>
  <c r="H15" i="34" s="1"/>
  <c r="AL41" i="50"/>
  <c r="L41" i="50" s="1"/>
  <c r="P13" i="34" s="1"/>
  <c r="AL51" i="50"/>
  <c r="L51" i="50" s="1"/>
  <c r="AC50" i="50"/>
  <c r="C50" i="50" s="1"/>
  <c r="G22" i="34" s="1"/>
  <c r="AG48" i="50"/>
  <c r="G48" i="50" s="1"/>
  <c r="K20" i="34" s="1"/>
  <c r="AC43" i="50"/>
  <c r="C43" i="50" s="1"/>
  <c r="G15" i="34" s="1"/>
  <c r="AK51" i="50"/>
  <c r="K51" i="50" s="1"/>
  <c r="AD48" i="50"/>
  <c r="AH44" i="50"/>
  <c r="H44" i="50" s="1"/>
  <c r="L16" i="34" s="1"/>
  <c r="AH41" i="50"/>
  <c r="H41" i="50" s="1"/>
  <c r="L13" i="34" s="1"/>
  <c r="AH42" i="50"/>
  <c r="H42" i="50" s="1"/>
  <c r="L14" i="34" s="1"/>
  <c r="F24" i="50"/>
  <c r="J24" i="34" s="1"/>
  <c r="K29" i="50"/>
  <c r="O29" i="34" s="1"/>
  <c r="N28" i="50"/>
  <c r="H25" i="50"/>
  <c r="L25" i="34" s="1"/>
  <c r="D29" i="50"/>
  <c r="H29" i="34" s="1"/>
  <c r="K27" i="50"/>
  <c r="O27" i="34" s="1"/>
  <c r="H23" i="50"/>
  <c r="L23" i="34" s="1"/>
  <c r="M23" i="50"/>
  <c r="Q23" i="34" s="1"/>
  <c r="J27" i="50"/>
  <c r="N27" i="34" s="1"/>
  <c r="H29" i="50"/>
  <c r="L29" i="34" s="1"/>
  <c r="N25" i="50"/>
  <c r="L31" i="50"/>
  <c r="P31" i="34" s="1"/>
  <c r="E26" i="50"/>
  <c r="I26" i="34" s="1"/>
  <c r="J32" i="50"/>
  <c r="N32" i="34" s="1"/>
  <c r="N32" i="50"/>
  <c r="C26" i="50"/>
  <c r="G26" i="34" s="1"/>
  <c r="E33" i="50"/>
  <c r="L29" i="50"/>
  <c r="P29" i="34" s="1"/>
  <c r="G26" i="50"/>
  <c r="K26" i="34" s="1"/>
  <c r="I30" i="50"/>
  <c r="M30" i="34" s="1"/>
  <c r="E25" i="50"/>
  <c r="I25" i="34" s="1"/>
  <c r="L24" i="50"/>
  <c r="P24" i="34" s="1"/>
  <c r="I32" i="50"/>
  <c r="M32" i="34" s="1"/>
  <c r="H28" i="50"/>
  <c r="L28" i="34" s="1"/>
  <c r="J26" i="50"/>
  <c r="N26" i="34" s="1"/>
  <c r="K32" i="50"/>
  <c r="O32" i="34" s="1"/>
  <c r="M26" i="50"/>
  <c r="Q26" i="34" s="1"/>
  <c r="C33" i="50"/>
  <c r="J33" i="50"/>
  <c r="L27" i="50"/>
  <c r="P27" i="34" s="1"/>
  <c r="J23" i="50"/>
  <c r="N23" i="34" s="1"/>
  <c r="C31" i="50"/>
  <c r="G31" i="34" s="1"/>
  <c r="E27" i="50"/>
  <c r="I27" i="34" s="1"/>
  <c r="L23" i="50"/>
  <c r="P23" i="34" s="1"/>
  <c r="G31" i="50"/>
  <c r="K31" i="34" s="1"/>
  <c r="G23" i="50"/>
  <c r="K23" i="34" s="1"/>
  <c r="C27" i="50"/>
  <c r="G27" i="34" s="1"/>
  <c r="K25" i="50"/>
  <c r="O25" i="34" s="1"/>
  <c r="L33" i="50"/>
  <c r="G29" i="50"/>
  <c r="K29" i="34" s="1"/>
  <c r="M32" i="50"/>
  <c r="Q32" i="34" s="1"/>
  <c r="F27" i="50"/>
  <c r="J27" i="34" s="1"/>
  <c r="I33" i="50"/>
  <c r="I27" i="50"/>
  <c r="M27" i="34" s="1"/>
  <c r="M33" i="50"/>
  <c r="N33" i="50"/>
  <c r="J29" i="50"/>
  <c r="N29" i="34" s="1"/>
  <c r="H24" i="50"/>
  <c r="L24" i="34" s="1"/>
  <c r="E32" i="50"/>
  <c r="I32" i="34" s="1"/>
  <c r="D28" i="50"/>
  <c r="H28" i="34" s="1"/>
  <c r="K24" i="50"/>
  <c r="O24" i="34" s="1"/>
  <c r="D25" i="50"/>
  <c r="H25" i="34" s="1"/>
  <c r="L28" i="50"/>
  <c r="P28" i="34" s="1"/>
  <c r="I26" i="50"/>
  <c r="M26" i="34" s="1"/>
  <c r="D23" i="50"/>
  <c r="H23" i="34" s="1"/>
  <c r="M31" i="50"/>
  <c r="Q31" i="34" s="1"/>
  <c r="N27" i="50"/>
  <c r="E28" i="50"/>
  <c r="I28" i="34" s="1"/>
  <c r="I52" i="15"/>
  <c r="AI70" i="50"/>
  <c r="I70" i="50" s="1"/>
  <c r="AM69" i="50"/>
  <c r="M69" i="50" s="1"/>
  <c r="AE69" i="50"/>
  <c r="E69" i="50" s="1"/>
  <c r="AI68" i="50"/>
  <c r="I68" i="50" s="1"/>
  <c r="M12" i="34" s="1"/>
  <c r="AM67" i="50"/>
  <c r="M67" i="50" s="1"/>
  <c r="Q11" i="34" s="1"/>
  <c r="AE67" i="50"/>
  <c r="E67" i="50" s="1"/>
  <c r="I11" i="34" s="1"/>
  <c r="AI66" i="50"/>
  <c r="I66" i="50" s="1"/>
  <c r="M10" i="34" s="1"/>
  <c r="AM65" i="50"/>
  <c r="M65" i="50" s="1"/>
  <c r="Q9" i="34" s="1"/>
  <c r="AE65" i="50"/>
  <c r="E65" i="50" s="1"/>
  <c r="I9" i="34" s="1"/>
  <c r="AI64" i="50"/>
  <c r="I64" i="50" s="1"/>
  <c r="M8" i="34" s="1"/>
  <c r="AM63" i="50"/>
  <c r="M63" i="50" s="1"/>
  <c r="Q7" i="34" s="1"/>
  <c r="AE63" i="50"/>
  <c r="E63" i="50" s="1"/>
  <c r="I7" i="34" s="1"/>
  <c r="AI62" i="50"/>
  <c r="I62" i="50" s="1"/>
  <c r="M6" i="34" s="1"/>
  <c r="AM61" i="50"/>
  <c r="M61" i="50" s="1"/>
  <c r="Q5" i="34" s="1"/>
  <c r="AE61" i="50"/>
  <c r="E61" i="50" s="1"/>
  <c r="I5" i="34" s="1"/>
  <c r="AI60" i="50"/>
  <c r="I60" i="50" s="1"/>
  <c r="M4" i="34" s="1"/>
  <c r="AM59" i="50"/>
  <c r="M59" i="50" s="1"/>
  <c r="Q3" i="34" s="1"/>
  <c r="AE59" i="50"/>
  <c r="E59" i="50" s="1"/>
  <c r="I3" i="34" s="1"/>
  <c r="AN70" i="50"/>
  <c r="N70" i="50" s="1"/>
  <c r="AF70" i="50"/>
  <c r="F70" i="50" s="1"/>
  <c r="AJ69" i="50"/>
  <c r="J69" i="50" s="1"/>
  <c r="AN68" i="50"/>
  <c r="N68" i="50" s="1"/>
  <c r="AF68" i="50"/>
  <c r="F68" i="50" s="1"/>
  <c r="J12" i="34" s="1"/>
  <c r="AJ67" i="50"/>
  <c r="J67" i="50" s="1"/>
  <c r="N11" i="34" s="1"/>
  <c r="AN66" i="50"/>
  <c r="N66" i="50" s="1"/>
  <c r="AF66" i="50"/>
  <c r="F66" i="50" s="1"/>
  <c r="J10" i="34" s="1"/>
  <c r="AJ65" i="50"/>
  <c r="J65" i="50" s="1"/>
  <c r="N9" i="34" s="1"/>
  <c r="AN64" i="50"/>
  <c r="N64" i="50" s="1"/>
  <c r="AF64" i="50"/>
  <c r="F64" i="50" s="1"/>
  <c r="J8" i="34" s="1"/>
  <c r="AJ63" i="50"/>
  <c r="J63" i="50" s="1"/>
  <c r="N7" i="34" s="1"/>
  <c r="AN62" i="50"/>
  <c r="N62" i="50" s="1"/>
  <c r="AF62" i="50"/>
  <c r="F62" i="50" s="1"/>
  <c r="J6" i="34" s="1"/>
  <c r="AJ61" i="50"/>
  <c r="J61" i="50" s="1"/>
  <c r="N5" i="34" s="1"/>
  <c r="AN60" i="50"/>
  <c r="N60" i="50" s="1"/>
  <c r="AF60" i="50"/>
  <c r="F60" i="50" s="1"/>
  <c r="J4" i="34" s="1"/>
  <c r="AJ59" i="50"/>
  <c r="J59" i="50" s="1"/>
  <c r="N3" i="34" s="1"/>
  <c r="AM70" i="50"/>
  <c r="M70" i="50" s="1"/>
  <c r="AE70" i="50"/>
  <c r="E70" i="50" s="1"/>
  <c r="AI69" i="50"/>
  <c r="I69" i="50" s="1"/>
  <c r="AM68" i="50"/>
  <c r="M68" i="50" s="1"/>
  <c r="Q12" i="34" s="1"/>
  <c r="AE68" i="50"/>
  <c r="E68" i="50" s="1"/>
  <c r="I12" i="34" s="1"/>
  <c r="AI67" i="50"/>
  <c r="I67" i="50" s="1"/>
  <c r="M11" i="34" s="1"/>
  <c r="AM66" i="50"/>
  <c r="M66" i="50" s="1"/>
  <c r="Q10" i="34" s="1"/>
  <c r="AE66" i="50"/>
  <c r="E66" i="50" s="1"/>
  <c r="I10" i="34" s="1"/>
  <c r="AI65" i="50"/>
  <c r="I65" i="50" s="1"/>
  <c r="M9" i="34" s="1"/>
  <c r="AM64" i="50"/>
  <c r="M64" i="50" s="1"/>
  <c r="Q8" i="34" s="1"/>
  <c r="AE64" i="50"/>
  <c r="E64" i="50" s="1"/>
  <c r="I8" i="34" s="1"/>
  <c r="AI63" i="50"/>
  <c r="I63" i="50" s="1"/>
  <c r="M7" i="34" s="1"/>
  <c r="AM62" i="50"/>
  <c r="M62" i="50" s="1"/>
  <c r="Q6" i="34" s="1"/>
  <c r="AE62" i="50"/>
  <c r="E62" i="50" s="1"/>
  <c r="I6" i="34" s="1"/>
  <c r="AI61" i="50"/>
  <c r="I61" i="50" s="1"/>
  <c r="M5" i="34" s="1"/>
  <c r="AM60" i="50"/>
  <c r="M60" i="50" s="1"/>
  <c r="Q4" i="34" s="1"/>
  <c r="AE60" i="50"/>
  <c r="E60" i="50" s="1"/>
  <c r="I4" i="34" s="1"/>
  <c r="AI59" i="50"/>
  <c r="I59" i="50" s="1"/>
  <c r="M3" i="34" s="1"/>
  <c r="AJ70" i="50"/>
  <c r="J70" i="50" s="1"/>
  <c r="AN69" i="50"/>
  <c r="N69" i="50" s="1"/>
  <c r="AF69" i="50"/>
  <c r="F69" i="50" s="1"/>
  <c r="AJ68" i="50"/>
  <c r="J68" i="50" s="1"/>
  <c r="N12" i="34" s="1"/>
  <c r="AN67" i="50"/>
  <c r="N67" i="50" s="1"/>
  <c r="AF67" i="50"/>
  <c r="F67" i="50" s="1"/>
  <c r="J11" i="34" s="1"/>
  <c r="AJ66" i="50"/>
  <c r="J66" i="50" s="1"/>
  <c r="N10" i="34" s="1"/>
  <c r="AN65" i="50"/>
  <c r="N65" i="50" s="1"/>
  <c r="AF65" i="50"/>
  <c r="F65" i="50" s="1"/>
  <c r="J9" i="34" s="1"/>
  <c r="AJ64" i="50"/>
  <c r="J64" i="50" s="1"/>
  <c r="N8" i="34" s="1"/>
  <c r="AN63" i="50"/>
  <c r="N63" i="50" s="1"/>
  <c r="AF63" i="50"/>
  <c r="F63" i="50" s="1"/>
  <c r="J7" i="34" s="1"/>
  <c r="AJ62" i="50"/>
  <c r="J62" i="50" s="1"/>
  <c r="N6" i="34" s="1"/>
  <c r="AN61" i="50"/>
  <c r="N61" i="50" s="1"/>
  <c r="AF61" i="50"/>
  <c r="F61" i="50" s="1"/>
  <c r="J5" i="34" s="1"/>
  <c r="AJ60" i="50"/>
  <c r="J60" i="50" s="1"/>
  <c r="N4" i="34" s="1"/>
  <c r="AN59" i="50"/>
  <c r="N59" i="50" s="1"/>
  <c r="AF59" i="50"/>
  <c r="F59" i="50" s="1"/>
  <c r="J3" i="34" s="1"/>
  <c r="AC70" i="50"/>
  <c r="C70" i="50" s="1"/>
  <c r="AK68" i="50"/>
  <c r="K68" i="50" s="1"/>
  <c r="O12" i="34" s="1"/>
  <c r="AG67" i="50"/>
  <c r="G67" i="50" s="1"/>
  <c r="K11" i="34" s="1"/>
  <c r="AC66" i="50"/>
  <c r="C66" i="50" s="1"/>
  <c r="G10" i="34" s="1"/>
  <c r="AK64" i="50"/>
  <c r="K64" i="50" s="1"/>
  <c r="O8" i="34" s="1"/>
  <c r="AG63" i="50"/>
  <c r="G63" i="50" s="1"/>
  <c r="K7" i="34" s="1"/>
  <c r="AC62" i="50"/>
  <c r="C62" i="50" s="1"/>
  <c r="G6" i="34" s="1"/>
  <c r="AK60" i="50"/>
  <c r="K60" i="50" s="1"/>
  <c r="O4" i="34" s="1"/>
  <c r="AG59" i="50"/>
  <c r="G59" i="50" s="1"/>
  <c r="K3" i="34" s="1"/>
  <c r="AK69" i="50"/>
  <c r="K69" i="50" s="1"/>
  <c r="AL70" i="50"/>
  <c r="L70" i="50" s="1"/>
  <c r="AH69" i="50"/>
  <c r="H69" i="50" s="1"/>
  <c r="AD68" i="50"/>
  <c r="D68" i="50" s="1"/>
  <c r="H12" i="34" s="1"/>
  <c r="AL66" i="50"/>
  <c r="L66" i="50" s="1"/>
  <c r="P10" i="34" s="1"/>
  <c r="AH65" i="50"/>
  <c r="H65" i="50" s="1"/>
  <c r="L9" i="34" s="1"/>
  <c r="AD64" i="50"/>
  <c r="D64" i="50" s="1"/>
  <c r="H8" i="34" s="1"/>
  <c r="AL62" i="50"/>
  <c r="L62" i="50" s="1"/>
  <c r="P6" i="34" s="1"/>
  <c r="AH61" i="50"/>
  <c r="H61" i="50" s="1"/>
  <c r="L5" i="34" s="1"/>
  <c r="AD60" i="50"/>
  <c r="D60" i="50" s="1"/>
  <c r="H4" i="34" s="1"/>
  <c r="AG66" i="50"/>
  <c r="G66" i="50" s="1"/>
  <c r="K10" i="34" s="1"/>
  <c r="AD70" i="50"/>
  <c r="D70" i="50" s="1"/>
  <c r="AC68" i="50"/>
  <c r="C68" i="50" s="1"/>
  <c r="G12" i="34" s="1"/>
  <c r="AK62" i="50"/>
  <c r="K62" i="50" s="1"/>
  <c r="O6" i="34" s="1"/>
  <c r="AL69" i="50"/>
  <c r="L69" i="50" s="1"/>
  <c r="AL67" i="50"/>
  <c r="L67" i="50" s="1"/>
  <c r="P11" i="34" s="1"/>
  <c r="AD66" i="50"/>
  <c r="D66" i="50" s="1"/>
  <c r="H10" i="34" s="1"/>
  <c r="AG64" i="50"/>
  <c r="G64" i="50" s="1"/>
  <c r="K8" i="34" s="1"/>
  <c r="AH62" i="50"/>
  <c r="H62" i="50" s="1"/>
  <c r="L6" i="34" s="1"/>
  <c r="AL60" i="50"/>
  <c r="L60" i="50" s="1"/>
  <c r="P4" i="34" s="1"/>
  <c r="AC59" i="50"/>
  <c r="C59" i="50" s="1"/>
  <c r="G3" i="34" s="1"/>
  <c r="AG69" i="50"/>
  <c r="G69" i="50" s="1"/>
  <c r="AK67" i="50"/>
  <c r="K67" i="50" s="1"/>
  <c r="O11" i="34" s="1"/>
  <c r="AL65" i="50"/>
  <c r="L65" i="50" s="1"/>
  <c r="P9" i="34" s="1"/>
  <c r="AC64" i="50"/>
  <c r="C64" i="50" s="1"/>
  <c r="G8" i="34" s="1"/>
  <c r="AG62" i="50"/>
  <c r="G62" i="50" s="1"/>
  <c r="K6" i="34" s="1"/>
  <c r="AH60" i="50"/>
  <c r="H60" i="50" s="1"/>
  <c r="L4" i="34" s="1"/>
  <c r="AG70" i="50"/>
  <c r="G70" i="50" s="1"/>
  <c r="AH66" i="50"/>
  <c r="H66" i="50" s="1"/>
  <c r="L10" i="34" s="1"/>
  <c r="AC63" i="50"/>
  <c r="C63" i="50" s="1"/>
  <c r="G7" i="34" s="1"/>
  <c r="AH59" i="50"/>
  <c r="H59" i="50" s="1"/>
  <c r="L3" i="34" s="1"/>
  <c r="AC61" i="50"/>
  <c r="C61" i="50" s="1"/>
  <c r="G5" i="34" s="1"/>
  <c r="AH64" i="50"/>
  <c r="H64" i="50" s="1"/>
  <c r="L8" i="34" s="1"/>
  <c r="AD69" i="50"/>
  <c r="D69" i="50" s="1"/>
  <c r="AH67" i="50"/>
  <c r="H67" i="50" s="1"/>
  <c r="L11" i="34" s="1"/>
  <c r="AK65" i="50"/>
  <c r="K65" i="50" s="1"/>
  <c r="O9" i="34" s="1"/>
  <c r="AL63" i="50"/>
  <c r="L63" i="50" s="1"/>
  <c r="P7" i="34" s="1"/>
  <c r="AD62" i="50"/>
  <c r="D62" i="50" s="1"/>
  <c r="H6" i="34" s="1"/>
  <c r="AG60" i="50"/>
  <c r="G60" i="50" s="1"/>
  <c r="K4" i="34" s="1"/>
  <c r="AC69" i="50"/>
  <c r="C69" i="50" s="1"/>
  <c r="AD67" i="50"/>
  <c r="D67" i="50" s="1"/>
  <c r="H11" i="34" s="1"/>
  <c r="AG65" i="50"/>
  <c r="G65" i="50" s="1"/>
  <c r="K9" i="34" s="1"/>
  <c r="AK63" i="50"/>
  <c r="K63" i="50" s="1"/>
  <c r="O7" i="34" s="1"/>
  <c r="AL61" i="50"/>
  <c r="L61" i="50" s="1"/>
  <c r="P5" i="34" s="1"/>
  <c r="AC60" i="50"/>
  <c r="C60" i="50" s="1"/>
  <c r="G4" i="34" s="1"/>
  <c r="AK70" i="50"/>
  <c r="K70" i="50" s="1"/>
  <c r="AL68" i="50"/>
  <c r="L68" i="50" s="1"/>
  <c r="P12" i="34" s="1"/>
  <c r="AC67" i="50"/>
  <c r="C67" i="50" s="1"/>
  <c r="G11" i="34" s="1"/>
  <c r="AD65" i="50"/>
  <c r="D65" i="50" s="1"/>
  <c r="H9" i="34" s="1"/>
  <c r="AH63" i="50"/>
  <c r="H63" i="50" s="1"/>
  <c r="L7" i="34" s="1"/>
  <c r="AK61" i="50"/>
  <c r="K61" i="50" s="1"/>
  <c r="O5" i="34" s="1"/>
  <c r="AL59" i="50"/>
  <c r="L59" i="50" s="1"/>
  <c r="P3" i="34" s="1"/>
  <c r="AH70" i="50"/>
  <c r="H70" i="50" s="1"/>
  <c r="AH68" i="50"/>
  <c r="H68" i="50" s="1"/>
  <c r="L12" i="34" s="1"/>
  <c r="AK66" i="50"/>
  <c r="K66" i="50" s="1"/>
  <c r="O10" i="34" s="1"/>
  <c r="AC65" i="50"/>
  <c r="C65" i="50" s="1"/>
  <c r="G9" i="34" s="1"/>
  <c r="AD63" i="50"/>
  <c r="D63" i="50" s="1"/>
  <c r="H7" i="34" s="1"/>
  <c r="AG61" i="50"/>
  <c r="G61" i="50" s="1"/>
  <c r="K5" i="34" s="1"/>
  <c r="AK59" i="50"/>
  <c r="K59" i="50" s="1"/>
  <c r="O3" i="34" s="1"/>
  <c r="AG68" i="50"/>
  <c r="G68" i="50" s="1"/>
  <c r="K12" i="34" s="1"/>
  <c r="AL64" i="50"/>
  <c r="L64" i="50" s="1"/>
  <c r="P8" i="34" s="1"/>
  <c r="AD61" i="50"/>
  <c r="D61" i="50" s="1"/>
  <c r="H5" i="34" s="1"/>
  <c r="AD59" i="50"/>
  <c r="D59" i="50" s="1"/>
  <c r="H3" i="34" s="1"/>
  <c r="D24" i="50"/>
  <c r="H24" i="34" s="1"/>
  <c r="G25" i="50"/>
  <c r="K25" i="34" s="1"/>
  <c r="G33" i="50"/>
  <c r="C29" i="50"/>
  <c r="G29" i="34" s="1"/>
  <c r="J25" i="50"/>
  <c r="N25" i="34" s="1"/>
  <c r="K33" i="50"/>
  <c r="N26" i="50"/>
  <c r="L30" i="50"/>
  <c r="P30" i="34" s="1"/>
  <c r="H27" i="50"/>
  <c r="L27" i="34" s="1"/>
  <c r="C24" i="50"/>
  <c r="G24" i="34" s="1"/>
  <c r="I31" i="50"/>
  <c r="M31" i="34" s="1"/>
  <c r="F23" i="50"/>
  <c r="J23" i="34" s="1"/>
  <c r="J28" i="50"/>
  <c r="N28" i="34" s="1"/>
  <c r="I23" i="50"/>
  <c r="M23" i="34" s="1"/>
  <c r="M28" i="50"/>
  <c r="Q28" i="34" s="1"/>
  <c r="N29" i="50"/>
  <c r="U12" i="16"/>
  <c r="AF50" i="15"/>
  <c r="U13" i="16" s="1"/>
  <c r="AD50" i="15"/>
  <c r="S13" i="16" s="1"/>
  <c r="V12" i="16"/>
  <c r="AG50" i="15"/>
  <c r="V13" i="16" s="1"/>
  <c r="V116" i="41"/>
  <c r="W116" i="41" s="1"/>
  <c r="R185" i="41"/>
  <c r="V185" i="41" s="1"/>
  <c r="W185" i="41" s="1"/>
  <c r="V55" i="41"/>
  <c r="W55" i="41" s="1"/>
  <c r="R62" i="41"/>
  <c r="V62" i="41" s="1"/>
  <c r="W62" i="41" s="1"/>
  <c r="R133" i="41"/>
  <c r="V133" i="41" s="1"/>
  <c r="W133" i="41" s="1"/>
  <c r="V201" i="41"/>
  <c r="W201" i="41" s="1"/>
  <c r="X10" i="16"/>
  <c r="AI50" i="15"/>
  <c r="X13" i="16" s="1"/>
  <c r="R115" i="41"/>
  <c r="V115" i="41" s="1"/>
  <c r="W115" i="41" s="1"/>
  <c r="R184" i="41"/>
  <c r="V184" i="41" s="1"/>
  <c r="W184" i="41" s="1"/>
  <c r="L132" i="20"/>
  <c r="H132" i="20"/>
  <c r="N132" i="20"/>
  <c r="O100" i="9"/>
  <c r="M132" i="20"/>
  <c r="K132" i="20"/>
  <c r="E132" i="20"/>
  <c r="G132" i="20"/>
  <c r="D54" i="40"/>
  <c r="J132" i="20"/>
  <c r="F132" i="20"/>
  <c r="I132" i="20"/>
  <c r="D132" i="20"/>
  <c r="O132" i="20"/>
  <c r="O60" i="9"/>
  <c r="D25" i="40"/>
  <c r="R45" i="41"/>
  <c r="V45" i="41" s="1"/>
  <c r="W45" i="41" s="1"/>
  <c r="M234" i="37"/>
  <c r="O217" i="37"/>
  <c r="N232" i="37"/>
  <c r="N233" i="37"/>
  <c r="O229" i="37"/>
  <c r="M112" i="20" l="1"/>
  <c r="G135" i="9"/>
  <c r="D30" i="40"/>
  <c r="H94" i="20"/>
  <c r="O101" i="9"/>
  <c r="D55" i="40"/>
  <c r="J91" i="20"/>
  <c r="L91" i="20"/>
  <c r="L137" i="20"/>
  <c r="E135" i="20"/>
  <c r="O115" i="20"/>
  <c r="N133" i="20"/>
  <c r="F115" i="20"/>
  <c r="O105" i="9"/>
  <c r="M133" i="20"/>
  <c r="M137" i="20"/>
  <c r="O63" i="9"/>
  <c r="H82" i="9"/>
  <c r="G118" i="21" s="1"/>
  <c r="M115" i="20"/>
  <c r="L112" i="20"/>
  <c r="H91" i="20"/>
  <c r="I115" i="20"/>
  <c r="H121" i="20"/>
  <c r="O137" i="20"/>
  <c r="J145" i="20"/>
  <c r="J146" i="20" s="1"/>
  <c r="H135" i="20"/>
  <c r="H93" i="9"/>
  <c r="P93" i="9" s="1"/>
  <c r="U93" i="9" s="1"/>
  <c r="K121" i="20"/>
  <c r="N134" i="20"/>
  <c r="H67" i="9"/>
  <c r="P67" i="9" s="1"/>
  <c r="U67" i="9" s="1"/>
  <c r="H104" i="9"/>
  <c r="G136" i="21" s="1"/>
  <c r="H145" i="20"/>
  <c r="H146" i="20" s="1"/>
  <c r="O135" i="20"/>
  <c r="N121" i="20"/>
  <c r="H90" i="9"/>
  <c r="J47" i="40" s="1"/>
  <c r="K135" i="20"/>
  <c r="D134" i="20"/>
  <c r="G134" i="20"/>
  <c r="O85" i="9"/>
  <c r="E121" i="20"/>
  <c r="K112" i="20"/>
  <c r="J112" i="20"/>
  <c r="E137" i="20"/>
  <c r="O91" i="20"/>
  <c r="N91" i="20"/>
  <c r="H92" i="9"/>
  <c r="I126" i="21" s="1"/>
  <c r="H58" i="9"/>
  <c r="E89" i="21" s="1"/>
  <c r="H59" i="9"/>
  <c r="J24" i="40" s="1"/>
  <c r="H108" i="9"/>
  <c r="F140" i="21" s="1"/>
  <c r="H77" i="9"/>
  <c r="H113" i="21" s="1"/>
  <c r="E145" i="20"/>
  <c r="E146" i="20" s="1"/>
  <c r="F133" i="20"/>
  <c r="D133" i="20"/>
  <c r="J134" i="20"/>
  <c r="J121" i="20"/>
  <c r="O112" i="20"/>
  <c r="I137" i="20"/>
  <c r="H79" i="9"/>
  <c r="K115" i="21" s="1"/>
  <c r="K145" i="20"/>
  <c r="K146" i="20" s="1"/>
  <c r="G114" i="9"/>
  <c r="F22" i="16" s="1"/>
  <c r="J135" i="20"/>
  <c r="E133" i="20"/>
  <c r="N115" i="20"/>
  <c r="J115" i="20"/>
  <c r="O113" i="9"/>
  <c r="L145" i="20"/>
  <c r="L146" i="20" s="1"/>
  <c r="O103" i="9"/>
  <c r="T103" i="9" s="1"/>
  <c r="O133" i="20"/>
  <c r="J133" i="20"/>
  <c r="D115" i="20"/>
  <c r="K115" i="20"/>
  <c r="F134" i="20"/>
  <c r="O134" i="20"/>
  <c r="G121" i="20"/>
  <c r="O121" i="20"/>
  <c r="D36" i="40"/>
  <c r="O76" i="9"/>
  <c r="T76" i="9" s="1"/>
  <c r="F137" i="20"/>
  <c r="E91" i="20"/>
  <c r="D91" i="20"/>
  <c r="H80" i="9"/>
  <c r="P80" i="9" s="1"/>
  <c r="U80" i="9" s="1"/>
  <c r="H81" i="9"/>
  <c r="D117" i="21" s="1"/>
  <c r="H73" i="9"/>
  <c r="D109" i="21" s="1"/>
  <c r="AC75" i="9"/>
  <c r="H107" i="9"/>
  <c r="P107" i="9" s="1"/>
  <c r="U107" i="9" s="1"/>
  <c r="H115" i="20"/>
  <c r="N137" i="20"/>
  <c r="H101" i="9"/>
  <c r="J55" i="40" s="1"/>
  <c r="D56" i="40"/>
  <c r="H113" i="9"/>
  <c r="E145" i="21" s="1"/>
  <c r="E146" i="21" s="1"/>
  <c r="G145" i="20"/>
  <c r="G146" i="20" s="1"/>
  <c r="K91" i="20"/>
  <c r="H65" i="9"/>
  <c r="L93" i="21" s="1"/>
  <c r="H88" i="9"/>
  <c r="L124" i="21" s="1"/>
  <c r="M145" i="20"/>
  <c r="M146" i="20" s="1"/>
  <c r="I145" i="20"/>
  <c r="I146" i="20" s="1"/>
  <c r="M135" i="20"/>
  <c r="G135" i="20"/>
  <c r="H133" i="20"/>
  <c r="K133" i="20"/>
  <c r="E115" i="20"/>
  <c r="H134" i="20"/>
  <c r="K134" i="20"/>
  <c r="F121" i="20"/>
  <c r="H112" i="20"/>
  <c r="K137" i="20"/>
  <c r="H95" i="9"/>
  <c r="G128" i="21" s="1"/>
  <c r="D145" i="20"/>
  <c r="I135" i="20"/>
  <c r="L135" i="20"/>
  <c r="I133" i="20"/>
  <c r="G115" i="20"/>
  <c r="M134" i="20"/>
  <c r="E134" i="20"/>
  <c r="D42" i="40"/>
  <c r="E112" i="20"/>
  <c r="I112" i="20"/>
  <c r="D137" i="20"/>
  <c r="J137" i="20"/>
  <c r="F91" i="20"/>
  <c r="H68" i="9"/>
  <c r="J31" i="40" s="1"/>
  <c r="H84" i="9"/>
  <c r="O120" i="21" s="1"/>
  <c r="H94" i="9"/>
  <c r="K127" i="21" s="1"/>
  <c r="H98" i="9"/>
  <c r="H130" i="21" s="1"/>
  <c r="H109" i="9"/>
  <c r="N141" i="21" s="1"/>
  <c r="I134" i="20"/>
  <c r="M121" i="20"/>
  <c r="F112" i="20"/>
  <c r="H85" i="9"/>
  <c r="J42" i="40" s="1"/>
  <c r="N135" i="20"/>
  <c r="O79" i="9"/>
  <c r="D121" i="20"/>
  <c r="G112" i="20"/>
  <c r="G91" i="20"/>
  <c r="H103" i="9"/>
  <c r="K135" i="21" s="1"/>
  <c r="D112" i="20"/>
  <c r="G137" i="20"/>
  <c r="I91" i="20"/>
  <c r="H61" i="9"/>
  <c r="N90" i="21" s="1"/>
  <c r="H105" i="9"/>
  <c r="E137" i="21" s="1"/>
  <c r="H63" i="9"/>
  <c r="D91" i="21" s="1"/>
  <c r="N145" i="20"/>
  <c r="N146" i="20" s="1"/>
  <c r="L133" i="20"/>
  <c r="O145" i="20"/>
  <c r="O146" i="20" s="1"/>
  <c r="F135" i="20"/>
  <c r="L134" i="20"/>
  <c r="I121" i="20"/>
  <c r="N112" i="20"/>
  <c r="D27" i="40"/>
  <c r="H66" i="9"/>
  <c r="I94" i="21" s="1"/>
  <c r="H106" i="9"/>
  <c r="E138" i="21" s="1"/>
  <c r="H96" i="9"/>
  <c r="P96" i="9" s="1"/>
  <c r="U96" i="9" s="1"/>
  <c r="H100" i="9"/>
  <c r="H74" i="9"/>
  <c r="F110" i="21" s="1"/>
  <c r="I85" i="9"/>
  <c r="G121" i="22" s="1"/>
  <c r="I74" i="9"/>
  <c r="P34" i="40" s="1"/>
  <c r="D128" i="20"/>
  <c r="E125" i="20"/>
  <c r="H86" i="9"/>
  <c r="P86" i="9" s="1"/>
  <c r="U86" i="9" s="1"/>
  <c r="H76" i="9"/>
  <c r="H112" i="21" s="1"/>
  <c r="H87" i="9"/>
  <c r="F123" i="21" s="1"/>
  <c r="H102" i="9"/>
  <c r="M134" i="21" s="1"/>
  <c r="H78" i="9"/>
  <c r="P78" i="9" s="1"/>
  <c r="U78" i="9" s="1"/>
  <c r="H83" i="9"/>
  <c r="K119" i="21" s="1"/>
  <c r="O58" i="9"/>
  <c r="T58" i="9" s="1"/>
  <c r="O65" i="9"/>
  <c r="T65" i="9" s="1"/>
  <c r="I93" i="20"/>
  <c r="E118" i="20"/>
  <c r="G110" i="20"/>
  <c r="J110" i="20"/>
  <c r="N125" i="20"/>
  <c r="J89" i="20"/>
  <c r="E117" i="20"/>
  <c r="E93" i="20"/>
  <c r="N127" i="20"/>
  <c r="D109" i="20"/>
  <c r="J127" i="20"/>
  <c r="D93" i="20"/>
  <c r="I140" i="20"/>
  <c r="D118" i="20"/>
  <c r="G93" i="20"/>
  <c r="G126" i="20"/>
  <c r="J140" i="20"/>
  <c r="D57" i="40"/>
  <c r="F140" i="20"/>
  <c r="M141" i="20"/>
  <c r="N128" i="20"/>
  <c r="J111" i="20"/>
  <c r="N141" i="20"/>
  <c r="G111" i="20"/>
  <c r="O109" i="9"/>
  <c r="H126" i="20"/>
  <c r="O111" i="20"/>
  <c r="O95" i="9"/>
  <c r="N111" i="20"/>
  <c r="AC79" i="9"/>
  <c r="M128" i="20"/>
  <c r="O89" i="20"/>
  <c r="E89" i="20"/>
  <c r="I118" i="20"/>
  <c r="M110" i="20"/>
  <c r="O110" i="20"/>
  <c r="M89" i="20"/>
  <c r="G89" i="20"/>
  <c r="M118" i="20"/>
  <c r="O118" i="20"/>
  <c r="O127" i="20"/>
  <c r="E127" i="20"/>
  <c r="F125" i="20"/>
  <c r="M125" i="20"/>
  <c r="L110" i="20"/>
  <c r="K110" i="20"/>
  <c r="D89" i="20"/>
  <c r="K89" i="20"/>
  <c r="H118" i="20"/>
  <c r="N118" i="20"/>
  <c r="I127" i="20"/>
  <c r="L127" i="20"/>
  <c r="O125" i="20"/>
  <c r="D125" i="20"/>
  <c r="I110" i="20"/>
  <c r="N110" i="20"/>
  <c r="I89" i="20"/>
  <c r="L118" i="20"/>
  <c r="O82" i="9"/>
  <c r="M127" i="20"/>
  <c r="K127" i="20"/>
  <c r="J125" i="20"/>
  <c r="F110" i="20"/>
  <c r="D49" i="40"/>
  <c r="D48" i="40"/>
  <c r="O74" i="9"/>
  <c r="T74" i="9" s="1"/>
  <c r="L89" i="20"/>
  <c r="K118" i="20"/>
  <c r="D127" i="20"/>
  <c r="H110" i="20"/>
  <c r="F89" i="20"/>
  <c r="H89" i="20"/>
  <c r="G118" i="20"/>
  <c r="G127" i="20"/>
  <c r="H127" i="20"/>
  <c r="H125" i="20"/>
  <c r="K125" i="20"/>
  <c r="D34" i="40"/>
  <c r="F118" i="20"/>
  <c r="D40" i="40"/>
  <c r="F127" i="20"/>
  <c r="L125" i="20"/>
  <c r="I125" i="20"/>
  <c r="D23" i="40"/>
  <c r="E110" i="20"/>
  <c r="G125" i="20"/>
  <c r="L126" i="20"/>
  <c r="L128" i="20"/>
  <c r="E22" i="16"/>
  <c r="E24" i="16" s="1"/>
  <c r="E26" i="16" s="1"/>
  <c r="D141" i="20"/>
  <c r="K93" i="20"/>
  <c r="F111" i="20"/>
  <c r="K140" i="20"/>
  <c r="O126" i="20"/>
  <c r="K126" i="20"/>
  <c r="J128" i="20"/>
  <c r="E111" i="20"/>
  <c r="D111" i="20"/>
  <c r="O83" i="9"/>
  <c r="O140" i="20"/>
  <c r="E22" i="46"/>
  <c r="E24" i="46" s="1"/>
  <c r="E26" i="46" s="1"/>
  <c r="E114" i="20"/>
  <c r="I141" i="20"/>
  <c r="N93" i="20"/>
  <c r="I126" i="20"/>
  <c r="I124" i="20"/>
  <c r="M111" i="20"/>
  <c r="H140" i="20"/>
  <c r="L141" i="20"/>
  <c r="E126" i="20"/>
  <c r="J126" i="20"/>
  <c r="H128" i="20"/>
  <c r="E128" i="20"/>
  <c r="K111" i="20"/>
  <c r="AC74" i="9"/>
  <c r="G140" i="20"/>
  <c r="D140" i="20"/>
  <c r="K141" i="20"/>
  <c r="O141" i="20"/>
  <c r="J95" i="20"/>
  <c r="F93" i="20"/>
  <c r="M93" i="20"/>
  <c r="F126" i="20"/>
  <c r="O128" i="20"/>
  <c r="L111" i="20"/>
  <c r="M140" i="20"/>
  <c r="J141" i="20"/>
  <c r="D126" i="20"/>
  <c r="N126" i="20"/>
  <c r="O123" i="20"/>
  <c r="I128" i="20"/>
  <c r="G128" i="20"/>
  <c r="H111" i="20"/>
  <c r="O75" i="9"/>
  <c r="T75" i="9" s="1"/>
  <c r="L140" i="20"/>
  <c r="O108" i="9"/>
  <c r="E141" i="20"/>
  <c r="H141" i="20"/>
  <c r="O93" i="20"/>
  <c r="J93" i="20"/>
  <c r="O92" i="9"/>
  <c r="T92" i="9" s="1"/>
  <c r="F128" i="20"/>
  <c r="D35" i="40"/>
  <c r="E140" i="20"/>
  <c r="F141" i="20"/>
  <c r="L93" i="20"/>
  <c r="O59" i="9"/>
  <c r="O61" i="9"/>
  <c r="T61" i="9" s="1"/>
  <c r="N123" i="20"/>
  <c r="D123" i="20"/>
  <c r="J109" i="20"/>
  <c r="K123" i="20"/>
  <c r="O109" i="20"/>
  <c r="J145" i="18"/>
  <c r="L155" i="25" s="1"/>
  <c r="G120" i="20"/>
  <c r="I116" i="20"/>
  <c r="I145" i="18"/>
  <c r="K155" i="25" s="1"/>
  <c r="H75" i="9"/>
  <c r="H111" i="21" s="1"/>
  <c r="N109" i="20"/>
  <c r="M120" i="20"/>
  <c r="M116" i="20"/>
  <c r="H91" i="9"/>
  <c r="O125" i="21" s="1"/>
  <c r="K145" i="18"/>
  <c r="K146" i="18" s="1"/>
  <c r="K152" i="18" s="1"/>
  <c r="K161" i="18" s="1"/>
  <c r="K163" i="18" s="1"/>
  <c r="G90" i="20"/>
  <c r="N145" i="18"/>
  <c r="P155" i="25" s="1"/>
  <c r="E145" i="18"/>
  <c r="G155" i="25" s="1"/>
  <c r="F145" i="18"/>
  <c r="H155" i="25" s="1"/>
  <c r="M90" i="20"/>
  <c r="L90" i="20"/>
  <c r="M145" i="18"/>
  <c r="O155" i="25" s="1"/>
  <c r="O145" i="18"/>
  <c r="O146" i="18" s="1"/>
  <c r="O152" i="18" s="1"/>
  <c r="O161" i="18" s="1"/>
  <c r="O163" i="18" s="1"/>
  <c r="M130" i="20"/>
  <c r="D90" i="20"/>
  <c r="D136" i="20"/>
  <c r="H145" i="18"/>
  <c r="H146" i="18" s="1"/>
  <c r="H152" i="18" s="1"/>
  <c r="H161" i="18" s="1"/>
  <c r="H163" i="18" s="1"/>
  <c r="E114" i="9"/>
  <c r="D22" i="46" s="1"/>
  <c r="D24" i="46" s="1"/>
  <c r="D26" i="46" s="1"/>
  <c r="L130" i="20"/>
  <c r="D26" i="40"/>
  <c r="F136" i="20"/>
  <c r="L145" i="18"/>
  <c r="L146" i="18" s="1"/>
  <c r="L152" i="18" s="1"/>
  <c r="L161" i="18" s="1"/>
  <c r="L163" i="18" s="1"/>
  <c r="D145" i="18"/>
  <c r="J90" i="20"/>
  <c r="O104" i="9"/>
  <c r="T104" i="9" s="1"/>
  <c r="O66" i="9"/>
  <c r="T66" i="9" s="1"/>
  <c r="H114" i="20"/>
  <c r="H95" i="20"/>
  <c r="N124" i="20"/>
  <c r="S145" i="19"/>
  <c r="F114" i="20"/>
  <c r="K119" i="20"/>
  <c r="O124" i="20"/>
  <c r="D29" i="40"/>
  <c r="G95" i="20"/>
  <c r="D45" i="40"/>
  <c r="O94" i="20"/>
  <c r="D38" i="40"/>
  <c r="D95" i="20"/>
  <c r="AC76" i="9"/>
  <c r="L113" i="20"/>
  <c r="G139" i="20"/>
  <c r="D138" i="20"/>
  <c r="N122" i="20"/>
  <c r="K138" i="20"/>
  <c r="F122" i="20"/>
  <c r="O77" i="9"/>
  <c r="T77" i="9" s="1"/>
  <c r="D37" i="40"/>
  <c r="N94" i="20"/>
  <c r="D94" i="20"/>
  <c r="D139" i="20"/>
  <c r="E139" i="20"/>
  <c r="O114" i="20"/>
  <c r="D114" i="20"/>
  <c r="O106" i="9"/>
  <c r="T106" i="9" s="1"/>
  <c r="M138" i="20"/>
  <c r="K95" i="20"/>
  <c r="O95" i="20"/>
  <c r="J122" i="20"/>
  <c r="I138" i="20"/>
  <c r="E113" i="20"/>
  <c r="F113" i="20"/>
  <c r="I94" i="20"/>
  <c r="K94" i="20"/>
  <c r="L139" i="20"/>
  <c r="J139" i="20"/>
  <c r="K114" i="20"/>
  <c r="O78" i="9"/>
  <c r="E138" i="20"/>
  <c r="J138" i="20"/>
  <c r="M95" i="20"/>
  <c r="E122" i="20"/>
  <c r="H113" i="20"/>
  <c r="O90" i="9"/>
  <c r="T90" i="9" s="1"/>
  <c r="F119" i="20"/>
  <c r="H119" i="20"/>
  <c r="M124" i="20"/>
  <c r="D124" i="20"/>
  <c r="O122" i="20"/>
  <c r="K122" i="20"/>
  <c r="J119" i="20"/>
  <c r="I119" i="20"/>
  <c r="O113" i="20"/>
  <c r="D113" i="20"/>
  <c r="M94" i="20"/>
  <c r="F94" i="20"/>
  <c r="O107" i="9"/>
  <c r="T107" i="9" s="1"/>
  <c r="O139" i="20"/>
  <c r="G114" i="20"/>
  <c r="N114" i="20"/>
  <c r="H138" i="20"/>
  <c r="L138" i="20"/>
  <c r="O68" i="9"/>
  <c r="T68" i="9" s="1"/>
  <c r="D41" i="40"/>
  <c r="D43" i="40"/>
  <c r="O119" i="20"/>
  <c r="K124" i="20"/>
  <c r="F124" i="20"/>
  <c r="L122" i="20"/>
  <c r="D122" i="20"/>
  <c r="G119" i="20"/>
  <c r="M119" i="20"/>
  <c r="J113" i="20"/>
  <c r="N113" i="20"/>
  <c r="G94" i="20"/>
  <c r="H139" i="20"/>
  <c r="N139" i="20"/>
  <c r="J114" i="20"/>
  <c r="O138" i="20"/>
  <c r="N95" i="20"/>
  <c r="D31" i="40"/>
  <c r="H124" i="20"/>
  <c r="J124" i="20"/>
  <c r="G124" i="20"/>
  <c r="I122" i="20"/>
  <c r="M122" i="20"/>
  <c r="N119" i="20"/>
  <c r="E119" i="20"/>
  <c r="K113" i="20"/>
  <c r="G113" i="20"/>
  <c r="L94" i="20"/>
  <c r="K139" i="20"/>
  <c r="I139" i="20"/>
  <c r="L114" i="20"/>
  <c r="F138" i="20"/>
  <c r="I95" i="20"/>
  <c r="F95" i="20"/>
  <c r="I113" i="20"/>
  <c r="M139" i="20"/>
  <c r="N138" i="20"/>
  <c r="O88" i="9"/>
  <c r="T88" i="9" s="1"/>
  <c r="O86" i="9"/>
  <c r="T86" i="9" s="1"/>
  <c r="E124" i="20"/>
  <c r="G122" i="20"/>
  <c r="D119" i="20"/>
  <c r="E94" i="20"/>
  <c r="I114" i="20"/>
  <c r="E95" i="20"/>
  <c r="E123" i="20"/>
  <c r="O87" i="9"/>
  <c r="T87" i="9" s="1"/>
  <c r="J123" i="20"/>
  <c r="K109" i="20"/>
  <c r="AC73" i="9"/>
  <c r="F120" i="20"/>
  <c r="D120" i="20"/>
  <c r="E116" i="20"/>
  <c r="L117" i="20"/>
  <c r="N120" i="20"/>
  <c r="E120" i="20"/>
  <c r="O80" i="9"/>
  <c r="T80" i="9" s="1"/>
  <c r="D39" i="40"/>
  <c r="G117" i="20"/>
  <c r="H123" i="20"/>
  <c r="L123" i="20"/>
  <c r="I109" i="20"/>
  <c r="K120" i="20"/>
  <c r="K116" i="20"/>
  <c r="L116" i="20"/>
  <c r="N117" i="20"/>
  <c r="O117" i="20"/>
  <c r="D33" i="40"/>
  <c r="O73" i="9"/>
  <c r="T73" i="9" s="1"/>
  <c r="L120" i="20"/>
  <c r="G116" i="20"/>
  <c r="AC77" i="9"/>
  <c r="G132" i="9"/>
  <c r="K117" i="20"/>
  <c r="O81" i="9"/>
  <c r="T81" i="9" s="1"/>
  <c r="M123" i="20"/>
  <c r="F123" i="20"/>
  <c r="G109" i="20"/>
  <c r="F109" i="20"/>
  <c r="H120" i="20"/>
  <c r="F116" i="20"/>
  <c r="N116" i="20"/>
  <c r="D117" i="20"/>
  <c r="I117" i="20"/>
  <c r="G123" i="20"/>
  <c r="I123" i="20"/>
  <c r="L109" i="20"/>
  <c r="H109" i="20"/>
  <c r="I120" i="20"/>
  <c r="O120" i="20"/>
  <c r="D116" i="20"/>
  <c r="H116" i="20"/>
  <c r="J117" i="20"/>
  <c r="F117" i="20"/>
  <c r="M109" i="20"/>
  <c r="J120" i="20"/>
  <c r="J116" i="20"/>
  <c r="M117" i="20"/>
  <c r="O90" i="20"/>
  <c r="K90" i="20"/>
  <c r="G70" i="9"/>
  <c r="F20" i="46" s="1"/>
  <c r="K136" i="20"/>
  <c r="G130" i="20"/>
  <c r="K130" i="20"/>
  <c r="G110" i="9"/>
  <c r="F21" i="16" s="1"/>
  <c r="N136" i="20"/>
  <c r="D50" i="40"/>
  <c r="AC78" i="9"/>
  <c r="J130" i="20"/>
  <c r="O98" i="9"/>
  <c r="T98" i="9" s="1"/>
  <c r="N130" i="20"/>
  <c r="H130" i="20"/>
  <c r="I88" i="9"/>
  <c r="G124" i="22" s="1"/>
  <c r="O130" i="20"/>
  <c r="F130" i="20"/>
  <c r="I66" i="9"/>
  <c r="I94" i="22" s="1"/>
  <c r="AC10" i="50"/>
  <c r="C10" i="50" s="1"/>
  <c r="E90" i="20"/>
  <c r="J136" i="20"/>
  <c r="H90" i="20"/>
  <c r="N90" i="20"/>
  <c r="G136" i="20"/>
  <c r="O136" i="20"/>
  <c r="E130" i="20"/>
  <c r="D53" i="40"/>
  <c r="I96" i="9"/>
  <c r="P50" i="40" s="1"/>
  <c r="I90" i="20"/>
  <c r="H136" i="20"/>
  <c r="L136" i="20"/>
  <c r="M136" i="20"/>
  <c r="D130" i="20"/>
  <c r="E136" i="20"/>
  <c r="I103" i="9"/>
  <c r="M135" i="22" s="1"/>
  <c r="J52" i="15"/>
  <c r="AK14" i="50"/>
  <c r="AK16" i="50" s="1"/>
  <c r="I80" i="9"/>
  <c r="J116" i="22" s="1"/>
  <c r="AJ6" i="50"/>
  <c r="J6" i="50" s="1"/>
  <c r="N117" i="21"/>
  <c r="I78" i="9"/>
  <c r="M114" i="22" s="1"/>
  <c r="I93" i="9"/>
  <c r="Q93" i="9" s="1"/>
  <c r="V93" i="9" s="1"/>
  <c r="I102" i="9"/>
  <c r="I134" i="22" s="1"/>
  <c r="I65" i="9"/>
  <c r="M93" i="22" s="1"/>
  <c r="I84" i="9"/>
  <c r="I120" i="22" s="1"/>
  <c r="I108" i="9"/>
  <c r="D140" i="22" s="1"/>
  <c r="I90" i="9"/>
  <c r="Q90" i="9" s="1"/>
  <c r="V90" i="9" s="1"/>
  <c r="I59" i="9"/>
  <c r="Q59" i="9" s="1"/>
  <c r="V59" i="9" s="1"/>
  <c r="I101" i="9"/>
  <c r="I133" i="22" s="1"/>
  <c r="I86" i="9"/>
  <c r="E122" i="22" s="1"/>
  <c r="I87" i="9"/>
  <c r="J123" i="22" s="1"/>
  <c r="I61" i="9"/>
  <c r="Q61" i="9" s="1"/>
  <c r="V61" i="9" s="1"/>
  <c r="I82" i="9"/>
  <c r="F118" i="22" s="1"/>
  <c r="I94" i="9"/>
  <c r="N127" i="22" s="1"/>
  <c r="I109" i="9"/>
  <c r="D141" i="22" s="1"/>
  <c r="I91" i="9"/>
  <c r="G125" i="22" s="1"/>
  <c r="I67" i="9"/>
  <c r="P30" i="40" s="1"/>
  <c r="I105" i="9"/>
  <c r="E137" i="22" s="1"/>
  <c r="I77" i="9"/>
  <c r="G113" i="22" s="1"/>
  <c r="I58" i="9"/>
  <c r="L89" i="22" s="1"/>
  <c r="I100" i="9"/>
  <c r="D132" i="22" s="1"/>
  <c r="I113" i="9"/>
  <c r="M145" i="22" s="1"/>
  <c r="M146" i="22" s="1"/>
  <c r="I76" i="9"/>
  <c r="G112" i="22" s="1"/>
  <c r="I107" i="9"/>
  <c r="M139" i="22" s="1"/>
  <c r="I92" i="9"/>
  <c r="G126" i="22" s="1"/>
  <c r="I63" i="9"/>
  <c r="O91" i="22" s="1"/>
  <c r="I98" i="9"/>
  <c r="N130" i="22" s="1"/>
  <c r="I79" i="9"/>
  <c r="M115" i="22" s="1"/>
  <c r="I95" i="9"/>
  <c r="H128" i="22" s="1"/>
  <c r="I68" i="9"/>
  <c r="G95" i="22" s="1"/>
  <c r="AF4" i="50"/>
  <c r="F4" i="50" s="1"/>
  <c r="I75" i="9"/>
  <c r="H111" i="22" s="1"/>
  <c r="I60" i="9"/>
  <c r="Q60" i="9" s="1"/>
  <c r="V60" i="9" s="1"/>
  <c r="I106" i="9"/>
  <c r="M138" i="22" s="1"/>
  <c r="I83" i="9"/>
  <c r="N119" i="22" s="1"/>
  <c r="I81" i="9"/>
  <c r="N117" i="22" s="1"/>
  <c r="I73" i="9"/>
  <c r="J109" i="22" s="1"/>
  <c r="I104" i="9"/>
  <c r="G136" i="22" s="1"/>
  <c r="AI12" i="50"/>
  <c r="I12" i="50" s="1"/>
  <c r="G89" i="21"/>
  <c r="O89" i="21"/>
  <c r="AG6" i="50"/>
  <c r="G6" i="50" s="1"/>
  <c r="AL11" i="50"/>
  <c r="L11" i="50" s="1"/>
  <c r="C87" i="34"/>
  <c r="AI7" i="50"/>
  <c r="I7" i="50" s="1"/>
  <c r="AM9" i="50"/>
  <c r="M9" i="50" s="1"/>
  <c r="AI4" i="50"/>
  <c r="I4" i="50" s="1"/>
  <c r="AC5" i="50"/>
  <c r="C5" i="50" s="1"/>
  <c r="C90" i="34"/>
  <c r="AH8" i="50"/>
  <c r="H8" i="50" s="1"/>
  <c r="B94" i="34"/>
  <c r="AD5" i="50"/>
  <c r="D5" i="50" s="1"/>
  <c r="B100" i="34"/>
  <c r="AI13" i="50"/>
  <c r="I13" i="50" s="1"/>
  <c r="AN10" i="50"/>
  <c r="N10" i="50" s="1"/>
  <c r="AN7" i="50"/>
  <c r="N7" i="50" s="1"/>
  <c r="AG14" i="50"/>
  <c r="AG16" i="50" s="1"/>
  <c r="B90" i="34"/>
  <c r="AM12" i="50"/>
  <c r="M12" i="50" s="1"/>
  <c r="AM7" i="50"/>
  <c r="M7" i="50" s="1"/>
  <c r="U4" i="34"/>
  <c r="D70" i="34"/>
  <c r="D69" i="34"/>
  <c r="G66" i="34"/>
  <c r="U3" i="34"/>
  <c r="G67" i="34"/>
  <c r="U12" i="34"/>
  <c r="D80" i="34"/>
  <c r="D90" i="34"/>
  <c r="M66" i="34"/>
  <c r="M67" i="34"/>
  <c r="AF8" i="50"/>
  <c r="F8" i="50" s="1"/>
  <c r="AL4" i="50"/>
  <c r="L4" i="50" s="1"/>
  <c r="AL8" i="50"/>
  <c r="L8" i="50" s="1"/>
  <c r="AJ13" i="50"/>
  <c r="J13" i="50" s="1"/>
  <c r="U15" i="34"/>
  <c r="B71" i="34"/>
  <c r="U13" i="34"/>
  <c r="B69" i="34"/>
  <c r="U18" i="34"/>
  <c r="B76" i="34"/>
  <c r="U16" i="34"/>
  <c r="B72" i="34"/>
  <c r="AI6" i="50"/>
  <c r="I6" i="50" s="1"/>
  <c r="AF9" i="50"/>
  <c r="F9" i="50" s="1"/>
  <c r="AM8" i="50"/>
  <c r="M8" i="50" s="1"/>
  <c r="C97" i="34"/>
  <c r="AN11" i="50"/>
  <c r="N11" i="50" s="1"/>
  <c r="D99" i="34"/>
  <c r="P66" i="34"/>
  <c r="P67" i="34"/>
  <c r="AL9" i="50"/>
  <c r="L9" i="50" s="1"/>
  <c r="AE13" i="50"/>
  <c r="E13" i="50" s="1"/>
  <c r="AM14" i="50"/>
  <c r="AM13" i="50"/>
  <c r="M13" i="50" s="1"/>
  <c r="AC8" i="50"/>
  <c r="C8" i="50" s="1"/>
  <c r="AE8" i="50"/>
  <c r="E8" i="50" s="1"/>
  <c r="AJ14" i="50"/>
  <c r="AE6" i="50"/>
  <c r="E6" i="50" s="1"/>
  <c r="AE14" i="50"/>
  <c r="AE7" i="50"/>
  <c r="E7" i="50" s="1"/>
  <c r="AJ8" i="50"/>
  <c r="J8" i="50" s="1"/>
  <c r="AD10" i="50"/>
  <c r="D10" i="50" s="1"/>
  <c r="B96" i="34"/>
  <c r="AK7" i="50"/>
  <c r="K7" i="50" s="1"/>
  <c r="AM5" i="50"/>
  <c r="M5" i="50" s="1"/>
  <c r="AE10" i="50"/>
  <c r="E10" i="50" s="1"/>
  <c r="AK4" i="50"/>
  <c r="K4" i="50" s="1"/>
  <c r="AF10" i="50"/>
  <c r="F10" i="50" s="1"/>
  <c r="AG9" i="50"/>
  <c r="G9" i="50" s="1"/>
  <c r="AM10" i="50"/>
  <c r="M10" i="50" s="1"/>
  <c r="C70" i="34"/>
  <c r="U24" i="34"/>
  <c r="O66" i="34"/>
  <c r="O67" i="34"/>
  <c r="D97" i="34"/>
  <c r="U10" i="34"/>
  <c r="D78" i="34"/>
  <c r="N66" i="34"/>
  <c r="D96" i="34"/>
  <c r="N67" i="34"/>
  <c r="AN8" i="50"/>
  <c r="N8" i="50" s="1"/>
  <c r="U27" i="34"/>
  <c r="C73" i="34"/>
  <c r="AJ7" i="50"/>
  <c r="J7" i="50" s="1"/>
  <c r="AF5" i="50"/>
  <c r="F5" i="50" s="1"/>
  <c r="B80" i="34"/>
  <c r="AM11" i="50"/>
  <c r="M11" i="50" s="1"/>
  <c r="AE11" i="50"/>
  <c r="E11" i="50" s="1"/>
  <c r="AG13" i="50"/>
  <c r="G13" i="50" s="1"/>
  <c r="AK12" i="50"/>
  <c r="K12" i="50" s="1"/>
  <c r="AC11" i="50"/>
  <c r="C11" i="50" s="1"/>
  <c r="AK11" i="50"/>
  <c r="K11" i="50" s="1"/>
  <c r="AD8" i="50"/>
  <c r="D8" i="50" s="1"/>
  <c r="AJ11" i="50"/>
  <c r="J11" i="50" s="1"/>
  <c r="AC13" i="50"/>
  <c r="C13" i="50" s="1"/>
  <c r="AD6" i="50"/>
  <c r="D6" i="50" s="1"/>
  <c r="AH5" i="50"/>
  <c r="H5" i="50" s="1"/>
  <c r="AI8" i="50"/>
  <c r="I8" i="50" s="1"/>
  <c r="AG10" i="50"/>
  <c r="G10" i="50" s="1"/>
  <c r="AG4" i="50"/>
  <c r="G4" i="50" s="1"/>
  <c r="AC12" i="50"/>
  <c r="C12" i="50" s="1"/>
  <c r="AC14" i="50"/>
  <c r="AC7" i="50"/>
  <c r="C7" i="50" s="1"/>
  <c r="AL12" i="50"/>
  <c r="L12" i="50" s="1"/>
  <c r="C100" i="34"/>
  <c r="AH6" i="50"/>
  <c r="H6" i="50" s="1"/>
  <c r="B70" i="34"/>
  <c r="U14" i="34"/>
  <c r="B78" i="34"/>
  <c r="U30" i="34"/>
  <c r="C78" i="34"/>
  <c r="AN4" i="50"/>
  <c r="N4" i="50" s="1"/>
  <c r="U32" i="34"/>
  <c r="C80" i="34"/>
  <c r="AF7" i="50"/>
  <c r="F7" i="50" s="1"/>
  <c r="D76" i="34"/>
  <c r="U8" i="34"/>
  <c r="I66" i="34"/>
  <c r="I67" i="34"/>
  <c r="D94" i="34"/>
  <c r="C103" i="34"/>
  <c r="U31" i="34"/>
  <c r="C79" i="34"/>
  <c r="AH9" i="50"/>
  <c r="H9" i="50" s="1"/>
  <c r="AI11" i="50"/>
  <c r="I11" i="50" s="1"/>
  <c r="U26" i="34"/>
  <c r="C72" i="34"/>
  <c r="AM4" i="50"/>
  <c r="M4" i="50" s="1"/>
  <c r="B99" i="34"/>
  <c r="B103" i="34"/>
  <c r="AN12" i="50"/>
  <c r="N12" i="50" s="1"/>
  <c r="U23" i="34"/>
  <c r="C69" i="34"/>
  <c r="AI5" i="50"/>
  <c r="I5" i="50" s="1"/>
  <c r="AJ12" i="50"/>
  <c r="J12" i="50" s="1"/>
  <c r="AJ5" i="50"/>
  <c r="J5" i="50" s="1"/>
  <c r="C94" i="34"/>
  <c r="AL13" i="50"/>
  <c r="L13" i="50" s="1"/>
  <c r="AK9" i="50"/>
  <c r="K9" i="50" s="1"/>
  <c r="AG5" i="50"/>
  <c r="G5" i="50" s="1"/>
  <c r="AJ9" i="50"/>
  <c r="J9" i="50" s="1"/>
  <c r="U9" i="34"/>
  <c r="D77" i="34"/>
  <c r="U11" i="34"/>
  <c r="D79" i="34"/>
  <c r="U5" i="34"/>
  <c r="D71" i="34"/>
  <c r="K67" i="34"/>
  <c r="K66" i="34"/>
  <c r="D103" i="34"/>
  <c r="Q66" i="34"/>
  <c r="Q67" i="34"/>
  <c r="D100" i="34"/>
  <c r="AD4" i="50"/>
  <c r="D4" i="50" s="1"/>
  <c r="AJ10" i="50"/>
  <c r="J10" i="50" s="1"/>
  <c r="AI14" i="50"/>
  <c r="AL14" i="50"/>
  <c r="AG12" i="50"/>
  <c r="G12" i="50" s="1"/>
  <c r="AJ4" i="50"/>
  <c r="J4" i="50" s="1"/>
  <c r="AG7" i="50"/>
  <c r="G7" i="50" s="1"/>
  <c r="AN13" i="50"/>
  <c r="N13" i="50" s="1"/>
  <c r="AH4" i="50"/>
  <c r="H4" i="50" s="1"/>
  <c r="AF6" i="50"/>
  <c r="F6" i="50" s="1"/>
  <c r="AC4" i="50"/>
  <c r="C4" i="50" s="1"/>
  <c r="AE4" i="50"/>
  <c r="E4" i="50" s="1"/>
  <c r="AD7" i="50"/>
  <c r="D7" i="50" s="1"/>
  <c r="AI10" i="50"/>
  <c r="I10" i="50" s="1"/>
  <c r="U29" i="34"/>
  <c r="C77" i="34"/>
  <c r="D93" i="34"/>
  <c r="D89" i="34"/>
  <c r="D87" i="34"/>
  <c r="C93" i="34"/>
  <c r="AK5" i="50"/>
  <c r="K5" i="50" s="1"/>
  <c r="C96" i="34"/>
  <c r="AN6" i="50"/>
  <c r="N6" i="50" s="1"/>
  <c r="C89" i="34"/>
  <c r="AN9" i="50"/>
  <c r="N9" i="50" s="1"/>
  <c r="B73" i="34"/>
  <c r="U17" i="34"/>
  <c r="B77" i="34"/>
  <c r="U19" i="34"/>
  <c r="B97" i="34"/>
  <c r="AE12" i="50"/>
  <c r="E12" i="50" s="1"/>
  <c r="C71" i="34"/>
  <c r="U25" i="34"/>
  <c r="AC9" i="50"/>
  <c r="C9" i="50" s="1"/>
  <c r="AG11" i="50"/>
  <c r="G11" i="50" s="1"/>
  <c r="AG8" i="50"/>
  <c r="G8" i="50" s="1"/>
  <c r="AE5" i="50"/>
  <c r="E5" i="50" s="1"/>
  <c r="AN5" i="50"/>
  <c r="N5" i="50" s="1"/>
  <c r="AH7" i="50"/>
  <c r="H7" i="50" s="1"/>
  <c r="U7" i="34"/>
  <c r="D73" i="34"/>
  <c r="U6" i="34"/>
  <c r="D72" i="34"/>
  <c r="AE9" i="50"/>
  <c r="E9" i="50" s="1"/>
  <c r="AD9" i="50"/>
  <c r="D9" i="50" s="1"/>
  <c r="AN14" i="50"/>
  <c r="AK6" i="50"/>
  <c r="K6" i="50" s="1"/>
  <c r="C99" i="34"/>
  <c r="AK13" i="50"/>
  <c r="K13" i="50" s="1"/>
  <c r="AL5" i="50"/>
  <c r="L5" i="50" s="1"/>
  <c r="AL10" i="50"/>
  <c r="L10" i="50" s="1"/>
  <c r="AH10" i="50"/>
  <c r="H10" i="50" s="1"/>
  <c r="AK8" i="50"/>
  <c r="K8" i="50" s="1"/>
  <c r="AK10" i="50"/>
  <c r="K10" i="50" s="1"/>
  <c r="B79" i="34"/>
  <c r="AC6" i="50"/>
  <c r="C6" i="50" s="1"/>
  <c r="AM6" i="50"/>
  <c r="M6" i="50" s="1"/>
  <c r="C76" i="34"/>
  <c r="U28" i="34"/>
  <c r="AL6" i="50"/>
  <c r="L6" i="50" s="1"/>
  <c r="AI9" i="50"/>
  <c r="I9" i="50" s="1"/>
  <c r="AL7" i="50"/>
  <c r="L7" i="50" s="1"/>
  <c r="M109" i="21"/>
  <c r="G109" i="21"/>
  <c r="E109" i="21"/>
  <c r="J33" i="40"/>
  <c r="H114" i="9"/>
  <c r="D123" i="21"/>
  <c r="E123" i="21"/>
  <c r="H123" i="21"/>
  <c r="G123" i="21"/>
  <c r="P87" i="9"/>
  <c r="U87" i="9" s="1"/>
  <c r="N132" i="22"/>
  <c r="J44" i="40"/>
  <c r="L123" i="21"/>
  <c r="O145" i="21"/>
  <c r="O146" i="21" s="1"/>
  <c r="J145" i="21"/>
  <c r="J146" i="21" s="1"/>
  <c r="L145" i="21"/>
  <c r="L146" i="21" s="1"/>
  <c r="K145" i="21"/>
  <c r="K146" i="21" s="1"/>
  <c r="F117" i="21"/>
  <c r="N134" i="21"/>
  <c r="M117" i="21"/>
  <c r="E134" i="21"/>
  <c r="F134" i="21"/>
  <c r="J134" i="21"/>
  <c r="D145" i="21"/>
  <c r="D146" i="21" s="1"/>
  <c r="M145" i="21"/>
  <c r="M146" i="21" s="1"/>
  <c r="I123" i="21"/>
  <c r="D122" i="21"/>
  <c r="N145" i="21"/>
  <c r="N146" i="21" s="1"/>
  <c r="O123" i="21"/>
  <c r="K123" i="21"/>
  <c r="P113" i="9"/>
  <c r="U113" i="9" s="1"/>
  <c r="U114" i="9" s="1"/>
  <c r="M123" i="21"/>
  <c r="N123" i="21"/>
  <c r="O137" i="21"/>
  <c r="H145" i="21"/>
  <c r="H146" i="21" s="1"/>
  <c r="F145" i="21"/>
  <c r="F146" i="21" s="1"/>
  <c r="J123" i="21"/>
  <c r="M122" i="21"/>
  <c r="O139" i="21"/>
  <c r="K122" i="21"/>
  <c r="D136" i="21"/>
  <c r="H140" i="21"/>
  <c r="F136" i="21"/>
  <c r="K136" i="21"/>
  <c r="H122" i="21"/>
  <c r="L122" i="21"/>
  <c r="J43" i="40"/>
  <c r="N122" i="21"/>
  <c r="P90" i="9"/>
  <c r="U90" i="9" s="1"/>
  <c r="G145" i="21"/>
  <c r="G146" i="21" s="1"/>
  <c r="E122" i="21"/>
  <c r="I145" i="21"/>
  <c r="I146" i="21" s="1"/>
  <c r="J122" i="21"/>
  <c r="P108" i="9"/>
  <c r="U108" i="9" s="1"/>
  <c r="K140" i="21"/>
  <c r="N136" i="21"/>
  <c r="E140" i="21"/>
  <c r="I140" i="21"/>
  <c r="L136" i="21"/>
  <c r="I136" i="21"/>
  <c r="M140" i="21"/>
  <c r="N140" i="21"/>
  <c r="M136" i="21"/>
  <c r="J136" i="21"/>
  <c r="G140" i="21"/>
  <c r="L140" i="21"/>
  <c r="H136" i="21"/>
  <c r="O136" i="21"/>
  <c r="J140" i="21"/>
  <c r="D140" i="21"/>
  <c r="P104" i="9"/>
  <c r="U104" i="9" s="1"/>
  <c r="F95" i="21"/>
  <c r="O140" i="21"/>
  <c r="G135" i="21"/>
  <c r="P68" i="9"/>
  <c r="U68" i="9" s="1"/>
  <c r="L95" i="21"/>
  <c r="P103" i="9"/>
  <c r="U103" i="9" s="1"/>
  <c r="F115" i="21"/>
  <c r="F122" i="21"/>
  <c r="K90" i="21"/>
  <c r="P60" i="9"/>
  <c r="U60" i="9" s="1"/>
  <c r="L118" i="21"/>
  <c r="I122" i="21"/>
  <c r="M110" i="21"/>
  <c r="F135" i="21"/>
  <c r="K133" i="21"/>
  <c r="J138" i="21"/>
  <c r="J34" i="40"/>
  <c r="M89" i="21"/>
  <c r="N135" i="21"/>
  <c r="J89" i="21"/>
  <c r="K89" i="21"/>
  <c r="P58" i="9"/>
  <c r="U58" i="9" s="1"/>
  <c r="N95" i="21"/>
  <c r="L135" i="21"/>
  <c r="P106" i="9"/>
  <c r="U106" i="9" s="1"/>
  <c r="I89" i="21"/>
  <c r="F124" i="21"/>
  <c r="D89" i="21"/>
  <c r="F89" i="21"/>
  <c r="H89" i="21"/>
  <c r="N89" i="21"/>
  <c r="D124" i="21"/>
  <c r="L89" i="21"/>
  <c r="J23" i="40"/>
  <c r="G122" i="21"/>
  <c r="O122" i="21"/>
  <c r="M95" i="21"/>
  <c r="J118" i="21"/>
  <c r="D113" i="21"/>
  <c r="D95" i="21"/>
  <c r="D135" i="21"/>
  <c r="N110" i="21"/>
  <c r="H138" i="21"/>
  <c r="J26" i="40"/>
  <c r="E115" i="21"/>
  <c r="J90" i="21"/>
  <c r="D118" i="21"/>
  <c r="K118" i="21"/>
  <c r="I113" i="21"/>
  <c r="M90" i="21"/>
  <c r="G90" i="21"/>
  <c r="M118" i="21"/>
  <c r="E118" i="21"/>
  <c r="F113" i="21"/>
  <c r="O90" i="21"/>
  <c r="F118" i="21"/>
  <c r="J37" i="40"/>
  <c r="L113" i="21"/>
  <c r="H90" i="21"/>
  <c r="O118" i="21"/>
  <c r="K113" i="21"/>
  <c r="F90" i="21"/>
  <c r="P82" i="9"/>
  <c r="U82" i="9" s="1"/>
  <c r="N118" i="21"/>
  <c r="G113" i="21"/>
  <c r="K130" i="22"/>
  <c r="I118" i="21"/>
  <c r="H118" i="21"/>
  <c r="P77" i="9"/>
  <c r="U77" i="9" s="1"/>
  <c r="N128" i="21"/>
  <c r="L90" i="21"/>
  <c r="J40" i="40"/>
  <c r="J113" i="21"/>
  <c r="O95" i="21"/>
  <c r="E135" i="21"/>
  <c r="H109" i="21"/>
  <c r="G95" i="21"/>
  <c r="E95" i="21"/>
  <c r="O94" i="21"/>
  <c r="M135" i="21"/>
  <c r="P73" i="9"/>
  <c r="J137" i="21"/>
  <c r="K95" i="21"/>
  <c r="H135" i="21"/>
  <c r="I135" i="21"/>
  <c r="I120" i="21"/>
  <c r="J138" i="22"/>
  <c r="L110" i="21"/>
  <c r="P74" i="9"/>
  <c r="U74" i="9" s="1"/>
  <c r="P79" i="9"/>
  <c r="U79" i="9" s="1"/>
  <c r="G110" i="21"/>
  <c r="E110" i="21"/>
  <c r="I115" i="21"/>
  <c r="H110" i="21"/>
  <c r="J110" i="21"/>
  <c r="O110" i="21"/>
  <c r="D110" i="21"/>
  <c r="K110" i="21"/>
  <c r="L115" i="21"/>
  <c r="I110" i="21"/>
  <c r="J115" i="21"/>
  <c r="H95" i="21"/>
  <c r="J95" i="21"/>
  <c r="O135" i="21"/>
  <c r="J56" i="40"/>
  <c r="N115" i="21"/>
  <c r="M128" i="21"/>
  <c r="F128" i="21"/>
  <c r="I95" i="21"/>
  <c r="J135" i="21"/>
  <c r="H115" i="21"/>
  <c r="J128" i="21"/>
  <c r="E117" i="21"/>
  <c r="I117" i="21"/>
  <c r="D134" i="21"/>
  <c r="K134" i="21"/>
  <c r="O117" i="21"/>
  <c r="E120" i="21"/>
  <c r="D138" i="21"/>
  <c r="O134" i="21"/>
  <c r="H134" i="21"/>
  <c r="H117" i="21"/>
  <c r="K120" i="21"/>
  <c r="N138" i="21"/>
  <c r="P102" i="9"/>
  <c r="U102" i="9" s="1"/>
  <c r="K117" i="21"/>
  <c r="P81" i="9"/>
  <c r="U81" i="9" s="1"/>
  <c r="I138" i="21"/>
  <c r="M138" i="21"/>
  <c r="I134" i="21"/>
  <c r="P98" i="9"/>
  <c r="U98" i="9" s="1"/>
  <c r="G117" i="21"/>
  <c r="L117" i="21"/>
  <c r="K138" i="21"/>
  <c r="G134" i="21"/>
  <c r="L134" i="21"/>
  <c r="J117" i="21"/>
  <c r="E94" i="21"/>
  <c r="L138" i="21"/>
  <c r="M113" i="21"/>
  <c r="N113" i="21"/>
  <c r="G115" i="21"/>
  <c r="M115" i="21"/>
  <c r="J120" i="21"/>
  <c r="F138" i="21"/>
  <c r="E116" i="21"/>
  <c r="O113" i="21"/>
  <c r="E113" i="21"/>
  <c r="O115" i="21"/>
  <c r="P84" i="9"/>
  <c r="U84" i="9" s="1"/>
  <c r="G138" i="21"/>
  <c r="J39" i="40"/>
  <c r="D115" i="21"/>
  <c r="O138" i="21"/>
  <c r="L121" i="21"/>
  <c r="I121" i="21"/>
  <c r="D121" i="21"/>
  <c r="E121" i="21"/>
  <c r="I116" i="21"/>
  <c r="D116" i="21"/>
  <c r="F120" i="21"/>
  <c r="N121" i="21"/>
  <c r="F116" i="21"/>
  <c r="N116" i="21"/>
  <c r="P95" i="9"/>
  <c r="U95" i="9" s="1"/>
  <c r="D120" i="21"/>
  <c r="H121" i="21"/>
  <c r="O116" i="21"/>
  <c r="K116" i="21"/>
  <c r="M125" i="22"/>
  <c r="D128" i="21"/>
  <c r="M120" i="21"/>
  <c r="N120" i="21"/>
  <c r="P85" i="9"/>
  <c r="U85" i="9" s="1"/>
  <c r="F121" i="21"/>
  <c r="G116" i="21"/>
  <c r="H128" i="21"/>
  <c r="H120" i="21"/>
  <c r="G120" i="21"/>
  <c r="J121" i="21"/>
  <c r="K121" i="21"/>
  <c r="H116" i="21"/>
  <c r="M121" i="21"/>
  <c r="G121" i="21"/>
  <c r="M116" i="21"/>
  <c r="J116" i="21"/>
  <c r="O121" i="21"/>
  <c r="L116" i="21"/>
  <c r="J125" i="22"/>
  <c r="L128" i="21"/>
  <c r="L120" i="21"/>
  <c r="P53" i="40"/>
  <c r="F130" i="22"/>
  <c r="O130" i="22"/>
  <c r="T95" i="9"/>
  <c r="T96" i="9"/>
  <c r="T67" i="9"/>
  <c r="T60" i="9"/>
  <c r="Q155" i="25"/>
  <c r="T105" i="9"/>
  <c r="D146" i="20"/>
  <c r="T93" i="9"/>
  <c r="T83" i="9"/>
  <c r="J155" i="25"/>
  <c r="T63" i="9"/>
  <c r="T79" i="9"/>
  <c r="T84" i="9"/>
  <c r="N155" i="25"/>
  <c r="D146" i="18"/>
  <c r="F155" i="25"/>
  <c r="T108" i="9"/>
  <c r="T102" i="9"/>
  <c r="I155" i="25"/>
  <c r="G146" i="18"/>
  <c r="G152" i="18" s="1"/>
  <c r="G161" i="18" s="1"/>
  <c r="G163" i="18" s="1"/>
  <c r="T94" i="9"/>
  <c r="T91" i="9"/>
  <c r="T113" i="9"/>
  <c r="O114" i="9"/>
  <c r="T82" i="9"/>
  <c r="T100" i="9"/>
  <c r="T101" i="9"/>
  <c r="D161" i="19"/>
  <c r="S152" i="19"/>
  <c r="T78" i="9"/>
  <c r="T59" i="9"/>
  <c r="T85" i="9"/>
  <c r="T109" i="9"/>
  <c r="N234" i="37"/>
  <c r="O232" i="37"/>
  <c r="O233" i="37"/>
  <c r="G34" i="9"/>
  <c r="H10" i="9"/>
  <c r="I32" i="9"/>
  <c r="I34" i="9"/>
  <c r="H39" i="9"/>
  <c r="H14" i="9"/>
  <c r="I44" i="9"/>
  <c r="I42" i="9"/>
  <c r="I39" i="9"/>
  <c r="H45" i="9"/>
  <c r="G12" i="9"/>
  <c r="H23" i="9"/>
  <c r="H35" i="9"/>
  <c r="G39" i="9"/>
  <c r="G45" i="9"/>
  <c r="G19" i="9"/>
  <c r="I10" i="9"/>
  <c r="I41" i="9"/>
  <c r="I14" i="9"/>
  <c r="H11" i="9"/>
  <c r="G35" i="9"/>
  <c r="G42" i="9"/>
  <c r="G38" i="9"/>
  <c r="I8" i="9"/>
  <c r="I19" i="9"/>
  <c r="I26" i="9"/>
  <c r="H44" i="9"/>
  <c r="G23" i="9"/>
  <c r="G24" i="9"/>
  <c r="G8" i="9"/>
  <c r="I38" i="9"/>
  <c r="H8" i="9"/>
  <c r="G26" i="9"/>
  <c r="I35" i="9"/>
  <c r="I23" i="9"/>
  <c r="G48" i="9"/>
  <c r="G44" i="9"/>
  <c r="G11" i="9"/>
  <c r="H26" i="9"/>
  <c r="H21" i="9"/>
  <c r="I24" i="9"/>
  <c r="I11" i="9"/>
  <c r="H41" i="9"/>
  <c r="I48" i="9"/>
  <c r="I21" i="9"/>
  <c r="I12" i="9"/>
  <c r="H19" i="9"/>
  <c r="G32" i="9"/>
  <c r="H48" i="9"/>
  <c r="H24" i="9"/>
  <c r="G21" i="9"/>
  <c r="I45" i="9"/>
  <c r="G14" i="9"/>
  <c r="H12" i="9"/>
  <c r="G41" i="9"/>
  <c r="H42" i="9"/>
  <c r="G10" i="9"/>
  <c r="J121" i="22" l="1"/>
  <c r="Q106" i="9"/>
  <c r="V106" i="9" s="1"/>
  <c r="I114" i="9"/>
  <c r="H138" i="22"/>
  <c r="O138" i="22"/>
  <c r="K106" i="9"/>
  <c r="L138" i="22"/>
  <c r="J130" i="22"/>
  <c r="E138" i="22"/>
  <c r="N125" i="21"/>
  <c r="N138" i="22"/>
  <c r="I138" i="22"/>
  <c r="O132" i="22"/>
  <c r="H121" i="22"/>
  <c r="E120" i="22"/>
  <c r="L127" i="21"/>
  <c r="F132" i="22"/>
  <c r="G130" i="22"/>
  <c r="F127" i="21"/>
  <c r="I132" i="22"/>
  <c r="Q98" i="9"/>
  <c r="V98" i="9" s="1"/>
  <c r="J132" i="22"/>
  <c r="E130" i="22"/>
  <c r="I130" i="22"/>
  <c r="H132" i="22"/>
  <c r="I121" i="22"/>
  <c r="E136" i="21"/>
  <c r="L132" i="22"/>
  <c r="M127" i="21"/>
  <c r="K115" i="22"/>
  <c r="F138" i="22"/>
  <c r="O127" i="21"/>
  <c r="N127" i="21"/>
  <c r="H115" i="22"/>
  <c r="L115" i="22"/>
  <c r="E125" i="22"/>
  <c r="F125" i="22"/>
  <c r="H125" i="22"/>
  <c r="N125" i="22"/>
  <c r="I125" i="22"/>
  <c r="O125" i="22"/>
  <c r="K125" i="22"/>
  <c r="L125" i="22"/>
  <c r="Q91" i="9"/>
  <c r="V91" i="9" s="1"/>
  <c r="P48" i="40"/>
  <c r="D125" i="22"/>
  <c r="D130" i="22"/>
  <c r="M130" i="22"/>
  <c r="K130" i="21"/>
  <c r="G138" i="22"/>
  <c r="N112" i="22"/>
  <c r="I127" i="21"/>
  <c r="M132" i="22"/>
  <c r="Q100" i="9"/>
  <c r="V100" i="9" s="1"/>
  <c r="P54" i="40"/>
  <c r="O109" i="21"/>
  <c r="J49" i="40"/>
  <c r="K137" i="21"/>
  <c r="H127" i="21"/>
  <c r="D137" i="21"/>
  <c r="E90" i="21"/>
  <c r="G119" i="21"/>
  <c r="L109" i="21"/>
  <c r="K85" i="9"/>
  <c r="H157" i="37" s="1"/>
  <c r="S96" i="42" s="1"/>
  <c r="O128" i="21"/>
  <c r="E128" i="21"/>
  <c r="I109" i="21"/>
  <c r="P61" i="9"/>
  <c r="U61" i="9" s="1"/>
  <c r="O90" i="22"/>
  <c r="J109" i="21"/>
  <c r="F121" i="22"/>
  <c r="O121" i="22"/>
  <c r="N121" i="22"/>
  <c r="G127" i="21"/>
  <c r="P105" i="9"/>
  <c r="U105" i="9" s="1"/>
  <c r="F109" i="21"/>
  <c r="P44" i="40"/>
  <c r="E132" i="22"/>
  <c r="H130" i="22"/>
  <c r="K128" i="21"/>
  <c r="I128" i="21"/>
  <c r="L130" i="22"/>
  <c r="F137" i="21"/>
  <c r="I90" i="21"/>
  <c r="D90" i="21"/>
  <c r="K138" i="22"/>
  <c r="D138" i="22"/>
  <c r="M119" i="21"/>
  <c r="G132" i="22"/>
  <c r="N109" i="21"/>
  <c r="M121" i="22"/>
  <c r="E121" i="22"/>
  <c r="P42" i="40"/>
  <c r="L121" i="22"/>
  <c r="K121" i="22"/>
  <c r="Q85" i="9"/>
  <c r="V85" i="9" s="1"/>
  <c r="P94" i="9"/>
  <c r="U94" i="9" s="1"/>
  <c r="J127" i="21"/>
  <c r="E119" i="21"/>
  <c r="D121" i="22"/>
  <c r="K109" i="21"/>
  <c r="D127" i="21"/>
  <c r="E127" i="21"/>
  <c r="K96" i="9"/>
  <c r="H168" i="37" s="1"/>
  <c r="S107" i="42" s="1"/>
  <c r="F107" i="42" s="1"/>
  <c r="E133" i="21"/>
  <c r="G133" i="21"/>
  <c r="D133" i="21"/>
  <c r="S112" i="20"/>
  <c r="L133" i="21"/>
  <c r="F133" i="21"/>
  <c r="I112" i="21"/>
  <c r="J133" i="21"/>
  <c r="O112" i="21"/>
  <c r="S121" i="20"/>
  <c r="M133" i="21"/>
  <c r="J146" i="18"/>
  <c r="J152" i="18" s="1"/>
  <c r="J161" i="18" s="1"/>
  <c r="J163" i="18" s="1"/>
  <c r="H133" i="21"/>
  <c r="I133" i="21"/>
  <c r="D22" i="16"/>
  <c r="D24" i="16" s="1"/>
  <c r="D26" i="16" s="1"/>
  <c r="O133" i="21"/>
  <c r="N119" i="21"/>
  <c r="P59" i="9"/>
  <c r="U59" i="9" s="1"/>
  <c r="N133" i="21"/>
  <c r="P101" i="9"/>
  <c r="U101" i="9" s="1"/>
  <c r="J50" i="40"/>
  <c r="H94" i="21"/>
  <c r="M126" i="21"/>
  <c r="L94" i="21"/>
  <c r="J45" i="40"/>
  <c r="P66" i="9"/>
  <c r="U66" i="9" s="1"/>
  <c r="J29" i="40"/>
  <c r="D94" i="21"/>
  <c r="D126" i="21"/>
  <c r="E124" i="21"/>
  <c r="O124" i="21"/>
  <c r="G123" i="22"/>
  <c r="H123" i="22"/>
  <c r="Q87" i="9"/>
  <c r="V87" i="9" s="1"/>
  <c r="G124" i="21"/>
  <c r="S115" i="20"/>
  <c r="N94" i="21"/>
  <c r="J126" i="21"/>
  <c r="N124" i="21"/>
  <c r="J124" i="21"/>
  <c r="O123" i="22"/>
  <c r="L139" i="21"/>
  <c r="F126" i="21"/>
  <c r="O126" i="21"/>
  <c r="F20" i="16"/>
  <c r="G126" i="21"/>
  <c r="K94" i="21"/>
  <c r="J94" i="21"/>
  <c r="L123" i="22"/>
  <c r="M123" i="22"/>
  <c r="P88" i="9"/>
  <c r="U88" i="9" s="1"/>
  <c r="I123" i="22"/>
  <c r="D123" i="22"/>
  <c r="E126" i="21"/>
  <c r="K123" i="22"/>
  <c r="J141" i="21"/>
  <c r="J30" i="40"/>
  <c r="S145" i="20"/>
  <c r="S91" i="20"/>
  <c r="F94" i="21"/>
  <c r="F123" i="22"/>
  <c r="N123" i="22"/>
  <c r="K124" i="21"/>
  <c r="M124" i="21"/>
  <c r="M90" i="22"/>
  <c r="K90" i="22"/>
  <c r="G131" i="9"/>
  <c r="G133" i="9" s="1"/>
  <c r="E123" i="22"/>
  <c r="E91" i="21"/>
  <c r="I124" i="21"/>
  <c r="P92" i="9"/>
  <c r="U92" i="9" s="1"/>
  <c r="N90" i="22"/>
  <c r="N126" i="21"/>
  <c r="H124" i="21"/>
  <c r="M94" i="21"/>
  <c r="J93" i="21"/>
  <c r="G94" i="21"/>
  <c r="L126" i="21"/>
  <c r="H126" i="21"/>
  <c r="K126" i="21"/>
  <c r="P26" i="40"/>
  <c r="K87" i="9"/>
  <c r="H159" i="37" s="1"/>
  <c r="W159" i="37" s="1"/>
  <c r="J57" i="40"/>
  <c r="D141" i="21"/>
  <c r="I146" i="18"/>
  <c r="I152" i="18" s="1"/>
  <c r="I161" i="18" s="1"/>
  <c r="I163" i="18" s="1"/>
  <c r="O93" i="21"/>
  <c r="E130" i="21"/>
  <c r="H91" i="21"/>
  <c r="H141" i="21"/>
  <c r="H139" i="21"/>
  <c r="P83" i="9"/>
  <c r="U83" i="9" s="1"/>
  <c r="J119" i="21"/>
  <c r="H119" i="21"/>
  <c r="G139" i="21"/>
  <c r="L137" i="21"/>
  <c r="F22" i="46"/>
  <c r="J130" i="21"/>
  <c r="K98" i="9"/>
  <c r="H174" i="37" s="1"/>
  <c r="Q174" i="37" s="1"/>
  <c r="G93" i="21"/>
  <c r="H93" i="21"/>
  <c r="M137" i="21"/>
  <c r="H137" i="21"/>
  <c r="E141" i="21"/>
  <c r="F141" i="21"/>
  <c r="I119" i="21"/>
  <c r="F130" i="21"/>
  <c r="O130" i="21"/>
  <c r="P65" i="9"/>
  <c r="U65" i="9" s="1"/>
  <c r="K93" i="21"/>
  <c r="G130" i="21"/>
  <c r="N91" i="21"/>
  <c r="I91" i="21"/>
  <c r="I141" i="21"/>
  <c r="F139" i="21"/>
  <c r="M130" i="21"/>
  <c r="N137" i="21"/>
  <c r="M93" i="21"/>
  <c r="M139" i="21"/>
  <c r="F93" i="21"/>
  <c r="D130" i="21"/>
  <c r="G91" i="21"/>
  <c r="I137" i="21"/>
  <c r="L91" i="21"/>
  <c r="O141" i="21"/>
  <c r="M91" i="21"/>
  <c r="I139" i="21"/>
  <c r="J139" i="21"/>
  <c r="G137" i="21"/>
  <c r="L119" i="21"/>
  <c r="N130" i="21"/>
  <c r="J41" i="40"/>
  <c r="F119" i="21"/>
  <c r="D139" i="21"/>
  <c r="E93" i="21"/>
  <c r="O91" i="21"/>
  <c r="D111" i="22"/>
  <c r="K91" i="21"/>
  <c r="H70" i="9"/>
  <c r="H20" i="16" s="1"/>
  <c r="J91" i="21"/>
  <c r="F91" i="21"/>
  <c r="J27" i="40"/>
  <c r="L141" i="21"/>
  <c r="N139" i="21"/>
  <c r="O119" i="21"/>
  <c r="D119" i="21"/>
  <c r="N93" i="21"/>
  <c r="I93" i="21"/>
  <c r="D93" i="21"/>
  <c r="M141" i="21"/>
  <c r="L130" i="21"/>
  <c r="J53" i="40"/>
  <c r="P63" i="9"/>
  <c r="U63" i="9" s="1"/>
  <c r="G141" i="21"/>
  <c r="P109" i="9"/>
  <c r="U109" i="9" s="1"/>
  <c r="K141" i="21"/>
  <c r="K139" i="21"/>
  <c r="I130" i="21"/>
  <c r="E139" i="21"/>
  <c r="J54" i="40"/>
  <c r="D132" i="21"/>
  <c r="H132" i="21"/>
  <c r="J132" i="21"/>
  <c r="O132" i="21"/>
  <c r="L132" i="21"/>
  <c r="N132" i="21"/>
  <c r="I132" i="21"/>
  <c r="G132" i="21"/>
  <c r="M132" i="21"/>
  <c r="F132" i="21"/>
  <c r="E132" i="21"/>
  <c r="P100" i="9"/>
  <c r="U100" i="9" s="1"/>
  <c r="K132" i="21"/>
  <c r="F21" i="46"/>
  <c r="P49" i="40"/>
  <c r="H127" i="22"/>
  <c r="J127" i="22"/>
  <c r="G121" i="9"/>
  <c r="J106" i="20"/>
  <c r="K112" i="21"/>
  <c r="J36" i="40"/>
  <c r="L106" i="20"/>
  <c r="F112" i="21"/>
  <c r="L112" i="21"/>
  <c r="N112" i="21"/>
  <c r="E112" i="21"/>
  <c r="P76" i="9"/>
  <c r="U76" i="9" s="1"/>
  <c r="G112" i="21"/>
  <c r="M112" i="21"/>
  <c r="E114" i="22"/>
  <c r="D112" i="21"/>
  <c r="J112" i="21"/>
  <c r="N120" i="22"/>
  <c r="S93" i="20"/>
  <c r="H114" i="21"/>
  <c r="E114" i="21"/>
  <c r="G122" i="22"/>
  <c r="K60" i="9"/>
  <c r="H118" i="37" s="1"/>
  <c r="R118" i="37" s="1"/>
  <c r="S125" i="20"/>
  <c r="S128" i="20"/>
  <c r="H122" i="22"/>
  <c r="M94" i="22"/>
  <c r="H135" i="9"/>
  <c r="I114" i="21"/>
  <c r="S118" i="20"/>
  <c r="N114" i="21"/>
  <c r="M114" i="21"/>
  <c r="J38" i="40"/>
  <c r="H132" i="9"/>
  <c r="L114" i="21"/>
  <c r="O114" i="21"/>
  <c r="K114" i="21"/>
  <c r="G114" i="21"/>
  <c r="F114" i="21"/>
  <c r="D114" i="21"/>
  <c r="J114" i="21"/>
  <c r="D145" i="22"/>
  <c r="D146" i="22" s="1"/>
  <c r="K67" i="9"/>
  <c r="H131" i="37" s="1"/>
  <c r="S131" i="37" s="1"/>
  <c r="J91" i="22"/>
  <c r="G115" i="22"/>
  <c r="Q96" i="9"/>
  <c r="O141" i="22"/>
  <c r="G141" i="22"/>
  <c r="I90" i="22"/>
  <c r="H90" i="22"/>
  <c r="H145" i="22"/>
  <c r="H146" i="22" s="1"/>
  <c r="N145" i="22"/>
  <c r="N146" i="22" s="1"/>
  <c r="L145" i="22"/>
  <c r="L146" i="22" s="1"/>
  <c r="F120" i="22"/>
  <c r="D120" i="22"/>
  <c r="Q84" i="9"/>
  <c r="V84" i="9" s="1"/>
  <c r="W84" i="9" s="1"/>
  <c r="J79" i="9"/>
  <c r="K79" i="9" s="1"/>
  <c r="H150" i="37" s="1"/>
  <c r="V150" i="37" s="1"/>
  <c r="O115" i="22"/>
  <c r="F122" i="22"/>
  <c r="G90" i="22"/>
  <c r="K61" i="9"/>
  <c r="H119" i="37" s="1"/>
  <c r="Q119" i="37" s="1"/>
  <c r="K113" i="9"/>
  <c r="H189" i="37" s="1"/>
  <c r="T189" i="37" s="1"/>
  <c r="T192" i="37" s="1"/>
  <c r="O106" i="20"/>
  <c r="S126" i="20"/>
  <c r="G106" i="20"/>
  <c r="E145" i="22"/>
  <c r="E146" i="22" s="1"/>
  <c r="K145" i="22"/>
  <c r="K146" i="22" s="1"/>
  <c r="L141" i="22"/>
  <c r="Q67" i="9"/>
  <c r="V67" i="9" s="1"/>
  <c r="L120" i="22"/>
  <c r="K120" i="22"/>
  <c r="D115" i="22"/>
  <c r="N115" i="22"/>
  <c r="E90" i="22"/>
  <c r="D111" i="21"/>
  <c r="P25" i="40"/>
  <c r="S127" i="20"/>
  <c r="F145" i="22"/>
  <c r="F146" i="22" s="1"/>
  <c r="O145" i="22"/>
  <c r="O146" i="22" s="1"/>
  <c r="G120" i="22"/>
  <c r="K84" i="9"/>
  <c r="H156" i="37" s="1"/>
  <c r="S156" i="37" s="1"/>
  <c r="F115" i="22"/>
  <c r="J115" i="22"/>
  <c r="L90" i="22"/>
  <c r="H120" i="22"/>
  <c r="K89" i="22"/>
  <c r="I145" i="22"/>
  <c r="I146" i="22" s="1"/>
  <c r="G145" i="22"/>
  <c r="G146" i="22" s="1"/>
  <c r="O120" i="22"/>
  <c r="J120" i="22"/>
  <c r="E115" i="22"/>
  <c r="F90" i="22"/>
  <c r="Q79" i="9"/>
  <c r="V79" i="9" s="1"/>
  <c r="D90" i="22"/>
  <c r="J145" i="22"/>
  <c r="J146" i="22" s="1"/>
  <c r="Q113" i="9"/>
  <c r="Q114" i="9" s="1"/>
  <c r="R22" i="16" s="1"/>
  <c r="M120" i="22"/>
  <c r="I115" i="22"/>
  <c r="J90" i="22"/>
  <c r="L94" i="22"/>
  <c r="H91" i="22"/>
  <c r="E111" i="22"/>
  <c r="O111" i="21"/>
  <c r="Q58" i="9"/>
  <c r="V58" i="9" s="1"/>
  <c r="W58" i="9" s="1"/>
  <c r="N122" i="22"/>
  <c r="M122" i="22"/>
  <c r="L127" i="22"/>
  <c r="E141" i="22"/>
  <c r="M141" i="22"/>
  <c r="M91" i="22"/>
  <c r="G91" i="22"/>
  <c r="F111" i="22"/>
  <c r="L111" i="21"/>
  <c r="J35" i="40"/>
  <c r="J89" i="22"/>
  <c r="F94" i="22"/>
  <c r="S122" i="20"/>
  <c r="S111" i="20"/>
  <c r="S140" i="20"/>
  <c r="S141" i="20"/>
  <c r="S110" i="20"/>
  <c r="S89" i="20"/>
  <c r="P29" i="40"/>
  <c r="D91" i="22"/>
  <c r="G111" i="21"/>
  <c r="F89" i="22"/>
  <c r="K122" i="22"/>
  <c r="M111" i="22"/>
  <c r="I111" i="21"/>
  <c r="E127" i="22"/>
  <c r="O127" i="22"/>
  <c r="K141" i="22"/>
  <c r="O94" i="22"/>
  <c r="J111" i="22"/>
  <c r="K111" i="22"/>
  <c r="M155" i="25"/>
  <c r="J122" i="22"/>
  <c r="F127" i="22"/>
  <c r="J141" i="22"/>
  <c r="M127" i="22"/>
  <c r="O122" i="22"/>
  <c r="N94" i="22"/>
  <c r="Q65" i="9"/>
  <c r="V65" i="9" s="1"/>
  <c r="W65" i="9" s="1"/>
  <c r="K58" i="9"/>
  <c r="H116" i="37" s="1"/>
  <c r="S116" i="37" s="1"/>
  <c r="K75" i="9"/>
  <c r="H145" i="37" s="1"/>
  <c r="S84" i="42" s="1"/>
  <c r="I84" i="42" s="1"/>
  <c r="F111" i="21"/>
  <c r="G94" i="22"/>
  <c r="P23" i="40"/>
  <c r="D89" i="22"/>
  <c r="D122" i="22"/>
  <c r="P43" i="40"/>
  <c r="K94" i="9"/>
  <c r="H166" i="37" s="1"/>
  <c r="U166" i="37" s="1"/>
  <c r="F141" i="22"/>
  <c r="Q109" i="9"/>
  <c r="V109" i="9" s="1"/>
  <c r="I141" i="22"/>
  <c r="E94" i="22"/>
  <c r="D94" i="22"/>
  <c r="Q75" i="9"/>
  <c r="V75" i="9" s="1"/>
  <c r="I111" i="22"/>
  <c r="K66" i="9"/>
  <c r="H130" i="37" s="1"/>
  <c r="L91" i="22"/>
  <c r="Q63" i="9"/>
  <c r="V63" i="9" s="1"/>
  <c r="W63" i="9" s="1"/>
  <c r="K111" i="21"/>
  <c r="H89" i="22"/>
  <c r="I89" i="22"/>
  <c r="N111" i="21"/>
  <c r="F91" i="22"/>
  <c r="E111" i="21"/>
  <c r="P57" i="40"/>
  <c r="H141" i="22"/>
  <c r="N141" i="22"/>
  <c r="K94" i="22"/>
  <c r="J94" i="22"/>
  <c r="K63" i="9"/>
  <c r="H121" i="37" s="1"/>
  <c r="U121" i="37" s="1"/>
  <c r="N111" i="22"/>
  <c r="P35" i="40"/>
  <c r="L111" i="22"/>
  <c r="I91" i="22"/>
  <c r="P27" i="40"/>
  <c r="K109" i="9"/>
  <c r="H179" i="37" s="1"/>
  <c r="S179" i="37" s="1"/>
  <c r="P75" i="9"/>
  <c r="U75" i="9" s="1"/>
  <c r="H94" i="22"/>
  <c r="O89" i="22"/>
  <c r="I122" i="22"/>
  <c r="G111" i="22"/>
  <c r="K86" i="9"/>
  <c r="H158" i="37" s="1"/>
  <c r="T158" i="37" s="1"/>
  <c r="Q86" i="9"/>
  <c r="V86" i="9" s="1"/>
  <c r="W86" i="9" s="1"/>
  <c r="L122" i="22"/>
  <c r="Q94" i="9"/>
  <c r="V94" i="9" s="1"/>
  <c r="Q66" i="9"/>
  <c r="V66" i="9" s="1"/>
  <c r="O111" i="22"/>
  <c r="N91" i="22"/>
  <c r="E91" i="22"/>
  <c r="K91" i="22"/>
  <c r="J111" i="21"/>
  <c r="M111" i="21"/>
  <c r="E89" i="22"/>
  <c r="S123" i="20"/>
  <c r="G127" i="22"/>
  <c r="I127" i="22"/>
  <c r="D106" i="20"/>
  <c r="K127" i="22"/>
  <c r="D127" i="22"/>
  <c r="S114" i="20"/>
  <c r="G93" i="22"/>
  <c r="O70" i="9"/>
  <c r="P20" i="16" s="1"/>
  <c r="K82" i="9"/>
  <c r="H153" i="37" s="1"/>
  <c r="S153" i="37" s="1"/>
  <c r="J118" i="22"/>
  <c r="N146" i="18"/>
  <c r="N152" i="18" s="1"/>
  <c r="N161" i="18" s="1"/>
  <c r="N163" i="18" s="1"/>
  <c r="K114" i="22"/>
  <c r="K78" i="9"/>
  <c r="H149" i="37" s="1"/>
  <c r="W149" i="37" s="1"/>
  <c r="L140" i="22"/>
  <c r="S113" i="20"/>
  <c r="I140" i="22"/>
  <c r="N114" i="22"/>
  <c r="Q78" i="9"/>
  <c r="V78" i="9" s="1"/>
  <c r="W78" i="9" s="1"/>
  <c r="I119" i="22"/>
  <c r="G114" i="22"/>
  <c r="S117" i="20"/>
  <c r="N142" i="20"/>
  <c r="J124" i="22"/>
  <c r="K110" i="22"/>
  <c r="J125" i="21"/>
  <c r="H110" i="22"/>
  <c r="K74" i="9"/>
  <c r="H143" i="37" s="1"/>
  <c r="V143" i="37" s="1"/>
  <c r="K88" i="9"/>
  <c r="H160" i="37" s="1"/>
  <c r="T160" i="37" s="1"/>
  <c r="E106" i="20"/>
  <c r="I124" i="22"/>
  <c r="E125" i="21"/>
  <c r="F125" i="21"/>
  <c r="L125" i="21"/>
  <c r="I110" i="22"/>
  <c r="M110" i="22"/>
  <c r="I125" i="21"/>
  <c r="S119" i="20"/>
  <c r="P45" i="40"/>
  <c r="M125" i="21"/>
  <c r="D125" i="21"/>
  <c r="N110" i="22"/>
  <c r="F110" i="22"/>
  <c r="K14" i="50"/>
  <c r="K16" i="50" s="1"/>
  <c r="H110" i="9"/>
  <c r="H21" i="16" s="1"/>
  <c r="E124" i="22"/>
  <c r="Q88" i="9"/>
  <c r="V88" i="9" s="1"/>
  <c r="H124" i="22"/>
  <c r="K59" i="9"/>
  <c r="H117" i="37" s="1"/>
  <c r="T117" i="37" s="1"/>
  <c r="K125" i="21"/>
  <c r="E110" i="22"/>
  <c r="S145" i="18"/>
  <c r="L124" i="22"/>
  <c r="P24" i="40"/>
  <c r="P91" i="9"/>
  <c r="U91" i="9" s="1"/>
  <c r="W91" i="9" s="1"/>
  <c r="D110" i="22"/>
  <c r="N124" i="22"/>
  <c r="M124" i="22"/>
  <c r="O124" i="22"/>
  <c r="J110" i="22"/>
  <c r="Q74" i="9"/>
  <c r="V74" i="9" s="1"/>
  <c r="W74" i="9" s="1"/>
  <c r="F146" i="18"/>
  <c r="F152" i="18" s="1"/>
  <c r="F161" i="18" s="1"/>
  <c r="F163" i="18" s="1"/>
  <c r="D124" i="22"/>
  <c r="K124" i="22"/>
  <c r="F124" i="22"/>
  <c r="H125" i="21"/>
  <c r="G125" i="21"/>
  <c r="G110" i="22"/>
  <c r="K91" i="9"/>
  <c r="H163" i="37" s="1"/>
  <c r="U163" i="37" s="1"/>
  <c r="J48" i="40"/>
  <c r="O110" i="22"/>
  <c r="L110" i="22"/>
  <c r="O142" i="20"/>
  <c r="I142" i="20"/>
  <c r="S124" i="20"/>
  <c r="K106" i="20"/>
  <c r="D136" i="22"/>
  <c r="M146" i="18"/>
  <c r="M152" i="18" s="1"/>
  <c r="M161" i="18" s="1"/>
  <c r="M163" i="18" s="1"/>
  <c r="D133" i="22"/>
  <c r="I106" i="20"/>
  <c r="M106" i="20"/>
  <c r="E121" i="9"/>
  <c r="E124" i="9" s="1"/>
  <c r="E146" i="18"/>
  <c r="E152" i="18" s="1"/>
  <c r="E161" i="18" s="1"/>
  <c r="E163" i="18" s="1"/>
  <c r="M116" i="22"/>
  <c r="L136" i="22"/>
  <c r="Q104" i="9"/>
  <c r="V104" i="9" s="1"/>
  <c r="W104" i="9" s="1"/>
  <c r="R60" i="9"/>
  <c r="W60" i="9"/>
  <c r="J136" i="22"/>
  <c r="E135" i="22"/>
  <c r="E140" i="22"/>
  <c r="O118" i="22"/>
  <c r="Q82" i="9"/>
  <c r="V82" i="9" s="1"/>
  <c r="W82" i="9" s="1"/>
  <c r="L135" i="22"/>
  <c r="D114" i="22"/>
  <c r="O112" i="22"/>
  <c r="M140" i="22"/>
  <c r="K108" i="9"/>
  <c r="M137" i="22"/>
  <c r="D119" i="22"/>
  <c r="P40" i="40"/>
  <c r="S90" i="20"/>
  <c r="J142" i="20"/>
  <c r="S109" i="20"/>
  <c r="S120" i="20"/>
  <c r="O114" i="22"/>
  <c r="D135" i="22"/>
  <c r="J114" i="22"/>
  <c r="H137" i="22"/>
  <c r="L118" i="22"/>
  <c r="K140" i="22"/>
  <c r="O135" i="22"/>
  <c r="N118" i="22"/>
  <c r="J135" i="22"/>
  <c r="L137" i="22"/>
  <c r="H114" i="22"/>
  <c r="H118" i="22"/>
  <c r="I135" i="22"/>
  <c r="L114" i="22"/>
  <c r="F114" i="22"/>
  <c r="K103" i="9"/>
  <c r="H178" i="37" s="1"/>
  <c r="S117" i="42" s="1"/>
  <c r="D117" i="42" s="1"/>
  <c r="K135" i="22"/>
  <c r="H135" i="22"/>
  <c r="J140" i="22"/>
  <c r="I128" i="22"/>
  <c r="I112" i="22"/>
  <c r="Q108" i="9"/>
  <c r="V108" i="9" s="1"/>
  <c r="W108" i="9" s="1"/>
  <c r="I114" i="22"/>
  <c r="N135" i="22"/>
  <c r="G135" i="22"/>
  <c r="H140" i="22"/>
  <c r="D137" i="22"/>
  <c r="K83" i="9"/>
  <c r="H154" i="37" s="1"/>
  <c r="S154" i="37" s="1"/>
  <c r="P56" i="40"/>
  <c r="F140" i="22"/>
  <c r="E118" i="22"/>
  <c r="P36" i="40"/>
  <c r="P38" i="40"/>
  <c r="F135" i="22"/>
  <c r="O140" i="22"/>
  <c r="N140" i="22"/>
  <c r="G140" i="22"/>
  <c r="G118" i="22"/>
  <c r="L113" i="22"/>
  <c r="H117" i="22"/>
  <c r="S116" i="20"/>
  <c r="K142" i="20"/>
  <c r="E142" i="20"/>
  <c r="N106" i="20"/>
  <c r="F106" i="20"/>
  <c r="F142" i="20"/>
  <c r="D142" i="20"/>
  <c r="P37" i="40"/>
  <c r="W61" i="9"/>
  <c r="R61" i="9"/>
  <c r="M113" i="22"/>
  <c r="P168" i="37"/>
  <c r="L142" i="20"/>
  <c r="W93" i="9"/>
  <c r="E117" i="22"/>
  <c r="L95" i="22"/>
  <c r="Q77" i="9"/>
  <c r="V77" i="9" s="1"/>
  <c r="W77" i="9" s="1"/>
  <c r="H106" i="20"/>
  <c r="O110" i="9"/>
  <c r="P21" i="16" s="1"/>
  <c r="I117" i="22"/>
  <c r="K93" i="9"/>
  <c r="H165" i="37" s="1"/>
  <c r="U165" i="37" s="1"/>
  <c r="K81" i="9"/>
  <c r="H152" i="37" s="1"/>
  <c r="F95" i="22"/>
  <c r="O95" i="22"/>
  <c r="K77" i="9"/>
  <c r="H148" i="37" s="1"/>
  <c r="P148" i="37" s="1"/>
  <c r="E113" i="22"/>
  <c r="K95" i="22"/>
  <c r="L139" i="22"/>
  <c r="Q81" i="9"/>
  <c r="V81" i="9" s="1"/>
  <c r="W81" i="9" s="1"/>
  <c r="L117" i="22"/>
  <c r="M95" i="22"/>
  <c r="N95" i="22"/>
  <c r="H113" i="22"/>
  <c r="E95" i="22"/>
  <c r="F139" i="22"/>
  <c r="I139" i="22"/>
  <c r="T168" i="37"/>
  <c r="F117" i="22"/>
  <c r="P31" i="40"/>
  <c r="K139" i="22"/>
  <c r="D117" i="22"/>
  <c r="J117" i="22"/>
  <c r="G117" i="22"/>
  <c r="Q68" i="9"/>
  <c r="V68" i="9" s="1"/>
  <c r="W68" i="9" s="1"/>
  <c r="I95" i="22"/>
  <c r="K113" i="22"/>
  <c r="I113" i="22"/>
  <c r="Q107" i="9"/>
  <c r="E139" i="22"/>
  <c r="S94" i="20"/>
  <c r="K68" i="9"/>
  <c r="H132" i="37" s="1"/>
  <c r="T132" i="37" s="1"/>
  <c r="M117" i="22"/>
  <c r="H95" i="22"/>
  <c r="D95" i="22"/>
  <c r="O113" i="22"/>
  <c r="F113" i="22"/>
  <c r="J95" i="22"/>
  <c r="K107" i="9"/>
  <c r="D139" i="22"/>
  <c r="H139" i="22"/>
  <c r="J139" i="22"/>
  <c r="O117" i="22"/>
  <c r="K117" i="22"/>
  <c r="N113" i="22"/>
  <c r="O139" i="22"/>
  <c r="G139" i="22"/>
  <c r="N139" i="22"/>
  <c r="Q103" i="9"/>
  <c r="V103" i="9" s="1"/>
  <c r="W103" i="9" s="1"/>
  <c r="M142" i="20"/>
  <c r="G142" i="20"/>
  <c r="S130" i="20"/>
  <c r="H142" i="20"/>
  <c r="Q80" i="9"/>
  <c r="L119" i="22"/>
  <c r="H112" i="22"/>
  <c r="N137" i="22"/>
  <c r="O137" i="22"/>
  <c r="F126" i="22"/>
  <c r="D126" i="22"/>
  <c r="R93" i="9"/>
  <c r="M112" i="22"/>
  <c r="E112" i="22"/>
  <c r="J119" i="22"/>
  <c r="F112" i="22"/>
  <c r="K105" i="9"/>
  <c r="L128" i="22"/>
  <c r="K137" i="22"/>
  <c r="J137" i="22"/>
  <c r="Q105" i="9"/>
  <c r="V105" i="9" s="1"/>
  <c r="W105" i="9" s="1"/>
  <c r="K109" i="22"/>
  <c r="E134" i="22"/>
  <c r="K76" i="9"/>
  <c r="H146" i="37" s="1"/>
  <c r="S146" i="37" s="1"/>
  <c r="M119" i="22"/>
  <c r="E116" i="22"/>
  <c r="P41" i="40"/>
  <c r="K119" i="22"/>
  <c r="H119" i="22"/>
  <c r="P47" i="40"/>
  <c r="J133" i="22"/>
  <c r="N128" i="22"/>
  <c r="Q83" i="9"/>
  <c r="V83" i="9" s="1"/>
  <c r="H133" i="22"/>
  <c r="N133" i="22"/>
  <c r="Q95" i="9"/>
  <c r="V95" i="9" s="1"/>
  <c r="W95" i="9" s="1"/>
  <c r="F128" i="22"/>
  <c r="M128" i="22"/>
  <c r="Q76" i="9"/>
  <c r="V76" i="9" s="1"/>
  <c r="K95" i="9"/>
  <c r="H167" i="37" s="1"/>
  <c r="I137" i="22"/>
  <c r="G119" i="22"/>
  <c r="J112" i="22"/>
  <c r="D112" i="22"/>
  <c r="K112" i="22"/>
  <c r="D128" i="22"/>
  <c r="G128" i="22"/>
  <c r="O128" i="22"/>
  <c r="J128" i="22"/>
  <c r="O119" i="22"/>
  <c r="L112" i="22"/>
  <c r="F119" i="22"/>
  <c r="E128" i="22"/>
  <c r="K128" i="22"/>
  <c r="G137" i="22"/>
  <c r="E119" i="22"/>
  <c r="K90" i="9"/>
  <c r="H162" i="37" s="1"/>
  <c r="Q102" i="9"/>
  <c r="V102" i="9" s="1"/>
  <c r="W102" i="9" s="1"/>
  <c r="D134" i="22"/>
  <c r="M133" i="22"/>
  <c r="N136" i="22"/>
  <c r="J93" i="22"/>
  <c r="I93" i="22"/>
  <c r="O93" i="22"/>
  <c r="O109" i="22"/>
  <c r="O116" i="22"/>
  <c r="O133" i="22"/>
  <c r="N126" i="22"/>
  <c r="K134" i="22"/>
  <c r="H134" i="22"/>
  <c r="F134" i="22"/>
  <c r="I70" i="9"/>
  <c r="I131" i="9" s="1"/>
  <c r="K80" i="9"/>
  <c r="H116" i="22"/>
  <c r="H93" i="22"/>
  <c r="E136" i="22"/>
  <c r="F136" i="22"/>
  <c r="E109" i="22"/>
  <c r="N109" i="22"/>
  <c r="K73" i="9"/>
  <c r="H142" i="37" s="1"/>
  <c r="W142" i="37" s="1"/>
  <c r="I109" i="22"/>
  <c r="I116" i="22"/>
  <c r="O126" i="22"/>
  <c r="O134" i="22"/>
  <c r="I110" i="9"/>
  <c r="J21" i="46" s="1"/>
  <c r="K116" i="22"/>
  <c r="L116" i="22"/>
  <c r="G133" i="22"/>
  <c r="M136" i="22"/>
  <c r="F93" i="22"/>
  <c r="K104" i="9"/>
  <c r="H112" i="37" s="1"/>
  <c r="W112" i="37" s="1"/>
  <c r="D109" i="22"/>
  <c r="M134" i="22"/>
  <c r="G134" i="22"/>
  <c r="I135" i="9"/>
  <c r="N116" i="22"/>
  <c r="G116" i="22"/>
  <c r="L133" i="22"/>
  <c r="M109" i="22"/>
  <c r="O136" i="22"/>
  <c r="D93" i="22"/>
  <c r="G109" i="22"/>
  <c r="H136" i="22"/>
  <c r="I126" i="22"/>
  <c r="P33" i="40"/>
  <c r="D116" i="22"/>
  <c r="K133" i="22"/>
  <c r="Q92" i="9"/>
  <c r="V92" i="9" s="1"/>
  <c r="E126" i="22"/>
  <c r="J134" i="22"/>
  <c r="K65" i="9"/>
  <c r="H129" i="37" s="1"/>
  <c r="P39" i="40"/>
  <c r="K93" i="22"/>
  <c r="Q73" i="9"/>
  <c r="V73" i="9" s="1"/>
  <c r="L93" i="22"/>
  <c r="Q101" i="9"/>
  <c r="V101" i="9" s="1"/>
  <c r="W101" i="9" s="1"/>
  <c r="M126" i="22"/>
  <c r="L126" i="22"/>
  <c r="H126" i="22"/>
  <c r="L134" i="22"/>
  <c r="N134" i="22"/>
  <c r="I132" i="9"/>
  <c r="K102" i="9"/>
  <c r="H181" i="37" s="1"/>
  <c r="T181" i="37" s="1"/>
  <c r="E93" i="22"/>
  <c r="E133" i="22"/>
  <c r="F133" i="22"/>
  <c r="K136" i="22"/>
  <c r="I136" i="22"/>
  <c r="N93" i="22"/>
  <c r="P55" i="40"/>
  <c r="F116" i="22"/>
  <c r="K101" i="9"/>
  <c r="H177" i="37" s="1"/>
  <c r="K92" i="9"/>
  <c r="H164" i="37" s="1"/>
  <c r="F137" i="22"/>
  <c r="D113" i="22"/>
  <c r="H109" i="22"/>
  <c r="L109" i="22"/>
  <c r="F109" i="22"/>
  <c r="J126" i="22"/>
  <c r="K126" i="22"/>
  <c r="J113" i="22"/>
  <c r="K118" i="22"/>
  <c r="M118" i="22"/>
  <c r="I118" i="22"/>
  <c r="D118" i="22"/>
  <c r="K100" i="9"/>
  <c r="H175" i="37" s="1"/>
  <c r="K132" i="22"/>
  <c r="N89" i="22"/>
  <c r="G89" i="22"/>
  <c r="M89" i="22"/>
  <c r="E90" i="34"/>
  <c r="O77" i="20"/>
  <c r="N77" i="20"/>
  <c r="M77" i="20"/>
  <c r="I77" i="20"/>
  <c r="J77" i="20"/>
  <c r="E77" i="20"/>
  <c r="D77" i="20"/>
  <c r="F77" i="20"/>
  <c r="K77" i="20"/>
  <c r="O32" i="9"/>
  <c r="T32" i="9" s="1"/>
  <c r="G77" i="20"/>
  <c r="D13" i="40"/>
  <c r="L77" i="20"/>
  <c r="H77" i="20"/>
  <c r="E94" i="34"/>
  <c r="G14" i="50"/>
  <c r="G16" i="50" s="1"/>
  <c r="E78" i="21"/>
  <c r="G78" i="21"/>
  <c r="P45" i="9"/>
  <c r="U45" i="9" s="1"/>
  <c r="H78" i="21"/>
  <c r="I78" i="21"/>
  <c r="F78" i="21"/>
  <c r="N78" i="21"/>
  <c r="O78" i="21"/>
  <c r="D78" i="21"/>
  <c r="K78" i="21"/>
  <c r="L78" i="21"/>
  <c r="J21" i="40"/>
  <c r="J78" i="21"/>
  <c r="M78" i="21"/>
  <c r="P39" i="9"/>
  <c r="U39" i="9" s="1"/>
  <c r="J17" i="40"/>
  <c r="J15" i="40"/>
  <c r="P35" i="9"/>
  <c r="U35" i="9" s="1"/>
  <c r="D15" i="40"/>
  <c r="O35" i="9"/>
  <c r="T35" i="9" s="1"/>
  <c r="E100" i="34"/>
  <c r="K57" i="22"/>
  <c r="E57" i="22"/>
  <c r="H57" i="22"/>
  <c r="N57" i="22"/>
  <c r="Q12" i="9"/>
  <c r="V12" i="9" s="1"/>
  <c r="D57" i="22"/>
  <c r="M57" i="22"/>
  <c r="G57" i="22"/>
  <c r="L57" i="22"/>
  <c r="J57" i="22"/>
  <c r="O57" i="22"/>
  <c r="P7" i="40"/>
  <c r="F57" i="22"/>
  <c r="I57" i="22"/>
  <c r="L66" i="21"/>
  <c r="K66" i="21"/>
  <c r="F66" i="21"/>
  <c r="J66" i="21"/>
  <c r="M66" i="21"/>
  <c r="P21" i="9"/>
  <c r="U21" i="9" s="1"/>
  <c r="E66" i="21"/>
  <c r="O66" i="21"/>
  <c r="N66" i="21"/>
  <c r="J9" i="40"/>
  <c r="H66" i="21"/>
  <c r="G66" i="21"/>
  <c r="I66" i="21"/>
  <c r="D66" i="21"/>
  <c r="O38" i="9"/>
  <c r="D16" i="40"/>
  <c r="J68" i="21"/>
  <c r="P23" i="9"/>
  <c r="U23" i="9" s="1"/>
  <c r="M68" i="21"/>
  <c r="H68" i="21"/>
  <c r="N68" i="21"/>
  <c r="F68" i="21"/>
  <c r="L68" i="21"/>
  <c r="K68" i="21"/>
  <c r="E68" i="21"/>
  <c r="D68" i="21"/>
  <c r="J10" i="40"/>
  <c r="O68" i="21"/>
  <c r="I68" i="21"/>
  <c r="G68" i="21"/>
  <c r="H56" i="21"/>
  <c r="G56" i="21"/>
  <c r="M56" i="21"/>
  <c r="L56" i="21"/>
  <c r="O56" i="21"/>
  <c r="J56" i="21"/>
  <c r="P11" i="9"/>
  <c r="U11" i="9" s="1"/>
  <c r="K56" i="21"/>
  <c r="F56" i="21"/>
  <c r="D56" i="21"/>
  <c r="I56" i="21"/>
  <c r="N56" i="21"/>
  <c r="E56" i="21"/>
  <c r="J6" i="40"/>
  <c r="P15" i="40"/>
  <c r="Q35" i="9"/>
  <c r="V35" i="9" s="1"/>
  <c r="K35" i="9"/>
  <c r="H92" i="37" s="1"/>
  <c r="P13" i="40"/>
  <c r="F77" i="22"/>
  <c r="I53" i="9"/>
  <c r="D77" i="22"/>
  <c r="I77" i="22"/>
  <c r="Q32" i="9"/>
  <c r="M77" i="22"/>
  <c r="N77" i="22"/>
  <c r="E77" i="22"/>
  <c r="O77" i="22"/>
  <c r="G77" i="22"/>
  <c r="H77" i="22"/>
  <c r="L77" i="22"/>
  <c r="K77" i="22"/>
  <c r="J77" i="22"/>
  <c r="P16" i="40"/>
  <c r="Q38" i="9"/>
  <c r="V38" i="9" s="1"/>
  <c r="H56" i="22"/>
  <c r="P6" i="40"/>
  <c r="O56" i="22"/>
  <c r="D56" i="22"/>
  <c r="K56" i="22"/>
  <c r="F56" i="22"/>
  <c r="N56" i="22"/>
  <c r="L56" i="22"/>
  <c r="I56" i="22"/>
  <c r="G56" i="22"/>
  <c r="M56" i="22"/>
  <c r="J56" i="22"/>
  <c r="E56" i="22"/>
  <c r="Q11" i="9"/>
  <c r="V11" i="9" s="1"/>
  <c r="I64" i="22"/>
  <c r="N64" i="22"/>
  <c r="P8" i="40"/>
  <c r="M64" i="22"/>
  <c r="O64" i="22"/>
  <c r="I29" i="9"/>
  <c r="E64" i="22"/>
  <c r="D64" i="22"/>
  <c r="F64" i="22"/>
  <c r="G64" i="22"/>
  <c r="L64" i="22"/>
  <c r="Q19" i="9"/>
  <c r="H64" i="22"/>
  <c r="K64" i="22"/>
  <c r="J64" i="22"/>
  <c r="M57" i="21"/>
  <c r="L57" i="21"/>
  <c r="J57" i="21"/>
  <c r="N57" i="21"/>
  <c r="I57" i="21"/>
  <c r="K57" i="21"/>
  <c r="H57" i="21"/>
  <c r="F57" i="21"/>
  <c r="D57" i="21"/>
  <c r="J7" i="40"/>
  <c r="P12" i="9"/>
  <c r="U12" i="9" s="1"/>
  <c r="O57" i="21"/>
  <c r="E57" i="21"/>
  <c r="G57" i="21"/>
  <c r="M71" i="22"/>
  <c r="K71" i="22"/>
  <c r="G71" i="22"/>
  <c r="P12" i="40"/>
  <c r="N71" i="22"/>
  <c r="F71" i="22"/>
  <c r="Q26" i="9"/>
  <c r="V26" i="9" s="1"/>
  <c r="H71" i="22"/>
  <c r="J71" i="22"/>
  <c r="I71" i="22"/>
  <c r="E71" i="22"/>
  <c r="L71" i="22"/>
  <c r="D71" i="22"/>
  <c r="O71" i="22"/>
  <c r="N59" i="22"/>
  <c r="M59" i="22"/>
  <c r="G59" i="22"/>
  <c r="K59" i="22"/>
  <c r="F59" i="22"/>
  <c r="D59" i="22"/>
  <c r="H59" i="22"/>
  <c r="L59" i="22"/>
  <c r="I59" i="22"/>
  <c r="J59" i="22"/>
  <c r="Q14" i="9"/>
  <c r="V14" i="9" s="1"/>
  <c r="O59" i="22"/>
  <c r="E59" i="22"/>
  <c r="F59" i="21"/>
  <c r="I59" i="21"/>
  <c r="K59" i="21"/>
  <c r="P14" i="9"/>
  <c r="U14" i="9" s="1"/>
  <c r="E59" i="21"/>
  <c r="M59" i="21"/>
  <c r="L59" i="21"/>
  <c r="D59" i="21"/>
  <c r="N59" i="21"/>
  <c r="O59" i="21"/>
  <c r="J59" i="21"/>
  <c r="G59" i="21"/>
  <c r="H59" i="21"/>
  <c r="I66" i="20"/>
  <c r="G66" i="20"/>
  <c r="O21" i="9"/>
  <c r="L66" i="20"/>
  <c r="O66" i="20"/>
  <c r="H66" i="20"/>
  <c r="E66" i="20"/>
  <c r="K66" i="20"/>
  <c r="M66" i="20"/>
  <c r="K21" i="9"/>
  <c r="H80" i="37" s="1"/>
  <c r="J66" i="20"/>
  <c r="D66" i="20"/>
  <c r="N66" i="20"/>
  <c r="F66" i="20"/>
  <c r="D9" i="40"/>
  <c r="F81" i="21"/>
  <c r="H81" i="21"/>
  <c r="I81" i="21"/>
  <c r="D81" i="21"/>
  <c r="G81" i="21"/>
  <c r="J22" i="40"/>
  <c r="E81" i="21"/>
  <c r="O81" i="21"/>
  <c r="P48" i="9"/>
  <c r="U48" i="9" s="1"/>
  <c r="N81" i="21"/>
  <c r="L81" i="21"/>
  <c r="K81" i="21"/>
  <c r="J81" i="21"/>
  <c r="M81" i="21"/>
  <c r="J69" i="20"/>
  <c r="F69" i="20"/>
  <c r="L69" i="20"/>
  <c r="N69" i="20"/>
  <c r="K69" i="20"/>
  <c r="E69" i="20"/>
  <c r="G69" i="20"/>
  <c r="H69" i="20"/>
  <c r="O69" i="20"/>
  <c r="K24" i="9"/>
  <c r="H82" i="37" s="1"/>
  <c r="D69" i="20"/>
  <c r="I69" i="20"/>
  <c r="M69" i="20"/>
  <c r="D11" i="40"/>
  <c r="O24" i="9"/>
  <c r="Q41" i="9"/>
  <c r="V41" i="9" s="1"/>
  <c r="P18" i="40"/>
  <c r="O44" i="9"/>
  <c r="D20" i="40"/>
  <c r="K44" i="9"/>
  <c r="H101" i="37" s="1"/>
  <c r="F56" i="20"/>
  <c r="D6" i="40"/>
  <c r="O11" i="9"/>
  <c r="J56" i="20"/>
  <c r="K11" i="9"/>
  <c r="H71" i="37" s="1"/>
  <c r="I56" i="20"/>
  <c r="K56" i="20"/>
  <c r="O56" i="20"/>
  <c r="M56" i="20"/>
  <c r="L56" i="20"/>
  <c r="E56" i="20"/>
  <c r="N56" i="20"/>
  <c r="H56" i="20"/>
  <c r="G56" i="20"/>
  <c r="D56" i="20"/>
  <c r="N78" i="22"/>
  <c r="K78" i="22"/>
  <c r="L78" i="22"/>
  <c r="O78" i="22"/>
  <c r="E78" i="22"/>
  <c r="M78" i="22"/>
  <c r="I78" i="22"/>
  <c r="G78" i="22"/>
  <c r="J78" i="22"/>
  <c r="Q45" i="9"/>
  <c r="V45" i="9" s="1"/>
  <c r="H78" i="22"/>
  <c r="F78" i="22"/>
  <c r="P21" i="40"/>
  <c r="D78" i="22"/>
  <c r="M69" i="22"/>
  <c r="L69" i="22"/>
  <c r="G69" i="22"/>
  <c r="O69" i="22"/>
  <c r="P11" i="40"/>
  <c r="D69" i="22"/>
  <c r="Q24" i="9"/>
  <c r="V24" i="9" s="1"/>
  <c r="K69" i="22"/>
  <c r="N69" i="22"/>
  <c r="H69" i="22"/>
  <c r="J69" i="22"/>
  <c r="I69" i="22"/>
  <c r="F69" i="22"/>
  <c r="E69" i="22"/>
  <c r="O39" i="9"/>
  <c r="D17" i="40"/>
  <c r="K39" i="9"/>
  <c r="H96" i="37" s="1"/>
  <c r="J20" i="40"/>
  <c r="P44" i="9"/>
  <c r="U44" i="9" s="1"/>
  <c r="K26" i="9"/>
  <c r="H83" i="37" s="1"/>
  <c r="E71" i="20"/>
  <c r="G71" i="20"/>
  <c r="L71" i="20"/>
  <c r="H71" i="20"/>
  <c r="M71" i="20"/>
  <c r="I71" i="20"/>
  <c r="D12" i="40"/>
  <c r="O71" i="20"/>
  <c r="D71" i="20"/>
  <c r="O26" i="9"/>
  <c r="J71" i="20"/>
  <c r="F71" i="20"/>
  <c r="N71" i="20"/>
  <c r="K71" i="20"/>
  <c r="K55" i="21"/>
  <c r="H55" i="21"/>
  <c r="L55" i="21"/>
  <c r="N55" i="21"/>
  <c r="F55" i="21"/>
  <c r="J55" i="21"/>
  <c r="P10" i="9"/>
  <c r="U10" i="9" s="1"/>
  <c r="I55" i="21"/>
  <c r="O55" i="21"/>
  <c r="E55" i="21"/>
  <c r="G55" i="21"/>
  <c r="D55" i="21"/>
  <c r="M55" i="21"/>
  <c r="D71" i="21"/>
  <c r="J12" i="40"/>
  <c r="J71" i="21"/>
  <c r="G71" i="21"/>
  <c r="P26" i="9"/>
  <c r="U26" i="9" s="1"/>
  <c r="I71" i="21"/>
  <c r="N71" i="21"/>
  <c r="K71" i="21"/>
  <c r="O71" i="21"/>
  <c r="M71" i="21"/>
  <c r="H71" i="21"/>
  <c r="F71" i="21"/>
  <c r="E71" i="21"/>
  <c r="L71" i="21"/>
  <c r="Q44" i="9"/>
  <c r="V44" i="9" s="1"/>
  <c r="P20" i="40"/>
  <c r="E64" i="21"/>
  <c r="I64" i="21"/>
  <c r="N64" i="21"/>
  <c r="J8" i="40"/>
  <c r="H64" i="21"/>
  <c r="M64" i="21"/>
  <c r="K64" i="21"/>
  <c r="O64" i="21"/>
  <c r="P19" i="9"/>
  <c r="F64" i="21"/>
  <c r="G64" i="21"/>
  <c r="D64" i="21"/>
  <c r="J64" i="21"/>
  <c r="H29" i="9"/>
  <c r="L64" i="21"/>
  <c r="F69" i="21"/>
  <c r="N69" i="21"/>
  <c r="K69" i="21"/>
  <c r="M69" i="21"/>
  <c r="E69" i="21"/>
  <c r="H69" i="21"/>
  <c r="D69" i="21"/>
  <c r="L69" i="21"/>
  <c r="P24" i="9"/>
  <c r="U24" i="9" s="1"/>
  <c r="G69" i="21"/>
  <c r="I69" i="21"/>
  <c r="O69" i="21"/>
  <c r="J69" i="21"/>
  <c r="J11" i="40"/>
  <c r="D14" i="40"/>
  <c r="O34" i="9"/>
  <c r="G53" i="9"/>
  <c r="M81" i="20"/>
  <c r="G81" i="20"/>
  <c r="N81" i="20"/>
  <c r="H81" i="20"/>
  <c r="E81" i="20"/>
  <c r="L81" i="20"/>
  <c r="I81" i="20"/>
  <c r="D81" i="20"/>
  <c r="K48" i="9"/>
  <c r="H105" i="37" s="1"/>
  <c r="O81" i="20"/>
  <c r="O48" i="9"/>
  <c r="F81" i="20"/>
  <c r="K81" i="20"/>
  <c r="D22" i="40"/>
  <c r="J81" i="20"/>
  <c r="M68" i="22"/>
  <c r="J68" i="22"/>
  <c r="P10" i="40"/>
  <c r="I68" i="22"/>
  <c r="E68" i="22"/>
  <c r="Q23" i="9"/>
  <c r="V23" i="9" s="1"/>
  <c r="G68" i="22"/>
  <c r="F68" i="22"/>
  <c r="H68" i="22"/>
  <c r="O68" i="22"/>
  <c r="D68" i="22"/>
  <c r="N68" i="22"/>
  <c r="K68" i="22"/>
  <c r="L68" i="22"/>
  <c r="O10" i="9"/>
  <c r="M55" i="20"/>
  <c r="G55" i="20"/>
  <c r="I55" i="20"/>
  <c r="K55" i="20"/>
  <c r="F55" i="20"/>
  <c r="H55" i="20"/>
  <c r="N55" i="20"/>
  <c r="O55" i="20"/>
  <c r="E55" i="20"/>
  <c r="L55" i="20"/>
  <c r="J55" i="20"/>
  <c r="D55" i="20"/>
  <c r="K10" i="9"/>
  <c r="H70" i="37" s="1"/>
  <c r="J18" i="40"/>
  <c r="P41" i="9"/>
  <c r="U41" i="9" s="1"/>
  <c r="J19" i="40"/>
  <c r="P42" i="9"/>
  <c r="U42" i="9" s="1"/>
  <c r="P14" i="40"/>
  <c r="Q34" i="9"/>
  <c r="V34" i="9" s="1"/>
  <c r="I66" i="22"/>
  <c r="Q21" i="9"/>
  <c r="V21" i="9" s="1"/>
  <c r="O66" i="22"/>
  <c r="M66" i="22"/>
  <c r="F66" i="22"/>
  <c r="P9" i="40"/>
  <c r="D66" i="22"/>
  <c r="H66" i="22"/>
  <c r="K66" i="22"/>
  <c r="L66" i="22"/>
  <c r="N66" i="22"/>
  <c r="E66" i="22"/>
  <c r="G66" i="22"/>
  <c r="J66" i="22"/>
  <c r="P17" i="40"/>
  <c r="Q39" i="9"/>
  <c r="V39" i="9" s="1"/>
  <c r="K42" i="9"/>
  <c r="H99" i="37" s="1"/>
  <c r="D19" i="40"/>
  <c r="O42" i="9"/>
  <c r="K41" i="9"/>
  <c r="H98" i="37" s="1"/>
  <c r="O41" i="9"/>
  <c r="D18" i="40"/>
  <c r="D81" i="22"/>
  <c r="P22" i="40"/>
  <c r="L81" i="22"/>
  <c r="Q48" i="9"/>
  <c r="V48" i="9" s="1"/>
  <c r="F81" i="22"/>
  <c r="O81" i="22"/>
  <c r="M81" i="22"/>
  <c r="G81" i="22"/>
  <c r="I81" i="22"/>
  <c r="J81" i="22"/>
  <c r="H81" i="22"/>
  <c r="E81" i="22"/>
  <c r="K81" i="22"/>
  <c r="N81" i="22"/>
  <c r="O12" i="9"/>
  <c r="K12" i="9"/>
  <c r="H72" i="37" s="1"/>
  <c r="G57" i="20"/>
  <c r="D7" i="40"/>
  <c r="I57" i="20"/>
  <c r="O57" i="20"/>
  <c r="E57" i="20"/>
  <c r="J57" i="20"/>
  <c r="L57" i="20"/>
  <c r="K57" i="20"/>
  <c r="N57" i="20"/>
  <c r="F57" i="20"/>
  <c r="M57" i="20"/>
  <c r="H57" i="20"/>
  <c r="D57" i="20"/>
  <c r="N68" i="20"/>
  <c r="M68" i="20"/>
  <c r="E68" i="20"/>
  <c r="O68" i="20"/>
  <c r="H68" i="20"/>
  <c r="L68" i="20"/>
  <c r="D10" i="40"/>
  <c r="K23" i="9"/>
  <c r="H81" i="37" s="1"/>
  <c r="I68" i="20"/>
  <c r="F68" i="20"/>
  <c r="G68" i="20"/>
  <c r="J68" i="20"/>
  <c r="K68" i="20"/>
  <c r="O23" i="9"/>
  <c r="D68" i="20"/>
  <c r="G78" i="20"/>
  <c r="O78" i="20"/>
  <c r="O45" i="9"/>
  <c r="M78" i="20"/>
  <c r="N78" i="20"/>
  <c r="K78" i="20"/>
  <c r="H78" i="20"/>
  <c r="K45" i="9"/>
  <c r="H102" i="37" s="1"/>
  <c r="E78" i="20"/>
  <c r="I78" i="20"/>
  <c r="L78" i="20"/>
  <c r="D21" i="40"/>
  <c r="D78" i="20"/>
  <c r="J78" i="20"/>
  <c r="F78" i="20"/>
  <c r="H59" i="20"/>
  <c r="E59" i="20"/>
  <c r="I59" i="20"/>
  <c r="K14" i="9"/>
  <c r="H74" i="37" s="1"/>
  <c r="D59" i="20"/>
  <c r="J59" i="20"/>
  <c r="O59" i="20"/>
  <c r="G59" i="20"/>
  <c r="M59" i="20"/>
  <c r="F59" i="20"/>
  <c r="O14" i="9"/>
  <c r="N59" i="20"/>
  <c r="K59" i="20"/>
  <c r="L59" i="20"/>
  <c r="P19" i="40"/>
  <c r="Q42" i="9"/>
  <c r="V42" i="9" s="1"/>
  <c r="O53" i="21"/>
  <c r="H16" i="9"/>
  <c r="J53" i="21"/>
  <c r="P8" i="9"/>
  <c r="D53" i="21"/>
  <c r="M53" i="21"/>
  <c r="N53" i="21"/>
  <c r="F53" i="21"/>
  <c r="K53" i="21"/>
  <c r="L53" i="21"/>
  <c r="G53" i="21"/>
  <c r="I53" i="21"/>
  <c r="H53" i="21"/>
  <c r="E53" i="21"/>
  <c r="J5" i="40"/>
  <c r="H53" i="22"/>
  <c r="Q8" i="9"/>
  <c r="P5" i="40"/>
  <c r="I16" i="9"/>
  <c r="I53" i="22"/>
  <c r="K53" i="22"/>
  <c r="F53" i="22"/>
  <c r="G53" i="22"/>
  <c r="J53" i="22"/>
  <c r="D53" i="22"/>
  <c r="N53" i="22"/>
  <c r="E53" i="22"/>
  <c r="L53" i="22"/>
  <c r="O53" i="22"/>
  <c r="M53" i="22"/>
  <c r="K19" i="9"/>
  <c r="K64" i="20"/>
  <c r="L64" i="20"/>
  <c r="N64" i="20"/>
  <c r="G29" i="9"/>
  <c r="H64" i="20"/>
  <c r="E64" i="20"/>
  <c r="F64" i="20"/>
  <c r="D8" i="40"/>
  <c r="G64" i="20"/>
  <c r="D64" i="20"/>
  <c r="I64" i="20"/>
  <c r="O19" i="9"/>
  <c r="O64" i="20"/>
  <c r="J64" i="20"/>
  <c r="M64" i="20"/>
  <c r="J53" i="20"/>
  <c r="G53" i="20"/>
  <c r="K8" i="9"/>
  <c r="E53" i="20"/>
  <c r="D53" i="20"/>
  <c r="M53" i="20"/>
  <c r="N53" i="20"/>
  <c r="H53" i="20"/>
  <c r="F53" i="20"/>
  <c r="G16" i="9"/>
  <c r="O53" i="20"/>
  <c r="K53" i="20"/>
  <c r="D5" i="40"/>
  <c r="O8" i="9"/>
  <c r="I53" i="20"/>
  <c r="L53" i="20"/>
  <c r="E55" i="22"/>
  <c r="H55" i="22"/>
  <c r="M55" i="22"/>
  <c r="G55" i="22"/>
  <c r="F55" i="22"/>
  <c r="Q10" i="9"/>
  <c r="V10" i="9" s="1"/>
  <c r="J55" i="22"/>
  <c r="K55" i="22"/>
  <c r="N55" i="22"/>
  <c r="I55" i="22"/>
  <c r="O55" i="22"/>
  <c r="L55" i="22"/>
  <c r="D55" i="22"/>
  <c r="E77" i="34"/>
  <c r="I14" i="50"/>
  <c r="I16" i="50" s="1"/>
  <c r="AI16" i="50"/>
  <c r="E78" i="34"/>
  <c r="AE16" i="50"/>
  <c r="E14" i="50"/>
  <c r="E16" i="50" s="1"/>
  <c r="E71" i="34"/>
  <c r="D107" i="34"/>
  <c r="D81" i="34"/>
  <c r="C14" i="50"/>
  <c r="C16" i="50" s="1"/>
  <c r="AC16" i="50"/>
  <c r="E72" i="34"/>
  <c r="E73" i="34"/>
  <c r="E103" i="34"/>
  <c r="J14" i="50"/>
  <c r="J16" i="50" s="1"/>
  <c r="AJ16" i="50"/>
  <c r="E99" i="34"/>
  <c r="E70" i="34"/>
  <c r="E80" i="34"/>
  <c r="B81" i="34"/>
  <c r="E76" i="34"/>
  <c r="E79" i="34"/>
  <c r="C107" i="34"/>
  <c r="E96" i="34"/>
  <c r="N14" i="50"/>
  <c r="N16" i="50" s="1"/>
  <c r="AN16" i="50"/>
  <c r="E97" i="34"/>
  <c r="M14" i="50"/>
  <c r="M16" i="50" s="1"/>
  <c r="AM16" i="50"/>
  <c r="E69" i="34"/>
  <c r="B74" i="34"/>
  <c r="D74" i="34"/>
  <c r="C81" i="34"/>
  <c r="L14" i="50"/>
  <c r="L16" i="50" s="1"/>
  <c r="AL16" i="50"/>
  <c r="C74" i="34"/>
  <c r="S157" i="37"/>
  <c r="M96" i="42" s="1"/>
  <c r="Q175" i="41" s="1"/>
  <c r="R157" i="37"/>
  <c r="L96" i="42" s="1"/>
  <c r="R87" i="9"/>
  <c r="W87" i="9"/>
  <c r="W88" i="9"/>
  <c r="R90" i="9"/>
  <c r="W90" i="9"/>
  <c r="P114" i="9"/>
  <c r="Q22" i="16" s="1"/>
  <c r="S123" i="21"/>
  <c r="R75" i="9"/>
  <c r="W75" i="9"/>
  <c r="Q168" i="37"/>
  <c r="K107" i="42" s="1"/>
  <c r="R168" i="37"/>
  <c r="S168" i="37"/>
  <c r="M107" i="42" s="1"/>
  <c r="R59" i="9"/>
  <c r="W59" i="9"/>
  <c r="S145" i="21"/>
  <c r="D106" i="21"/>
  <c r="Q157" i="37"/>
  <c r="K96" i="42" s="1"/>
  <c r="T157" i="37"/>
  <c r="N96" i="42" s="1"/>
  <c r="S140" i="21"/>
  <c r="W157" i="37"/>
  <c r="V157" i="37"/>
  <c r="P96" i="42" s="1"/>
  <c r="T175" i="41" s="1"/>
  <c r="P157" i="37"/>
  <c r="J96" i="42" s="1"/>
  <c r="S122" i="21"/>
  <c r="R79" i="9"/>
  <c r="S89" i="21"/>
  <c r="W79" i="9"/>
  <c r="W67" i="9"/>
  <c r="R98" i="9"/>
  <c r="W98" i="9"/>
  <c r="U73" i="9"/>
  <c r="R106" i="9"/>
  <c r="W106" i="9"/>
  <c r="S116" i="21"/>
  <c r="S110" i="21"/>
  <c r="U157" i="37"/>
  <c r="O96" i="42" s="1"/>
  <c r="S37" i="41" s="1"/>
  <c r="S90" i="21"/>
  <c r="S118" i="21"/>
  <c r="U70" i="9"/>
  <c r="V20" i="16" s="1"/>
  <c r="J106" i="21"/>
  <c r="I106" i="21"/>
  <c r="R67" i="9"/>
  <c r="S115" i="21"/>
  <c r="S117" i="21"/>
  <c r="L106" i="21"/>
  <c r="S120" i="21"/>
  <c r="R85" i="9"/>
  <c r="S113" i="21"/>
  <c r="S121" i="21"/>
  <c r="W85" i="9"/>
  <c r="S130" i="22"/>
  <c r="S128" i="21"/>
  <c r="T70" i="9"/>
  <c r="U20" i="16" s="1"/>
  <c r="D152" i="18"/>
  <c r="P22" i="16"/>
  <c r="T110" i="9"/>
  <c r="H96" i="42"/>
  <c r="C96" i="42"/>
  <c r="G96" i="42"/>
  <c r="I96" i="42"/>
  <c r="D96" i="42"/>
  <c r="E96" i="42"/>
  <c r="F96" i="42"/>
  <c r="D107" i="42"/>
  <c r="I107" i="42"/>
  <c r="T114" i="9"/>
  <c r="V22" i="16"/>
  <c r="O234" i="37"/>
  <c r="L35" i="9"/>
  <c r="L44" i="9"/>
  <c r="L45" i="9"/>
  <c r="L41" i="9"/>
  <c r="L19" i="9"/>
  <c r="L24" i="9"/>
  <c r="L48" i="9"/>
  <c r="L23" i="9"/>
  <c r="L11" i="9"/>
  <c r="L12" i="9"/>
  <c r="L39" i="9"/>
  <c r="L42" i="9"/>
  <c r="L26" i="9"/>
  <c r="L8" i="9"/>
  <c r="L21" i="9"/>
  <c r="W66" i="9" l="1"/>
  <c r="V168" i="37"/>
  <c r="T159" i="37"/>
  <c r="R88" i="9"/>
  <c r="O152" i="20"/>
  <c r="O161" i="20" s="1"/>
  <c r="O163" i="20" s="1"/>
  <c r="U168" i="37"/>
  <c r="O107" i="42" s="1"/>
  <c r="W83" i="9"/>
  <c r="W94" i="9"/>
  <c r="M106" i="21"/>
  <c r="G106" i="21"/>
  <c r="Q159" i="37"/>
  <c r="W168" i="37"/>
  <c r="Q107" i="42" s="1"/>
  <c r="E106" i="21"/>
  <c r="H106" i="21"/>
  <c r="S127" i="21"/>
  <c r="S121" i="22"/>
  <c r="S109" i="21"/>
  <c r="W100" i="9"/>
  <c r="S125" i="22"/>
  <c r="G107" i="42"/>
  <c r="N107" i="42"/>
  <c r="C107" i="42"/>
  <c r="H107" i="42"/>
  <c r="E107" i="42"/>
  <c r="I44" i="41" s="1"/>
  <c r="J107" i="42"/>
  <c r="N44" i="41" s="1"/>
  <c r="L107" i="42"/>
  <c r="P183" i="41" s="1"/>
  <c r="P107" i="42"/>
  <c r="S98" i="42"/>
  <c r="Q98" i="42" s="1"/>
  <c r="P70" i="9"/>
  <c r="Q20" i="16" s="1"/>
  <c r="T174" i="37"/>
  <c r="P159" i="37"/>
  <c r="S159" i="37"/>
  <c r="R159" i="37"/>
  <c r="V159" i="37"/>
  <c r="U159" i="37"/>
  <c r="F106" i="21"/>
  <c r="S119" i="37"/>
  <c r="R119" i="37"/>
  <c r="S56" i="42"/>
  <c r="W119" i="37"/>
  <c r="R94" i="9"/>
  <c r="S58" i="42"/>
  <c r="O58" i="42" s="1"/>
  <c r="S24" i="41" s="1"/>
  <c r="R100" i="9"/>
  <c r="S119" i="21"/>
  <c r="G142" i="21"/>
  <c r="O106" i="21"/>
  <c r="S126" i="21"/>
  <c r="W92" i="9"/>
  <c r="S124" i="21"/>
  <c r="K106" i="21"/>
  <c r="S141" i="21"/>
  <c r="S91" i="21"/>
  <c r="S123" i="22"/>
  <c r="R66" i="9"/>
  <c r="R92" i="9"/>
  <c r="N106" i="21"/>
  <c r="N142" i="21"/>
  <c r="S130" i="21"/>
  <c r="O106" i="22"/>
  <c r="S94" i="21"/>
  <c r="R65" i="9"/>
  <c r="S113" i="42"/>
  <c r="K113" i="42" s="1"/>
  <c r="O117" i="41" s="1"/>
  <c r="P174" i="37"/>
  <c r="S174" i="37"/>
  <c r="W109" i="9"/>
  <c r="V174" i="37"/>
  <c r="U174" i="37"/>
  <c r="S93" i="21"/>
  <c r="H20" i="46"/>
  <c r="W174" i="37"/>
  <c r="Q113" i="42" s="1"/>
  <c r="U47" i="41" s="1"/>
  <c r="F142" i="21"/>
  <c r="L152" i="20"/>
  <c r="L161" i="20" s="1"/>
  <c r="L163" i="20" s="1"/>
  <c r="J152" i="20"/>
  <c r="J161" i="20" s="1"/>
  <c r="J163" i="20" s="1"/>
  <c r="H131" i="9"/>
  <c r="H133" i="9" s="1"/>
  <c r="R174" i="37"/>
  <c r="O142" i="21"/>
  <c r="V119" i="37"/>
  <c r="R189" i="37"/>
  <c r="R192" i="37" s="1"/>
  <c r="V121" i="37"/>
  <c r="W121" i="37"/>
  <c r="P119" i="37"/>
  <c r="R121" i="37"/>
  <c r="L58" i="42" s="1"/>
  <c r="P162" i="41" s="1"/>
  <c r="P189" i="37"/>
  <c r="P192" i="37" s="1"/>
  <c r="T119" i="37"/>
  <c r="U119" i="37"/>
  <c r="S157" i="42"/>
  <c r="I157" i="42" s="1"/>
  <c r="T118" i="37"/>
  <c r="W118" i="37"/>
  <c r="Q118" i="37"/>
  <c r="L80" i="9"/>
  <c r="L110" i="9" s="1"/>
  <c r="L121" i="9" s="1"/>
  <c r="S112" i="21"/>
  <c r="V118" i="37"/>
  <c r="P118" i="37"/>
  <c r="S118" i="37"/>
  <c r="S55" i="42"/>
  <c r="V132" i="37"/>
  <c r="P132" i="37"/>
  <c r="U118" i="37"/>
  <c r="R132" i="37"/>
  <c r="S132" i="37"/>
  <c r="U132" i="37"/>
  <c r="T163" i="37"/>
  <c r="H192" i="37"/>
  <c r="T166" i="37"/>
  <c r="U189" i="37"/>
  <c r="U192" i="37" s="1"/>
  <c r="V189" i="37"/>
  <c r="V192" i="37" s="1"/>
  <c r="S117" i="37"/>
  <c r="W189" i="37"/>
  <c r="W192" i="37" s="1"/>
  <c r="S189" i="37"/>
  <c r="S192" i="37" s="1"/>
  <c r="P121" i="37"/>
  <c r="S121" i="37"/>
  <c r="T121" i="37"/>
  <c r="Q189" i="37"/>
  <c r="Q192" i="37" s="1"/>
  <c r="Q121" i="37"/>
  <c r="K58" i="42" s="1"/>
  <c r="O24" i="41" s="1"/>
  <c r="S121" i="42"/>
  <c r="E121" i="42" s="1"/>
  <c r="Q181" i="37"/>
  <c r="U145" i="37"/>
  <c r="O84" i="42" s="1"/>
  <c r="S30" i="41" s="1"/>
  <c r="S95" i="42"/>
  <c r="I95" i="42" s="1"/>
  <c r="T150" i="37"/>
  <c r="P156" i="37"/>
  <c r="D84" i="42"/>
  <c r="H168" i="41" s="1"/>
  <c r="T156" i="37"/>
  <c r="E84" i="42"/>
  <c r="I168" i="41" s="1"/>
  <c r="Q156" i="37"/>
  <c r="U156" i="37"/>
  <c r="R156" i="37"/>
  <c r="L95" i="42" s="1"/>
  <c r="W156" i="37"/>
  <c r="R150" i="37"/>
  <c r="V145" i="37"/>
  <c r="P84" i="42" s="1"/>
  <c r="T168" i="41" s="1"/>
  <c r="V156" i="37"/>
  <c r="Q131" i="37"/>
  <c r="G84" i="42"/>
  <c r="K168" i="41" s="1"/>
  <c r="H84" i="42"/>
  <c r="L168" i="41" s="1"/>
  <c r="T143" i="37"/>
  <c r="W150" i="37"/>
  <c r="W163" i="37"/>
  <c r="S102" i="42"/>
  <c r="O102" i="42" s="1"/>
  <c r="S181" i="41" s="1"/>
  <c r="Q163" i="37"/>
  <c r="I117" i="42"/>
  <c r="M120" i="41" s="1"/>
  <c r="E117" i="42"/>
  <c r="I189" i="41" s="1"/>
  <c r="S163" i="37"/>
  <c r="M142" i="21"/>
  <c r="R74" i="9"/>
  <c r="P163" i="37"/>
  <c r="R163" i="37"/>
  <c r="L102" i="42" s="1"/>
  <c r="P42" i="41" s="1"/>
  <c r="V163" i="37"/>
  <c r="P179" i="37"/>
  <c r="W76" i="9"/>
  <c r="P110" i="9"/>
  <c r="Q21" i="16" s="1"/>
  <c r="S122" i="42"/>
  <c r="F122" i="42" s="1"/>
  <c r="J142" i="21"/>
  <c r="J152" i="21" s="1"/>
  <c r="J161" i="21" s="1"/>
  <c r="J163" i="21" s="1"/>
  <c r="U110" i="9"/>
  <c r="V21" i="16" s="1"/>
  <c r="U179" i="37"/>
  <c r="U143" i="37"/>
  <c r="P143" i="37"/>
  <c r="T179" i="37"/>
  <c r="Q179" i="37"/>
  <c r="R86" i="9"/>
  <c r="V179" i="37"/>
  <c r="S120" i="22"/>
  <c r="R84" i="9"/>
  <c r="S142" i="37"/>
  <c r="Q116" i="37"/>
  <c r="P142" i="37"/>
  <c r="R113" i="9"/>
  <c r="R114" i="9" s="1"/>
  <c r="S22" i="16" s="1"/>
  <c r="Q117" i="37"/>
  <c r="S54" i="42"/>
  <c r="F54" i="42" s="1"/>
  <c r="J21" i="41" s="1"/>
  <c r="R63" i="9"/>
  <c r="V158" i="37"/>
  <c r="T142" i="37"/>
  <c r="R78" i="9"/>
  <c r="S141" i="22"/>
  <c r="S94" i="22"/>
  <c r="S127" i="22"/>
  <c r="D142" i="21"/>
  <c r="D152" i="21" s="1"/>
  <c r="D161" i="21" s="1"/>
  <c r="S114" i="21"/>
  <c r="W117" i="37"/>
  <c r="P117" i="37"/>
  <c r="U153" i="37"/>
  <c r="U142" i="37"/>
  <c r="S145" i="22"/>
  <c r="T131" i="37"/>
  <c r="S68" i="42"/>
  <c r="F68" i="42" s="1"/>
  <c r="J26" i="41" s="1"/>
  <c r="T154" i="37"/>
  <c r="R158" i="37"/>
  <c r="P158" i="37"/>
  <c r="S81" i="42"/>
  <c r="C81" i="42" s="1"/>
  <c r="V117" i="37"/>
  <c r="J20" i="16"/>
  <c r="V131" i="37"/>
  <c r="R109" i="9"/>
  <c r="U158" i="37"/>
  <c r="V142" i="37"/>
  <c r="R131" i="37"/>
  <c r="P131" i="37"/>
  <c r="W131" i="37"/>
  <c r="S97" i="42"/>
  <c r="C97" i="42" s="1"/>
  <c r="P153" i="37"/>
  <c r="R117" i="37"/>
  <c r="R142" i="37"/>
  <c r="Q142" i="37"/>
  <c r="O121" i="9"/>
  <c r="U131" i="37"/>
  <c r="W153" i="37"/>
  <c r="R153" i="37"/>
  <c r="U117" i="37"/>
  <c r="K152" i="20"/>
  <c r="K161" i="20" s="1"/>
  <c r="K163" i="20" s="1"/>
  <c r="P154" i="37"/>
  <c r="Q153" i="37"/>
  <c r="E106" i="22"/>
  <c r="S115" i="22"/>
  <c r="G152" i="20"/>
  <c r="G161" i="20" s="1"/>
  <c r="G163" i="20" s="1"/>
  <c r="S90" i="22"/>
  <c r="E142" i="21"/>
  <c r="E152" i="21" s="1"/>
  <c r="E161" i="21" s="1"/>
  <c r="E163" i="21" s="1"/>
  <c r="H139" i="37"/>
  <c r="M152" i="20"/>
  <c r="M161" i="20" s="1"/>
  <c r="M163" i="20" s="1"/>
  <c r="D152" i="20"/>
  <c r="D161" i="20" s="1"/>
  <c r="N152" i="20"/>
  <c r="N161" i="20" s="1"/>
  <c r="N163" i="20" s="1"/>
  <c r="U116" i="37"/>
  <c r="H121" i="9"/>
  <c r="P166" i="37"/>
  <c r="U150" i="37"/>
  <c r="J110" i="9"/>
  <c r="J121" i="9" s="1"/>
  <c r="J124" i="9" s="1"/>
  <c r="Q150" i="37"/>
  <c r="R179" i="37"/>
  <c r="S105" i="42"/>
  <c r="E105" i="42" s="1"/>
  <c r="I113" i="41" s="1"/>
  <c r="W179" i="37"/>
  <c r="S166" i="37"/>
  <c r="V96" i="9"/>
  <c r="W96" i="9" s="1"/>
  <c r="R96" i="9"/>
  <c r="S53" i="42"/>
  <c r="I53" i="42" s="1"/>
  <c r="P116" i="37"/>
  <c r="K70" i="9"/>
  <c r="L20" i="46" s="1"/>
  <c r="W116" i="37"/>
  <c r="R116" i="37"/>
  <c r="V113" i="9"/>
  <c r="V114" i="9" s="1"/>
  <c r="W22" i="16" s="1"/>
  <c r="S99" i="42"/>
  <c r="N99" i="42" s="1"/>
  <c r="V116" i="37"/>
  <c r="R166" i="37"/>
  <c r="T116" i="37"/>
  <c r="H21" i="46"/>
  <c r="Q21" i="46" s="1"/>
  <c r="R58" i="9"/>
  <c r="S89" i="42"/>
  <c r="S150" i="37"/>
  <c r="Q166" i="37"/>
  <c r="V166" i="37"/>
  <c r="W166" i="37"/>
  <c r="P150" i="37"/>
  <c r="J135" i="9"/>
  <c r="F152" i="20"/>
  <c r="F161" i="20" s="1"/>
  <c r="F163" i="20" s="1"/>
  <c r="G106" i="22"/>
  <c r="S111" i="22"/>
  <c r="S91" i="22"/>
  <c r="S122" i="22"/>
  <c r="S111" i="21"/>
  <c r="L142" i="21"/>
  <c r="L152" i="21" s="1"/>
  <c r="L161" i="21" s="1"/>
  <c r="L163" i="21" s="1"/>
  <c r="W145" i="37"/>
  <c r="Q84" i="42" s="1"/>
  <c r="U168" i="41" s="1"/>
  <c r="P145" i="37"/>
  <c r="J84" i="42" s="1"/>
  <c r="N168" i="41" s="1"/>
  <c r="S92" i="42"/>
  <c r="W158" i="37"/>
  <c r="Q158" i="37"/>
  <c r="S158" i="37"/>
  <c r="I142" i="21"/>
  <c r="I152" i="21" s="1"/>
  <c r="I161" i="21" s="1"/>
  <c r="I163" i="21" s="1"/>
  <c r="U130" i="37"/>
  <c r="V130" i="37"/>
  <c r="S67" i="42"/>
  <c r="T130" i="37"/>
  <c r="S130" i="37"/>
  <c r="W130" i="37"/>
  <c r="P130" i="37"/>
  <c r="R130" i="37"/>
  <c r="Q130" i="37"/>
  <c r="R91" i="9"/>
  <c r="V153" i="37"/>
  <c r="E152" i="20"/>
  <c r="E161" i="20" s="1"/>
  <c r="E163" i="20" s="1"/>
  <c r="C84" i="42"/>
  <c r="G100" i="41" s="1"/>
  <c r="F84" i="42"/>
  <c r="J100" i="41" s="1"/>
  <c r="H151" i="37"/>
  <c r="V151" i="37" s="1"/>
  <c r="L106" i="22"/>
  <c r="S145" i="37"/>
  <c r="M84" i="42" s="1"/>
  <c r="Q168" i="41" s="1"/>
  <c r="R145" i="37"/>
  <c r="L84" i="42" s="1"/>
  <c r="P168" i="41" s="1"/>
  <c r="T153" i="37"/>
  <c r="R102" i="9"/>
  <c r="T145" i="37"/>
  <c r="N84" i="42" s="1"/>
  <c r="K142" i="21"/>
  <c r="Q145" i="37"/>
  <c r="K84" i="42" s="1"/>
  <c r="O100" i="41" s="1"/>
  <c r="T149" i="37"/>
  <c r="V149" i="37"/>
  <c r="F117" i="42"/>
  <c r="J120" i="41" s="1"/>
  <c r="R149" i="37"/>
  <c r="C117" i="42"/>
  <c r="G50" i="41" s="1"/>
  <c r="G117" i="42"/>
  <c r="K189" i="41" s="1"/>
  <c r="P160" i="37"/>
  <c r="S160" i="37"/>
  <c r="U160" i="37"/>
  <c r="S88" i="42"/>
  <c r="S149" i="37"/>
  <c r="Q149" i="37"/>
  <c r="P149" i="37"/>
  <c r="U149" i="37"/>
  <c r="W160" i="37"/>
  <c r="Q160" i="37"/>
  <c r="V160" i="37"/>
  <c r="R160" i="37"/>
  <c r="J106" i="22"/>
  <c r="S110" i="22"/>
  <c r="H117" i="42"/>
  <c r="L189" i="41" s="1"/>
  <c r="R165" i="37"/>
  <c r="R95" i="9"/>
  <c r="J20" i="46"/>
  <c r="W143" i="37"/>
  <c r="R143" i="37"/>
  <c r="S143" i="37"/>
  <c r="Q143" i="37"/>
  <c r="R101" i="9"/>
  <c r="I133" i="9"/>
  <c r="R108" i="9"/>
  <c r="T178" i="37"/>
  <c r="N117" i="42" s="1"/>
  <c r="S178" i="37"/>
  <c r="M117" i="42" s="1"/>
  <c r="Q120" i="41" s="1"/>
  <c r="S117" i="22"/>
  <c r="S114" i="22"/>
  <c r="S125" i="21"/>
  <c r="S124" i="22"/>
  <c r="S82" i="42"/>
  <c r="S155" i="25"/>
  <c r="R82" i="9"/>
  <c r="Q148" i="37"/>
  <c r="R148" i="37"/>
  <c r="H110" i="37"/>
  <c r="R110" i="37" s="1"/>
  <c r="U178" i="37"/>
  <c r="O117" i="42" s="1"/>
  <c r="S189" i="41" s="1"/>
  <c r="R178" i="37"/>
  <c r="L117" i="42" s="1"/>
  <c r="P50" i="41" s="1"/>
  <c r="H106" i="22"/>
  <c r="H152" i="20"/>
  <c r="H161" i="20" s="1"/>
  <c r="H163" i="20" s="1"/>
  <c r="H142" i="21"/>
  <c r="H152" i="21" s="1"/>
  <c r="H161" i="21" s="1"/>
  <c r="H163" i="21" s="1"/>
  <c r="U148" i="37"/>
  <c r="M106" i="22"/>
  <c r="S87" i="42"/>
  <c r="G87" i="42" s="1"/>
  <c r="K32" i="41" s="1"/>
  <c r="Q178" i="37"/>
  <c r="K117" i="42" s="1"/>
  <c r="O189" i="41" s="1"/>
  <c r="V178" i="37"/>
  <c r="P117" i="42" s="1"/>
  <c r="T120" i="41" s="1"/>
  <c r="S148" i="37"/>
  <c r="P178" i="37"/>
  <c r="J117" i="42" s="1"/>
  <c r="N120" i="41" s="1"/>
  <c r="W178" i="37"/>
  <c r="Q117" i="42" s="1"/>
  <c r="U50" i="41" s="1"/>
  <c r="W148" i="37"/>
  <c r="V148" i="37"/>
  <c r="D98" i="42"/>
  <c r="H39" i="41" s="1"/>
  <c r="U112" i="37"/>
  <c r="S112" i="37"/>
  <c r="R104" i="9"/>
  <c r="D106" i="22"/>
  <c r="I152" i="20"/>
  <c r="I161" i="20" s="1"/>
  <c r="I163" i="20" s="1"/>
  <c r="Q112" i="37"/>
  <c r="T148" i="37"/>
  <c r="N98" i="42"/>
  <c r="S93" i="42"/>
  <c r="U154" i="37"/>
  <c r="K106" i="22"/>
  <c r="R154" i="37"/>
  <c r="Q154" i="37"/>
  <c r="G142" i="22"/>
  <c r="S140" i="22"/>
  <c r="G98" i="42"/>
  <c r="K39" i="41" s="1"/>
  <c r="Q70" i="9"/>
  <c r="R20" i="16" s="1"/>
  <c r="W154" i="37"/>
  <c r="V154" i="37"/>
  <c r="V70" i="9"/>
  <c r="W20" i="16" s="1"/>
  <c r="R68" i="9"/>
  <c r="H98" i="42"/>
  <c r="L177" i="41" s="1"/>
  <c r="I98" i="42"/>
  <c r="M39" i="41" s="1"/>
  <c r="E98" i="42"/>
  <c r="I39" i="41" s="1"/>
  <c r="C98" i="42"/>
  <c r="G39" i="41" s="1"/>
  <c r="F98" i="42"/>
  <c r="J109" i="41" s="1"/>
  <c r="R103" i="9"/>
  <c r="S85" i="42"/>
  <c r="M85" i="42" s="1"/>
  <c r="Q169" i="41" s="1"/>
  <c r="T165" i="37"/>
  <c r="S165" i="37"/>
  <c r="P146" i="37"/>
  <c r="W165" i="37"/>
  <c r="U146" i="37"/>
  <c r="P165" i="37"/>
  <c r="Q146" i="37"/>
  <c r="R146" i="37"/>
  <c r="Q165" i="37"/>
  <c r="T146" i="37"/>
  <c r="W146" i="37"/>
  <c r="V146" i="37"/>
  <c r="R76" i="9"/>
  <c r="N106" i="22"/>
  <c r="O142" i="22"/>
  <c r="V165" i="37"/>
  <c r="S104" i="42"/>
  <c r="G104" i="42" s="1"/>
  <c r="I106" i="22"/>
  <c r="Q152" i="37"/>
  <c r="P152" i="37"/>
  <c r="V152" i="37"/>
  <c r="U152" i="37"/>
  <c r="T152" i="37"/>
  <c r="R152" i="37"/>
  <c r="S91" i="42"/>
  <c r="W152" i="37"/>
  <c r="S152" i="37"/>
  <c r="R81" i="9"/>
  <c r="H113" i="42"/>
  <c r="L47" i="41" s="1"/>
  <c r="R77" i="9"/>
  <c r="S128" i="22"/>
  <c r="W132" i="37"/>
  <c r="S69" i="42"/>
  <c r="Q132" i="37"/>
  <c r="V107" i="9"/>
  <c r="W107" i="9" s="1"/>
  <c r="R107" i="9"/>
  <c r="R83" i="9"/>
  <c r="J21" i="16"/>
  <c r="I121" i="9"/>
  <c r="R73" i="9"/>
  <c r="Q110" i="9"/>
  <c r="R21" i="16" s="1"/>
  <c r="R105" i="9"/>
  <c r="S109" i="22"/>
  <c r="S112" i="22"/>
  <c r="S119" i="22"/>
  <c r="V112" i="37"/>
  <c r="H108" i="37"/>
  <c r="T112" i="37"/>
  <c r="L142" i="22"/>
  <c r="K110" i="9"/>
  <c r="L21" i="16" s="1"/>
  <c r="R112" i="37"/>
  <c r="P112" i="37"/>
  <c r="H109" i="37"/>
  <c r="W109" i="37" s="1"/>
  <c r="H111" i="37"/>
  <c r="U111" i="37" s="1"/>
  <c r="K98" i="42"/>
  <c r="W162" i="37"/>
  <c r="S162" i="37"/>
  <c r="P162" i="37"/>
  <c r="T162" i="37"/>
  <c r="V162" i="37"/>
  <c r="U162" i="37"/>
  <c r="S101" i="42"/>
  <c r="R162" i="37"/>
  <c r="Q162" i="37"/>
  <c r="W167" i="37"/>
  <c r="Q167" i="37"/>
  <c r="V167" i="37"/>
  <c r="U167" i="37"/>
  <c r="S167" i="37"/>
  <c r="R167" i="37"/>
  <c r="P167" i="37"/>
  <c r="S106" i="42"/>
  <c r="T167" i="37"/>
  <c r="S118" i="22"/>
  <c r="V80" i="9"/>
  <c r="R80" i="9"/>
  <c r="M142" i="22"/>
  <c r="S113" i="22"/>
  <c r="H142" i="22"/>
  <c r="I142" i="22"/>
  <c r="S116" i="22"/>
  <c r="S93" i="22"/>
  <c r="S89" i="22"/>
  <c r="F142" i="22"/>
  <c r="J142" i="22"/>
  <c r="E142" i="22"/>
  <c r="Q164" i="37"/>
  <c r="W164" i="37"/>
  <c r="R164" i="37"/>
  <c r="V164" i="37"/>
  <c r="S164" i="37"/>
  <c r="P164" i="37"/>
  <c r="U164" i="37"/>
  <c r="S103" i="42"/>
  <c r="T164" i="37"/>
  <c r="S116" i="42"/>
  <c r="U177" i="37"/>
  <c r="S177" i="37"/>
  <c r="Q177" i="37"/>
  <c r="V177" i="37"/>
  <c r="T177" i="37"/>
  <c r="W177" i="37"/>
  <c r="R177" i="37"/>
  <c r="P177" i="37"/>
  <c r="F106" i="22"/>
  <c r="P181" i="37"/>
  <c r="R181" i="37"/>
  <c r="V181" i="37"/>
  <c r="S181" i="37"/>
  <c r="U181" i="37"/>
  <c r="W181" i="37"/>
  <c r="K142" i="22"/>
  <c r="D142" i="22"/>
  <c r="S126" i="22"/>
  <c r="V129" i="37"/>
  <c r="P129" i="37"/>
  <c r="T129" i="37"/>
  <c r="S66" i="42"/>
  <c r="Q129" i="37"/>
  <c r="W129" i="37"/>
  <c r="S129" i="37"/>
  <c r="U129" i="37"/>
  <c r="R129" i="37"/>
  <c r="N142" i="22"/>
  <c r="W175" i="37"/>
  <c r="S175" i="37"/>
  <c r="R175" i="37"/>
  <c r="Q175" i="37"/>
  <c r="P175" i="37"/>
  <c r="T175" i="37"/>
  <c r="S114" i="42"/>
  <c r="V175" i="37"/>
  <c r="U175" i="37"/>
  <c r="W35" i="9"/>
  <c r="D86" i="20"/>
  <c r="S77" i="20"/>
  <c r="P1" i="40"/>
  <c r="J61" i="21"/>
  <c r="I86" i="20"/>
  <c r="K86" i="20"/>
  <c r="O86" i="20"/>
  <c r="G61" i="20"/>
  <c r="F86" i="20"/>
  <c r="H86" i="20"/>
  <c r="M86" i="20"/>
  <c r="C83" i="34"/>
  <c r="E86" i="20"/>
  <c r="S78" i="21"/>
  <c r="D83" i="34"/>
  <c r="E61" i="20"/>
  <c r="I74" i="20"/>
  <c r="G86" i="20"/>
  <c r="G74" i="20"/>
  <c r="K74" i="20"/>
  <c r="J61" i="22"/>
  <c r="F61" i="21"/>
  <c r="H61" i="20"/>
  <c r="N86" i="20"/>
  <c r="M61" i="20"/>
  <c r="O74" i="20"/>
  <c r="H74" i="20"/>
  <c r="I61" i="21"/>
  <c r="L86" i="20"/>
  <c r="O53" i="9"/>
  <c r="P18" i="16" s="1"/>
  <c r="D1" i="40"/>
  <c r="G61" i="21"/>
  <c r="J74" i="21"/>
  <c r="K61" i="20"/>
  <c r="N74" i="20"/>
  <c r="L61" i="21"/>
  <c r="H30" i="9"/>
  <c r="H86" i="22"/>
  <c r="S68" i="22"/>
  <c r="F61" i="20"/>
  <c r="J61" i="20"/>
  <c r="N61" i="21"/>
  <c r="J86" i="20"/>
  <c r="L61" i="20"/>
  <c r="M74" i="20"/>
  <c r="F74" i="20"/>
  <c r="M61" i="22"/>
  <c r="E61" i="21"/>
  <c r="M61" i="21"/>
  <c r="S66" i="20"/>
  <c r="S59" i="22"/>
  <c r="F74" i="22"/>
  <c r="L16" i="9"/>
  <c r="L29" i="9"/>
  <c r="B83" i="34"/>
  <c r="I61" i="20"/>
  <c r="N61" i="20"/>
  <c r="J74" i="20"/>
  <c r="E74" i="20"/>
  <c r="O61" i="22"/>
  <c r="K61" i="22"/>
  <c r="H61" i="21"/>
  <c r="S53" i="21"/>
  <c r="D61" i="21"/>
  <c r="S59" i="20"/>
  <c r="W99" i="37"/>
  <c r="U99" i="37"/>
  <c r="R99" i="37"/>
  <c r="Q99" i="37"/>
  <c r="S39" i="42"/>
  <c r="S99" i="37"/>
  <c r="V99" i="37"/>
  <c r="T99" i="37"/>
  <c r="P99" i="37"/>
  <c r="S55" i="20"/>
  <c r="S69" i="21"/>
  <c r="H17" i="16"/>
  <c r="H17" i="46"/>
  <c r="P17" i="46" s="1"/>
  <c r="Q17" i="46" s="1"/>
  <c r="M74" i="21"/>
  <c r="S71" i="20"/>
  <c r="S71" i="22"/>
  <c r="G74" i="22"/>
  <c r="N74" i="22"/>
  <c r="E86" i="22"/>
  <c r="S56" i="21"/>
  <c r="E74" i="34"/>
  <c r="O16" i="9"/>
  <c r="P16" i="16" s="1"/>
  <c r="T8" i="9"/>
  <c r="R8" i="9"/>
  <c r="L61" i="22"/>
  <c r="I61" i="22"/>
  <c r="P16" i="9"/>
  <c r="Q16" i="16" s="1"/>
  <c r="U8" i="9"/>
  <c r="U16" i="9" s="1"/>
  <c r="V16" i="16" s="1"/>
  <c r="S10" i="42"/>
  <c r="V74" i="37"/>
  <c r="R74" i="37"/>
  <c r="S74" i="37"/>
  <c r="T74" i="37"/>
  <c r="Q74" i="37"/>
  <c r="U74" i="37"/>
  <c r="W74" i="37"/>
  <c r="P74" i="37"/>
  <c r="T45" i="9"/>
  <c r="W45" i="9" s="1"/>
  <c r="R45" i="9"/>
  <c r="U72" i="37"/>
  <c r="T72" i="37"/>
  <c r="R72" i="37"/>
  <c r="V72" i="37"/>
  <c r="Q72" i="37"/>
  <c r="S8" i="42"/>
  <c r="P72" i="37"/>
  <c r="W72" i="37"/>
  <c r="S72" i="37"/>
  <c r="H74" i="21"/>
  <c r="U83" i="37"/>
  <c r="R83" i="37"/>
  <c r="Q83" i="37"/>
  <c r="V83" i="37"/>
  <c r="S21" i="42"/>
  <c r="S83" i="37"/>
  <c r="W83" i="37"/>
  <c r="T83" i="37"/>
  <c r="P83" i="37"/>
  <c r="I74" i="22"/>
  <c r="N86" i="22"/>
  <c r="V92" i="37"/>
  <c r="T92" i="37"/>
  <c r="U92" i="37"/>
  <c r="Q92" i="37"/>
  <c r="P92" i="37"/>
  <c r="W92" i="37"/>
  <c r="S92" i="37"/>
  <c r="S32" i="42"/>
  <c r="R92" i="37"/>
  <c r="S55" i="22"/>
  <c r="S53" i="20"/>
  <c r="D61" i="20"/>
  <c r="O29" i="9"/>
  <c r="P17" i="16" s="1"/>
  <c r="T19" i="9"/>
  <c r="R19" i="9"/>
  <c r="F17" i="16"/>
  <c r="F17" i="46"/>
  <c r="E61" i="22"/>
  <c r="J16" i="16"/>
  <c r="J16" i="46"/>
  <c r="I55" i="9"/>
  <c r="R14" i="9"/>
  <c r="T14" i="9"/>
  <c r="W14" i="9" s="1"/>
  <c r="T12" i="9"/>
  <c r="W12" i="9" s="1"/>
  <c r="R12" i="9"/>
  <c r="S81" i="22"/>
  <c r="S66" i="22"/>
  <c r="T48" i="9"/>
  <c r="W48" i="9" s="1"/>
  <c r="R48" i="9"/>
  <c r="D74" i="21"/>
  <c r="S64" i="21"/>
  <c r="U101" i="37"/>
  <c r="S41" i="42"/>
  <c r="S101" i="37"/>
  <c r="T101" i="37"/>
  <c r="V101" i="37"/>
  <c r="W101" i="37"/>
  <c r="Q101" i="37"/>
  <c r="R101" i="37"/>
  <c r="P101" i="37"/>
  <c r="S81" i="21"/>
  <c r="R21" i="9"/>
  <c r="T21" i="9"/>
  <c r="W21" i="9" s="1"/>
  <c r="S59" i="21"/>
  <c r="S57" i="21"/>
  <c r="D74" i="22"/>
  <c r="S64" i="22"/>
  <c r="J86" i="22"/>
  <c r="M86" i="22"/>
  <c r="S57" i="22"/>
  <c r="N61" i="22"/>
  <c r="H16" i="16"/>
  <c r="H16" i="46"/>
  <c r="G74" i="21"/>
  <c r="N74" i="21"/>
  <c r="S56" i="20"/>
  <c r="S69" i="20"/>
  <c r="V80" i="37"/>
  <c r="T80" i="37"/>
  <c r="P80" i="37"/>
  <c r="Q80" i="37"/>
  <c r="S80" i="37"/>
  <c r="U80" i="37"/>
  <c r="S18" i="42"/>
  <c r="R80" i="37"/>
  <c r="W80" i="37"/>
  <c r="J74" i="22"/>
  <c r="E74" i="22"/>
  <c r="K86" i="22"/>
  <c r="Q53" i="9"/>
  <c r="V32" i="9"/>
  <c r="V53" i="9" s="1"/>
  <c r="T38" i="9"/>
  <c r="R35" i="9"/>
  <c r="O61" i="20"/>
  <c r="K16" i="9"/>
  <c r="H68" i="37"/>
  <c r="D74" i="20"/>
  <c r="S64" i="20"/>
  <c r="L74" i="20"/>
  <c r="S53" i="22"/>
  <c r="D61" i="22"/>
  <c r="Q16" i="9"/>
  <c r="R16" i="16" s="1"/>
  <c r="V8" i="9"/>
  <c r="V16" i="9" s="1"/>
  <c r="W16" i="16" s="1"/>
  <c r="K61" i="21"/>
  <c r="O61" i="21"/>
  <c r="R102" i="37"/>
  <c r="S102" i="37"/>
  <c r="V102" i="37"/>
  <c r="U102" i="37"/>
  <c r="P102" i="37"/>
  <c r="T102" i="37"/>
  <c r="W102" i="37"/>
  <c r="S42" i="42"/>
  <c r="Q102" i="37"/>
  <c r="G30" i="9"/>
  <c r="G130" i="9" s="1"/>
  <c r="P81" i="37"/>
  <c r="U81" i="37"/>
  <c r="W81" i="37"/>
  <c r="V81" i="37"/>
  <c r="Q81" i="37"/>
  <c r="T81" i="37"/>
  <c r="S19" i="42"/>
  <c r="S81" i="37"/>
  <c r="R81" i="37"/>
  <c r="S57" i="20"/>
  <c r="R41" i="9"/>
  <c r="T41" i="9"/>
  <c r="W41" i="9" s="1"/>
  <c r="T10" i="9"/>
  <c r="W10" i="9" s="1"/>
  <c r="R10" i="9"/>
  <c r="W105" i="37"/>
  <c r="V105" i="37"/>
  <c r="S105" i="37"/>
  <c r="S45" i="42"/>
  <c r="U105" i="37"/>
  <c r="Q105" i="37"/>
  <c r="P105" i="37"/>
  <c r="T105" i="37"/>
  <c r="R105" i="37"/>
  <c r="F74" i="21"/>
  <c r="I74" i="21"/>
  <c r="W96" i="37"/>
  <c r="U96" i="37"/>
  <c r="P96" i="37"/>
  <c r="S96" i="37"/>
  <c r="Q96" i="37"/>
  <c r="S36" i="42"/>
  <c r="R96" i="37"/>
  <c r="T96" i="37"/>
  <c r="V96" i="37"/>
  <c r="T44" i="9"/>
  <c r="W44" i="9" s="1"/>
  <c r="R44" i="9"/>
  <c r="T82" i="37"/>
  <c r="S82" i="37"/>
  <c r="R82" i="37"/>
  <c r="U82" i="37"/>
  <c r="V82" i="37"/>
  <c r="S20" i="42"/>
  <c r="P82" i="37"/>
  <c r="Q82" i="37"/>
  <c r="W82" i="37"/>
  <c r="K74" i="22"/>
  <c r="J17" i="16"/>
  <c r="J17" i="46"/>
  <c r="S56" i="22"/>
  <c r="L86" i="22"/>
  <c r="I86" i="22"/>
  <c r="S66" i="21"/>
  <c r="F16" i="16"/>
  <c r="F16" i="46"/>
  <c r="G55" i="9"/>
  <c r="H61" i="22"/>
  <c r="S68" i="20"/>
  <c r="R98" i="37"/>
  <c r="S98" i="37"/>
  <c r="W98" i="37"/>
  <c r="S38" i="42"/>
  <c r="T98" i="37"/>
  <c r="U98" i="37"/>
  <c r="P98" i="37"/>
  <c r="Q98" i="37"/>
  <c r="V98" i="37"/>
  <c r="I30" i="9"/>
  <c r="I130" i="9" s="1"/>
  <c r="S81" i="20"/>
  <c r="F18" i="16"/>
  <c r="F18" i="46"/>
  <c r="P29" i="9"/>
  <c r="Q17" i="16" s="1"/>
  <c r="U19" i="9"/>
  <c r="U29" i="9" s="1"/>
  <c r="V17" i="16" s="1"/>
  <c r="E74" i="21"/>
  <c r="S71" i="21"/>
  <c r="S78" i="22"/>
  <c r="R71" i="37"/>
  <c r="P71" i="37"/>
  <c r="S71" i="37"/>
  <c r="V71" i="37"/>
  <c r="S7" i="42"/>
  <c r="Q71" i="37"/>
  <c r="W71" i="37"/>
  <c r="T71" i="37"/>
  <c r="U71" i="37"/>
  <c r="H74" i="22"/>
  <c r="O74" i="22"/>
  <c r="S77" i="22"/>
  <c r="D86" i="22"/>
  <c r="K29" i="9"/>
  <c r="H79" i="37"/>
  <c r="G61" i="22"/>
  <c r="R23" i="9"/>
  <c r="T23" i="9"/>
  <c r="W23" i="9" s="1"/>
  <c r="T42" i="9"/>
  <c r="W42" i="9" s="1"/>
  <c r="R42" i="9"/>
  <c r="O74" i="21"/>
  <c r="R39" i="9"/>
  <c r="T39" i="9"/>
  <c r="W39" i="9" s="1"/>
  <c r="V19" i="9"/>
  <c r="V29" i="9" s="1"/>
  <c r="W17" i="16" s="1"/>
  <c r="Q29" i="9"/>
  <c r="R17" i="16" s="1"/>
  <c r="M74" i="22"/>
  <c r="G86" i="22"/>
  <c r="J18" i="16"/>
  <c r="J18" i="46"/>
  <c r="E81" i="34"/>
  <c r="F61" i="22"/>
  <c r="S78" i="20"/>
  <c r="Q70" i="37"/>
  <c r="V70" i="37"/>
  <c r="S70" i="37"/>
  <c r="U70" i="37"/>
  <c r="R70" i="37"/>
  <c r="T70" i="37"/>
  <c r="P70" i="37"/>
  <c r="S6" i="42"/>
  <c r="W70" i="37"/>
  <c r="T34" i="9"/>
  <c r="L74" i="21"/>
  <c r="K74" i="21"/>
  <c r="S55" i="21"/>
  <c r="T26" i="9"/>
  <c r="W26" i="9" s="1"/>
  <c r="R26" i="9"/>
  <c r="S69" i="22"/>
  <c r="T11" i="9"/>
  <c r="W11" i="9" s="1"/>
  <c r="R11" i="9"/>
  <c r="T24" i="9"/>
  <c r="W24" i="9" s="1"/>
  <c r="R24" i="9"/>
  <c r="L74" i="22"/>
  <c r="O86" i="22"/>
  <c r="F86" i="22"/>
  <c r="S68" i="21"/>
  <c r="D52" i="50"/>
  <c r="W73" i="9"/>
  <c r="D56" i="42"/>
  <c r="H91" i="41" s="1"/>
  <c r="P56" i="42"/>
  <c r="T91" i="41" s="1"/>
  <c r="X168" i="37"/>
  <c r="Z168" i="37" s="1"/>
  <c r="F56" i="42"/>
  <c r="J91" i="41" s="1"/>
  <c r="G152" i="21"/>
  <c r="G161" i="21" s="1"/>
  <c r="G163" i="21" s="1"/>
  <c r="X157" i="37"/>
  <c r="Z157" i="37" s="1"/>
  <c r="Q20" i="46"/>
  <c r="Q96" i="42"/>
  <c r="R96" i="42" s="1"/>
  <c r="W70" i="9"/>
  <c r="X20" i="16" s="1"/>
  <c r="N152" i="21"/>
  <c r="N161" i="21" s="1"/>
  <c r="N163" i="21" s="1"/>
  <c r="W113" i="9"/>
  <c r="W114" i="9" s="1"/>
  <c r="X22" i="16" s="1"/>
  <c r="S175" i="41"/>
  <c r="S107" i="41"/>
  <c r="T37" i="41"/>
  <c r="T107" i="41"/>
  <c r="Q107" i="41"/>
  <c r="Q37" i="41"/>
  <c r="M30" i="41"/>
  <c r="M168" i="41"/>
  <c r="M100" i="41"/>
  <c r="U22" i="16"/>
  <c r="T121" i="9"/>
  <c r="L114" i="41"/>
  <c r="L44" i="41"/>
  <c r="L183" i="41"/>
  <c r="H175" i="41"/>
  <c r="H107" i="41"/>
  <c r="H37" i="41"/>
  <c r="U21" i="16"/>
  <c r="U177" i="41"/>
  <c r="U109" i="41"/>
  <c r="U39" i="41"/>
  <c r="O183" i="41"/>
  <c r="O44" i="41"/>
  <c r="O114" i="41"/>
  <c r="T114" i="41"/>
  <c r="T183" i="41"/>
  <c r="T44" i="41"/>
  <c r="K114" i="41"/>
  <c r="K183" i="41"/>
  <c r="K44" i="41"/>
  <c r="M37" i="41"/>
  <c r="M175" i="41"/>
  <c r="M107" i="41"/>
  <c r="N37" i="41"/>
  <c r="N175" i="41"/>
  <c r="N107" i="41"/>
  <c r="K175" i="41"/>
  <c r="K37" i="41"/>
  <c r="K107" i="41"/>
  <c r="S152" i="18"/>
  <c r="D161" i="18"/>
  <c r="D163" i="18" s="1"/>
  <c r="D165" i="18" s="1"/>
  <c r="G114" i="41"/>
  <c r="G44" i="41"/>
  <c r="G183" i="41"/>
  <c r="G37" i="41"/>
  <c r="G107" i="41"/>
  <c r="T96" i="42"/>
  <c r="U96" i="42" s="1"/>
  <c r="G175" i="41"/>
  <c r="Q183" i="41"/>
  <c r="Q44" i="41"/>
  <c r="Q114" i="41"/>
  <c r="L175" i="41"/>
  <c r="L107" i="41"/>
  <c r="L37" i="41"/>
  <c r="M183" i="41"/>
  <c r="M114" i="41"/>
  <c r="M44" i="41"/>
  <c r="O107" i="41"/>
  <c r="O175" i="41"/>
  <c r="O37" i="41"/>
  <c r="H120" i="41"/>
  <c r="H189" i="41"/>
  <c r="H50" i="41"/>
  <c r="J183" i="41"/>
  <c r="J44" i="41"/>
  <c r="J114" i="41"/>
  <c r="J107" i="41"/>
  <c r="J37" i="41"/>
  <c r="J175" i="41"/>
  <c r="P37" i="41"/>
  <c r="P107" i="41"/>
  <c r="P175" i="41"/>
  <c r="H183" i="41"/>
  <c r="H44" i="41"/>
  <c r="H114" i="41"/>
  <c r="I37" i="41"/>
  <c r="I107" i="41"/>
  <c r="I175" i="41"/>
  <c r="P98" i="42" l="1"/>
  <c r="T39" i="41" s="1"/>
  <c r="M152" i="21"/>
  <c r="M161" i="21" s="1"/>
  <c r="M163" i="21" s="1"/>
  <c r="M98" i="42"/>
  <c r="Q177" i="41" s="1"/>
  <c r="N114" i="41"/>
  <c r="N183" i="41"/>
  <c r="S92" i="41"/>
  <c r="P44" i="41"/>
  <c r="H58" i="42"/>
  <c r="L162" i="41" s="1"/>
  <c r="P114" i="41"/>
  <c r="G58" i="42"/>
  <c r="K92" i="41" s="1"/>
  <c r="F152" i="21"/>
  <c r="F161" i="21" s="1"/>
  <c r="F163" i="21" s="1"/>
  <c r="L98" i="42"/>
  <c r="P39" i="41" s="1"/>
  <c r="J98" i="42"/>
  <c r="N39" i="41" s="1"/>
  <c r="S183" i="41"/>
  <c r="S44" i="41"/>
  <c r="S114" i="41"/>
  <c r="U114" i="41"/>
  <c r="U183" i="41"/>
  <c r="U44" i="41"/>
  <c r="R44" i="41" s="1"/>
  <c r="V44" i="41" s="1"/>
  <c r="W44" i="41" s="1"/>
  <c r="O56" i="42"/>
  <c r="S161" i="41" s="1"/>
  <c r="R107" i="42"/>
  <c r="O152" i="21"/>
  <c r="O161" i="21" s="1"/>
  <c r="O163" i="21" s="1"/>
  <c r="Q56" i="42"/>
  <c r="U91" i="41" s="1"/>
  <c r="I56" i="42"/>
  <c r="M161" i="41" s="1"/>
  <c r="I183" i="41"/>
  <c r="T107" i="42"/>
  <c r="U107" i="42" s="1"/>
  <c r="K56" i="42"/>
  <c r="O91" i="41" s="1"/>
  <c r="L56" i="42"/>
  <c r="P161" i="41" s="1"/>
  <c r="G56" i="42"/>
  <c r="K161" i="41" s="1"/>
  <c r="E56" i="42"/>
  <c r="I23" i="41" s="1"/>
  <c r="I114" i="41"/>
  <c r="H56" i="42"/>
  <c r="L91" i="41" s="1"/>
  <c r="M56" i="42"/>
  <c r="Q161" i="41" s="1"/>
  <c r="C56" i="42"/>
  <c r="G23" i="41" s="1"/>
  <c r="X159" i="37"/>
  <c r="Z159" i="37" s="1"/>
  <c r="O98" i="42"/>
  <c r="S39" i="41" s="1"/>
  <c r="O152" i="22"/>
  <c r="O161" i="22" s="1"/>
  <c r="O163" i="22" s="1"/>
  <c r="C113" i="42"/>
  <c r="G186" i="41" s="1"/>
  <c r="J58" i="42"/>
  <c r="N162" i="41" s="1"/>
  <c r="F58" i="42"/>
  <c r="J24" i="41" s="1"/>
  <c r="I58" i="42"/>
  <c r="M162" i="41" s="1"/>
  <c r="C58" i="42"/>
  <c r="G92" i="41" s="1"/>
  <c r="D58" i="42"/>
  <c r="H92" i="41" s="1"/>
  <c r="P85" i="42"/>
  <c r="T31" i="41" s="1"/>
  <c r="S162" i="41"/>
  <c r="E58" i="42"/>
  <c r="I162" i="41" s="1"/>
  <c r="N58" i="42"/>
  <c r="Q58" i="42"/>
  <c r="U24" i="41" s="1"/>
  <c r="P58" i="42"/>
  <c r="T92" i="41" s="1"/>
  <c r="N113" i="42"/>
  <c r="E113" i="42"/>
  <c r="I186" i="41" s="1"/>
  <c r="O186" i="41"/>
  <c r="O85" i="42"/>
  <c r="S31" i="41" s="1"/>
  <c r="O113" i="42"/>
  <c r="S47" i="41" s="1"/>
  <c r="I113" i="42"/>
  <c r="M47" i="41" s="1"/>
  <c r="E157" i="42"/>
  <c r="H157" i="42"/>
  <c r="C157" i="42"/>
  <c r="D113" i="42"/>
  <c r="H47" i="41" s="1"/>
  <c r="G113" i="42"/>
  <c r="K117" i="41" s="1"/>
  <c r="G157" i="42"/>
  <c r="D157" i="42"/>
  <c r="N157" i="42"/>
  <c r="L157" i="42"/>
  <c r="J56" i="42"/>
  <c r="N23" i="41" s="1"/>
  <c r="O47" i="41"/>
  <c r="F95" i="42"/>
  <c r="F157" i="42"/>
  <c r="F113" i="42"/>
  <c r="J186" i="41" s="1"/>
  <c r="L113" i="42"/>
  <c r="P186" i="41" s="1"/>
  <c r="P113" i="42"/>
  <c r="T117" i="41" s="1"/>
  <c r="M113" i="42"/>
  <c r="Q117" i="41" s="1"/>
  <c r="J113" i="42"/>
  <c r="N47" i="41" s="1"/>
  <c r="K152" i="21"/>
  <c r="K161" i="21" s="1"/>
  <c r="K163" i="21" s="1"/>
  <c r="X174" i="37"/>
  <c r="Z174" i="37" s="1"/>
  <c r="J157" i="42"/>
  <c r="P55" i="42"/>
  <c r="T22" i="41" s="1"/>
  <c r="C121" i="42"/>
  <c r="X119" i="37"/>
  <c r="Z119" i="37" s="1"/>
  <c r="N56" i="42"/>
  <c r="I81" i="42"/>
  <c r="M28" i="41" s="1"/>
  <c r="F81" i="42"/>
  <c r="J166" i="41" s="1"/>
  <c r="Q157" i="42"/>
  <c r="P121" i="42"/>
  <c r="O55" i="42"/>
  <c r="S22" i="41" s="1"/>
  <c r="Q151" i="37"/>
  <c r="Q186" i="37" s="1"/>
  <c r="M55" i="42"/>
  <c r="Q160" i="41" s="1"/>
  <c r="N55" i="42"/>
  <c r="E55" i="42"/>
  <c r="I22" i="41" s="1"/>
  <c r="D55" i="42"/>
  <c r="H22" i="41" s="1"/>
  <c r="L55" i="42"/>
  <c r="P160" i="41" s="1"/>
  <c r="I55" i="42"/>
  <c r="M22" i="41" s="1"/>
  <c r="C55" i="42"/>
  <c r="G22" i="41" s="1"/>
  <c r="G55" i="42"/>
  <c r="K22" i="41" s="1"/>
  <c r="K55" i="42"/>
  <c r="O90" i="41" s="1"/>
  <c r="Q55" i="42"/>
  <c r="U160" i="41" s="1"/>
  <c r="H55" i="42"/>
  <c r="L160" i="41" s="1"/>
  <c r="F55" i="42"/>
  <c r="J22" i="41" s="1"/>
  <c r="J55" i="42"/>
  <c r="N160" i="41" s="1"/>
  <c r="X118" i="37"/>
  <c r="Z118" i="37" s="1"/>
  <c r="N121" i="42"/>
  <c r="I121" i="42"/>
  <c r="L121" i="42"/>
  <c r="K121" i="42"/>
  <c r="J121" i="42"/>
  <c r="I30" i="41"/>
  <c r="H87" i="42"/>
  <c r="L32" i="41" s="1"/>
  <c r="G121" i="42"/>
  <c r="Q95" i="42"/>
  <c r="Q121" i="42"/>
  <c r="F87" i="42"/>
  <c r="J32" i="41" s="1"/>
  <c r="U100" i="41"/>
  <c r="I100" i="41"/>
  <c r="D121" i="42"/>
  <c r="K102" i="41"/>
  <c r="J39" i="41"/>
  <c r="H121" i="42"/>
  <c r="O121" i="42"/>
  <c r="L69" i="42"/>
  <c r="P96" i="41" s="1"/>
  <c r="M189" i="41"/>
  <c r="J189" i="41"/>
  <c r="K170" i="41"/>
  <c r="F121" i="42"/>
  <c r="M121" i="42"/>
  <c r="P121" i="9"/>
  <c r="G30" i="41"/>
  <c r="L21" i="46"/>
  <c r="N54" i="42"/>
  <c r="X121" i="37"/>
  <c r="Z121" i="37" s="1"/>
  <c r="Q54" i="42"/>
  <c r="U21" i="41" s="1"/>
  <c r="L50" i="41"/>
  <c r="Q109" i="41"/>
  <c r="C54" i="42"/>
  <c r="G159" i="41" s="1"/>
  <c r="D54" i="42"/>
  <c r="H89" i="41" s="1"/>
  <c r="M99" i="42"/>
  <c r="Q110" i="41" s="1"/>
  <c r="O54" i="42"/>
  <c r="S159" i="41" s="1"/>
  <c r="C53" i="42"/>
  <c r="G88" i="41" s="1"/>
  <c r="F102" i="42"/>
  <c r="J112" i="41" s="1"/>
  <c r="Q89" i="42"/>
  <c r="Q122" i="42"/>
  <c r="U190" i="41" s="1"/>
  <c r="P54" i="42"/>
  <c r="T21" i="41" s="1"/>
  <c r="U120" i="41"/>
  <c r="G54" i="42"/>
  <c r="K89" i="41" s="1"/>
  <c r="I54" i="42"/>
  <c r="M21" i="41" s="1"/>
  <c r="H54" i="42"/>
  <c r="L21" i="41" s="1"/>
  <c r="M54" i="42"/>
  <c r="Q89" i="41" s="1"/>
  <c r="L54" i="42"/>
  <c r="P159" i="41" s="1"/>
  <c r="M58" i="42"/>
  <c r="Q92" i="41" s="1"/>
  <c r="G109" i="41"/>
  <c r="E54" i="42"/>
  <c r="I21" i="41" s="1"/>
  <c r="J54" i="42"/>
  <c r="N21" i="41" s="1"/>
  <c r="H102" i="42"/>
  <c r="L112" i="41" s="1"/>
  <c r="H30" i="41"/>
  <c r="O157" i="42"/>
  <c r="K157" i="42"/>
  <c r="J93" i="42"/>
  <c r="N36" i="41" s="1"/>
  <c r="Q39" i="41"/>
  <c r="T151" i="37"/>
  <c r="T186" i="37" s="1"/>
  <c r="G68" i="42"/>
  <c r="K164" i="41" s="1"/>
  <c r="O95" i="42"/>
  <c r="S100" i="41"/>
  <c r="H81" i="42"/>
  <c r="L98" i="41" s="1"/>
  <c r="F105" i="42"/>
  <c r="J113" i="41" s="1"/>
  <c r="G95" i="42"/>
  <c r="L122" i="42"/>
  <c r="P121" i="41" s="1"/>
  <c r="K81" i="42"/>
  <c r="O28" i="41" s="1"/>
  <c r="D122" i="42"/>
  <c r="K95" i="42"/>
  <c r="L100" i="41"/>
  <c r="L30" i="41"/>
  <c r="X189" i="37"/>
  <c r="X192" i="37" s="1"/>
  <c r="E152" i="22"/>
  <c r="E161" i="22" s="1"/>
  <c r="E163" i="22" s="1"/>
  <c r="P81" i="42"/>
  <c r="T166" i="41" s="1"/>
  <c r="N81" i="42"/>
  <c r="J122" i="42"/>
  <c r="N51" i="41" s="1"/>
  <c r="P95" i="42"/>
  <c r="L81" i="42"/>
  <c r="P166" i="41" s="1"/>
  <c r="M81" i="42"/>
  <c r="Q28" i="41" s="1"/>
  <c r="N95" i="42"/>
  <c r="I182" i="41"/>
  <c r="J95" i="42"/>
  <c r="P157" i="42"/>
  <c r="M157" i="42"/>
  <c r="Q81" i="42"/>
  <c r="U98" i="41" s="1"/>
  <c r="D81" i="42"/>
  <c r="H28" i="41" s="1"/>
  <c r="S168" i="41"/>
  <c r="R168" i="41" s="1"/>
  <c r="N105" i="42"/>
  <c r="C95" i="42"/>
  <c r="M95" i="42"/>
  <c r="H95" i="42"/>
  <c r="E95" i="42"/>
  <c r="G81" i="42"/>
  <c r="K166" i="41" s="1"/>
  <c r="E81" i="42"/>
  <c r="I98" i="41" s="1"/>
  <c r="O105" i="42"/>
  <c r="S43" i="41" s="1"/>
  <c r="D95" i="42"/>
  <c r="L85" i="42"/>
  <c r="P101" i="41" s="1"/>
  <c r="J53" i="42"/>
  <c r="N88" i="41" s="1"/>
  <c r="S90" i="42"/>
  <c r="D90" i="42" s="1"/>
  <c r="H172" i="41" s="1"/>
  <c r="S112" i="41"/>
  <c r="M102" i="42"/>
  <c r="Q42" i="41" s="1"/>
  <c r="G102" i="42"/>
  <c r="K42" i="41" s="1"/>
  <c r="E102" i="42"/>
  <c r="I181" i="41" s="1"/>
  <c r="D102" i="42"/>
  <c r="H181" i="41" s="1"/>
  <c r="T50" i="41"/>
  <c r="H100" i="41"/>
  <c r="T189" i="41"/>
  <c r="J50" i="41"/>
  <c r="S42" i="41"/>
  <c r="I68" i="42"/>
  <c r="M95" i="41" s="1"/>
  <c r="I102" i="42"/>
  <c r="P102" i="42"/>
  <c r="T112" i="41" s="1"/>
  <c r="K102" i="42"/>
  <c r="O42" i="41" s="1"/>
  <c r="S151" i="37"/>
  <c r="S186" i="37" s="1"/>
  <c r="O30" i="41"/>
  <c r="C68" i="42"/>
  <c r="G164" i="41" s="1"/>
  <c r="C102" i="42"/>
  <c r="G181" i="41" s="1"/>
  <c r="J102" i="42"/>
  <c r="N42" i="41" s="1"/>
  <c r="P151" i="37"/>
  <c r="P186" i="37" s="1"/>
  <c r="S152" i="20"/>
  <c r="U30" i="41"/>
  <c r="L20" i="16"/>
  <c r="N102" i="42"/>
  <c r="J164" i="41"/>
  <c r="U151" i="37"/>
  <c r="U186" i="37" s="1"/>
  <c r="J68" i="42"/>
  <c r="N26" i="41" s="1"/>
  <c r="Q102" i="42"/>
  <c r="U181" i="41" s="1"/>
  <c r="L120" i="41"/>
  <c r="E87" i="42"/>
  <c r="I32" i="41" s="1"/>
  <c r="D87" i="42"/>
  <c r="H32" i="41" s="1"/>
  <c r="N152" i="22"/>
  <c r="N161" i="22" s="1"/>
  <c r="N163" i="22" s="1"/>
  <c r="P87" i="42"/>
  <c r="T32" i="41" s="1"/>
  <c r="X156" i="37"/>
  <c r="Z156" i="37" s="1"/>
  <c r="H109" i="41"/>
  <c r="L152" i="22"/>
  <c r="L161" i="22" s="1"/>
  <c r="L163" i="22" s="1"/>
  <c r="K100" i="41"/>
  <c r="C87" i="42"/>
  <c r="G32" i="41" s="1"/>
  <c r="H177" i="41"/>
  <c r="I87" i="42"/>
  <c r="M170" i="41" s="1"/>
  <c r="J87" i="42"/>
  <c r="N32" i="41" s="1"/>
  <c r="F104" i="42"/>
  <c r="L53" i="42"/>
  <c r="P88" i="41" s="1"/>
  <c r="M50" i="41"/>
  <c r="P53" i="42"/>
  <c r="T88" i="41" s="1"/>
  <c r="L39" i="41"/>
  <c r="M87" i="42"/>
  <c r="Q102" i="41" s="1"/>
  <c r="I120" i="41"/>
  <c r="J82" i="42"/>
  <c r="N29" i="41" s="1"/>
  <c r="W151" i="37"/>
  <c r="H186" i="37"/>
  <c r="M68" i="42"/>
  <c r="Q164" i="41" s="1"/>
  <c r="D68" i="42"/>
  <c r="H95" i="41" s="1"/>
  <c r="L109" i="41"/>
  <c r="K30" i="41"/>
  <c r="J95" i="41"/>
  <c r="I50" i="41"/>
  <c r="R151" i="37"/>
  <c r="E68" i="42"/>
  <c r="I95" i="41" s="1"/>
  <c r="O120" i="41"/>
  <c r="Q100" i="41"/>
  <c r="H68" i="42"/>
  <c r="L95" i="41" s="1"/>
  <c r="K54" i="42"/>
  <c r="O21" i="41" s="1"/>
  <c r="O50" i="41"/>
  <c r="N68" i="42"/>
  <c r="P68" i="42"/>
  <c r="T95" i="41" s="1"/>
  <c r="U139" i="37"/>
  <c r="O68" i="42"/>
  <c r="S95" i="41" s="1"/>
  <c r="Q68" i="42"/>
  <c r="U164" i="41" s="1"/>
  <c r="P189" i="41"/>
  <c r="V110" i="37"/>
  <c r="K68" i="42"/>
  <c r="O95" i="41" s="1"/>
  <c r="L68" i="42"/>
  <c r="P26" i="41" s="1"/>
  <c r="J51" i="41"/>
  <c r="J190" i="41"/>
  <c r="J121" i="41"/>
  <c r="X163" i="37"/>
  <c r="Z163" i="37" s="1"/>
  <c r="J81" i="42"/>
  <c r="N28" i="41" s="1"/>
  <c r="P122" i="42"/>
  <c r="T190" i="41" s="1"/>
  <c r="G189" i="41"/>
  <c r="Q104" i="42"/>
  <c r="K122" i="42"/>
  <c r="U121" i="9"/>
  <c r="N122" i="42"/>
  <c r="O122" i="42"/>
  <c r="S190" i="41" s="1"/>
  <c r="F85" i="42"/>
  <c r="J101" i="41" s="1"/>
  <c r="C105" i="42"/>
  <c r="G113" i="41" s="1"/>
  <c r="H105" i="42"/>
  <c r="L113" i="41" s="1"/>
  <c r="K152" i="22"/>
  <c r="K161" i="22" s="1"/>
  <c r="K163" i="22" s="1"/>
  <c r="G105" i="42"/>
  <c r="K113" i="41" s="1"/>
  <c r="X153" i="37"/>
  <c r="Z153" i="37" s="1"/>
  <c r="K109" i="41"/>
  <c r="Q30" i="41"/>
  <c r="D105" i="42"/>
  <c r="H113" i="41" s="1"/>
  <c r="C122" i="42"/>
  <c r="G122" i="42"/>
  <c r="E122" i="42"/>
  <c r="H122" i="42"/>
  <c r="I122" i="42"/>
  <c r="C85" i="42"/>
  <c r="G31" i="41" s="1"/>
  <c r="K67" i="42"/>
  <c r="I109" i="41"/>
  <c r="N30" i="41"/>
  <c r="M105" i="42"/>
  <c r="Q43" i="41" s="1"/>
  <c r="I105" i="42"/>
  <c r="M182" i="41" s="1"/>
  <c r="Q105" i="42"/>
  <c r="U113" i="41" s="1"/>
  <c r="N100" i="41"/>
  <c r="I43" i="41"/>
  <c r="J105" i="42"/>
  <c r="N182" i="41" s="1"/>
  <c r="C104" i="42"/>
  <c r="P139" i="37"/>
  <c r="X166" i="37"/>
  <c r="Z166" i="37" s="1"/>
  <c r="P105" i="42"/>
  <c r="T43" i="41" s="1"/>
  <c r="R139" i="37"/>
  <c r="M104" i="42"/>
  <c r="N67" i="42"/>
  <c r="O92" i="42"/>
  <c r="S173" i="41" s="1"/>
  <c r="M122" i="42"/>
  <c r="G108" i="41"/>
  <c r="G176" i="41"/>
  <c r="G38" i="41"/>
  <c r="G152" i="22"/>
  <c r="G161" i="22" s="1"/>
  <c r="G163" i="22" s="1"/>
  <c r="K53" i="42"/>
  <c r="O88" i="41" s="1"/>
  <c r="G120" i="41"/>
  <c r="D85" i="42"/>
  <c r="H31" i="41" s="1"/>
  <c r="H85" i="42"/>
  <c r="L101" i="41" s="1"/>
  <c r="F97" i="42"/>
  <c r="L97" i="42"/>
  <c r="P176" i="41" s="1"/>
  <c r="N97" i="42"/>
  <c r="I177" i="41"/>
  <c r="N50" i="41"/>
  <c r="E53" i="42"/>
  <c r="I158" i="41" s="1"/>
  <c r="T139" i="37"/>
  <c r="G99" i="42"/>
  <c r="K110" i="41" s="1"/>
  <c r="R70" i="9"/>
  <c r="S20" i="16" s="1"/>
  <c r="Q92" i="42"/>
  <c r="U105" i="41" s="1"/>
  <c r="N85" i="42"/>
  <c r="Q99" i="42"/>
  <c r="U178" i="41" s="1"/>
  <c r="N189" i="41"/>
  <c r="E85" i="42"/>
  <c r="I169" i="41" s="1"/>
  <c r="Q31" i="41"/>
  <c r="I85" i="42"/>
  <c r="M31" i="41" s="1"/>
  <c r="X142" i="37"/>
  <c r="Z142" i="37" s="1"/>
  <c r="Q101" i="41"/>
  <c r="M53" i="42"/>
  <c r="Q158" i="41" s="1"/>
  <c r="G85" i="42"/>
  <c r="K31" i="41" s="1"/>
  <c r="P30" i="41"/>
  <c r="C99" i="42"/>
  <c r="G178" i="41" s="1"/>
  <c r="X131" i="37"/>
  <c r="Z131" i="37" s="1"/>
  <c r="F99" i="42"/>
  <c r="J110" i="41" s="1"/>
  <c r="X179" i="37"/>
  <c r="Z179" i="37" s="1"/>
  <c r="P99" i="42"/>
  <c r="T40" i="41" s="1"/>
  <c r="P100" i="41"/>
  <c r="H99" i="42"/>
  <c r="L178" i="41" s="1"/>
  <c r="D99" i="42"/>
  <c r="H40" i="41" s="1"/>
  <c r="N93" i="42"/>
  <c r="H97" i="42"/>
  <c r="G97" i="42"/>
  <c r="O81" i="42"/>
  <c r="S28" i="41" s="1"/>
  <c r="D53" i="42"/>
  <c r="H158" i="41" s="1"/>
  <c r="L99" i="42"/>
  <c r="P110" i="41" s="1"/>
  <c r="V139" i="37"/>
  <c r="J97" i="42"/>
  <c r="G53" i="42"/>
  <c r="K20" i="41" s="1"/>
  <c r="K99" i="42"/>
  <c r="O178" i="41" s="1"/>
  <c r="X117" i="37"/>
  <c r="Z117" i="37" s="1"/>
  <c r="I99" i="42"/>
  <c r="M178" i="41" s="1"/>
  <c r="L67" i="42"/>
  <c r="P97" i="42"/>
  <c r="H53" i="42"/>
  <c r="L20" i="41" s="1"/>
  <c r="K177" i="41"/>
  <c r="N53" i="42"/>
  <c r="P120" i="41"/>
  <c r="E99" i="42"/>
  <c r="I110" i="41" s="1"/>
  <c r="M97" i="42"/>
  <c r="I97" i="42"/>
  <c r="O87" i="42"/>
  <c r="S170" i="41" s="1"/>
  <c r="K87" i="42"/>
  <c r="O32" i="41" s="1"/>
  <c r="K97" i="42"/>
  <c r="O38" i="41" s="1"/>
  <c r="D97" i="42"/>
  <c r="H108" i="41" s="1"/>
  <c r="Q53" i="42"/>
  <c r="U158" i="41" s="1"/>
  <c r="O97" i="42"/>
  <c r="S38" i="41" s="1"/>
  <c r="O89" i="42"/>
  <c r="F53" i="42"/>
  <c r="J158" i="41" s="1"/>
  <c r="O53" i="42"/>
  <c r="S158" i="41" s="1"/>
  <c r="J99" i="42"/>
  <c r="N110" i="41" s="1"/>
  <c r="O99" i="42"/>
  <c r="S178" i="41" s="1"/>
  <c r="M67" i="42"/>
  <c r="Q97" i="42"/>
  <c r="U38" i="41" s="1"/>
  <c r="L105" i="42"/>
  <c r="P43" i="41" s="1"/>
  <c r="E97" i="42"/>
  <c r="K162" i="41"/>
  <c r="M89" i="42"/>
  <c r="K24" i="41"/>
  <c r="J30" i="41"/>
  <c r="H176" i="41"/>
  <c r="K105" i="42"/>
  <c r="O113" i="41" s="1"/>
  <c r="J168" i="41"/>
  <c r="X116" i="37"/>
  <c r="Z116" i="37" s="1"/>
  <c r="Q189" i="41"/>
  <c r="K50" i="41"/>
  <c r="T117" i="42"/>
  <c r="U117" i="42" s="1"/>
  <c r="Q50" i="41"/>
  <c r="K120" i="41"/>
  <c r="J152" i="22"/>
  <c r="J161" i="22" s="1"/>
  <c r="J163" i="22" s="1"/>
  <c r="Q87" i="42"/>
  <c r="U32" i="41" s="1"/>
  <c r="L87" i="42"/>
  <c r="P32" i="41" s="1"/>
  <c r="N92" i="42"/>
  <c r="X158" i="37"/>
  <c r="Z158" i="37" s="1"/>
  <c r="J92" i="42"/>
  <c r="T84" i="42"/>
  <c r="U84" i="42" s="1"/>
  <c r="S139" i="37"/>
  <c r="K93" i="42"/>
  <c r="O174" i="41" s="1"/>
  <c r="L92" i="42"/>
  <c r="P173" i="41" s="1"/>
  <c r="Q67" i="42"/>
  <c r="G168" i="41"/>
  <c r="X150" i="37"/>
  <c r="Z150" i="37" s="1"/>
  <c r="I89" i="42"/>
  <c r="E89" i="42"/>
  <c r="F89" i="42"/>
  <c r="G89" i="42"/>
  <c r="C89" i="42"/>
  <c r="D89" i="42"/>
  <c r="H89" i="42"/>
  <c r="P181" i="41"/>
  <c r="P92" i="42"/>
  <c r="K89" i="42"/>
  <c r="P67" i="42"/>
  <c r="X145" i="37"/>
  <c r="Z145" i="37" s="1"/>
  <c r="J89" i="42"/>
  <c r="X160" i="37"/>
  <c r="Z160" i="37" s="1"/>
  <c r="P93" i="42"/>
  <c r="L104" i="42"/>
  <c r="N89" i="42"/>
  <c r="L89" i="42"/>
  <c r="P89" i="42"/>
  <c r="O168" i="41"/>
  <c r="J67" i="42"/>
  <c r="X130" i="37"/>
  <c r="Z130" i="37" s="1"/>
  <c r="I92" i="42"/>
  <c r="C92" i="42"/>
  <c r="M92" i="42"/>
  <c r="H92" i="42"/>
  <c r="E92" i="42"/>
  <c r="G92" i="42"/>
  <c r="D92" i="42"/>
  <c r="F92" i="42"/>
  <c r="I67" i="42"/>
  <c r="G67" i="42"/>
  <c r="E67" i="42"/>
  <c r="C67" i="42"/>
  <c r="F67" i="42"/>
  <c r="D67" i="42"/>
  <c r="H67" i="42"/>
  <c r="O67" i="42"/>
  <c r="K92" i="42"/>
  <c r="J104" i="42"/>
  <c r="N104" i="42"/>
  <c r="X143" i="37"/>
  <c r="Z143" i="37" s="1"/>
  <c r="M88" i="42"/>
  <c r="J85" i="42"/>
  <c r="N169" i="41" s="1"/>
  <c r="O82" i="42"/>
  <c r="S167" i="41" s="1"/>
  <c r="W139" i="37"/>
  <c r="Q82" i="42"/>
  <c r="L82" i="42"/>
  <c r="P99" i="41" s="1"/>
  <c r="N82" i="42"/>
  <c r="X132" i="37"/>
  <c r="Z132" i="37" s="1"/>
  <c r="I88" i="42"/>
  <c r="F88" i="42"/>
  <c r="C88" i="42"/>
  <c r="D88" i="42"/>
  <c r="N88" i="42"/>
  <c r="H88" i="42"/>
  <c r="E88" i="42"/>
  <c r="P88" i="42"/>
  <c r="G88" i="42"/>
  <c r="O88" i="42"/>
  <c r="T100" i="41"/>
  <c r="J88" i="42"/>
  <c r="Q88" i="42"/>
  <c r="L88" i="42"/>
  <c r="X149" i="37"/>
  <c r="Z149" i="37" s="1"/>
  <c r="K88" i="42"/>
  <c r="T110" i="37"/>
  <c r="J177" i="41"/>
  <c r="K85" i="42"/>
  <c r="O169" i="41" s="1"/>
  <c r="S109" i="41"/>
  <c r="S110" i="37"/>
  <c r="X148" i="37"/>
  <c r="Z148" i="37" s="1"/>
  <c r="P112" i="41"/>
  <c r="D152" i="22"/>
  <c r="D161" i="22" s="1"/>
  <c r="K82" i="42"/>
  <c r="O93" i="42"/>
  <c r="I82" i="42"/>
  <c r="Q121" i="9"/>
  <c r="Q93" i="42"/>
  <c r="G82" i="42"/>
  <c r="H82" i="42"/>
  <c r="D82" i="42"/>
  <c r="H152" i="22"/>
  <c r="H161" i="22" s="1"/>
  <c r="H163" i="22" s="1"/>
  <c r="X112" i="37"/>
  <c r="Z112" i="37" s="1"/>
  <c r="M152" i="22"/>
  <c r="M161" i="22" s="1"/>
  <c r="M163" i="22" s="1"/>
  <c r="M82" i="42"/>
  <c r="E82" i="42"/>
  <c r="F82" i="42"/>
  <c r="Q85" i="42"/>
  <c r="U169" i="41" s="1"/>
  <c r="L93" i="42"/>
  <c r="P106" i="41" s="1"/>
  <c r="P82" i="42"/>
  <c r="K104" i="42"/>
  <c r="C82" i="42"/>
  <c r="N87" i="42"/>
  <c r="L91" i="42"/>
  <c r="P104" i="42"/>
  <c r="M177" i="41"/>
  <c r="O104" i="42"/>
  <c r="S120" i="41"/>
  <c r="H104" i="42"/>
  <c r="D104" i="42"/>
  <c r="O91" i="42"/>
  <c r="S50" i="41"/>
  <c r="R117" i="42"/>
  <c r="P110" i="37"/>
  <c r="P91" i="42"/>
  <c r="U189" i="41"/>
  <c r="X178" i="37"/>
  <c r="Z178" i="37" s="1"/>
  <c r="U110" i="37"/>
  <c r="W110" i="37"/>
  <c r="Q110" i="37"/>
  <c r="M91" i="42"/>
  <c r="K91" i="42"/>
  <c r="I124" i="9"/>
  <c r="I152" i="22"/>
  <c r="I161" i="22" s="1"/>
  <c r="I163" i="22" s="1"/>
  <c r="X165" i="37"/>
  <c r="Z165" i="37" s="1"/>
  <c r="M109" i="41"/>
  <c r="E93" i="42"/>
  <c r="D93" i="42"/>
  <c r="I93" i="42"/>
  <c r="G93" i="42"/>
  <c r="H93" i="42"/>
  <c r="F93" i="42"/>
  <c r="C93" i="42"/>
  <c r="M93" i="42"/>
  <c r="X154" i="37"/>
  <c r="Z154" i="37" s="1"/>
  <c r="T177" i="41"/>
  <c r="F152" i="22"/>
  <c r="F161" i="22" s="1"/>
  <c r="F163" i="22" s="1"/>
  <c r="G177" i="41"/>
  <c r="T98" i="42"/>
  <c r="U98" i="42" s="1"/>
  <c r="Q139" i="37"/>
  <c r="T109" i="41"/>
  <c r="V109" i="37"/>
  <c r="L117" i="41"/>
  <c r="R109" i="37"/>
  <c r="X146" i="37"/>
  <c r="Z146" i="37" s="1"/>
  <c r="Q69" i="42"/>
  <c r="N91" i="42"/>
  <c r="U37" i="41"/>
  <c r="R37" i="41" s="1"/>
  <c r="V37" i="41" s="1"/>
  <c r="W37" i="41" s="1"/>
  <c r="U107" i="41"/>
  <c r="R107" i="41" s="1"/>
  <c r="V107" i="41" s="1"/>
  <c r="W107" i="41" s="1"/>
  <c r="I160" i="41"/>
  <c r="R110" i="9"/>
  <c r="S21" i="16" s="1"/>
  <c r="U175" i="41"/>
  <c r="R175" i="41" s="1"/>
  <c r="V175" i="41" s="1"/>
  <c r="W175" i="41" s="1"/>
  <c r="P117" i="41"/>
  <c r="J69" i="42"/>
  <c r="Q91" i="42"/>
  <c r="K69" i="42"/>
  <c r="O69" i="42"/>
  <c r="S165" i="41" s="1"/>
  <c r="I104" i="42"/>
  <c r="E104" i="42"/>
  <c r="K101" i="42"/>
  <c r="Q101" i="42"/>
  <c r="L101" i="42"/>
  <c r="I91" i="42"/>
  <c r="D91" i="42"/>
  <c r="F91" i="42"/>
  <c r="E91" i="42"/>
  <c r="G91" i="42"/>
  <c r="H91" i="42"/>
  <c r="C91" i="42"/>
  <c r="S152" i="21"/>
  <c r="P177" i="41"/>
  <c r="O101" i="42"/>
  <c r="S180" i="41" s="1"/>
  <c r="L186" i="41"/>
  <c r="P101" i="42"/>
  <c r="T111" i="41" s="1"/>
  <c r="M69" i="42"/>
  <c r="P69" i="42"/>
  <c r="N101" i="42"/>
  <c r="I69" i="42"/>
  <c r="E69" i="42"/>
  <c r="H69" i="42"/>
  <c r="F69" i="42"/>
  <c r="C69" i="42"/>
  <c r="G69" i="42"/>
  <c r="D69" i="42"/>
  <c r="N69" i="42"/>
  <c r="J91" i="42"/>
  <c r="X152" i="37"/>
  <c r="Z152" i="37" s="1"/>
  <c r="P109" i="41"/>
  <c r="M101" i="42"/>
  <c r="Q180" i="41" s="1"/>
  <c r="V186" i="37"/>
  <c r="R84" i="42"/>
  <c r="G161" i="41"/>
  <c r="J159" i="41"/>
  <c r="M186" i="41"/>
  <c r="J89" i="41"/>
  <c r="U161" i="41"/>
  <c r="M117" i="41"/>
  <c r="K121" i="9"/>
  <c r="Q116" i="42"/>
  <c r="M106" i="42"/>
  <c r="N106" i="42"/>
  <c r="Q106" i="42"/>
  <c r="H161" i="41"/>
  <c r="J161" i="41"/>
  <c r="J23" i="41"/>
  <c r="L66" i="42"/>
  <c r="P66" i="42"/>
  <c r="K116" i="42"/>
  <c r="H23" i="41"/>
  <c r="Q111" i="37"/>
  <c r="T109" i="37"/>
  <c r="Q109" i="37"/>
  <c r="S109" i="37"/>
  <c r="W111" i="37"/>
  <c r="P109" i="37"/>
  <c r="X181" i="37"/>
  <c r="Z181" i="37" s="1"/>
  <c r="U109" i="37"/>
  <c r="S111" i="37"/>
  <c r="W108" i="37"/>
  <c r="S108" i="37"/>
  <c r="V108" i="37"/>
  <c r="P108" i="37"/>
  <c r="T108" i="37"/>
  <c r="R108" i="37"/>
  <c r="Q108" i="37"/>
  <c r="U108" i="37"/>
  <c r="R111" i="37"/>
  <c r="P111" i="37"/>
  <c r="T111" i="37"/>
  <c r="V111" i="37"/>
  <c r="P116" i="42"/>
  <c r="N103" i="42"/>
  <c r="L106" i="42"/>
  <c r="D101" i="42"/>
  <c r="G101" i="42"/>
  <c r="H101" i="42"/>
  <c r="I101" i="42"/>
  <c r="C101" i="42"/>
  <c r="E101" i="42"/>
  <c r="F101" i="42"/>
  <c r="W80" i="9"/>
  <c r="V110" i="9"/>
  <c r="O106" i="42"/>
  <c r="P106" i="42"/>
  <c r="M103" i="42"/>
  <c r="K106" i="42"/>
  <c r="J101" i="42"/>
  <c r="X162" i="37"/>
  <c r="Z162" i="37" s="1"/>
  <c r="H106" i="42"/>
  <c r="E106" i="42"/>
  <c r="F106" i="42"/>
  <c r="I106" i="42"/>
  <c r="D106" i="42"/>
  <c r="G106" i="42"/>
  <c r="C106" i="42"/>
  <c r="X167" i="37"/>
  <c r="Z167" i="37" s="1"/>
  <c r="J106" i="42"/>
  <c r="O109" i="41"/>
  <c r="O177" i="41"/>
  <c r="O39" i="41"/>
  <c r="O66" i="42"/>
  <c r="M116" i="42"/>
  <c r="N66" i="42"/>
  <c r="N116" i="42"/>
  <c r="K66" i="42"/>
  <c r="L116" i="42"/>
  <c r="P103" i="42"/>
  <c r="I66" i="42"/>
  <c r="G66" i="42"/>
  <c r="C66" i="42"/>
  <c r="F66" i="42"/>
  <c r="D66" i="42"/>
  <c r="E66" i="42"/>
  <c r="H66" i="42"/>
  <c r="L103" i="42"/>
  <c r="Q103" i="42"/>
  <c r="J66" i="42"/>
  <c r="X129" i="37"/>
  <c r="Z129" i="37" s="1"/>
  <c r="K103" i="42"/>
  <c r="H103" i="42"/>
  <c r="I103" i="42"/>
  <c r="E103" i="42"/>
  <c r="F103" i="42"/>
  <c r="C103" i="42"/>
  <c r="D103" i="42"/>
  <c r="G103" i="42"/>
  <c r="O103" i="42"/>
  <c r="M66" i="42"/>
  <c r="O116" i="42"/>
  <c r="J103" i="42"/>
  <c r="X164" i="37"/>
  <c r="Z164" i="37" s="1"/>
  <c r="Q66" i="42"/>
  <c r="J116" i="42"/>
  <c r="X177" i="37"/>
  <c r="Z177" i="37" s="1"/>
  <c r="H116" i="42"/>
  <c r="D116" i="42"/>
  <c r="C116" i="42"/>
  <c r="G116" i="42"/>
  <c r="F116" i="42"/>
  <c r="E116" i="42"/>
  <c r="I116" i="42"/>
  <c r="N114" i="42"/>
  <c r="K114" i="42"/>
  <c r="O162" i="41"/>
  <c r="L114" i="42"/>
  <c r="U23" i="41"/>
  <c r="T30" i="41"/>
  <c r="M114" i="42"/>
  <c r="O114" i="42"/>
  <c r="Q114" i="42"/>
  <c r="P114" i="42"/>
  <c r="E83" i="34"/>
  <c r="F83" i="34" s="1"/>
  <c r="G114" i="42"/>
  <c r="H114" i="42"/>
  <c r="C114" i="42"/>
  <c r="D114" i="42"/>
  <c r="E114" i="42"/>
  <c r="F114" i="42"/>
  <c r="I114" i="42"/>
  <c r="J114" i="42"/>
  <c r="X175" i="37"/>
  <c r="Z175" i="37" s="1"/>
  <c r="N91" i="41"/>
  <c r="N38" i="42"/>
  <c r="N161" i="41"/>
  <c r="T161" i="41"/>
  <c r="G91" i="41"/>
  <c r="M6" i="42"/>
  <c r="Q39" i="42"/>
  <c r="U16" i="41" s="1"/>
  <c r="P7" i="42"/>
  <c r="T142" i="41" s="1"/>
  <c r="K21" i="42"/>
  <c r="O77" i="41" s="1"/>
  <c r="L21" i="42"/>
  <c r="P77" i="41" s="1"/>
  <c r="O7" i="42"/>
  <c r="S4" i="41" s="1"/>
  <c r="L7" i="42"/>
  <c r="P4" i="41" s="1"/>
  <c r="N7" i="42"/>
  <c r="M7" i="42"/>
  <c r="Q71" i="41" s="1"/>
  <c r="K8" i="42"/>
  <c r="O143" i="41" s="1"/>
  <c r="Q10" i="42"/>
  <c r="P8" i="42"/>
  <c r="T5" i="41" s="1"/>
  <c r="O10" i="42"/>
  <c r="N8" i="42"/>
  <c r="N10" i="42"/>
  <c r="O21" i="42"/>
  <c r="S77" i="41" s="1"/>
  <c r="O20" i="42"/>
  <c r="S9" i="41" s="1"/>
  <c r="P45" i="42"/>
  <c r="T87" i="41" s="1"/>
  <c r="L45" i="42"/>
  <c r="P157" i="41" s="1"/>
  <c r="M20" i="42"/>
  <c r="Q9" i="41" s="1"/>
  <c r="N45" i="42"/>
  <c r="Q20" i="42"/>
  <c r="U9" i="41" s="1"/>
  <c r="N20" i="42"/>
  <c r="K20" i="42"/>
  <c r="O147" i="41" s="1"/>
  <c r="K45" i="42"/>
  <c r="O19" i="41" s="1"/>
  <c r="O45" i="42"/>
  <c r="S19" i="41" s="1"/>
  <c r="P6" i="42"/>
  <c r="M32" i="42"/>
  <c r="Q80" i="41" s="1"/>
  <c r="K39" i="42"/>
  <c r="O16" i="41" s="1"/>
  <c r="P41" i="42"/>
  <c r="T155" i="41" s="1"/>
  <c r="N21" i="42"/>
  <c r="Q7" i="42"/>
  <c r="U71" i="41" s="1"/>
  <c r="N41" i="42"/>
  <c r="Q21" i="42"/>
  <c r="U77" i="41" s="1"/>
  <c r="M21" i="42"/>
  <c r="Q77" i="41" s="1"/>
  <c r="N39" i="42"/>
  <c r="O38" i="42"/>
  <c r="S153" i="41" s="1"/>
  <c r="M42" i="42"/>
  <c r="Q18" i="41" s="1"/>
  <c r="M39" i="42"/>
  <c r="Q16" i="41" s="1"/>
  <c r="L39" i="42"/>
  <c r="P84" i="41" s="1"/>
  <c r="O39" i="42"/>
  <c r="S16" i="41" s="1"/>
  <c r="P39" i="42"/>
  <c r="T84" i="41" s="1"/>
  <c r="L20" i="42"/>
  <c r="P9" i="41" s="1"/>
  <c r="Q45" i="42"/>
  <c r="U87" i="41" s="1"/>
  <c r="K42" i="42"/>
  <c r="O156" i="41" s="1"/>
  <c r="Q42" i="42"/>
  <c r="U156" i="41" s="1"/>
  <c r="P20" i="42"/>
  <c r="T9" i="41" s="1"/>
  <c r="M45" i="42"/>
  <c r="Q87" i="41" s="1"/>
  <c r="L42" i="42"/>
  <c r="P86" i="41" s="1"/>
  <c r="O18" i="42"/>
  <c r="S74" i="41" s="1"/>
  <c r="T53" i="9"/>
  <c r="U18" i="16" s="1"/>
  <c r="Q6" i="42"/>
  <c r="K6" i="42"/>
  <c r="Q32" i="42"/>
  <c r="U12" i="41" s="1"/>
  <c r="L8" i="42"/>
  <c r="P72" i="41" s="1"/>
  <c r="K10" i="42"/>
  <c r="T23" i="41"/>
  <c r="N18" i="42"/>
  <c r="K32" i="42"/>
  <c r="O80" i="41" s="1"/>
  <c r="M8" i="42"/>
  <c r="Q72" i="41" s="1"/>
  <c r="O8" i="42"/>
  <c r="S72" i="41" s="1"/>
  <c r="M10" i="42"/>
  <c r="Q18" i="42"/>
  <c r="U74" i="41" s="1"/>
  <c r="P18" i="42"/>
  <c r="T74" i="41" s="1"/>
  <c r="M41" i="42"/>
  <c r="Q155" i="41" s="1"/>
  <c r="O32" i="42"/>
  <c r="S80" i="41" s="1"/>
  <c r="Q8" i="42"/>
  <c r="U143" i="41" s="1"/>
  <c r="L10" i="42"/>
  <c r="L18" i="42"/>
  <c r="P74" i="41" s="1"/>
  <c r="P10" i="42"/>
  <c r="L6" i="42"/>
  <c r="K7" i="42"/>
  <c r="K38" i="42"/>
  <c r="G20" i="42"/>
  <c r="H20" i="42"/>
  <c r="C20" i="42"/>
  <c r="D20" i="42"/>
  <c r="F20" i="42"/>
  <c r="I20" i="42"/>
  <c r="E20" i="42"/>
  <c r="P36" i="42"/>
  <c r="Q36" i="42"/>
  <c r="G45" i="42"/>
  <c r="H45" i="42"/>
  <c r="E45" i="42"/>
  <c r="D45" i="42"/>
  <c r="C45" i="42"/>
  <c r="F45" i="42"/>
  <c r="I45" i="42"/>
  <c r="O19" i="42"/>
  <c r="O42" i="42"/>
  <c r="Q55" i="9"/>
  <c r="R18" i="16"/>
  <c r="R19" i="16" s="1"/>
  <c r="R24" i="16" s="1"/>
  <c r="R26" i="16" s="1"/>
  <c r="M18" i="42"/>
  <c r="L41" i="42"/>
  <c r="R29" i="9"/>
  <c r="S17" i="16" s="1"/>
  <c r="L32" i="42"/>
  <c r="P32" i="42"/>
  <c r="P21" i="42"/>
  <c r="T77" i="41" s="1"/>
  <c r="H8" i="42"/>
  <c r="G8" i="42"/>
  <c r="I8" i="42"/>
  <c r="C8" i="42"/>
  <c r="F8" i="42"/>
  <c r="E8" i="42"/>
  <c r="D8" i="42"/>
  <c r="X74" i="37"/>
  <c r="Z74" i="37" s="1"/>
  <c r="J10" i="42"/>
  <c r="F10" i="42"/>
  <c r="C10" i="42"/>
  <c r="D10" i="42"/>
  <c r="E10" i="42"/>
  <c r="I10" i="42"/>
  <c r="G10" i="42"/>
  <c r="H10" i="42"/>
  <c r="X99" i="37"/>
  <c r="Z99" i="37" s="1"/>
  <c r="J39" i="42"/>
  <c r="O6" i="42"/>
  <c r="H7" i="42"/>
  <c r="D7" i="42"/>
  <c r="E7" i="42"/>
  <c r="G7" i="42"/>
  <c r="I7" i="42"/>
  <c r="C7" i="42"/>
  <c r="F7" i="42"/>
  <c r="X98" i="37"/>
  <c r="Z98" i="37" s="1"/>
  <c r="J38" i="42"/>
  <c r="N36" i="42"/>
  <c r="L19" i="42"/>
  <c r="J19" i="42"/>
  <c r="X81" i="37"/>
  <c r="Z81" i="37" s="1"/>
  <c r="P42" i="42"/>
  <c r="K18" i="42"/>
  <c r="K41" i="42"/>
  <c r="W19" i="9"/>
  <c r="W29" i="9" s="1"/>
  <c r="X17" i="16" s="1"/>
  <c r="T29" i="9"/>
  <c r="U17" i="16" s="1"/>
  <c r="H32" i="42"/>
  <c r="I32" i="42"/>
  <c r="E32" i="42"/>
  <c r="D32" i="42"/>
  <c r="C32" i="42"/>
  <c r="F32" i="42"/>
  <c r="G32" i="42"/>
  <c r="G124" i="9"/>
  <c r="L36" i="42"/>
  <c r="M19" i="42"/>
  <c r="G129" i="9"/>
  <c r="X80" i="37"/>
  <c r="Z80" i="37" s="1"/>
  <c r="J18" i="42"/>
  <c r="P16" i="46"/>
  <c r="Q16" i="46" s="1"/>
  <c r="Q41" i="42"/>
  <c r="F19" i="46"/>
  <c r="G36" i="42"/>
  <c r="I36" i="42"/>
  <c r="C36" i="42"/>
  <c r="H36" i="42"/>
  <c r="E36" i="42"/>
  <c r="F36" i="42"/>
  <c r="D36" i="42"/>
  <c r="E19" i="42"/>
  <c r="F19" i="42"/>
  <c r="D19" i="42"/>
  <c r="G19" i="42"/>
  <c r="C19" i="42"/>
  <c r="I19" i="42"/>
  <c r="H19" i="42"/>
  <c r="J19" i="46"/>
  <c r="J21" i="42"/>
  <c r="N77" i="41" s="1"/>
  <c r="X83" i="37"/>
  <c r="Z83" i="37" s="1"/>
  <c r="X71" i="37"/>
  <c r="Z71" i="37" s="1"/>
  <c r="J7" i="42"/>
  <c r="I38" i="42"/>
  <c r="E38" i="42"/>
  <c r="F38" i="42"/>
  <c r="D38" i="42"/>
  <c r="H38" i="42"/>
  <c r="C38" i="42"/>
  <c r="G38" i="42"/>
  <c r="F19" i="16"/>
  <c r="K36" i="42"/>
  <c r="N19" i="42"/>
  <c r="F42" i="42"/>
  <c r="C42" i="42"/>
  <c r="D42" i="42"/>
  <c r="I42" i="42"/>
  <c r="G42" i="42"/>
  <c r="E42" i="42"/>
  <c r="H42" i="42"/>
  <c r="J19" i="16"/>
  <c r="J24" i="16" s="1"/>
  <c r="K19" i="16" s="1"/>
  <c r="X92" i="37"/>
  <c r="Z92" i="37" s="1"/>
  <c r="J32" i="42"/>
  <c r="I39" i="42"/>
  <c r="H39" i="42"/>
  <c r="F39" i="42"/>
  <c r="E39" i="42"/>
  <c r="G39" i="42"/>
  <c r="D39" i="42"/>
  <c r="C39" i="42"/>
  <c r="E6" i="42"/>
  <c r="H6" i="42"/>
  <c r="I6" i="42"/>
  <c r="C6" i="42"/>
  <c r="G6" i="42"/>
  <c r="F6" i="42"/>
  <c r="D6" i="42"/>
  <c r="Q38" i="42"/>
  <c r="M36" i="42"/>
  <c r="J45" i="42"/>
  <c r="X105" i="37"/>
  <c r="Z105" i="37" s="1"/>
  <c r="K19" i="42"/>
  <c r="U68" i="37"/>
  <c r="R68" i="37"/>
  <c r="T68" i="37"/>
  <c r="P68" i="37"/>
  <c r="Q68" i="37"/>
  <c r="H76" i="37"/>
  <c r="V68" i="37"/>
  <c r="W68" i="37"/>
  <c r="S4" i="42"/>
  <c r="S68" i="37"/>
  <c r="R16" i="9"/>
  <c r="S16" i="16" s="1"/>
  <c r="X70" i="37"/>
  <c r="Z70" i="37" s="1"/>
  <c r="J6" i="42"/>
  <c r="P79" i="37"/>
  <c r="V79" i="37"/>
  <c r="S17" i="42"/>
  <c r="R79" i="37"/>
  <c r="Q79" i="37"/>
  <c r="H86" i="37"/>
  <c r="U79" i="37"/>
  <c r="W79" i="37"/>
  <c r="T79" i="37"/>
  <c r="S79" i="37"/>
  <c r="I129" i="9"/>
  <c r="M38" i="42"/>
  <c r="X96" i="37"/>
  <c r="Z96" i="37" s="1"/>
  <c r="J36" i="42"/>
  <c r="P19" i="42"/>
  <c r="N42" i="42"/>
  <c r="L16" i="46"/>
  <c r="L16" i="16"/>
  <c r="G18" i="42"/>
  <c r="D18" i="42"/>
  <c r="H18" i="42"/>
  <c r="E18" i="42"/>
  <c r="F18" i="42"/>
  <c r="I18" i="42"/>
  <c r="C18" i="42"/>
  <c r="G41" i="42"/>
  <c r="F41" i="42"/>
  <c r="C41" i="42"/>
  <c r="H41" i="42"/>
  <c r="I41" i="42"/>
  <c r="D41" i="42"/>
  <c r="E41" i="42"/>
  <c r="W8" i="9"/>
  <c r="W16" i="9" s="1"/>
  <c r="X16" i="16" s="1"/>
  <c r="T16" i="9"/>
  <c r="U16" i="16" s="1"/>
  <c r="N6" i="42"/>
  <c r="L17" i="16"/>
  <c r="L17" i="46"/>
  <c r="P38" i="42"/>
  <c r="L38" i="42"/>
  <c r="J20" i="42"/>
  <c r="X82" i="37"/>
  <c r="Z82" i="37" s="1"/>
  <c r="O36" i="42"/>
  <c r="Q19" i="42"/>
  <c r="X102" i="37"/>
  <c r="Z102" i="37" s="1"/>
  <c r="J42" i="42"/>
  <c r="V55" i="9"/>
  <c r="W18" i="16"/>
  <c r="W19" i="16" s="1"/>
  <c r="X101" i="37"/>
  <c r="Z101" i="37" s="1"/>
  <c r="J41" i="42"/>
  <c r="O41" i="42"/>
  <c r="O55" i="9"/>
  <c r="O124" i="9" s="1"/>
  <c r="N32" i="42"/>
  <c r="H21" i="42"/>
  <c r="L77" i="41" s="1"/>
  <c r="E21" i="42"/>
  <c r="I77" i="41" s="1"/>
  <c r="F21" i="42"/>
  <c r="J77" i="41" s="1"/>
  <c r="G21" i="42"/>
  <c r="K77" i="41" s="1"/>
  <c r="C21" i="42"/>
  <c r="D21" i="42"/>
  <c r="H77" i="41" s="1"/>
  <c r="I21" i="42"/>
  <c r="M77" i="41" s="1"/>
  <c r="J8" i="42"/>
  <c r="X72" i="37"/>
  <c r="Z72" i="37" s="1"/>
  <c r="P19" i="16"/>
  <c r="P24" i="16" s="1"/>
  <c r="P26" i="16" s="1"/>
  <c r="H52" i="50"/>
  <c r="F51" i="50"/>
  <c r="AF14" i="50"/>
  <c r="D49" i="50"/>
  <c r="H21" i="34" s="1"/>
  <c r="AD12" i="50"/>
  <c r="D12" i="50" s="1"/>
  <c r="D50" i="50"/>
  <c r="H22" i="34" s="1"/>
  <c r="AD13" i="50"/>
  <c r="D13" i="50" s="1"/>
  <c r="D51" i="50"/>
  <c r="AD14" i="50"/>
  <c r="D48" i="50"/>
  <c r="H20" i="34" s="1"/>
  <c r="AD11" i="50"/>
  <c r="D11" i="50" s="1"/>
  <c r="O92" i="41"/>
  <c r="S117" i="41"/>
  <c r="U186" i="41"/>
  <c r="U117" i="41"/>
  <c r="S23" i="41"/>
  <c r="S91" i="41"/>
  <c r="T186" i="41"/>
  <c r="J92" i="41"/>
  <c r="T47" i="41"/>
  <c r="Q91" i="41"/>
  <c r="Q23" i="41"/>
  <c r="I92" i="41"/>
  <c r="I24" i="41"/>
  <c r="S186" i="41"/>
  <c r="N24" i="41"/>
  <c r="P24" i="41"/>
  <c r="N92" i="41"/>
  <c r="M24" i="41"/>
  <c r="M92" i="41"/>
  <c r="P92" i="41"/>
  <c r="T24" i="41"/>
  <c r="R183" i="41"/>
  <c r="V183" i="41" s="1"/>
  <c r="W183" i="41" s="1"/>
  <c r="R39" i="41"/>
  <c r="G28" i="41"/>
  <c r="G98" i="41"/>
  <c r="G166" i="41"/>
  <c r="M20" i="41"/>
  <c r="M158" i="41"/>
  <c r="M88" i="41"/>
  <c r="E165" i="18"/>
  <c r="D11" i="23"/>
  <c r="R114" i="41" l="1"/>
  <c r="V114" i="41" s="1"/>
  <c r="W114" i="41" s="1"/>
  <c r="L24" i="41"/>
  <c r="Q186" i="41"/>
  <c r="U92" i="41"/>
  <c r="R92" i="41" s="1"/>
  <c r="R24" i="41"/>
  <c r="L92" i="41"/>
  <c r="H162" i="41"/>
  <c r="O161" i="41"/>
  <c r="O23" i="41"/>
  <c r="K91" i="41"/>
  <c r="N109" i="41"/>
  <c r="S169" i="41"/>
  <c r="S101" i="41"/>
  <c r="K23" i="41"/>
  <c r="M23" i="41"/>
  <c r="Q47" i="41"/>
  <c r="M91" i="41"/>
  <c r="L161" i="41"/>
  <c r="R91" i="41"/>
  <c r="U162" i="41"/>
  <c r="J162" i="41"/>
  <c r="T56" i="42"/>
  <c r="U56" i="42" s="1"/>
  <c r="L23" i="41"/>
  <c r="N117" i="41"/>
  <c r="N177" i="41"/>
  <c r="P91" i="41"/>
  <c r="P23" i="41"/>
  <c r="I91" i="41"/>
  <c r="G117" i="41"/>
  <c r="I161" i="41"/>
  <c r="R98" i="42"/>
  <c r="G47" i="41"/>
  <c r="P47" i="41"/>
  <c r="S177" i="41"/>
  <c r="G24" i="41"/>
  <c r="N186" i="41"/>
  <c r="T162" i="41"/>
  <c r="R162" i="41" s="1"/>
  <c r="T169" i="41"/>
  <c r="G162" i="41"/>
  <c r="R47" i="41"/>
  <c r="T58" i="42"/>
  <c r="U58" i="42" s="1"/>
  <c r="J117" i="41"/>
  <c r="Q24" i="41"/>
  <c r="R113" i="42"/>
  <c r="T101" i="41"/>
  <c r="H186" i="41"/>
  <c r="I117" i="41"/>
  <c r="K47" i="41"/>
  <c r="I47" i="41"/>
  <c r="H117" i="41"/>
  <c r="H24" i="41"/>
  <c r="R56" i="42"/>
  <c r="J28" i="41"/>
  <c r="K186" i="41"/>
  <c r="T157" i="42"/>
  <c r="U157" i="42" s="1"/>
  <c r="T160" i="41"/>
  <c r="T90" i="41"/>
  <c r="T113" i="42"/>
  <c r="U113" i="42" s="1"/>
  <c r="G90" i="41"/>
  <c r="G160" i="41"/>
  <c r="S90" i="41"/>
  <c r="U121" i="41"/>
  <c r="N106" i="41"/>
  <c r="J47" i="41"/>
  <c r="N22" i="41"/>
  <c r="U89" i="41"/>
  <c r="P90" i="41"/>
  <c r="S160" i="41"/>
  <c r="N90" i="41"/>
  <c r="P22" i="41"/>
  <c r="L42" i="41"/>
  <c r="M159" i="41"/>
  <c r="L90" i="41"/>
  <c r="M98" i="41"/>
  <c r="M166" i="41"/>
  <c r="L22" i="41"/>
  <c r="I90" i="41"/>
  <c r="J98" i="41"/>
  <c r="I31" i="41"/>
  <c r="K160" i="41"/>
  <c r="J170" i="41"/>
  <c r="O22" i="41"/>
  <c r="I89" i="41"/>
  <c r="H21" i="41"/>
  <c r="O160" i="41"/>
  <c r="Q90" i="41"/>
  <c r="I159" i="41"/>
  <c r="H159" i="41"/>
  <c r="J102" i="41"/>
  <c r="P27" i="41"/>
  <c r="P165" i="41"/>
  <c r="R120" i="41"/>
  <c r="V120" i="41" s="1"/>
  <c r="W120" i="41" s="1"/>
  <c r="U90" i="41"/>
  <c r="Q22" i="41"/>
  <c r="U22" i="41"/>
  <c r="R22" i="41" s="1"/>
  <c r="J160" i="41"/>
  <c r="J90" i="41"/>
  <c r="H160" i="41"/>
  <c r="H90" i="41"/>
  <c r="T55" i="42"/>
  <c r="U55" i="42" s="1"/>
  <c r="M90" i="41"/>
  <c r="P36" i="41"/>
  <c r="J88" i="41"/>
  <c r="T28" i="41"/>
  <c r="M160" i="41"/>
  <c r="R55" i="42"/>
  <c r="T89" i="41"/>
  <c r="T159" i="41"/>
  <c r="K90" i="41"/>
  <c r="J182" i="41"/>
  <c r="S182" i="41"/>
  <c r="K158" i="41"/>
  <c r="L164" i="41"/>
  <c r="T121" i="42"/>
  <c r="U121" i="42" s="1"/>
  <c r="H98" i="41"/>
  <c r="K112" i="41"/>
  <c r="M164" i="41"/>
  <c r="Z189" i="37"/>
  <c r="Z192" i="37" s="1"/>
  <c r="N170" i="41"/>
  <c r="S113" i="41"/>
  <c r="P89" i="41"/>
  <c r="P21" i="41"/>
  <c r="U159" i="41"/>
  <c r="L170" i="41"/>
  <c r="R121" i="42"/>
  <c r="N174" i="41"/>
  <c r="R58" i="42"/>
  <c r="L102" i="41"/>
  <c r="Q162" i="41"/>
  <c r="U51" i="41"/>
  <c r="T170" i="41"/>
  <c r="N99" i="41"/>
  <c r="I42" i="41"/>
  <c r="N112" i="41"/>
  <c r="T102" i="41"/>
  <c r="M26" i="41"/>
  <c r="N181" i="41"/>
  <c r="I112" i="41"/>
  <c r="G158" i="41"/>
  <c r="N102" i="41"/>
  <c r="J43" i="41"/>
  <c r="G21" i="41"/>
  <c r="P40" i="41"/>
  <c r="H34" i="41"/>
  <c r="N159" i="41"/>
  <c r="N89" i="41"/>
  <c r="M90" i="42"/>
  <c r="Q172" i="41" s="1"/>
  <c r="G89" i="41"/>
  <c r="J20" i="41"/>
  <c r="K95" i="41"/>
  <c r="K26" i="41"/>
  <c r="N20" i="41"/>
  <c r="T158" i="41"/>
  <c r="R158" i="41" s="1"/>
  <c r="S89" i="41"/>
  <c r="K21" i="41"/>
  <c r="L181" i="41"/>
  <c r="N158" i="41"/>
  <c r="S21" i="41"/>
  <c r="R21" i="41" s="1"/>
  <c r="H104" i="41"/>
  <c r="L159" i="41"/>
  <c r="O20" i="41"/>
  <c r="Q178" i="41"/>
  <c r="Q40" i="41"/>
  <c r="M89" i="41"/>
  <c r="N167" i="41"/>
  <c r="K88" i="41"/>
  <c r="K159" i="41"/>
  <c r="H102" i="41"/>
  <c r="G20" i="41"/>
  <c r="Q21" i="41"/>
  <c r="Q159" i="41"/>
  <c r="J42" i="41"/>
  <c r="T54" i="42"/>
  <c r="U54" i="42" s="1"/>
  <c r="J181" i="41"/>
  <c r="P28" i="41"/>
  <c r="Q170" i="41"/>
  <c r="L89" i="41"/>
  <c r="R100" i="41"/>
  <c r="V100" i="41" s="1"/>
  <c r="W100" i="41" s="1"/>
  <c r="O98" i="41"/>
  <c r="O166" i="41"/>
  <c r="L40" i="41"/>
  <c r="Q95" i="41"/>
  <c r="L166" i="41"/>
  <c r="Q166" i="41"/>
  <c r="I166" i="41"/>
  <c r="Q98" i="41"/>
  <c r="H166" i="41"/>
  <c r="I28" i="41"/>
  <c r="K181" i="41"/>
  <c r="L28" i="41"/>
  <c r="H112" i="41"/>
  <c r="T102" i="42"/>
  <c r="U102" i="42" s="1"/>
  <c r="T98" i="41"/>
  <c r="C90" i="42"/>
  <c r="G172" i="41" s="1"/>
  <c r="P169" i="41"/>
  <c r="T42" i="41"/>
  <c r="L110" i="41"/>
  <c r="P178" i="41"/>
  <c r="P190" i="41"/>
  <c r="P31" i="41"/>
  <c r="I20" i="41"/>
  <c r="G42" i="41"/>
  <c r="O108" i="41"/>
  <c r="R95" i="42"/>
  <c r="R157" i="42"/>
  <c r="I102" i="41"/>
  <c r="I170" i="41"/>
  <c r="S164" i="41"/>
  <c r="T20" i="41"/>
  <c r="I90" i="42"/>
  <c r="M104" i="41" s="1"/>
  <c r="R189" i="41"/>
  <c r="V189" i="41" s="1"/>
  <c r="W189" i="41" s="1"/>
  <c r="T95" i="42"/>
  <c r="U95" i="42" s="1"/>
  <c r="G90" i="42"/>
  <c r="K104" i="41" s="1"/>
  <c r="S26" i="41"/>
  <c r="R109" i="41"/>
  <c r="V109" i="41" s="1"/>
  <c r="W109" i="41" s="1"/>
  <c r="N190" i="41"/>
  <c r="E90" i="42"/>
  <c r="I172" i="41" s="1"/>
  <c r="L90" i="42"/>
  <c r="P172" i="41" s="1"/>
  <c r="P90" i="42"/>
  <c r="T172" i="41" s="1"/>
  <c r="H90" i="42"/>
  <c r="L172" i="41" s="1"/>
  <c r="R30" i="41"/>
  <c r="V30" i="41" s="1"/>
  <c r="W30" i="41" s="1"/>
  <c r="Q90" i="42"/>
  <c r="U34" i="41" s="1"/>
  <c r="K90" i="42"/>
  <c r="O172" i="41" s="1"/>
  <c r="N90" i="42"/>
  <c r="T113" i="41"/>
  <c r="F90" i="42"/>
  <c r="J172" i="41" s="1"/>
  <c r="N121" i="41"/>
  <c r="T87" i="42"/>
  <c r="U87" i="42" s="1"/>
  <c r="G26" i="41"/>
  <c r="P98" i="41"/>
  <c r="K98" i="41"/>
  <c r="G102" i="41"/>
  <c r="Q112" i="41"/>
  <c r="H190" i="41"/>
  <c r="H121" i="41"/>
  <c r="H51" i="41"/>
  <c r="K28" i="41"/>
  <c r="T81" i="42"/>
  <c r="U81" i="42" s="1"/>
  <c r="H170" i="41"/>
  <c r="G95" i="41"/>
  <c r="Q181" i="41"/>
  <c r="U166" i="41"/>
  <c r="Q32" i="41"/>
  <c r="G170" i="41"/>
  <c r="P51" i="41"/>
  <c r="U28" i="41"/>
  <c r="J90" i="42"/>
  <c r="N172" i="41" s="1"/>
  <c r="O90" i="42"/>
  <c r="S104" i="41" s="1"/>
  <c r="R186" i="37"/>
  <c r="X151" i="37"/>
  <c r="Z151" i="37" s="1"/>
  <c r="Z186" i="37" s="1"/>
  <c r="S20" i="41"/>
  <c r="S32" i="41"/>
  <c r="R32" i="41" s="1"/>
  <c r="W186" i="37"/>
  <c r="Q20" i="41"/>
  <c r="S88" i="41"/>
  <c r="S102" i="41"/>
  <c r="O164" i="41"/>
  <c r="Q88" i="41"/>
  <c r="N95" i="41"/>
  <c r="N166" i="41"/>
  <c r="P158" i="41"/>
  <c r="N98" i="41"/>
  <c r="P20" i="41"/>
  <c r="H42" i="41"/>
  <c r="O26" i="41"/>
  <c r="R50" i="41"/>
  <c r="V50" i="41" s="1"/>
  <c r="W50" i="41" s="1"/>
  <c r="O158" i="41"/>
  <c r="O112" i="41"/>
  <c r="M32" i="41"/>
  <c r="I40" i="41"/>
  <c r="O89" i="41"/>
  <c r="M169" i="41"/>
  <c r="N164" i="41"/>
  <c r="O181" i="41"/>
  <c r="M181" i="41"/>
  <c r="M112" i="41"/>
  <c r="M42" i="41"/>
  <c r="Q113" i="41"/>
  <c r="K43" i="41"/>
  <c r="R102" i="42"/>
  <c r="P105" i="41"/>
  <c r="U42" i="41"/>
  <c r="R54" i="42"/>
  <c r="H20" i="41"/>
  <c r="T110" i="41"/>
  <c r="J169" i="41"/>
  <c r="O159" i="41"/>
  <c r="U112" i="41"/>
  <c r="R112" i="41" s="1"/>
  <c r="T178" i="41"/>
  <c r="R178" i="41" s="1"/>
  <c r="K182" i="41"/>
  <c r="H88" i="41"/>
  <c r="N178" i="41"/>
  <c r="L26" i="41"/>
  <c r="M110" i="41"/>
  <c r="M102" i="41"/>
  <c r="G112" i="41"/>
  <c r="T181" i="41"/>
  <c r="R181" i="41" s="1"/>
  <c r="R121" i="9"/>
  <c r="U26" i="41"/>
  <c r="L88" i="41"/>
  <c r="G169" i="41"/>
  <c r="U95" i="41"/>
  <c r="R95" i="41" s="1"/>
  <c r="L43" i="41"/>
  <c r="J178" i="41"/>
  <c r="O102" i="41"/>
  <c r="L182" i="41"/>
  <c r="T182" i="41"/>
  <c r="P108" i="41"/>
  <c r="H26" i="41"/>
  <c r="T26" i="41"/>
  <c r="S51" i="41"/>
  <c r="L158" i="41"/>
  <c r="H43" i="41"/>
  <c r="I101" i="41"/>
  <c r="K178" i="41"/>
  <c r="T68" i="42"/>
  <c r="U68" i="42" s="1"/>
  <c r="Q26" i="41"/>
  <c r="I26" i="41"/>
  <c r="S121" i="41"/>
  <c r="G110" i="41"/>
  <c r="H178" i="41"/>
  <c r="N31" i="41"/>
  <c r="G101" i="41"/>
  <c r="P164" i="41"/>
  <c r="Q124" i="9"/>
  <c r="P102" i="41"/>
  <c r="P170" i="41"/>
  <c r="N40" i="41"/>
  <c r="R190" i="41"/>
  <c r="G40" i="41"/>
  <c r="P95" i="41"/>
  <c r="H110" i="41"/>
  <c r="O170" i="41"/>
  <c r="U43" i="41"/>
  <c r="R43" i="41" s="1"/>
  <c r="R122" i="42"/>
  <c r="T164" i="41"/>
  <c r="H182" i="41"/>
  <c r="K40" i="41"/>
  <c r="U182" i="41"/>
  <c r="R68" i="42"/>
  <c r="H164" i="41"/>
  <c r="I164" i="41"/>
  <c r="P38" i="41"/>
  <c r="R81" i="42"/>
  <c r="H169" i="41"/>
  <c r="N113" i="41"/>
  <c r="S105" i="41"/>
  <c r="U176" i="41"/>
  <c r="T51" i="41"/>
  <c r="O43" i="41"/>
  <c r="U108" i="41"/>
  <c r="T121" i="41"/>
  <c r="S98" i="41"/>
  <c r="N43" i="41"/>
  <c r="S35" i="41"/>
  <c r="T53" i="42"/>
  <c r="U53" i="42" s="1"/>
  <c r="S166" i="41"/>
  <c r="U88" i="41"/>
  <c r="U110" i="41"/>
  <c r="O182" i="41"/>
  <c r="H101" i="41"/>
  <c r="R53" i="42"/>
  <c r="I88" i="41"/>
  <c r="U20" i="41"/>
  <c r="U40" i="41"/>
  <c r="K101" i="41"/>
  <c r="M43" i="41"/>
  <c r="T105" i="42"/>
  <c r="U105" i="42" s="1"/>
  <c r="K169" i="41"/>
  <c r="G43" i="41"/>
  <c r="M113" i="41"/>
  <c r="O190" i="41"/>
  <c r="O121" i="41"/>
  <c r="O51" i="41"/>
  <c r="G182" i="41"/>
  <c r="Q121" i="41"/>
  <c r="Q190" i="41"/>
  <c r="Q51" i="41"/>
  <c r="M51" i="41"/>
  <c r="M121" i="41"/>
  <c r="M190" i="41"/>
  <c r="J31" i="41"/>
  <c r="L190" i="41"/>
  <c r="L51" i="41"/>
  <c r="L121" i="41"/>
  <c r="N101" i="41"/>
  <c r="M40" i="41"/>
  <c r="I51" i="41"/>
  <c r="I121" i="41"/>
  <c r="I190" i="41"/>
  <c r="I178" i="41"/>
  <c r="K51" i="41"/>
  <c r="K190" i="41"/>
  <c r="K121" i="41"/>
  <c r="L169" i="41"/>
  <c r="R105" i="42"/>
  <c r="Q182" i="41"/>
  <c r="G121" i="41"/>
  <c r="G51" i="41"/>
  <c r="T122" i="42"/>
  <c r="U122" i="42" s="1"/>
  <c r="G190" i="41"/>
  <c r="L31" i="41"/>
  <c r="S108" i="41"/>
  <c r="O94" i="41"/>
  <c r="O25" i="41"/>
  <c r="O163" i="41"/>
  <c r="P113" i="41"/>
  <c r="P182" i="41"/>
  <c r="S176" i="41"/>
  <c r="U170" i="41"/>
  <c r="S40" i="41"/>
  <c r="U35" i="41"/>
  <c r="R87" i="42"/>
  <c r="R92" i="42"/>
  <c r="M101" i="41"/>
  <c r="O176" i="41"/>
  <c r="T99" i="42"/>
  <c r="U99" i="42" s="1"/>
  <c r="U102" i="41"/>
  <c r="P35" i="41"/>
  <c r="Z139" i="37"/>
  <c r="S110" i="41"/>
  <c r="O110" i="41"/>
  <c r="T85" i="42"/>
  <c r="U85" i="42" s="1"/>
  <c r="U173" i="41"/>
  <c r="J40" i="41"/>
  <c r="H38" i="41"/>
  <c r="X139" i="37"/>
  <c r="O40" i="41"/>
  <c r="R99" i="42"/>
  <c r="J108" i="41"/>
  <c r="J176" i="41"/>
  <c r="J38" i="41"/>
  <c r="P163" i="41"/>
  <c r="P25" i="41"/>
  <c r="P94" i="41"/>
  <c r="I176" i="41"/>
  <c r="I38" i="41"/>
  <c r="I108" i="41"/>
  <c r="Q176" i="41"/>
  <c r="Q108" i="41"/>
  <c r="Q38" i="41"/>
  <c r="Q163" i="41"/>
  <c r="Q25" i="41"/>
  <c r="Q94" i="41"/>
  <c r="K108" i="41"/>
  <c r="K38" i="41"/>
  <c r="K176" i="41"/>
  <c r="R97" i="42"/>
  <c r="S99" i="41"/>
  <c r="S29" i="41"/>
  <c r="T97" i="42"/>
  <c r="U97" i="42" s="1"/>
  <c r="L108" i="41"/>
  <c r="L176" i="41"/>
  <c r="L38" i="41"/>
  <c r="V168" i="41"/>
  <c r="W168" i="41" s="1"/>
  <c r="N108" i="41"/>
  <c r="N176" i="41"/>
  <c r="N38" i="41"/>
  <c r="R177" i="41"/>
  <c r="V177" i="41" s="1"/>
  <c r="W177" i="41" s="1"/>
  <c r="M108" i="41"/>
  <c r="M38" i="41"/>
  <c r="M176" i="41"/>
  <c r="T108" i="41"/>
  <c r="T38" i="41"/>
  <c r="R38" i="41" s="1"/>
  <c r="T176" i="41"/>
  <c r="T89" i="42"/>
  <c r="U89" i="42" s="1"/>
  <c r="U25" i="41"/>
  <c r="U94" i="41"/>
  <c r="U163" i="41"/>
  <c r="S152" i="22"/>
  <c r="T174" i="41"/>
  <c r="T106" i="41"/>
  <c r="T36" i="41"/>
  <c r="R161" i="41"/>
  <c r="O36" i="41"/>
  <c r="R89" i="42"/>
  <c r="T35" i="41"/>
  <c r="T173" i="41"/>
  <c r="T105" i="41"/>
  <c r="O101" i="41"/>
  <c r="P29" i="41"/>
  <c r="N35" i="41"/>
  <c r="N105" i="41"/>
  <c r="N173" i="41"/>
  <c r="O31" i="41"/>
  <c r="P167" i="41"/>
  <c r="O106" i="41"/>
  <c r="T94" i="41"/>
  <c r="T25" i="41"/>
  <c r="T163" i="41"/>
  <c r="R67" i="42"/>
  <c r="G94" i="41"/>
  <c r="G163" i="41"/>
  <c r="T67" i="42"/>
  <c r="U67" i="42" s="1"/>
  <c r="G25" i="41"/>
  <c r="L173" i="41"/>
  <c r="L35" i="41"/>
  <c r="L105" i="41"/>
  <c r="I94" i="41"/>
  <c r="I163" i="41"/>
  <c r="I25" i="41"/>
  <c r="Q35" i="41"/>
  <c r="Q105" i="41"/>
  <c r="Q173" i="41"/>
  <c r="K163" i="41"/>
  <c r="K25" i="41"/>
  <c r="K94" i="41"/>
  <c r="G105" i="41"/>
  <c r="G173" i="41"/>
  <c r="G35" i="41"/>
  <c r="T92" i="42"/>
  <c r="U92" i="42" s="1"/>
  <c r="O173" i="41"/>
  <c r="O35" i="41"/>
  <c r="O105" i="41"/>
  <c r="M94" i="41"/>
  <c r="M25" i="41"/>
  <c r="M163" i="41"/>
  <c r="M105" i="41"/>
  <c r="M173" i="41"/>
  <c r="M35" i="41"/>
  <c r="S25" i="41"/>
  <c r="S94" i="41"/>
  <c r="S163" i="41"/>
  <c r="J173" i="41"/>
  <c r="J105" i="41"/>
  <c r="J35" i="41"/>
  <c r="L163" i="41"/>
  <c r="L94" i="41"/>
  <c r="L25" i="41"/>
  <c r="H105" i="41"/>
  <c r="H35" i="41"/>
  <c r="H173" i="41"/>
  <c r="H25" i="41"/>
  <c r="H94" i="41"/>
  <c r="H163" i="41"/>
  <c r="K105" i="41"/>
  <c r="K35" i="41"/>
  <c r="K173" i="41"/>
  <c r="N163" i="41"/>
  <c r="N25" i="41"/>
  <c r="N94" i="41"/>
  <c r="J94" i="41"/>
  <c r="J25" i="41"/>
  <c r="J163" i="41"/>
  <c r="I35" i="41"/>
  <c r="I105" i="41"/>
  <c r="I173" i="41"/>
  <c r="Q33" i="41"/>
  <c r="Q103" i="41"/>
  <c r="Q171" i="41"/>
  <c r="U29" i="41"/>
  <c r="U167" i="41"/>
  <c r="U99" i="41"/>
  <c r="U103" i="41"/>
  <c r="U33" i="41"/>
  <c r="U171" i="41"/>
  <c r="T33" i="41"/>
  <c r="T171" i="41"/>
  <c r="T103" i="41"/>
  <c r="N171" i="41"/>
  <c r="N33" i="41"/>
  <c r="N103" i="41"/>
  <c r="I33" i="41"/>
  <c r="I171" i="41"/>
  <c r="I103" i="41"/>
  <c r="L103" i="41"/>
  <c r="L171" i="41"/>
  <c r="L33" i="41"/>
  <c r="S33" i="41"/>
  <c r="S103" i="41"/>
  <c r="S171" i="41"/>
  <c r="O171" i="41"/>
  <c r="O103" i="41"/>
  <c r="O33" i="41"/>
  <c r="H33" i="41"/>
  <c r="H171" i="41"/>
  <c r="H103" i="41"/>
  <c r="R88" i="42"/>
  <c r="T88" i="42"/>
  <c r="U88" i="42" s="1"/>
  <c r="G171" i="41"/>
  <c r="G33" i="41"/>
  <c r="G103" i="41"/>
  <c r="P103" i="41"/>
  <c r="P33" i="41"/>
  <c r="P171" i="41"/>
  <c r="J103" i="41"/>
  <c r="J33" i="41"/>
  <c r="J171" i="41"/>
  <c r="S111" i="41"/>
  <c r="K171" i="41"/>
  <c r="K33" i="41"/>
  <c r="K103" i="41"/>
  <c r="M171" i="41"/>
  <c r="M33" i="41"/>
  <c r="M103" i="41"/>
  <c r="X110" i="37"/>
  <c r="Z110" i="37" s="1"/>
  <c r="P174" i="41"/>
  <c r="J99" i="41"/>
  <c r="J29" i="41"/>
  <c r="J167" i="41"/>
  <c r="L167" i="41"/>
  <c r="L29" i="41"/>
  <c r="L99" i="41"/>
  <c r="O29" i="41"/>
  <c r="O167" i="41"/>
  <c r="O99" i="41"/>
  <c r="U101" i="41"/>
  <c r="S96" i="41"/>
  <c r="I29" i="41"/>
  <c r="I167" i="41"/>
  <c r="I99" i="41"/>
  <c r="K29" i="41"/>
  <c r="K99" i="41"/>
  <c r="K167" i="41"/>
  <c r="H99" i="41"/>
  <c r="H29" i="41"/>
  <c r="H167" i="41"/>
  <c r="R85" i="42"/>
  <c r="S27" i="41"/>
  <c r="G167" i="41"/>
  <c r="T82" i="42"/>
  <c r="U82" i="42" s="1"/>
  <c r="G29" i="41"/>
  <c r="G99" i="41"/>
  <c r="Q99" i="41"/>
  <c r="Q29" i="41"/>
  <c r="Q167" i="41"/>
  <c r="U36" i="41"/>
  <c r="U174" i="41"/>
  <c r="U106" i="41"/>
  <c r="U31" i="41"/>
  <c r="R31" i="41" s="1"/>
  <c r="T99" i="41"/>
  <c r="T167" i="41"/>
  <c r="T29" i="41"/>
  <c r="M99" i="41"/>
  <c r="M29" i="41"/>
  <c r="M167" i="41"/>
  <c r="S41" i="41"/>
  <c r="T41" i="41"/>
  <c r="R82" i="42"/>
  <c r="S106" i="41"/>
  <c r="S36" i="41"/>
  <c r="S174" i="41"/>
  <c r="T180" i="41"/>
  <c r="L36" i="41"/>
  <c r="L174" i="41"/>
  <c r="L106" i="41"/>
  <c r="K106" i="41"/>
  <c r="K174" i="41"/>
  <c r="K36" i="41"/>
  <c r="M174" i="41"/>
  <c r="M36" i="41"/>
  <c r="M106" i="41"/>
  <c r="H36" i="41"/>
  <c r="H174" i="41"/>
  <c r="H106" i="41"/>
  <c r="Q106" i="41"/>
  <c r="Q36" i="41"/>
  <c r="Q174" i="41"/>
  <c r="I106" i="41"/>
  <c r="I36" i="41"/>
  <c r="I174" i="41"/>
  <c r="R93" i="42"/>
  <c r="G106" i="41"/>
  <c r="G36" i="41"/>
  <c r="G174" i="41"/>
  <c r="T93" i="42"/>
  <c r="U93" i="42" s="1"/>
  <c r="T104" i="42"/>
  <c r="U104" i="42" s="1"/>
  <c r="J174" i="41"/>
  <c r="J36" i="41"/>
  <c r="J106" i="41"/>
  <c r="R104" i="42"/>
  <c r="O165" i="41"/>
  <c r="O27" i="41"/>
  <c r="O96" i="41"/>
  <c r="U165" i="41"/>
  <c r="U96" i="41"/>
  <c r="U27" i="41"/>
  <c r="N27" i="41"/>
  <c r="N96" i="41"/>
  <c r="N165" i="41"/>
  <c r="M96" i="41"/>
  <c r="M165" i="41"/>
  <c r="M27" i="41"/>
  <c r="T165" i="41"/>
  <c r="T96" i="41"/>
  <c r="T27" i="41"/>
  <c r="T91" i="42"/>
  <c r="U91" i="42" s="1"/>
  <c r="R91" i="42"/>
  <c r="P41" i="41"/>
  <c r="P111" i="41"/>
  <c r="P180" i="41"/>
  <c r="Q165" i="41"/>
  <c r="Q96" i="41"/>
  <c r="Q27" i="41"/>
  <c r="H27" i="41"/>
  <c r="H165" i="41"/>
  <c r="H96" i="41"/>
  <c r="U111" i="41"/>
  <c r="U180" i="41"/>
  <c r="U41" i="41"/>
  <c r="K96" i="41"/>
  <c r="K27" i="41"/>
  <c r="K165" i="41"/>
  <c r="O111" i="41"/>
  <c r="O41" i="41"/>
  <c r="O180" i="41"/>
  <c r="Q111" i="41"/>
  <c r="Q41" i="41"/>
  <c r="G27" i="41"/>
  <c r="T69" i="42"/>
  <c r="U69" i="42" s="1"/>
  <c r="G165" i="41"/>
  <c r="G96" i="41"/>
  <c r="R69" i="42"/>
  <c r="I96" i="41"/>
  <c r="I165" i="41"/>
  <c r="I27" i="41"/>
  <c r="J96" i="41"/>
  <c r="J165" i="41"/>
  <c r="J27" i="41"/>
  <c r="L96" i="41"/>
  <c r="L27" i="41"/>
  <c r="L165" i="41"/>
  <c r="V39" i="41"/>
  <c r="W39" i="41" s="1"/>
  <c r="U188" i="41"/>
  <c r="U119" i="41"/>
  <c r="U49" i="41"/>
  <c r="X111" i="37"/>
  <c r="Z111" i="37" s="1"/>
  <c r="O49" i="41"/>
  <c r="O188" i="41"/>
  <c r="O119" i="41"/>
  <c r="X109" i="37"/>
  <c r="Z109" i="37" s="1"/>
  <c r="X108" i="37"/>
  <c r="Z108" i="37" s="1"/>
  <c r="G111" i="41"/>
  <c r="G41" i="41"/>
  <c r="T101" i="42"/>
  <c r="U101" i="42" s="1"/>
  <c r="G180" i="41"/>
  <c r="R101" i="42"/>
  <c r="M180" i="41"/>
  <c r="M41" i="41"/>
  <c r="M111" i="41"/>
  <c r="L111" i="41"/>
  <c r="L180" i="41"/>
  <c r="L41" i="41"/>
  <c r="K41" i="41"/>
  <c r="K111" i="41"/>
  <c r="K180" i="41"/>
  <c r="W21" i="16"/>
  <c r="W24" i="16" s="1"/>
  <c r="W26" i="16" s="1"/>
  <c r="W110" i="9"/>
  <c r="V121" i="9"/>
  <c r="V124" i="9" s="1"/>
  <c r="H180" i="41"/>
  <c r="H111" i="41"/>
  <c r="H41" i="41"/>
  <c r="J41" i="41"/>
  <c r="J180" i="41"/>
  <c r="J111" i="41"/>
  <c r="T106" i="42"/>
  <c r="U106" i="42" s="1"/>
  <c r="R106" i="42"/>
  <c r="N111" i="41"/>
  <c r="N41" i="41"/>
  <c r="N180" i="41"/>
  <c r="I41" i="41"/>
  <c r="I111" i="41"/>
  <c r="I180" i="41"/>
  <c r="T119" i="41"/>
  <c r="T49" i="41"/>
  <c r="T188" i="41"/>
  <c r="Q188" i="41"/>
  <c r="Q119" i="41"/>
  <c r="Q49" i="41"/>
  <c r="L49" i="41"/>
  <c r="L119" i="41"/>
  <c r="L188" i="41"/>
  <c r="R66" i="42"/>
  <c r="T66" i="42"/>
  <c r="U66" i="42" s="1"/>
  <c r="M49" i="41"/>
  <c r="M119" i="41"/>
  <c r="M188" i="41"/>
  <c r="N119" i="41"/>
  <c r="N49" i="41"/>
  <c r="N188" i="41"/>
  <c r="I188" i="41"/>
  <c r="I49" i="41"/>
  <c r="I119" i="41"/>
  <c r="R103" i="42"/>
  <c r="T103" i="42"/>
  <c r="U103" i="42" s="1"/>
  <c r="J188" i="41"/>
  <c r="J119" i="41"/>
  <c r="J49" i="41"/>
  <c r="K188" i="41"/>
  <c r="K49" i="41"/>
  <c r="K119" i="41"/>
  <c r="T116" i="42"/>
  <c r="U116" i="42" s="1"/>
  <c r="G49" i="41"/>
  <c r="R116" i="42"/>
  <c r="G119" i="41"/>
  <c r="G188" i="41"/>
  <c r="S188" i="41"/>
  <c r="S49" i="41"/>
  <c r="S119" i="41"/>
  <c r="P119" i="41"/>
  <c r="P49" i="41"/>
  <c r="P188" i="41"/>
  <c r="H119" i="41"/>
  <c r="H49" i="41"/>
  <c r="H188" i="41"/>
  <c r="T118" i="41"/>
  <c r="T187" i="41"/>
  <c r="T48" i="41"/>
  <c r="U118" i="41"/>
  <c r="U187" i="41"/>
  <c r="U48" i="41"/>
  <c r="S187" i="41"/>
  <c r="S118" i="41"/>
  <c r="S48" i="41"/>
  <c r="P118" i="41"/>
  <c r="P187" i="41"/>
  <c r="P48" i="41"/>
  <c r="P19" i="41"/>
  <c r="Q48" i="41"/>
  <c r="Q187" i="41"/>
  <c r="Q118" i="41"/>
  <c r="O187" i="41"/>
  <c r="O118" i="41"/>
  <c r="O48" i="41"/>
  <c r="M48" i="41"/>
  <c r="M118" i="41"/>
  <c r="M187" i="41"/>
  <c r="J118" i="41"/>
  <c r="J48" i="41"/>
  <c r="J187" i="41"/>
  <c r="I118" i="41"/>
  <c r="I48" i="41"/>
  <c r="I187" i="41"/>
  <c r="H48" i="41"/>
  <c r="H118" i="41"/>
  <c r="H187" i="41"/>
  <c r="T114" i="42"/>
  <c r="U114" i="42" s="1"/>
  <c r="G187" i="41"/>
  <c r="R114" i="42"/>
  <c r="G118" i="41"/>
  <c r="G48" i="41"/>
  <c r="L187" i="41"/>
  <c r="L118" i="41"/>
  <c r="L48" i="41"/>
  <c r="N187" i="41"/>
  <c r="N118" i="41"/>
  <c r="N48" i="41"/>
  <c r="K118" i="41"/>
  <c r="K187" i="41"/>
  <c r="K48" i="41"/>
  <c r="U150" i="41"/>
  <c r="P87" i="41"/>
  <c r="T71" i="41"/>
  <c r="U80" i="41"/>
  <c r="T4" i="41"/>
  <c r="Q12" i="41"/>
  <c r="K20" i="16"/>
  <c r="P143" i="41"/>
  <c r="T76" i="41"/>
  <c r="Q150" i="41"/>
  <c r="U7" i="41"/>
  <c r="U145" i="41"/>
  <c r="S84" i="41"/>
  <c r="P5" i="41"/>
  <c r="T147" i="41"/>
  <c r="T85" i="41"/>
  <c r="R23" i="41"/>
  <c r="V23" i="41" s="1"/>
  <c r="W23" i="41" s="1"/>
  <c r="Q76" i="41"/>
  <c r="P16" i="41"/>
  <c r="Q147" i="41"/>
  <c r="T72" i="41"/>
  <c r="P154" i="41"/>
  <c r="T143" i="41"/>
  <c r="T16" i="41"/>
  <c r="R16" i="41" s="1"/>
  <c r="P156" i="41"/>
  <c r="Q17" i="41"/>
  <c r="S142" i="41"/>
  <c r="P71" i="41"/>
  <c r="O5" i="41"/>
  <c r="Q4" i="41"/>
  <c r="S71" i="41"/>
  <c r="T17" i="41"/>
  <c r="T154" i="41"/>
  <c r="Q85" i="41"/>
  <c r="U76" i="41"/>
  <c r="P18" i="41"/>
  <c r="U154" i="41"/>
  <c r="U147" i="41"/>
  <c r="U84" i="41"/>
  <c r="P142" i="41"/>
  <c r="O84" i="41"/>
  <c r="Q142" i="41"/>
  <c r="S157" i="41"/>
  <c r="O12" i="41"/>
  <c r="T157" i="41"/>
  <c r="S87" i="41"/>
  <c r="R87" i="41" s="1"/>
  <c r="T19" i="41"/>
  <c r="O72" i="41"/>
  <c r="S145" i="41"/>
  <c r="S7" i="41"/>
  <c r="O157" i="41"/>
  <c r="Q143" i="41"/>
  <c r="O87" i="41"/>
  <c r="Q5" i="41"/>
  <c r="S147" i="41"/>
  <c r="P147" i="41"/>
  <c r="P76" i="41"/>
  <c r="S12" i="41"/>
  <c r="S150" i="41"/>
  <c r="R77" i="41"/>
  <c r="K17" i="16"/>
  <c r="K18" i="16"/>
  <c r="K16" i="16"/>
  <c r="K21" i="16"/>
  <c r="S154" i="41"/>
  <c r="O154" i="41"/>
  <c r="U72" i="41"/>
  <c r="S76" i="41"/>
  <c r="J26" i="16"/>
  <c r="J27" i="16" s="1"/>
  <c r="Q84" i="41"/>
  <c r="O86" i="41"/>
  <c r="U19" i="41"/>
  <c r="Q157" i="41"/>
  <c r="U5" i="41"/>
  <c r="U157" i="41"/>
  <c r="S83" i="41"/>
  <c r="O9" i="41"/>
  <c r="S15" i="41"/>
  <c r="O76" i="41"/>
  <c r="O150" i="41"/>
  <c r="S5" i="41"/>
  <c r="Q154" i="41"/>
  <c r="S143" i="41"/>
  <c r="U86" i="41"/>
  <c r="U4" i="41"/>
  <c r="U142" i="41"/>
  <c r="U18" i="41"/>
  <c r="P145" i="41"/>
  <c r="P7" i="41"/>
  <c r="R9" i="41"/>
  <c r="Q156" i="41"/>
  <c r="Q86" i="41"/>
  <c r="T7" i="41"/>
  <c r="Q19" i="41"/>
  <c r="T145" i="41"/>
  <c r="O18" i="41"/>
  <c r="R74" i="41"/>
  <c r="S17" i="41"/>
  <c r="S155" i="41"/>
  <c r="S85" i="41"/>
  <c r="U8" i="41"/>
  <c r="U146" i="41"/>
  <c r="U75" i="41"/>
  <c r="T15" i="41"/>
  <c r="T83" i="41"/>
  <c r="T153" i="41"/>
  <c r="M17" i="41"/>
  <c r="M85" i="41"/>
  <c r="M155" i="41"/>
  <c r="I7" i="41"/>
  <c r="I145" i="41"/>
  <c r="I74" i="41"/>
  <c r="F17" i="42"/>
  <c r="C17" i="42"/>
  <c r="D17" i="42"/>
  <c r="I17" i="42"/>
  <c r="G17" i="42"/>
  <c r="H17" i="42"/>
  <c r="E17" i="42"/>
  <c r="K4" i="42"/>
  <c r="Q76" i="37"/>
  <c r="O146" i="41"/>
  <c r="O8" i="41"/>
  <c r="O75" i="41"/>
  <c r="L16" i="41"/>
  <c r="L84" i="41"/>
  <c r="L154" i="41"/>
  <c r="J156" i="41"/>
  <c r="J18" i="41"/>
  <c r="J86" i="41"/>
  <c r="M153" i="41"/>
  <c r="M83" i="41"/>
  <c r="M15" i="41"/>
  <c r="M146" i="41"/>
  <c r="M75" i="41"/>
  <c r="M8" i="41"/>
  <c r="T36" i="42"/>
  <c r="U36" i="42" s="1"/>
  <c r="G14" i="41"/>
  <c r="G152" i="41"/>
  <c r="R36" i="42"/>
  <c r="G82" i="41"/>
  <c r="I150" i="41"/>
  <c r="I12" i="41"/>
  <c r="I80" i="41"/>
  <c r="I142" i="41"/>
  <c r="I4" i="41"/>
  <c r="I71" i="41"/>
  <c r="L143" i="41"/>
  <c r="L72" i="41"/>
  <c r="L5" i="41"/>
  <c r="L157" i="41"/>
  <c r="L87" i="41"/>
  <c r="L19" i="41"/>
  <c r="G147" i="41"/>
  <c r="T20" i="42"/>
  <c r="U20" i="42" s="1"/>
  <c r="G76" i="41"/>
  <c r="R20" i="42"/>
  <c r="G9" i="41"/>
  <c r="L17" i="41"/>
  <c r="L155" i="41"/>
  <c r="L85" i="41"/>
  <c r="L145" i="41"/>
  <c r="L7" i="41"/>
  <c r="L74" i="41"/>
  <c r="T146" i="41"/>
  <c r="T8" i="41"/>
  <c r="T75" i="41"/>
  <c r="S86" i="37"/>
  <c r="M17" i="42"/>
  <c r="V86" i="37"/>
  <c r="P17" i="42"/>
  <c r="J4" i="42"/>
  <c r="X68" i="37"/>
  <c r="P76" i="37"/>
  <c r="M16" i="41"/>
  <c r="M84" i="41"/>
  <c r="M154" i="41"/>
  <c r="F24" i="16"/>
  <c r="G19" i="16" s="1"/>
  <c r="N142" i="41"/>
  <c r="N4" i="41"/>
  <c r="N71" i="41"/>
  <c r="J24" i="46"/>
  <c r="K19" i="46" s="1"/>
  <c r="G146" i="41"/>
  <c r="G8" i="41"/>
  <c r="R19" i="42"/>
  <c r="G75" i="41"/>
  <c r="T19" i="42"/>
  <c r="U19" i="42" s="1"/>
  <c r="M82" i="41"/>
  <c r="M14" i="41"/>
  <c r="M152" i="41"/>
  <c r="P152" i="41"/>
  <c r="P14" i="41"/>
  <c r="P82" i="41"/>
  <c r="M150" i="41"/>
  <c r="M80" i="41"/>
  <c r="M12" i="41"/>
  <c r="N8" i="41"/>
  <c r="N146" i="41"/>
  <c r="N75" i="41"/>
  <c r="H142" i="41"/>
  <c r="H71" i="41"/>
  <c r="H4" i="41"/>
  <c r="S156" i="41"/>
  <c r="S86" i="41"/>
  <c r="S18" i="41"/>
  <c r="K19" i="41"/>
  <c r="K157" i="41"/>
  <c r="K87" i="41"/>
  <c r="L76" i="41"/>
  <c r="L9" i="41"/>
  <c r="L147" i="41"/>
  <c r="R41" i="42"/>
  <c r="G85" i="41"/>
  <c r="G155" i="41"/>
  <c r="T41" i="42"/>
  <c r="U41" i="42" s="1"/>
  <c r="G17" i="41"/>
  <c r="H145" i="41"/>
  <c r="H7" i="41"/>
  <c r="H74" i="41"/>
  <c r="Q153" i="41"/>
  <c r="Q15" i="41"/>
  <c r="Q83" i="41"/>
  <c r="T86" i="37"/>
  <c r="N17" i="42"/>
  <c r="J17" i="42"/>
  <c r="X79" i="37"/>
  <c r="P86" i="37"/>
  <c r="T76" i="37"/>
  <c r="N4" i="42"/>
  <c r="N157" i="41"/>
  <c r="N87" i="41"/>
  <c r="N19" i="41"/>
  <c r="L86" i="41"/>
  <c r="L18" i="41"/>
  <c r="L156" i="41"/>
  <c r="K153" i="41"/>
  <c r="K15" i="41"/>
  <c r="K83" i="41"/>
  <c r="K75" i="41"/>
  <c r="K8" i="41"/>
  <c r="K146" i="41"/>
  <c r="K82" i="41"/>
  <c r="K14" i="41"/>
  <c r="K152" i="41"/>
  <c r="U155" i="41"/>
  <c r="U17" i="41"/>
  <c r="U85" i="41"/>
  <c r="L12" i="41"/>
  <c r="L80" i="41"/>
  <c r="L150" i="41"/>
  <c r="P8" i="41"/>
  <c r="P146" i="41"/>
  <c r="P75" i="41"/>
  <c r="N153" i="41"/>
  <c r="N15" i="41"/>
  <c r="N83" i="41"/>
  <c r="L4" i="41"/>
  <c r="L142" i="41"/>
  <c r="L71" i="41"/>
  <c r="H5" i="41"/>
  <c r="H72" i="41"/>
  <c r="H143" i="41"/>
  <c r="T12" i="41"/>
  <c r="T80" i="41"/>
  <c r="T150" i="41"/>
  <c r="S8" i="41"/>
  <c r="S146" i="41"/>
  <c r="S75" i="41"/>
  <c r="U82" i="41"/>
  <c r="U152" i="41"/>
  <c r="U14" i="41"/>
  <c r="K9" i="41"/>
  <c r="K147" i="41"/>
  <c r="K76" i="41"/>
  <c r="H66" i="34"/>
  <c r="B93" i="34"/>
  <c r="H67" i="34"/>
  <c r="N72" i="41"/>
  <c r="N143" i="41"/>
  <c r="N5" i="41"/>
  <c r="J155" i="41"/>
  <c r="J17" i="41"/>
  <c r="J85" i="41"/>
  <c r="K145" i="41"/>
  <c r="K7" i="41"/>
  <c r="K74" i="41"/>
  <c r="J37" i="46"/>
  <c r="J39" i="46" s="1"/>
  <c r="J42" i="16"/>
  <c r="J44" i="16" s="1"/>
  <c r="J38" i="46"/>
  <c r="J40" i="46" s="1"/>
  <c r="J43" i="16"/>
  <c r="J45" i="16" s="1"/>
  <c r="W86" i="37"/>
  <c r="Q17" i="42"/>
  <c r="M4" i="42"/>
  <c r="S76" i="37"/>
  <c r="R76" i="37"/>
  <c r="L4" i="42"/>
  <c r="Q14" i="41"/>
  <c r="Q152" i="41"/>
  <c r="Q82" i="41"/>
  <c r="U83" i="41"/>
  <c r="U153" i="41"/>
  <c r="U15" i="41"/>
  <c r="T39" i="42"/>
  <c r="U39" i="42" s="1"/>
  <c r="G154" i="41"/>
  <c r="R39" i="42"/>
  <c r="G84" i="41"/>
  <c r="G16" i="41"/>
  <c r="I86" i="41"/>
  <c r="I18" i="41"/>
  <c r="I156" i="41"/>
  <c r="T38" i="42"/>
  <c r="U38" i="42" s="1"/>
  <c r="G153" i="41"/>
  <c r="G15" i="41"/>
  <c r="G83" i="41"/>
  <c r="R38" i="42"/>
  <c r="H146" i="41"/>
  <c r="H8" i="41"/>
  <c r="H75" i="41"/>
  <c r="I5" i="41"/>
  <c r="I72" i="41"/>
  <c r="I143" i="41"/>
  <c r="P150" i="41"/>
  <c r="P12" i="41"/>
  <c r="P80" i="41"/>
  <c r="M19" i="41"/>
  <c r="M157" i="41"/>
  <c r="M87" i="41"/>
  <c r="T152" i="41"/>
  <c r="T82" i="41"/>
  <c r="T14" i="41"/>
  <c r="O15" i="41"/>
  <c r="O153" i="41"/>
  <c r="O83" i="41"/>
  <c r="S82" i="41"/>
  <c r="S14" i="41"/>
  <c r="S152" i="41"/>
  <c r="K17" i="41"/>
  <c r="K155" i="41"/>
  <c r="K85" i="41"/>
  <c r="U86" i="37"/>
  <c r="O17" i="42"/>
  <c r="C4" i="42"/>
  <c r="G4" i="42"/>
  <c r="D4" i="42"/>
  <c r="I4" i="42"/>
  <c r="E4" i="42"/>
  <c r="H4" i="42"/>
  <c r="F4" i="42"/>
  <c r="U76" i="37"/>
  <c r="O4" i="42"/>
  <c r="H154" i="41"/>
  <c r="H84" i="41"/>
  <c r="H16" i="41"/>
  <c r="K86" i="41"/>
  <c r="K18" i="41"/>
  <c r="K156" i="41"/>
  <c r="L83" i="41"/>
  <c r="L153" i="41"/>
  <c r="L15" i="41"/>
  <c r="J146" i="41"/>
  <c r="J8" i="41"/>
  <c r="J75" i="41"/>
  <c r="H82" i="41"/>
  <c r="H152" i="41"/>
  <c r="H14" i="41"/>
  <c r="F42" i="16"/>
  <c r="F44" i="16" s="1"/>
  <c r="F37" i="46"/>
  <c r="F39" i="46" s="1"/>
  <c r="F43" i="16"/>
  <c r="F45" i="16" s="1"/>
  <c r="F38" i="46"/>
  <c r="F40" i="46" s="1"/>
  <c r="K150" i="41"/>
  <c r="K80" i="41"/>
  <c r="K12" i="41"/>
  <c r="J142" i="41"/>
  <c r="J4" i="41"/>
  <c r="J71" i="41"/>
  <c r="J5" i="41"/>
  <c r="J72" i="41"/>
  <c r="J143" i="41"/>
  <c r="J157" i="41"/>
  <c r="J19" i="41"/>
  <c r="J87" i="41"/>
  <c r="I9" i="41"/>
  <c r="I147" i="41"/>
  <c r="I76" i="41"/>
  <c r="O71" i="41"/>
  <c r="O142" i="41"/>
  <c r="O4" i="41"/>
  <c r="T18" i="42"/>
  <c r="U18" i="42" s="1"/>
  <c r="G74" i="41"/>
  <c r="G7" i="41"/>
  <c r="R18" i="42"/>
  <c r="G145" i="41"/>
  <c r="N82" i="41"/>
  <c r="N14" i="41"/>
  <c r="N152" i="41"/>
  <c r="W76" i="37"/>
  <c r="Q4" i="42"/>
  <c r="T6" i="42"/>
  <c r="U6" i="42" s="1"/>
  <c r="R6" i="42"/>
  <c r="K84" i="41"/>
  <c r="K16" i="41"/>
  <c r="K154" i="41"/>
  <c r="M18" i="41"/>
  <c r="M86" i="41"/>
  <c r="M156" i="41"/>
  <c r="O82" i="41"/>
  <c r="O152" i="41"/>
  <c r="O14" i="41"/>
  <c r="H153" i="41"/>
  <c r="H83" i="41"/>
  <c r="H15" i="41"/>
  <c r="I75" i="41"/>
  <c r="I8" i="41"/>
  <c r="I146" i="41"/>
  <c r="J152" i="41"/>
  <c r="J14" i="41"/>
  <c r="J82" i="41"/>
  <c r="Q75" i="41"/>
  <c r="Q146" i="41"/>
  <c r="Q8" i="41"/>
  <c r="J150" i="41"/>
  <c r="J80" i="41"/>
  <c r="J12" i="41"/>
  <c r="O17" i="41"/>
  <c r="O85" i="41"/>
  <c r="O155" i="41"/>
  <c r="T7" i="42"/>
  <c r="U7" i="42" s="1"/>
  <c r="R7" i="42"/>
  <c r="G142" i="41"/>
  <c r="G4" i="41"/>
  <c r="G71" i="41"/>
  <c r="T8" i="42"/>
  <c r="U8" i="42" s="1"/>
  <c r="G72" i="41"/>
  <c r="G5" i="41"/>
  <c r="R8" i="42"/>
  <c r="G143" i="41"/>
  <c r="P85" i="41"/>
  <c r="P17" i="41"/>
  <c r="P155" i="41"/>
  <c r="R45" i="42"/>
  <c r="T45" i="42"/>
  <c r="U45" i="42" s="1"/>
  <c r="G87" i="41"/>
  <c r="G157" i="41"/>
  <c r="G19" i="41"/>
  <c r="M9" i="41"/>
  <c r="M76" i="41"/>
  <c r="M147" i="41"/>
  <c r="T21" i="42"/>
  <c r="U21" i="42" s="1"/>
  <c r="R21" i="42"/>
  <c r="G77" i="41"/>
  <c r="N17" i="41"/>
  <c r="N155" i="41"/>
  <c r="N85" i="41"/>
  <c r="N18" i="41"/>
  <c r="N156" i="41"/>
  <c r="N86" i="41"/>
  <c r="N76" i="41"/>
  <c r="N147" i="41"/>
  <c r="N9" i="41"/>
  <c r="I17" i="41"/>
  <c r="I85" i="41"/>
  <c r="I155" i="41"/>
  <c r="M74" i="41"/>
  <c r="M145" i="41"/>
  <c r="M7" i="41"/>
  <c r="Q86" i="37"/>
  <c r="K17" i="42"/>
  <c r="P4" i="42"/>
  <c r="V76" i="37"/>
  <c r="I16" i="41"/>
  <c r="I154" i="41"/>
  <c r="I84" i="41"/>
  <c r="N80" i="41"/>
  <c r="N12" i="41"/>
  <c r="N150" i="41"/>
  <c r="H86" i="41"/>
  <c r="H156" i="41"/>
  <c r="H18" i="41"/>
  <c r="J153" i="41"/>
  <c r="J15" i="41"/>
  <c r="J83" i="41"/>
  <c r="I14" i="41"/>
  <c r="I82" i="41"/>
  <c r="I152" i="41"/>
  <c r="F24" i="46"/>
  <c r="G19" i="46" s="1"/>
  <c r="N145" i="41"/>
  <c r="N7" i="41"/>
  <c r="N74" i="41"/>
  <c r="G12" i="41"/>
  <c r="T32" i="42"/>
  <c r="U32" i="42" s="1"/>
  <c r="R32" i="42"/>
  <c r="G150" i="41"/>
  <c r="G80" i="41"/>
  <c r="O7" i="41"/>
  <c r="O145" i="41"/>
  <c r="O74" i="41"/>
  <c r="M4" i="41"/>
  <c r="M142" i="41"/>
  <c r="M71" i="41"/>
  <c r="T10" i="42"/>
  <c r="U10" i="42" s="1"/>
  <c r="R10" i="42"/>
  <c r="M5" i="41"/>
  <c r="M143" i="41"/>
  <c r="M72" i="41"/>
  <c r="Q145" i="41"/>
  <c r="Q74" i="41"/>
  <c r="Q7" i="41"/>
  <c r="H157" i="41"/>
  <c r="H19" i="41"/>
  <c r="H87" i="41"/>
  <c r="J147" i="41"/>
  <c r="J9" i="41"/>
  <c r="J76" i="41"/>
  <c r="U19" i="16"/>
  <c r="U24" i="16" s="1"/>
  <c r="U26" i="16" s="1"/>
  <c r="P153" i="41"/>
  <c r="P15" i="41"/>
  <c r="P83" i="41"/>
  <c r="H155" i="41"/>
  <c r="H17" i="41"/>
  <c r="H85" i="41"/>
  <c r="J145" i="41"/>
  <c r="J74" i="41"/>
  <c r="J7" i="41"/>
  <c r="R86" i="37"/>
  <c r="L17" i="42"/>
  <c r="J84" i="41"/>
  <c r="J16" i="41"/>
  <c r="J154" i="41"/>
  <c r="G86" i="41"/>
  <c r="G156" i="41"/>
  <c r="G18" i="41"/>
  <c r="T42" i="42"/>
  <c r="U42" i="42" s="1"/>
  <c r="R42" i="42"/>
  <c r="I83" i="41"/>
  <c r="I153" i="41"/>
  <c r="I15" i="41"/>
  <c r="L146" i="41"/>
  <c r="L8" i="41"/>
  <c r="L75" i="41"/>
  <c r="L14" i="41"/>
  <c r="L152" i="41"/>
  <c r="L82" i="41"/>
  <c r="H12" i="41"/>
  <c r="H150" i="41"/>
  <c r="H80" i="41"/>
  <c r="T156" i="41"/>
  <c r="T18" i="41"/>
  <c r="T86" i="41"/>
  <c r="K142" i="41"/>
  <c r="K4" i="41"/>
  <c r="K71" i="41"/>
  <c r="N154" i="41"/>
  <c r="N16" i="41"/>
  <c r="N84" i="41"/>
  <c r="K143" i="41"/>
  <c r="K5" i="41"/>
  <c r="K72" i="41"/>
  <c r="I87" i="41"/>
  <c r="I19" i="41"/>
  <c r="I157" i="41"/>
  <c r="H9" i="41"/>
  <c r="H147" i="41"/>
  <c r="H76" i="41"/>
  <c r="T55" i="9"/>
  <c r="T124" i="9" s="1"/>
  <c r="F52" i="50"/>
  <c r="AD16" i="50"/>
  <c r="D14" i="50"/>
  <c r="D16" i="50" s="1"/>
  <c r="AH13" i="50"/>
  <c r="H13" i="50" s="1"/>
  <c r="H50" i="50"/>
  <c r="L22" i="34" s="1"/>
  <c r="F49" i="50"/>
  <c r="J21" i="34" s="1"/>
  <c r="AF12" i="50"/>
  <c r="F12" i="50" s="1"/>
  <c r="H48" i="50"/>
  <c r="L20" i="34" s="1"/>
  <c r="AH11" i="50"/>
  <c r="H11" i="50" s="1"/>
  <c r="AF11" i="50"/>
  <c r="F11" i="50" s="1"/>
  <c r="F48" i="50"/>
  <c r="J20" i="34" s="1"/>
  <c r="F50" i="50"/>
  <c r="J22" i="34" s="1"/>
  <c r="AF13" i="50"/>
  <c r="F13" i="50" s="1"/>
  <c r="H51" i="50"/>
  <c r="AH14" i="50"/>
  <c r="H49" i="50"/>
  <c r="L21" i="34" s="1"/>
  <c r="AH12" i="50"/>
  <c r="H12" i="50" s="1"/>
  <c r="AF16" i="50"/>
  <c r="F14" i="50"/>
  <c r="F16" i="50" s="1"/>
  <c r="R117" i="41"/>
  <c r="R186" i="41"/>
  <c r="V24" i="41"/>
  <c r="W24" i="41" s="1"/>
  <c r="R169" i="41"/>
  <c r="F165" i="18"/>
  <c r="E11" i="23"/>
  <c r="H38" i="9"/>
  <c r="V92" i="41" l="1"/>
  <c r="W92" i="41" s="1"/>
  <c r="V91" i="41"/>
  <c r="W91" i="41" s="1"/>
  <c r="V161" i="41"/>
  <c r="W161" i="41" s="1"/>
  <c r="V117" i="41"/>
  <c r="W117" i="41" s="1"/>
  <c r="R101" i="41"/>
  <c r="V101" i="41" s="1"/>
  <c r="W101" i="41" s="1"/>
  <c r="R28" i="41"/>
  <c r="R42" i="41"/>
  <c r="V42" i="41" s="1"/>
  <c r="W42" i="41" s="1"/>
  <c r="V186" i="41"/>
  <c r="W186" i="41" s="1"/>
  <c r="V47" i="41"/>
  <c r="W47" i="41" s="1"/>
  <c r="R90" i="41"/>
  <c r="V90" i="41" s="1"/>
  <c r="W90" i="41" s="1"/>
  <c r="R160" i="41"/>
  <c r="V160" i="41" s="1"/>
  <c r="W160" i="41" s="1"/>
  <c r="P34" i="41"/>
  <c r="Q34" i="41"/>
  <c r="V22" i="41"/>
  <c r="W22" i="41" s="1"/>
  <c r="R89" i="41"/>
  <c r="V89" i="41" s="1"/>
  <c r="W89" i="41" s="1"/>
  <c r="Q104" i="41"/>
  <c r="P104" i="41"/>
  <c r="R159" i="41"/>
  <c r="V159" i="41" s="1"/>
  <c r="W159" i="41" s="1"/>
  <c r="R113" i="41"/>
  <c r="V113" i="41" s="1"/>
  <c r="W113" i="41" s="1"/>
  <c r="R170" i="41"/>
  <c r="V170" i="41" s="1"/>
  <c r="W170" i="41" s="1"/>
  <c r="K34" i="41"/>
  <c r="U104" i="41"/>
  <c r="V162" i="41"/>
  <c r="W162" i="41" s="1"/>
  <c r="R98" i="41"/>
  <c r="V98" i="41" s="1"/>
  <c r="W98" i="41" s="1"/>
  <c r="O104" i="41"/>
  <c r="V21" i="41"/>
  <c r="W21" i="41" s="1"/>
  <c r="R166" i="41"/>
  <c r="V166" i="41" s="1"/>
  <c r="W166" i="41" s="1"/>
  <c r="J104" i="41"/>
  <c r="J34" i="41"/>
  <c r="G34" i="41"/>
  <c r="R182" i="41"/>
  <c r="V182" i="41" s="1"/>
  <c r="W182" i="41" s="1"/>
  <c r="U172" i="41"/>
  <c r="R105" i="41"/>
  <c r="V105" i="41" s="1"/>
  <c r="W105" i="41" s="1"/>
  <c r="L34" i="41"/>
  <c r="L104" i="41"/>
  <c r="R102" i="41"/>
  <c r="V102" i="41" s="1"/>
  <c r="W102" i="41" s="1"/>
  <c r="M34" i="41"/>
  <c r="T90" i="42"/>
  <c r="U90" i="42" s="1"/>
  <c r="O34" i="41"/>
  <c r="S172" i="41"/>
  <c r="I34" i="41"/>
  <c r="I104" i="41"/>
  <c r="G104" i="41"/>
  <c r="S34" i="41"/>
  <c r="M172" i="41"/>
  <c r="R167" i="41"/>
  <c r="V167" i="41" s="1"/>
  <c r="W167" i="41" s="1"/>
  <c r="R40" i="41"/>
  <c r="V40" i="41" s="1"/>
  <c r="W40" i="41" s="1"/>
  <c r="T104" i="41"/>
  <c r="R164" i="41"/>
  <c r="V164" i="41" s="1"/>
  <c r="W164" i="41" s="1"/>
  <c r="R88" i="41"/>
  <c r="V88" i="41" s="1"/>
  <c r="W88" i="41" s="1"/>
  <c r="R20" i="41"/>
  <c r="V20" i="41" s="1"/>
  <c r="W20" i="41" s="1"/>
  <c r="N34" i="41"/>
  <c r="N104" i="41"/>
  <c r="X186" i="37"/>
  <c r="T34" i="41"/>
  <c r="V158" i="41"/>
  <c r="W158" i="41" s="1"/>
  <c r="V32" i="41"/>
  <c r="W32" i="41" s="1"/>
  <c r="V28" i="41"/>
  <c r="W28" i="41" s="1"/>
  <c r="V43" i="41"/>
  <c r="W43" i="41" s="1"/>
  <c r="R26" i="41"/>
  <c r="V26" i="41" s="1"/>
  <c r="W26" i="41" s="1"/>
  <c r="V112" i="41"/>
  <c r="W112" i="41" s="1"/>
  <c r="R90" i="42"/>
  <c r="K172" i="41"/>
  <c r="V181" i="41"/>
  <c r="W181" i="41" s="1"/>
  <c r="R72" i="41"/>
  <c r="V72" i="41" s="1"/>
  <c r="W72" i="41" s="1"/>
  <c r="V178" i="41"/>
  <c r="W178" i="41" s="1"/>
  <c r="V95" i="41"/>
  <c r="W95" i="41" s="1"/>
  <c r="R51" i="41"/>
  <c r="V51" i="41" s="1"/>
  <c r="W51" i="41" s="1"/>
  <c r="R111" i="41"/>
  <c r="V111" i="41" s="1"/>
  <c r="W111" i="41" s="1"/>
  <c r="R121" i="41"/>
  <c r="V121" i="41" s="1"/>
  <c r="W121" i="41" s="1"/>
  <c r="R110" i="41"/>
  <c r="V110" i="41" s="1"/>
  <c r="W110" i="41" s="1"/>
  <c r="R173" i="41"/>
  <c r="V173" i="41" s="1"/>
  <c r="W173" i="41" s="1"/>
  <c r="R108" i="41"/>
  <c r="V108" i="41" s="1"/>
  <c r="W108" i="41" s="1"/>
  <c r="V190" i="41"/>
  <c r="W190" i="41" s="1"/>
  <c r="R25" i="41"/>
  <c r="V25" i="41" s="1"/>
  <c r="W25" i="41" s="1"/>
  <c r="R176" i="41"/>
  <c r="V176" i="41" s="1"/>
  <c r="W176" i="41" s="1"/>
  <c r="V31" i="41"/>
  <c r="W31" i="41" s="1"/>
  <c r="R35" i="41"/>
  <c r="V35" i="41" s="1"/>
  <c r="W35" i="41" s="1"/>
  <c r="V169" i="41"/>
  <c r="W169" i="41" s="1"/>
  <c r="R163" i="41"/>
  <c r="V163" i="41" s="1"/>
  <c r="W163" i="41" s="1"/>
  <c r="V38" i="41"/>
  <c r="W38" i="41" s="1"/>
  <c r="R165" i="41"/>
  <c r="V165" i="41" s="1"/>
  <c r="W165" i="41" s="1"/>
  <c r="R94" i="41"/>
  <c r="V94" i="41" s="1"/>
  <c r="W94" i="41" s="1"/>
  <c r="R174" i="41"/>
  <c r="V174" i="41" s="1"/>
  <c r="W174" i="41" s="1"/>
  <c r="R180" i="41"/>
  <c r="V180" i="41" s="1"/>
  <c r="W180" i="41" s="1"/>
  <c r="R36" i="41"/>
  <c r="V36" i="41" s="1"/>
  <c r="W36" i="41" s="1"/>
  <c r="R29" i="41"/>
  <c r="V29" i="41" s="1"/>
  <c r="W29" i="41" s="1"/>
  <c r="R171" i="41"/>
  <c r="V171" i="41" s="1"/>
  <c r="W171" i="41" s="1"/>
  <c r="R103" i="41"/>
  <c r="V103" i="41" s="1"/>
  <c r="W103" i="41" s="1"/>
  <c r="R33" i="41"/>
  <c r="V33" i="41" s="1"/>
  <c r="W33" i="41" s="1"/>
  <c r="R99" i="41"/>
  <c r="V99" i="41" s="1"/>
  <c r="W99" i="41" s="1"/>
  <c r="R71" i="41"/>
  <c r="V71" i="41" s="1"/>
  <c r="W71" i="41" s="1"/>
  <c r="R96" i="41"/>
  <c r="V96" i="41" s="1"/>
  <c r="W96" i="41" s="1"/>
  <c r="R27" i="41"/>
  <c r="V27" i="41" s="1"/>
  <c r="W27" i="41" s="1"/>
  <c r="R41" i="41"/>
  <c r="V41" i="41" s="1"/>
  <c r="W41" i="41" s="1"/>
  <c r="R106" i="41"/>
  <c r="V106" i="41" s="1"/>
  <c r="W106" i="41" s="1"/>
  <c r="R80" i="41"/>
  <c r="V80" i="41" s="1"/>
  <c r="W80" i="41" s="1"/>
  <c r="R188" i="41"/>
  <c r="V188" i="41" s="1"/>
  <c r="W188" i="41" s="1"/>
  <c r="R119" i="41"/>
  <c r="V119" i="41" s="1"/>
  <c r="W119" i="41" s="1"/>
  <c r="R49" i="41"/>
  <c r="V49" i="41" s="1"/>
  <c r="W49" i="41" s="1"/>
  <c r="X21" i="16"/>
  <c r="W121" i="9"/>
  <c r="R143" i="41"/>
  <c r="V143" i="41" s="1"/>
  <c r="W143" i="41" s="1"/>
  <c r="R118" i="41"/>
  <c r="V118" i="41" s="1"/>
  <c r="W118" i="41" s="1"/>
  <c r="R187" i="41"/>
  <c r="V187" i="41" s="1"/>
  <c r="W187" i="41" s="1"/>
  <c r="R48" i="41"/>
  <c r="V48" i="41" s="1"/>
  <c r="W48" i="41" s="1"/>
  <c r="R4" i="41"/>
  <c r="V4" i="41" s="1"/>
  <c r="W4" i="41" s="1"/>
  <c r="R142" i="41"/>
  <c r="V142" i="41" s="1"/>
  <c r="W142" i="41" s="1"/>
  <c r="R84" i="41"/>
  <c r="V84" i="41" s="1"/>
  <c r="W84" i="41" s="1"/>
  <c r="R150" i="41"/>
  <c r="V150" i="41" s="1"/>
  <c r="W150" i="41" s="1"/>
  <c r="R154" i="41"/>
  <c r="V154" i="41" s="1"/>
  <c r="W154" i="41" s="1"/>
  <c r="R76" i="41"/>
  <c r="V76" i="41" s="1"/>
  <c r="W76" i="41" s="1"/>
  <c r="R147" i="41"/>
  <c r="V147" i="41" s="1"/>
  <c r="W147" i="41" s="1"/>
  <c r="R157" i="41"/>
  <c r="V157" i="41" s="1"/>
  <c r="W157" i="41" s="1"/>
  <c r="R19" i="41"/>
  <c r="V19" i="41" s="1"/>
  <c r="W19" i="41" s="1"/>
  <c r="R7" i="41"/>
  <c r="V7" i="41" s="1"/>
  <c r="W7" i="41" s="1"/>
  <c r="R145" i="41"/>
  <c r="V145" i="41" s="1"/>
  <c r="W145" i="41" s="1"/>
  <c r="R12" i="41"/>
  <c r="V12" i="41" s="1"/>
  <c r="W12" i="41" s="1"/>
  <c r="R5" i="41"/>
  <c r="V5" i="41" s="1"/>
  <c r="W5" i="41" s="1"/>
  <c r="J2" i="16"/>
  <c r="J32" i="16"/>
  <c r="J33" i="16" s="1"/>
  <c r="V77" i="41"/>
  <c r="W77" i="41" s="1"/>
  <c r="R146" i="41"/>
  <c r="V146" i="41" s="1"/>
  <c r="W146" i="41" s="1"/>
  <c r="R14" i="41"/>
  <c r="V14" i="41" s="1"/>
  <c r="W14" i="41" s="1"/>
  <c r="R152" i="41"/>
  <c r="V152" i="41" s="1"/>
  <c r="W152" i="41" s="1"/>
  <c r="R8" i="41"/>
  <c r="V8" i="41" s="1"/>
  <c r="W8" i="41" s="1"/>
  <c r="U22" i="34"/>
  <c r="U20" i="34"/>
  <c r="V87" i="41"/>
  <c r="W87" i="41" s="1"/>
  <c r="R75" i="41"/>
  <c r="V75" i="41" s="1"/>
  <c r="W75" i="41" s="1"/>
  <c r="R86" i="41"/>
  <c r="V86" i="41" s="1"/>
  <c r="W86" i="41" s="1"/>
  <c r="V9" i="41"/>
  <c r="W9" i="41" s="1"/>
  <c r="R156" i="41"/>
  <c r="V156" i="41" s="1"/>
  <c r="W156" i="41" s="1"/>
  <c r="R82" i="41"/>
  <c r="V82" i="41" s="1"/>
  <c r="W82" i="41" s="1"/>
  <c r="R153" i="41"/>
  <c r="V153" i="41" s="1"/>
  <c r="W153" i="41" s="1"/>
  <c r="U21" i="34"/>
  <c r="V74" i="41"/>
  <c r="W74" i="41" s="1"/>
  <c r="V16" i="41"/>
  <c r="W16" i="41" s="1"/>
  <c r="R18" i="41"/>
  <c r="V18" i="41" s="1"/>
  <c r="W18" i="41" s="1"/>
  <c r="J16" i="40"/>
  <c r="P38" i="9"/>
  <c r="K38" i="9"/>
  <c r="H95" i="37" s="1"/>
  <c r="T70" i="41"/>
  <c r="T141" i="41"/>
  <c r="T3" i="41"/>
  <c r="L67" i="34"/>
  <c r="B89" i="34"/>
  <c r="L66" i="34"/>
  <c r="M3" i="41"/>
  <c r="M70" i="41"/>
  <c r="M141" i="41"/>
  <c r="G21" i="16"/>
  <c r="F26" i="16"/>
  <c r="G17" i="16"/>
  <c r="G18" i="16"/>
  <c r="G16" i="16"/>
  <c r="G20" i="16"/>
  <c r="X76" i="37"/>
  <c r="Z68" i="37"/>
  <c r="L73" i="41"/>
  <c r="L144" i="41"/>
  <c r="L6" i="41"/>
  <c r="R83" i="41"/>
  <c r="V83" i="41" s="1"/>
  <c r="W83" i="41" s="1"/>
  <c r="H3" i="41"/>
  <c r="H70" i="41"/>
  <c r="H141" i="41"/>
  <c r="N3" i="41"/>
  <c r="N70" i="41"/>
  <c r="N141" i="41"/>
  <c r="K144" i="41"/>
  <c r="K6" i="41"/>
  <c r="K73" i="41"/>
  <c r="R15" i="41"/>
  <c r="V15" i="41" s="1"/>
  <c r="W15" i="41" s="1"/>
  <c r="S141" i="41"/>
  <c r="S70" i="41"/>
  <c r="S3" i="41"/>
  <c r="K3" i="41"/>
  <c r="K141" i="41"/>
  <c r="K70" i="41"/>
  <c r="K21" i="46"/>
  <c r="K20" i="46"/>
  <c r="K17" i="46"/>
  <c r="K16" i="46"/>
  <c r="K18" i="46"/>
  <c r="J26" i="46"/>
  <c r="T73" i="41"/>
  <c r="T6" i="41"/>
  <c r="T144" i="41"/>
  <c r="M6" i="41"/>
  <c r="M73" i="41"/>
  <c r="M144" i="41"/>
  <c r="G3" i="41"/>
  <c r="T4" i="42"/>
  <c r="U4" i="42" s="1"/>
  <c r="R4" i="42"/>
  <c r="G70" i="41"/>
  <c r="G141" i="41"/>
  <c r="P70" i="41"/>
  <c r="P141" i="41"/>
  <c r="P3" i="41"/>
  <c r="E93" i="34"/>
  <c r="H73" i="41"/>
  <c r="H6" i="41"/>
  <c r="H144" i="41"/>
  <c r="G21" i="46"/>
  <c r="G20" i="46"/>
  <c r="G18" i="46"/>
  <c r="G17" i="46"/>
  <c r="F26" i="46"/>
  <c r="G16" i="46"/>
  <c r="S73" i="41"/>
  <c r="S144" i="41"/>
  <c r="S6" i="41"/>
  <c r="Q6" i="41"/>
  <c r="Q144" i="41"/>
  <c r="Q73" i="41"/>
  <c r="G6" i="41"/>
  <c r="G73" i="41"/>
  <c r="T17" i="42"/>
  <c r="U17" i="42" s="1"/>
  <c r="G144" i="41"/>
  <c r="R17" i="42"/>
  <c r="J67" i="34"/>
  <c r="J66" i="34"/>
  <c r="B87" i="34"/>
  <c r="J141" i="41"/>
  <c r="J3" i="41"/>
  <c r="J70" i="41"/>
  <c r="J73" i="41"/>
  <c r="J144" i="41"/>
  <c r="J6" i="41"/>
  <c r="R85" i="41"/>
  <c r="V85" i="41" s="1"/>
  <c r="W85" i="41" s="1"/>
  <c r="P73" i="41"/>
  <c r="P144" i="41"/>
  <c r="P6" i="41"/>
  <c r="O73" i="41"/>
  <c r="O144" i="41"/>
  <c r="O6" i="41"/>
  <c r="L70" i="41"/>
  <c r="L3" i="41"/>
  <c r="L141" i="41"/>
  <c r="Q70" i="41"/>
  <c r="Q3" i="41"/>
  <c r="Q141" i="41"/>
  <c r="X86" i="37"/>
  <c r="Z79" i="37"/>
  <c r="Z86" i="37" s="1"/>
  <c r="O141" i="41"/>
  <c r="O3" i="41"/>
  <c r="O70" i="41"/>
  <c r="R155" i="41"/>
  <c r="V155" i="41" s="1"/>
  <c r="W155" i="41" s="1"/>
  <c r="U141" i="41"/>
  <c r="U70" i="41"/>
  <c r="U3" i="41"/>
  <c r="I141" i="41"/>
  <c r="I3" i="41"/>
  <c r="I70" i="41"/>
  <c r="U73" i="41"/>
  <c r="U144" i="41"/>
  <c r="U6" i="41"/>
  <c r="N6" i="41"/>
  <c r="N144" i="41"/>
  <c r="N73" i="41"/>
  <c r="I73" i="41"/>
  <c r="I6" i="41"/>
  <c r="I144" i="41"/>
  <c r="R17" i="41"/>
  <c r="V17" i="41" s="1"/>
  <c r="W17" i="41" s="1"/>
  <c r="H14" i="50"/>
  <c r="H16" i="50" s="1"/>
  <c r="AH16" i="50"/>
  <c r="F11" i="23"/>
  <c r="G165" i="18"/>
  <c r="H32" i="9"/>
  <c r="H34" i="9"/>
  <c r="L38" i="9"/>
  <c r="H130" i="9" l="1"/>
  <c r="R104" i="41"/>
  <c r="V104" i="41" s="1"/>
  <c r="W104" i="41" s="1"/>
  <c r="R34" i="41"/>
  <c r="V34" i="41" s="1"/>
  <c r="W34" i="41" s="1"/>
  <c r="R172" i="41"/>
  <c r="V172" i="41" s="1"/>
  <c r="W172" i="41" s="1"/>
  <c r="U66" i="34"/>
  <c r="U67" i="34"/>
  <c r="R70" i="41"/>
  <c r="V70" i="41" s="1"/>
  <c r="W70" i="41" s="1"/>
  <c r="R144" i="41"/>
  <c r="V144" i="41" s="1"/>
  <c r="W144" i="41" s="1"/>
  <c r="R73" i="41"/>
  <c r="V73" i="41" s="1"/>
  <c r="W73" i="41" s="1"/>
  <c r="R141" i="41"/>
  <c r="V141" i="41" s="1"/>
  <c r="W141" i="41" s="1"/>
  <c r="R3" i="41"/>
  <c r="V3" i="41" s="1"/>
  <c r="W3" i="41" s="1"/>
  <c r="R6" i="41"/>
  <c r="V6" i="41" s="1"/>
  <c r="W6" i="41" s="1"/>
  <c r="D77" i="21"/>
  <c r="G77" i="21"/>
  <c r="G86" i="21" s="1"/>
  <c r="N77" i="21"/>
  <c r="N86" i="21" s="1"/>
  <c r="H53" i="9"/>
  <c r="M77" i="21"/>
  <c r="M86" i="21" s="1"/>
  <c r="O77" i="21"/>
  <c r="O86" i="21" s="1"/>
  <c r="I77" i="21"/>
  <c r="I86" i="21" s="1"/>
  <c r="F77" i="21"/>
  <c r="F86" i="21" s="1"/>
  <c r="H77" i="21"/>
  <c r="H86" i="21" s="1"/>
  <c r="L77" i="21"/>
  <c r="L86" i="21" s="1"/>
  <c r="K77" i="21"/>
  <c r="K86" i="21" s="1"/>
  <c r="J13" i="40"/>
  <c r="J77" i="21"/>
  <c r="J86" i="21" s="1"/>
  <c r="E77" i="21"/>
  <c r="E86" i="21" s="1"/>
  <c r="P32" i="9"/>
  <c r="K32" i="9"/>
  <c r="H129" i="9"/>
  <c r="J14" i="40"/>
  <c r="P34" i="9"/>
  <c r="K34" i="9"/>
  <c r="H91" i="37" s="1"/>
  <c r="J2" i="46"/>
  <c r="J27" i="46"/>
  <c r="J32" i="46"/>
  <c r="F27" i="16"/>
  <c r="F32" i="16"/>
  <c r="F33" i="16" s="1"/>
  <c r="F2" i="16"/>
  <c r="B107" i="34"/>
  <c r="E107" i="34" s="1"/>
  <c r="E87" i="34"/>
  <c r="Z76" i="37"/>
  <c r="S35" i="42"/>
  <c r="R95" i="37"/>
  <c r="P95" i="37"/>
  <c r="Q95" i="37"/>
  <c r="U95" i="37"/>
  <c r="T95" i="37"/>
  <c r="S95" i="37"/>
  <c r="V95" i="37"/>
  <c r="W95" i="37"/>
  <c r="Q35" i="42" s="1"/>
  <c r="F2" i="46"/>
  <c r="F32" i="46"/>
  <c r="F33" i="46" s="1"/>
  <c r="F27" i="46"/>
  <c r="E89" i="34"/>
  <c r="U38" i="9"/>
  <c r="W38" i="9" s="1"/>
  <c r="R38" i="9"/>
  <c r="H165" i="18"/>
  <c r="G11" i="23"/>
  <c r="L34" i="9"/>
  <c r="L32" i="9"/>
  <c r="O35" i="42" l="1"/>
  <c r="S13" i="41" s="1"/>
  <c r="K35" i="42"/>
  <c r="O81" i="41" s="1"/>
  <c r="P35" i="42"/>
  <c r="T81" i="41" s="1"/>
  <c r="L35" i="42"/>
  <c r="P151" i="41" s="1"/>
  <c r="M35" i="42"/>
  <c r="Q81" i="41" s="1"/>
  <c r="N35" i="42"/>
  <c r="L53" i="9"/>
  <c r="L55" i="9" s="1"/>
  <c r="L124" i="9" s="1"/>
  <c r="J33" i="46"/>
  <c r="K53" i="9"/>
  <c r="H89" i="37"/>
  <c r="P53" i="9"/>
  <c r="U32" i="9"/>
  <c r="R32" i="9"/>
  <c r="F107" i="34"/>
  <c r="E109" i="34"/>
  <c r="F109" i="34" s="1"/>
  <c r="P91" i="37"/>
  <c r="Q91" i="37"/>
  <c r="V91" i="37"/>
  <c r="S91" i="37"/>
  <c r="U91" i="37"/>
  <c r="T91" i="37"/>
  <c r="W91" i="37"/>
  <c r="S31" i="42"/>
  <c r="R91" i="37"/>
  <c r="U34" i="9"/>
  <c r="W34" i="9" s="1"/>
  <c r="R34" i="9"/>
  <c r="J1" i="40"/>
  <c r="H18" i="16"/>
  <c r="H18" i="46"/>
  <c r="H55" i="9"/>
  <c r="H124" i="9" s="1"/>
  <c r="X95" i="37"/>
  <c r="Z95" i="37" s="1"/>
  <c r="J35" i="42"/>
  <c r="U13" i="41"/>
  <c r="U81" i="41"/>
  <c r="U151" i="41"/>
  <c r="C35" i="42"/>
  <c r="D35" i="42"/>
  <c r="G35" i="42"/>
  <c r="H35" i="42"/>
  <c r="F35" i="42"/>
  <c r="I35" i="42"/>
  <c r="E35" i="42"/>
  <c r="H42" i="16"/>
  <c r="H44" i="16" s="1"/>
  <c r="H37" i="46"/>
  <c r="H39" i="46" s="1"/>
  <c r="H38" i="46"/>
  <c r="H40" i="46" s="1"/>
  <c r="H43" i="16"/>
  <c r="H45" i="16" s="1"/>
  <c r="S77" i="21"/>
  <c r="D86" i="21"/>
  <c r="H11" i="23"/>
  <c r="I165" i="18"/>
  <c r="T151" i="41" l="1"/>
  <c r="S151" i="41"/>
  <c r="S81" i="41"/>
  <c r="R81" i="41" s="1"/>
  <c r="T13" i="41"/>
  <c r="R13" i="41" s="1"/>
  <c r="O13" i="41"/>
  <c r="O151" i="41"/>
  <c r="L31" i="42"/>
  <c r="P11" i="41" s="1"/>
  <c r="P13" i="41"/>
  <c r="P81" i="41"/>
  <c r="Q13" i="41"/>
  <c r="Q151" i="41"/>
  <c r="O31" i="42"/>
  <c r="S79" i="41" s="1"/>
  <c r="M31" i="42"/>
  <c r="Q11" i="41" s="1"/>
  <c r="R53" i="9"/>
  <c r="S18" i="16" s="1"/>
  <c r="S19" i="16" s="1"/>
  <c r="S24" i="16" s="1"/>
  <c r="S26" i="16" s="1"/>
  <c r="I151" i="41"/>
  <c r="I81" i="41"/>
  <c r="I13" i="41"/>
  <c r="H13" i="41"/>
  <c r="H81" i="41"/>
  <c r="H151" i="41"/>
  <c r="N13" i="41"/>
  <c r="N81" i="41"/>
  <c r="N151" i="41"/>
  <c r="P31" i="42"/>
  <c r="I126" i="9"/>
  <c r="J40" i="16" s="1"/>
  <c r="G126" i="9"/>
  <c r="F40" i="16" s="1"/>
  <c r="H126" i="9"/>
  <c r="H40" i="16" s="1"/>
  <c r="K31" i="42"/>
  <c r="P18" i="46"/>
  <c r="H19" i="46"/>
  <c r="J31" i="42"/>
  <c r="X91" i="37"/>
  <c r="Z91" i="37" s="1"/>
  <c r="M81" i="41"/>
  <c r="M151" i="41"/>
  <c r="M13" i="41"/>
  <c r="I31" i="42"/>
  <c r="E31" i="42"/>
  <c r="C31" i="42"/>
  <c r="F31" i="42"/>
  <c r="H31" i="42"/>
  <c r="G31" i="42"/>
  <c r="D31" i="42"/>
  <c r="H19" i="16"/>
  <c r="J151" i="41"/>
  <c r="J81" i="41"/>
  <c r="J13" i="41"/>
  <c r="Q31" i="42"/>
  <c r="U53" i="9"/>
  <c r="W32" i="9"/>
  <c r="W53" i="9" s="1"/>
  <c r="W89" i="37"/>
  <c r="Q89" i="37"/>
  <c r="S89" i="37"/>
  <c r="T89" i="37"/>
  <c r="P89" i="37"/>
  <c r="U89" i="37"/>
  <c r="S29" i="42"/>
  <c r="R89" i="37"/>
  <c r="V89" i="37"/>
  <c r="H113" i="37"/>
  <c r="H201" i="37" s="1"/>
  <c r="H204" i="37" s="1"/>
  <c r="L151" i="41"/>
  <c r="L13" i="41"/>
  <c r="L81" i="41"/>
  <c r="N31" i="42"/>
  <c r="P55" i="9"/>
  <c r="P124" i="9" s="1"/>
  <c r="Q18" i="16"/>
  <c r="Q19" i="16" s="1"/>
  <c r="Q24" i="16" s="1"/>
  <c r="Q26" i="16" s="1"/>
  <c r="L18" i="46"/>
  <c r="L18" i="16"/>
  <c r="K55" i="9"/>
  <c r="K81" i="41"/>
  <c r="K151" i="41"/>
  <c r="K13" i="41"/>
  <c r="G13" i="41"/>
  <c r="G151" i="41"/>
  <c r="G81" i="41"/>
  <c r="R35" i="42"/>
  <c r="T35" i="42"/>
  <c r="U35" i="42" s="1"/>
  <c r="I11" i="23"/>
  <c r="J165" i="18"/>
  <c r="R151" i="41" l="1"/>
  <c r="V151" i="41" s="1"/>
  <c r="W151" i="41" s="1"/>
  <c r="P79" i="41"/>
  <c r="S149" i="41"/>
  <c r="P149" i="41"/>
  <c r="S11" i="41"/>
  <c r="V13" i="41"/>
  <c r="W13" i="41" s="1"/>
  <c r="R55" i="9"/>
  <c r="R124" i="9" s="1"/>
  <c r="Q149" i="41"/>
  <c r="Q79" i="41"/>
  <c r="V81" i="41"/>
  <c r="W81" i="41" s="1"/>
  <c r="L19" i="16"/>
  <c r="M29" i="42"/>
  <c r="S113" i="37"/>
  <c r="S201" i="37" s="1"/>
  <c r="S204" i="37" s="1"/>
  <c r="S215" i="37" s="1"/>
  <c r="J149" i="41"/>
  <c r="J11" i="41"/>
  <c r="J79" i="41"/>
  <c r="N149" i="41"/>
  <c r="N11" i="41"/>
  <c r="N79" i="41"/>
  <c r="O79" i="41"/>
  <c r="O149" i="41"/>
  <c r="O11" i="41"/>
  <c r="U149" i="41"/>
  <c r="U11" i="41"/>
  <c r="U79" i="41"/>
  <c r="L19" i="46"/>
  <c r="G149" i="41"/>
  <c r="R31" i="42"/>
  <c r="G79" i="41"/>
  <c r="G11" i="41"/>
  <c r="T31" i="42"/>
  <c r="U31" i="42" s="1"/>
  <c r="Q29" i="42"/>
  <c r="W113" i="37"/>
  <c r="W201" i="37" s="1"/>
  <c r="W204" i="37" s="1"/>
  <c r="W215" i="37" s="1"/>
  <c r="I149" i="41"/>
  <c r="I11" i="41"/>
  <c r="I79" i="41"/>
  <c r="P29" i="42"/>
  <c r="V113" i="37"/>
  <c r="V201" i="37" s="1"/>
  <c r="V204" i="37" s="1"/>
  <c r="V215" i="37" s="1"/>
  <c r="W55" i="9"/>
  <c r="W124" i="9" s="1"/>
  <c r="X18" i="16"/>
  <c r="X19" i="16" s="1"/>
  <c r="X24" i="16" s="1"/>
  <c r="X26" i="16" s="1"/>
  <c r="H24" i="16"/>
  <c r="I19" i="16" s="1"/>
  <c r="M11" i="41"/>
  <c r="M149" i="41"/>
  <c r="M79" i="41"/>
  <c r="O29" i="42"/>
  <c r="U113" i="37"/>
  <c r="U201" i="37" s="1"/>
  <c r="U204" i="37" s="1"/>
  <c r="U215" i="37" s="1"/>
  <c r="K29" i="42"/>
  <c r="Q113" i="37"/>
  <c r="Q201" i="37" s="1"/>
  <c r="Q204" i="37" s="1"/>
  <c r="Q215" i="37" s="1"/>
  <c r="L29" i="42"/>
  <c r="R113" i="37"/>
  <c r="R201" i="37" s="1"/>
  <c r="R204" i="37" s="1"/>
  <c r="R215" i="37" s="1"/>
  <c r="H29" i="42"/>
  <c r="C29" i="42"/>
  <c r="G29" i="42"/>
  <c r="I29" i="42"/>
  <c r="D29" i="42"/>
  <c r="F29" i="42"/>
  <c r="E29" i="42"/>
  <c r="S1" i="42"/>
  <c r="U55" i="9"/>
  <c r="U124" i="9" s="1"/>
  <c r="V18" i="16"/>
  <c r="V19" i="16" s="1"/>
  <c r="V24" i="16" s="1"/>
  <c r="V26" i="16" s="1"/>
  <c r="T79" i="41"/>
  <c r="T149" i="41"/>
  <c r="T11" i="41"/>
  <c r="J29" i="42"/>
  <c r="X89" i="37"/>
  <c r="P113" i="37"/>
  <c r="P201" i="37" s="1"/>
  <c r="P204" i="37" s="1"/>
  <c r="K11" i="41"/>
  <c r="K149" i="41"/>
  <c r="K79" i="41"/>
  <c r="H11" i="41"/>
  <c r="H79" i="41"/>
  <c r="H149" i="41"/>
  <c r="H24" i="46"/>
  <c r="I19" i="46" s="1"/>
  <c r="H56" i="9"/>
  <c r="L56" i="9"/>
  <c r="G56" i="9"/>
  <c r="K124" i="9"/>
  <c r="I56" i="9"/>
  <c r="N29" i="42"/>
  <c r="T113" i="37"/>
  <c r="T201" i="37" s="1"/>
  <c r="T204" i="37" s="1"/>
  <c r="T215" i="37" s="1"/>
  <c r="L11" i="41"/>
  <c r="L149" i="41"/>
  <c r="L79" i="41"/>
  <c r="Q18" i="46"/>
  <c r="Q19" i="46" s="1"/>
  <c r="Q24" i="46" s="1"/>
  <c r="Q26" i="46" s="1"/>
  <c r="P19" i="46"/>
  <c r="P24" i="46" s="1"/>
  <c r="P26" i="46" s="1"/>
  <c r="J11" i="23"/>
  <c r="K165" i="18"/>
  <c r="R79" i="41" l="1"/>
  <c r="V79" i="41" s="1"/>
  <c r="W79" i="41" s="1"/>
  <c r="R11" i="41"/>
  <c r="V11" i="41" s="1"/>
  <c r="W11" i="41" s="1"/>
  <c r="R149" i="41"/>
  <c r="V149" i="41" s="1"/>
  <c r="W149" i="41" s="1"/>
  <c r="S148" i="41"/>
  <c r="S10" i="41"/>
  <c r="S78" i="41"/>
  <c r="M148" i="41"/>
  <c r="M78" i="41"/>
  <c r="M10" i="41"/>
  <c r="X113" i="37"/>
  <c r="X201" i="37" s="1"/>
  <c r="X204" i="37" s="1"/>
  <c r="Z89" i="37"/>
  <c r="I78" i="41"/>
  <c r="I148" i="41"/>
  <c r="I10" i="41"/>
  <c r="N148" i="41"/>
  <c r="N78" i="41"/>
  <c r="N10" i="41"/>
  <c r="H10" i="41"/>
  <c r="H78" i="41"/>
  <c r="H148" i="41"/>
  <c r="K10" i="41"/>
  <c r="K78" i="41"/>
  <c r="K148" i="41"/>
  <c r="P10" i="41"/>
  <c r="P78" i="41"/>
  <c r="P148" i="41"/>
  <c r="T148" i="41"/>
  <c r="T10" i="41"/>
  <c r="T78" i="41"/>
  <c r="G78" i="41"/>
  <c r="G10" i="41"/>
  <c r="T29" i="42"/>
  <c r="R29" i="42"/>
  <c r="G148" i="41"/>
  <c r="P215" i="37"/>
  <c r="P217" i="37" s="1"/>
  <c r="P229" i="37"/>
  <c r="L148" i="41"/>
  <c r="L78" i="41"/>
  <c r="L10" i="41"/>
  <c r="I21" i="46"/>
  <c r="I16" i="46"/>
  <c r="I20" i="46"/>
  <c r="H26" i="46"/>
  <c r="I17" i="46"/>
  <c r="I18" i="46"/>
  <c r="O78" i="41"/>
  <c r="O148" i="41"/>
  <c r="O10" i="41"/>
  <c r="I20" i="16"/>
  <c r="I17" i="16"/>
  <c r="H26" i="16"/>
  <c r="I21" i="16"/>
  <c r="I16" i="16"/>
  <c r="I18" i="16"/>
  <c r="L24" i="46"/>
  <c r="M19" i="46" s="1"/>
  <c r="Q148" i="41"/>
  <c r="Q10" i="41"/>
  <c r="Q78" i="41"/>
  <c r="J10" i="41"/>
  <c r="J78" i="41"/>
  <c r="J148" i="41"/>
  <c r="L24" i="16"/>
  <c r="M19" i="16" s="1"/>
  <c r="U148" i="41"/>
  <c r="U78" i="41"/>
  <c r="U10" i="41"/>
  <c r="K11" i="23"/>
  <c r="L165" i="18"/>
  <c r="R148" i="41" l="1"/>
  <c r="V148" i="41" s="1"/>
  <c r="W148" i="41" s="1"/>
  <c r="R78" i="41"/>
  <c r="V78" i="41" s="1"/>
  <c r="W78" i="41" s="1"/>
  <c r="R10" i="41"/>
  <c r="V10" i="41" s="1"/>
  <c r="W10" i="41" s="1"/>
  <c r="M20" i="16"/>
  <c r="M16" i="16"/>
  <c r="M17" i="16"/>
  <c r="M21" i="16"/>
  <c r="L26" i="16"/>
  <c r="M18" i="16"/>
  <c r="U29" i="42"/>
  <c r="U1" i="42" s="1"/>
  <c r="T1" i="42"/>
  <c r="M20" i="46"/>
  <c r="M16" i="46"/>
  <c r="M17" i="46"/>
  <c r="M21" i="46"/>
  <c r="M18" i="46"/>
  <c r="Q229" i="37"/>
  <c r="P233" i="37"/>
  <c r="H32" i="16"/>
  <c r="H27" i="16"/>
  <c r="H2" i="16"/>
  <c r="H27" i="46"/>
  <c r="H2" i="46"/>
  <c r="H32" i="46"/>
  <c r="L26" i="46"/>
  <c r="H28" i="46" s="1"/>
  <c r="Q217" i="37"/>
  <c r="P232" i="37"/>
  <c r="Z113" i="37"/>
  <c r="Z201" i="37"/>
  <c r="Z204" i="37" s="1"/>
  <c r="L11" i="23"/>
  <c r="M165" i="18"/>
  <c r="P234" i="37" l="1"/>
  <c r="R217" i="37"/>
  <c r="Q232" i="37"/>
  <c r="F28" i="46"/>
  <c r="J28" i="46"/>
  <c r="H33" i="16"/>
  <c r="L34" i="16"/>
  <c r="N34" i="16" s="1"/>
  <c r="H33" i="46"/>
  <c r="L34" i="46"/>
  <c r="N34" i="46" s="1"/>
  <c r="R229" i="37"/>
  <c r="Q233" i="37"/>
  <c r="F28" i="16"/>
  <c r="J28" i="16"/>
  <c r="H28" i="16"/>
  <c r="M11" i="23"/>
  <c r="N165" i="18"/>
  <c r="Q234" i="37" l="1"/>
  <c r="R233" i="37"/>
  <c r="S229" i="37"/>
  <c r="R232" i="37"/>
  <c r="S217" i="37"/>
  <c r="O165" i="18"/>
  <c r="N11" i="23"/>
  <c r="R234" i="37" l="1"/>
  <c r="S233" i="37"/>
  <c r="T229" i="37"/>
  <c r="T217" i="37"/>
  <c r="S232" i="37"/>
  <c r="O11" i="23"/>
  <c r="D155" i="19"/>
  <c r="D159" i="19" s="1"/>
  <c r="D163" i="19" s="1"/>
  <c r="D165" i="19" s="1"/>
  <c r="S234" i="37" l="1"/>
  <c r="T232" i="37"/>
  <c r="U217" i="37"/>
  <c r="U229" i="37"/>
  <c r="T233" i="37"/>
  <c r="E165" i="19"/>
  <c r="D18" i="23"/>
  <c r="U233" i="37" l="1"/>
  <c r="V229" i="37"/>
  <c r="U232" i="37"/>
  <c r="V217" i="37"/>
  <c r="T234" i="37"/>
  <c r="E18" i="23"/>
  <c r="F165" i="19"/>
  <c r="U234" i="37" l="1"/>
  <c r="V233" i="37"/>
  <c r="W229" i="37"/>
  <c r="W233" i="37" s="1"/>
  <c r="V232" i="37"/>
  <c r="W217" i="37"/>
  <c r="W232" i="37" s="1"/>
  <c r="G165" i="19"/>
  <c r="F18" i="23"/>
  <c r="V234" i="37" l="1"/>
  <c r="W234" i="37"/>
  <c r="H165" i="19"/>
  <c r="G18" i="23"/>
  <c r="I165" i="19" l="1"/>
  <c r="H18" i="23"/>
  <c r="I18" i="23" l="1"/>
  <c r="J165" i="19"/>
  <c r="K165" i="19" l="1"/>
  <c r="J18" i="23"/>
  <c r="L165" i="19" l="1"/>
  <c r="K18" i="23"/>
  <c r="L18" i="23" l="1"/>
  <c r="M165" i="19"/>
  <c r="N165" i="19" l="1"/>
  <c r="M18" i="23"/>
  <c r="O165" i="19" l="1"/>
  <c r="N18" i="23"/>
  <c r="D155" i="20" l="1"/>
  <c r="D159" i="20" s="1"/>
  <c r="D163" i="20" s="1"/>
  <c r="D165" i="20" s="1"/>
  <c r="O18" i="23"/>
  <c r="E165" i="20" l="1"/>
  <c r="D25" i="23"/>
  <c r="E25" i="23" l="1"/>
  <c r="F165" i="20"/>
  <c r="G165" i="20" l="1"/>
  <c r="F25" i="23"/>
  <c r="H165" i="20" l="1"/>
  <c r="G25" i="23"/>
  <c r="I165" i="20" l="1"/>
  <c r="H25" i="23"/>
  <c r="J165" i="20" l="1"/>
  <c r="I25" i="23"/>
  <c r="K165" i="20" l="1"/>
  <c r="J25" i="23"/>
  <c r="L165" i="20" l="1"/>
  <c r="K25" i="23"/>
  <c r="M165" i="20" l="1"/>
  <c r="L25" i="23"/>
  <c r="N165" i="20" l="1"/>
  <c r="M25" i="23"/>
  <c r="O165" i="20" l="1"/>
  <c r="N25" i="23"/>
  <c r="O25" i="23" l="1"/>
  <c r="D155" i="21"/>
  <c r="D159" i="21" s="1"/>
  <c r="D163" i="21" s="1"/>
  <c r="D165" i="21" s="1"/>
  <c r="E165" i="21" l="1"/>
  <c r="D32" i="23"/>
  <c r="E32" i="23" l="1"/>
  <c r="F165" i="21"/>
  <c r="F32" i="23" l="1"/>
  <c r="G165" i="21"/>
  <c r="H165" i="21" l="1"/>
  <c r="G32" i="23"/>
  <c r="H32" i="23" l="1"/>
  <c r="I165" i="21"/>
  <c r="I32" i="23" l="1"/>
  <c r="J165" i="21"/>
  <c r="J32" i="23" l="1"/>
  <c r="K165" i="21"/>
  <c r="K32" i="23" l="1"/>
  <c r="L165" i="21"/>
  <c r="M165" i="21" l="1"/>
  <c r="L32" i="23"/>
  <c r="N165" i="21" l="1"/>
  <c r="M32" i="23"/>
  <c r="N32" i="23" l="1"/>
  <c r="O165" i="21"/>
  <c r="D155" i="22" l="1"/>
  <c r="D159" i="22" s="1"/>
  <c r="D163" i="22" s="1"/>
  <c r="D165" i="22" s="1"/>
  <c r="O32" i="23"/>
  <c r="D39" i="23" l="1"/>
  <c r="D46" i="23" s="1"/>
  <c r="E165" i="22"/>
  <c r="E39" i="23" l="1"/>
  <c r="E46" i="23" s="1"/>
  <c r="F165" i="22"/>
  <c r="G165" i="22" l="1"/>
  <c r="F39" i="23"/>
  <c r="F46" i="23" s="1"/>
  <c r="H165" i="22" l="1"/>
  <c r="G39" i="23"/>
  <c r="G46" i="23" s="1"/>
  <c r="I165" i="22" l="1"/>
  <c r="H39" i="23"/>
  <c r="H46" i="23" s="1"/>
  <c r="J165" i="22" l="1"/>
  <c r="I39" i="23"/>
  <c r="I46" i="23" s="1"/>
  <c r="K165" i="22" l="1"/>
  <c r="J39" i="23"/>
  <c r="J46" i="23" s="1"/>
  <c r="K39" i="23" l="1"/>
  <c r="K46" i="23" s="1"/>
  <c r="L165" i="22"/>
  <c r="M165" i="22" l="1"/>
  <c r="L39" i="23"/>
  <c r="L46" i="23" s="1"/>
  <c r="M39" i="23" l="1"/>
  <c r="M46" i="23" s="1"/>
  <c r="N165" i="22"/>
  <c r="N39" i="23" l="1"/>
  <c r="N46" i="23" s="1"/>
  <c r="O165" i="22"/>
  <c r="O39" i="23" s="1"/>
  <c r="O46"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Miles</author>
    <author>Dennis Nguyen</author>
    <author>kristin nowak</author>
    <author>Kristin Nowak</author>
  </authors>
  <commentList>
    <comment ref="D13" authorId="0" shapeId="0" xr:uid="{CFE942F7-2250-4405-AD81-D8840472FCE9}">
      <text>
        <r>
          <rPr>
            <b/>
            <sz val="9"/>
            <color indexed="81"/>
            <rFont val="Tahoma"/>
            <family val="2"/>
          </rPr>
          <t>Miles:</t>
        </r>
        <r>
          <rPr>
            <sz val="9"/>
            <color indexed="81"/>
            <rFont val="Tahoma"/>
            <family val="2"/>
          </rPr>
          <t xml:space="preserve">
This formula assumes each site's ADA is the same as last year.  If this is not true, change formula to be based upon last year's P Final ADA.</t>
        </r>
      </text>
    </comment>
    <comment ref="D14" authorId="0" shapeId="0" xr:uid="{00000000-0006-0000-0300-000001000000}">
      <text>
        <r>
          <rPr>
            <b/>
            <sz val="9"/>
            <color indexed="81"/>
            <rFont val="Tahoma"/>
            <family val="2"/>
          </rPr>
          <t>Miles:</t>
        </r>
        <r>
          <rPr>
            <sz val="9"/>
            <color indexed="81"/>
            <rFont val="Tahoma"/>
            <family val="2"/>
          </rPr>
          <t xml:space="preserve">
This formula assumes each site's ADA is the same as last year.  If this is not true, change formula to be based upon last year's P Final ADA.</t>
        </r>
      </text>
    </comment>
    <comment ref="G16" authorId="1" shapeId="0" xr:uid="{2DB76367-AD31-4FB9-9B43-8481E7B9AABD}">
      <text>
        <r>
          <rPr>
            <b/>
            <sz val="9"/>
            <color indexed="81"/>
            <rFont val="Tahoma"/>
            <family val="2"/>
          </rPr>
          <t>Dennis Nguyen:</t>
        </r>
        <r>
          <rPr>
            <sz val="9"/>
            <color indexed="81"/>
            <rFont val="Tahoma"/>
            <family val="2"/>
          </rPr>
          <t xml:space="preserve">
ELO 15%</t>
        </r>
      </text>
    </comment>
    <comment ref="H16" authorId="1" shapeId="0" xr:uid="{18819305-E509-4CA6-9C0D-D13D3C9E14F3}">
      <text>
        <r>
          <rPr>
            <b/>
            <sz val="9"/>
            <color indexed="81"/>
            <rFont val="Tahoma"/>
            <family val="2"/>
          </rPr>
          <t>Dennis Nguyen:</t>
        </r>
        <r>
          <rPr>
            <sz val="9"/>
            <color indexed="81"/>
            <rFont val="Tahoma"/>
            <family val="2"/>
          </rPr>
          <t xml:space="preserve">
ELO 15%</t>
        </r>
      </text>
    </comment>
    <comment ref="I16" authorId="1" shapeId="0" xr:uid="{9BA01D4C-EBB0-4DDA-8FAD-352DCC2D2970}">
      <text>
        <r>
          <rPr>
            <b/>
            <sz val="9"/>
            <color indexed="81"/>
            <rFont val="Tahoma"/>
            <family val="2"/>
          </rPr>
          <t>Dennis Nguyen:</t>
        </r>
        <r>
          <rPr>
            <sz val="9"/>
            <color indexed="81"/>
            <rFont val="Tahoma"/>
            <family val="2"/>
          </rPr>
          <t xml:space="preserve">
ELO 15%</t>
        </r>
      </text>
    </comment>
    <comment ref="G25" authorId="1" shapeId="0" xr:uid="{EAFA8F20-1553-444A-A688-5D6FFC6FDBA4}">
      <text>
        <r>
          <rPr>
            <b/>
            <sz val="9"/>
            <color indexed="81"/>
            <rFont val="Tahoma"/>
            <family val="2"/>
          </rPr>
          <t>Dennis Nguyen:</t>
        </r>
        <r>
          <rPr>
            <sz val="9"/>
            <color indexed="81"/>
            <rFont val="Tahoma"/>
            <family val="2"/>
          </rPr>
          <t xml:space="preserve">
ESSERII - $181,313
ESSER III - $120,422.81</t>
        </r>
      </text>
    </comment>
    <comment ref="H25" authorId="1" shapeId="0" xr:uid="{591EB4E9-B371-48F9-898B-2F944652C793}">
      <text>
        <r>
          <rPr>
            <b/>
            <sz val="9"/>
            <color indexed="81"/>
            <rFont val="Tahoma"/>
            <family val="2"/>
          </rPr>
          <t>Dennis Nguyen:</t>
        </r>
        <r>
          <rPr>
            <sz val="9"/>
            <color indexed="81"/>
            <rFont val="Tahoma"/>
            <family val="2"/>
          </rPr>
          <t xml:space="preserve">
CSI 21/22 - $201,719
ESSERII - $352,727
ESSER III - $244,973.99</t>
        </r>
      </text>
    </comment>
    <comment ref="I25" authorId="1" shapeId="0" xr:uid="{2D8BACCC-6B11-4EE4-95D9-005F6C06184A}">
      <text>
        <r>
          <rPr>
            <b/>
            <sz val="9"/>
            <color indexed="81"/>
            <rFont val="Tahoma"/>
            <family val="2"/>
          </rPr>
          <t>Dennis Nguyen:</t>
        </r>
        <r>
          <rPr>
            <sz val="9"/>
            <color indexed="81"/>
            <rFont val="Tahoma"/>
            <family val="2"/>
          </rPr>
          <t xml:space="preserve">
CSI 21/22 - $201,719
ESSERII - $443,638
ESSER III - $344,761.02</t>
        </r>
      </text>
    </comment>
    <comment ref="J47" authorId="2" shapeId="0" xr:uid="{AF1F8FD7-F307-4B14-BC86-2CC48C88737A}">
      <text>
        <r>
          <rPr>
            <b/>
            <sz val="9"/>
            <color indexed="81"/>
            <rFont val="Tahoma"/>
            <family val="2"/>
          </rPr>
          <t>kristin nowak:</t>
        </r>
        <r>
          <rPr>
            <sz val="9"/>
            <color indexed="81"/>
            <rFont val="Tahoma"/>
            <family val="2"/>
          </rPr>
          <t xml:space="preserve">
Mai to confirm</t>
        </r>
      </text>
    </comment>
    <comment ref="H56" authorId="2" shapeId="0" xr:uid="{3EFFE342-6299-4874-80E5-8A602CD2882E}">
      <text>
        <r>
          <rPr>
            <b/>
            <sz val="9"/>
            <color indexed="81"/>
            <rFont val="Tahoma"/>
            <family val="2"/>
          </rPr>
          <t>kristin nowak:</t>
        </r>
        <r>
          <rPr>
            <sz val="9"/>
            <color indexed="81"/>
            <rFont val="Tahoma"/>
            <family val="2"/>
          </rPr>
          <t xml:space="preserve">
21/22 allocation</t>
        </r>
      </text>
    </comment>
    <comment ref="I56" authorId="2" shapeId="0" xr:uid="{2858CB2C-2A56-4FE2-B36E-291C344F1A31}">
      <text>
        <r>
          <rPr>
            <b/>
            <sz val="9"/>
            <color indexed="81"/>
            <rFont val="Tahoma"/>
            <family val="2"/>
          </rPr>
          <t>kristin nowak:</t>
        </r>
        <r>
          <rPr>
            <sz val="9"/>
            <color indexed="81"/>
            <rFont val="Tahoma"/>
            <family val="2"/>
          </rPr>
          <t xml:space="preserve">
21/22 allocation</t>
        </r>
      </text>
    </comment>
    <comment ref="J58" authorId="2" shapeId="0" xr:uid="{1289C1F6-22AB-4408-937A-85E8ADF5727D}">
      <text>
        <r>
          <rPr>
            <b/>
            <sz val="9"/>
            <color indexed="81"/>
            <rFont val="Tahoma"/>
            <family val="2"/>
          </rPr>
          <t>kristin nowak:</t>
        </r>
        <r>
          <rPr>
            <sz val="9"/>
            <color indexed="81"/>
            <rFont val="Tahoma"/>
            <family val="2"/>
          </rPr>
          <t xml:space="preserve">
Split remaining ESSER 3 $s between FY23 &amp; FY24</t>
        </r>
      </text>
    </comment>
    <comment ref="G67" authorId="3" shapeId="0" xr:uid="{575369A5-0C29-4127-8339-0702B8F912BA}">
      <text>
        <r>
          <rPr>
            <b/>
            <sz val="9"/>
            <color indexed="81"/>
            <rFont val="Tahoma"/>
            <family val="2"/>
          </rPr>
          <t>Kristin Nowak:</t>
        </r>
        <r>
          <rPr>
            <sz val="9"/>
            <color indexed="81"/>
            <rFont val="Tahoma"/>
            <family val="2"/>
          </rPr>
          <t xml:space="preserve">
Planned</t>
        </r>
      </text>
    </comment>
    <comment ref="H67" authorId="3" shapeId="0" xr:uid="{A72034E4-96E9-4C1F-B6A7-F2EA7E627EB2}">
      <text>
        <r>
          <rPr>
            <b/>
            <sz val="9"/>
            <color indexed="81"/>
            <rFont val="Tahoma"/>
            <family val="2"/>
          </rPr>
          <t>Kristin Nowak:</t>
        </r>
        <r>
          <rPr>
            <sz val="9"/>
            <color indexed="81"/>
            <rFont val="Tahoma"/>
            <family val="2"/>
          </rPr>
          <t xml:space="preserve">
planned</t>
        </r>
      </text>
    </comment>
    <comment ref="I67" authorId="3" shapeId="0" xr:uid="{E477F3F2-55A0-46BE-954C-986AE6E500EF}">
      <text>
        <r>
          <rPr>
            <b/>
            <sz val="9"/>
            <color indexed="81"/>
            <rFont val="Tahoma"/>
            <family val="2"/>
          </rPr>
          <t>Kristin Nowak:</t>
        </r>
        <r>
          <rPr>
            <sz val="9"/>
            <color indexed="81"/>
            <rFont val="Tahoma"/>
            <family val="2"/>
          </rPr>
          <t xml:space="preserve">
planned</t>
        </r>
      </text>
    </comment>
    <comment ref="L70" authorId="3" shapeId="0" xr:uid="{E8628006-7B50-4420-8BF5-E07863D64A6B}">
      <text>
        <r>
          <rPr>
            <b/>
            <sz val="9"/>
            <color indexed="81"/>
            <rFont val="Tahoma"/>
            <family val="2"/>
          </rPr>
          <t>Kristin Nowak:</t>
        </r>
        <r>
          <rPr>
            <sz val="9"/>
            <color indexed="81"/>
            <rFont val="Tahoma"/>
            <family val="2"/>
          </rPr>
          <t xml:space="preserve">
 planned $462k to offset longevity stipends</t>
        </r>
      </text>
    </comment>
    <comment ref="Z71" authorId="3" shapeId="0" xr:uid="{351CFDEB-2D44-40C3-A843-2B142974FE44}">
      <text>
        <r>
          <rPr>
            <b/>
            <sz val="9"/>
            <color indexed="81"/>
            <rFont val="Tahoma"/>
            <family val="2"/>
          </rPr>
          <t>Kristin Nowak:</t>
        </r>
        <r>
          <rPr>
            <sz val="9"/>
            <color indexed="81"/>
            <rFont val="Tahoma"/>
            <family val="2"/>
          </rPr>
          <t xml:space="preserve">
Assessment and Data team + PARSEC- as Plan B</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C9" authorId="0" shapeId="0" xr:uid="{00000000-0006-0000-0D00-000001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0" shapeId="0" xr:uid="{00000000-0006-0000-0D00-000002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 ref="C153" authorId="0" shapeId="0" xr:uid="{00000000-0006-0000-0D00-000003000000}">
      <text>
        <r>
          <rPr>
            <b/>
            <sz val="9"/>
            <color indexed="81"/>
            <rFont val="Tahoma"/>
            <family val="2"/>
          </rPr>
          <t>Miles:</t>
        </r>
        <r>
          <rPr>
            <sz val="9"/>
            <color indexed="81"/>
            <rFont val="Tahoma"/>
            <family val="2"/>
          </rPr>
          <t xml:space="preserve">
The intent of this small additional section is to capture the initial cash balance amounts and 'leftover' items from last year</t>
        </r>
      </text>
    </comment>
    <comment ref="C155" authorId="0" shapeId="0" xr:uid="{00000000-0006-0000-0D00-000004000000}">
      <text>
        <r>
          <rPr>
            <b/>
            <sz val="9"/>
            <color indexed="81"/>
            <rFont val="Tahoma"/>
            <family val="2"/>
          </rPr>
          <t>Miles:</t>
        </r>
        <r>
          <rPr>
            <sz val="9"/>
            <color indexed="81"/>
            <rFont val="Tahoma"/>
            <family val="2"/>
          </rPr>
          <t xml:space="preserve">
Ensure no double counting with Revenue line 8019, Prior Year Income</t>
        </r>
      </text>
    </comment>
    <comment ref="C157" authorId="0" shapeId="0" xr:uid="{00000000-0006-0000-0D00-000005000000}">
      <text>
        <r>
          <rPr>
            <b/>
            <sz val="9"/>
            <color indexed="81"/>
            <rFont val="Tahoma"/>
            <family val="2"/>
          </rPr>
          <t>Miles:</t>
        </r>
        <r>
          <rPr>
            <sz val="9"/>
            <color indexed="81"/>
            <rFont val="Tahoma"/>
            <family val="2"/>
          </rPr>
          <t xml:space="preserve">
Interest is covered via Expense line 7438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C9" authorId="0" shapeId="0" xr:uid="{00000000-0006-0000-0E00-000001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0" shapeId="0" xr:uid="{00000000-0006-0000-0E00-000002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 ref="C153" authorId="0" shapeId="0" xr:uid="{00000000-0006-0000-0E00-000003000000}">
      <text>
        <r>
          <rPr>
            <b/>
            <sz val="9"/>
            <color indexed="81"/>
            <rFont val="Tahoma"/>
            <family val="2"/>
          </rPr>
          <t>Miles:</t>
        </r>
        <r>
          <rPr>
            <sz val="9"/>
            <color indexed="81"/>
            <rFont val="Tahoma"/>
            <family val="2"/>
          </rPr>
          <t xml:space="preserve">
The intent of this small additional section is to capture the initial cash balance amounts and 'leftover' items from last year</t>
        </r>
      </text>
    </comment>
    <comment ref="C155" authorId="0" shapeId="0" xr:uid="{00000000-0006-0000-0E00-000004000000}">
      <text>
        <r>
          <rPr>
            <b/>
            <sz val="9"/>
            <color indexed="81"/>
            <rFont val="Tahoma"/>
            <family val="2"/>
          </rPr>
          <t>Miles:</t>
        </r>
        <r>
          <rPr>
            <sz val="9"/>
            <color indexed="81"/>
            <rFont val="Tahoma"/>
            <family val="2"/>
          </rPr>
          <t xml:space="preserve">
Ensure no double counting with Revenue line 8019, Prior Year Income</t>
        </r>
      </text>
    </comment>
    <comment ref="C157" authorId="0" shapeId="0" xr:uid="{00000000-0006-0000-0E00-000005000000}">
      <text>
        <r>
          <rPr>
            <b/>
            <sz val="9"/>
            <color indexed="81"/>
            <rFont val="Tahoma"/>
            <family val="2"/>
          </rPr>
          <t>Miles:</t>
        </r>
        <r>
          <rPr>
            <sz val="9"/>
            <color indexed="81"/>
            <rFont val="Tahoma"/>
            <family val="2"/>
          </rPr>
          <t xml:space="preserve">
Interest is covered via Expense line 7438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C9" authorId="0" shapeId="0" xr:uid="{00000000-0006-0000-0F00-000001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0" shapeId="0" xr:uid="{00000000-0006-0000-0F00-000002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 ref="C153" authorId="0" shapeId="0" xr:uid="{00000000-0006-0000-0F00-000003000000}">
      <text>
        <r>
          <rPr>
            <b/>
            <sz val="9"/>
            <color indexed="81"/>
            <rFont val="Tahoma"/>
            <family val="2"/>
          </rPr>
          <t>Miles:</t>
        </r>
        <r>
          <rPr>
            <sz val="9"/>
            <color indexed="81"/>
            <rFont val="Tahoma"/>
            <family val="2"/>
          </rPr>
          <t xml:space="preserve">
The intent of this small additional section is to capture the initial cash balance amounts and 'leftover' items from last year</t>
        </r>
      </text>
    </comment>
    <comment ref="C155" authorId="0" shapeId="0" xr:uid="{00000000-0006-0000-0F00-000004000000}">
      <text>
        <r>
          <rPr>
            <b/>
            <sz val="9"/>
            <color indexed="81"/>
            <rFont val="Tahoma"/>
            <family val="2"/>
          </rPr>
          <t>Miles:</t>
        </r>
        <r>
          <rPr>
            <sz val="9"/>
            <color indexed="81"/>
            <rFont val="Tahoma"/>
            <family val="2"/>
          </rPr>
          <t xml:space="preserve">
Ensure no double counting with Revenue line 8019, Prior Year Income</t>
        </r>
      </text>
    </comment>
    <comment ref="C157" authorId="0" shapeId="0" xr:uid="{00000000-0006-0000-0F00-000005000000}">
      <text>
        <r>
          <rPr>
            <b/>
            <sz val="9"/>
            <color indexed="81"/>
            <rFont val="Tahoma"/>
            <family val="2"/>
          </rPr>
          <t>Miles:</t>
        </r>
        <r>
          <rPr>
            <sz val="9"/>
            <color indexed="81"/>
            <rFont val="Tahoma"/>
            <family val="2"/>
          </rPr>
          <t xml:space="preserve">
Interest is covered via Expense line 7438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mdenniston</author>
    <author>Miles</author>
  </authors>
  <commentList>
    <comment ref="D5" authorId="0" shapeId="0" xr:uid="{00000000-0006-0000-1000-000001000000}">
      <text>
        <r>
          <rPr>
            <b/>
            <sz val="9"/>
            <color indexed="81"/>
            <rFont val="Tahoma"/>
            <family val="2"/>
          </rPr>
          <t>mdenniston:</t>
        </r>
        <r>
          <rPr>
            <sz val="9"/>
            <color indexed="81"/>
            <rFont val="Tahoma"/>
            <family val="2"/>
          </rPr>
          <t xml:space="preserve">
If prior year P2 is different than the current year ADA estimate, put prior year P2 ADA as the numerator</t>
        </r>
      </text>
    </comment>
    <comment ref="C9" authorId="1" shapeId="0" xr:uid="{00000000-0006-0000-1000-000002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1" shapeId="0" xr:uid="{00000000-0006-0000-1000-000003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mdenniston</author>
    <author>Miles</author>
  </authors>
  <commentList>
    <comment ref="D5" authorId="0" shapeId="0" xr:uid="{00000000-0006-0000-1100-000001000000}">
      <text>
        <r>
          <rPr>
            <b/>
            <sz val="9"/>
            <color indexed="81"/>
            <rFont val="Tahoma"/>
            <family val="2"/>
          </rPr>
          <t>mdenniston:</t>
        </r>
        <r>
          <rPr>
            <sz val="9"/>
            <color indexed="81"/>
            <rFont val="Tahoma"/>
            <family val="2"/>
          </rPr>
          <t xml:space="preserve">
This is a rough attendance adjustment of prior year ADA vs. current year ADA.  If the school is expanding into a new grade and files a PENSEC, this adjustment would need to be modified</t>
        </r>
      </text>
    </comment>
    <comment ref="C9" authorId="1" shapeId="0" xr:uid="{00000000-0006-0000-1100-000002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1" shapeId="0" xr:uid="{00000000-0006-0000-1100-000003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mdenniston</author>
    <author>Miles</author>
  </authors>
  <commentList>
    <comment ref="D5" authorId="0" shapeId="0" xr:uid="{00000000-0006-0000-1200-000001000000}">
      <text>
        <r>
          <rPr>
            <b/>
            <sz val="9"/>
            <color indexed="81"/>
            <rFont val="Tahoma"/>
            <family val="2"/>
          </rPr>
          <t>mdenniston:</t>
        </r>
        <r>
          <rPr>
            <sz val="9"/>
            <color indexed="81"/>
            <rFont val="Tahoma"/>
            <family val="2"/>
          </rPr>
          <t xml:space="preserve">
This is a rough attendance adjustment of prior year ADA vs. current year ADA.  If the school is expanding into a new grade and files a PENSEC, this adjustment would need to be modified</t>
        </r>
      </text>
    </comment>
    <comment ref="C9" authorId="1" shapeId="0" xr:uid="{00000000-0006-0000-1200-000002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1" shapeId="0" xr:uid="{00000000-0006-0000-1200-000003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mdenniston</author>
    <author>Miles</author>
  </authors>
  <commentList>
    <comment ref="D5" authorId="0" shapeId="0" xr:uid="{00000000-0006-0000-1300-000001000000}">
      <text>
        <r>
          <rPr>
            <b/>
            <sz val="9"/>
            <color indexed="81"/>
            <rFont val="Tahoma"/>
            <family val="2"/>
          </rPr>
          <t>mdenniston:</t>
        </r>
        <r>
          <rPr>
            <sz val="9"/>
            <color indexed="81"/>
            <rFont val="Tahoma"/>
            <family val="2"/>
          </rPr>
          <t xml:space="preserve">
This is a rough attendance adjustment of prior year ADA vs. current year ADA.  If the school is expanding into a new grade and files a PENSEC, this adjustment would need to be modified</t>
        </r>
      </text>
    </comment>
    <comment ref="C9" authorId="1" shapeId="0" xr:uid="{00000000-0006-0000-1300-000002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1" shapeId="0" xr:uid="{00000000-0006-0000-1300-000003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mdenniston</author>
    <author>Miles</author>
  </authors>
  <commentList>
    <comment ref="D5" authorId="0" shapeId="0" xr:uid="{00000000-0006-0000-1400-000001000000}">
      <text>
        <r>
          <rPr>
            <b/>
            <sz val="9"/>
            <color indexed="81"/>
            <rFont val="Tahoma"/>
            <family val="2"/>
          </rPr>
          <t>mdenniston:</t>
        </r>
        <r>
          <rPr>
            <sz val="9"/>
            <color indexed="81"/>
            <rFont val="Tahoma"/>
            <family val="2"/>
          </rPr>
          <t xml:space="preserve">
This is a rough attendance adjustment of prior year ADA vs. current year ADA.  If the school is expanding into a new grade and files a PENSEC, this adjustment would need to be modified</t>
        </r>
      </text>
    </comment>
    <comment ref="C9" authorId="1" shapeId="0" xr:uid="{00000000-0006-0000-1400-000002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1" shapeId="0" xr:uid="{00000000-0006-0000-1400-000003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Miles</author>
    <author>Dennis Nguyen</author>
    <author>kristin nowak</author>
    <author>Kristin Nowak</author>
  </authors>
  <commentList>
    <comment ref="C6" authorId="0" shapeId="0" xr:uid="{00000000-0006-0000-0400-000001000000}">
      <text>
        <r>
          <rPr>
            <b/>
            <sz val="9"/>
            <color indexed="81"/>
            <rFont val="Tahoma"/>
            <family val="2"/>
          </rPr>
          <t>Miles:</t>
        </r>
        <r>
          <rPr>
            <sz val="9"/>
            <color indexed="81"/>
            <rFont val="Tahoma"/>
            <family val="2"/>
          </rPr>
          <t xml:space="preserve">
This tab's formulas (columns D thru I) key off of the SACS codes in this column.  So make sure these SACS codes agree with the ones used in the Employee Input tab(s)</t>
        </r>
      </text>
    </comment>
    <comment ref="L58" authorId="1" shapeId="0" xr:uid="{A7DC32AD-F85D-4828-B596-F13A88E5D61D}">
      <text>
        <r>
          <rPr>
            <b/>
            <sz val="9"/>
            <color indexed="81"/>
            <rFont val="Tahoma"/>
            <family val="2"/>
          </rPr>
          <t>HS $3000 + K-8 $2800</t>
        </r>
        <r>
          <rPr>
            <sz val="9"/>
            <color indexed="81"/>
            <rFont val="Tahoma"/>
            <family val="2"/>
          </rPr>
          <t xml:space="preserve"> + 
TK scholar count @ $2200 reduced by actual usage (80%) and date scholars enrolled) 
</t>
        </r>
      </text>
    </comment>
    <comment ref="L59" authorId="1" shapeId="0" xr:uid="{DED3A5B3-E0D6-4D75-B558-F59F89D87B89}">
      <text>
        <r>
          <rPr>
            <b/>
            <sz val="9"/>
            <color indexed="81"/>
            <rFont val="Tahoma"/>
            <family val="2"/>
          </rPr>
          <t>Dennis Nguyen:</t>
        </r>
        <r>
          <rPr>
            <sz val="9"/>
            <color indexed="81"/>
            <rFont val="Tahoma"/>
            <family val="2"/>
          </rPr>
          <t xml:space="preserve">
Star by Ren - 57,084
$233k allocated</t>
        </r>
      </text>
    </comment>
    <comment ref="L60" authorId="2" shapeId="0" xr:uid="{691AAE90-FA10-44D6-B724-4DE76D6E9A54}">
      <text>
        <r>
          <rPr>
            <b/>
            <sz val="9"/>
            <color indexed="81"/>
            <rFont val="Tahoma"/>
            <family val="2"/>
          </rPr>
          <t>kristin nowak:</t>
        </r>
        <r>
          <rPr>
            <sz val="9"/>
            <color indexed="81"/>
            <rFont val="Tahoma"/>
            <family val="2"/>
          </rPr>
          <t xml:space="preserve">
Detail see wish list sheet</t>
        </r>
      </text>
    </comment>
    <comment ref="L62" authorId="2" shapeId="0" xr:uid="{D3C9A537-3A55-41A6-98BF-2D8221F425A5}">
      <text>
        <r>
          <rPr>
            <b/>
            <sz val="9"/>
            <color indexed="81"/>
            <rFont val="Tahoma"/>
            <family val="2"/>
          </rPr>
          <t>kristin nowak:</t>
        </r>
        <r>
          <rPr>
            <sz val="9"/>
            <color indexed="81"/>
            <rFont val="Tahoma"/>
            <family val="2"/>
          </rPr>
          <t xml:space="preserve">
$402k CSI based on FY22 awards plus- use for PD retreat</t>
        </r>
      </text>
    </comment>
    <comment ref="L63" authorId="2" shapeId="0" xr:uid="{6FBE955F-C412-4B72-BBE7-4FA3AB58E7DF}">
      <text>
        <r>
          <rPr>
            <b/>
            <sz val="9"/>
            <color indexed="81"/>
            <rFont val="Tahoma"/>
            <family val="2"/>
          </rPr>
          <t>kristin nowak:</t>
        </r>
        <r>
          <rPr>
            <sz val="9"/>
            <color indexed="81"/>
            <rFont val="Tahoma"/>
            <family val="2"/>
          </rPr>
          <t xml:space="preserve">
Added $5k Testing supplies plus regular usage, calculators
$1k shelf stable food
</t>
        </r>
      </text>
    </comment>
    <comment ref="L66" authorId="2" shapeId="0" xr:uid="{7D7D7FBA-2DE9-42B2-B4A9-CD559E83AAA3}">
      <text>
        <r>
          <rPr>
            <b/>
            <sz val="9"/>
            <color indexed="81"/>
            <rFont val="Tahoma"/>
            <family val="2"/>
          </rPr>
          <t>kristin nowak:</t>
        </r>
        <r>
          <rPr>
            <sz val="9"/>
            <color indexed="81"/>
            <rFont val="Tahoma"/>
            <family val="2"/>
          </rPr>
          <t xml:space="preserve">
Staff Laptops spend planned: $175k
YTD activity FY23 at 5.08 $15k</t>
        </r>
      </text>
    </comment>
    <comment ref="L67" authorId="1" shapeId="0" xr:uid="{85A834F2-B96C-4429-978C-9A154F19D5B2}">
      <text>
        <r>
          <rPr>
            <b/>
            <sz val="9"/>
            <color indexed="81"/>
            <rFont val="Tahoma"/>
            <family val="2"/>
          </rPr>
          <t>Dennis Nguyen:</t>
        </r>
        <r>
          <rPr>
            <sz val="9"/>
            <color indexed="81"/>
            <rFont val="Tahoma"/>
            <family val="2"/>
          </rPr>
          <t xml:space="preserve">
Accelerate license $185k
Lalio $5.3k
Yamm $240
Big Query $1700/mo * 12
TITLE 4- $30k
ESSER 3214 $350k</t>
        </r>
      </text>
    </comment>
    <comment ref="L68" authorId="2" shapeId="0" xr:uid="{355EBDCD-B684-4732-ADA3-02C17BF2C862}">
      <text>
        <r>
          <rPr>
            <b/>
            <sz val="9"/>
            <color indexed="81"/>
            <rFont val="Tahoma"/>
            <family val="2"/>
          </rPr>
          <t>kristin nowak:</t>
        </r>
        <r>
          <rPr>
            <sz val="9"/>
            <color indexed="81"/>
            <rFont val="Tahoma"/>
            <family val="2"/>
          </rPr>
          <t xml:space="preserve">
EdTech charges</t>
        </r>
      </text>
    </comment>
    <comment ref="L73" authorId="2" shapeId="0" xr:uid="{A245D7A3-907B-49D5-A103-89A0134CE9DC}">
      <text>
        <r>
          <rPr>
            <b/>
            <sz val="9"/>
            <color indexed="81"/>
            <rFont val="Tahoma"/>
            <family val="2"/>
          </rPr>
          <t>kristin nowak:</t>
        </r>
        <r>
          <rPr>
            <sz val="9"/>
            <color indexed="81"/>
            <rFont val="Tahoma"/>
            <family val="2"/>
          </rPr>
          <t xml:space="preserve">
$10k added for travel costs assoc with test proctoring</t>
        </r>
      </text>
    </comment>
    <comment ref="L74" authorId="2" shapeId="0" xr:uid="{25F6046F-41CB-4349-BED5-7A0FA3A0716E}">
      <text>
        <r>
          <rPr>
            <b/>
            <sz val="9"/>
            <color indexed="81"/>
            <rFont val="Tahoma"/>
            <family val="2"/>
          </rPr>
          <t>kristin nowak:</t>
        </r>
        <r>
          <rPr>
            <sz val="9"/>
            <color indexed="81"/>
            <rFont val="Tahoma"/>
            <family val="2"/>
          </rPr>
          <t xml:space="preserve">
Retreat $300k Learner center collab $100k in CSI line item</t>
        </r>
      </text>
    </comment>
    <comment ref="L75" authorId="2" shapeId="0" xr:uid="{4FBFED9B-6BDA-48F1-8C86-4F81B240D6C1}">
      <text>
        <r>
          <rPr>
            <b/>
            <sz val="9"/>
            <color indexed="81"/>
            <rFont val="Tahoma"/>
            <family val="2"/>
          </rPr>
          <t>kristin nowak:</t>
        </r>
        <r>
          <rPr>
            <sz val="9"/>
            <color indexed="81"/>
            <rFont val="Tahoma"/>
            <family val="2"/>
          </rPr>
          <t xml:space="preserve">
CASBO $1800</t>
        </r>
      </text>
    </comment>
    <comment ref="L80" authorId="2" shapeId="0" xr:uid="{F9D57630-5C47-42F0-9079-803D02198E49}">
      <text>
        <r>
          <rPr>
            <b/>
            <sz val="9"/>
            <color indexed="81"/>
            <rFont val="Tahoma"/>
            <family val="2"/>
          </rPr>
          <t>kristin nowak:</t>
        </r>
        <r>
          <rPr>
            <sz val="9"/>
            <color indexed="81"/>
            <rFont val="Tahoma"/>
            <family val="2"/>
          </rPr>
          <t xml:space="preserve">
CO: Effective January 1st 
$4920/month Thousand Oaks plus 3% increase
OCLC: </t>
        </r>
      </text>
    </comment>
    <comment ref="L82" authorId="2" shapeId="0" xr:uid="{D2F5D17C-C979-4839-AC26-50C2E02F8F53}">
      <text>
        <r>
          <rPr>
            <b/>
            <sz val="9"/>
            <color indexed="81"/>
            <rFont val="Tahoma"/>
            <family val="2"/>
          </rPr>
          <t>kristin nowak:</t>
        </r>
        <r>
          <rPr>
            <sz val="9"/>
            <color indexed="81"/>
            <rFont val="Tahoma"/>
            <family val="2"/>
          </rPr>
          <t xml:space="preserve">
state testing facility costs for space rentals
Per LF increased from $30k to $80k 4.28.22</t>
        </r>
      </text>
    </comment>
    <comment ref="L85" authorId="2" shapeId="0" xr:uid="{8148840A-C579-4E1B-B0E5-299F76DF99B0}">
      <text>
        <r>
          <rPr>
            <b/>
            <sz val="9"/>
            <color indexed="81"/>
            <rFont val="Tahoma"/>
            <family val="2"/>
          </rPr>
          <t>kristin nowak:</t>
        </r>
        <r>
          <rPr>
            <sz val="9"/>
            <color indexed="81"/>
            <rFont val="Tahoma"/>
            <family val="2"/>
          </rPr>
          <t xml:space="preserve">
 $179k Ed Effectiveness</t>
        </r>
      </text>
    </comment>
    <comment ref="L86" authorId="3" shapeId="0" xr:uid="{C8C7F8A2-40B3-4C7F-9155-B5F00478FCBD}">
      <text>
        <r>
          <rPr>
            <b/>
            <sz val="9"/>
            <color indexed="81"/>
            <rFont val="Tahoma"/>
            <family val="2"/>
          </rPr>
          <t>Kristin Nowak:</t>
        </r>
        <r>
          <rPr>
            <sz val="9"/>
            <color indexed="81"/>
            <rFont val="Tahoma"/>
            <family val="2"/>
          </rPr>
          <t xml:space="preserve">
Payroll and HR- moved Bamboo $s here</t>
        </r>
      </text>
    </comment>
    <comment ref="L88" authorId="2" shapeId="0" xr:uid="{0B86CD3F-6DCC-485B-9B16-41B9B302B59A}">
      <text>
        <r>
          <rPr>
            <b/>
            <sz val="9"/>
            <color indexed="81"/>
            <rFont val="Tahoma"/>
            <family val="2"/>
          </rPr>
          <t>kristin nowak:</t>
        </r>
        <r>
          <rPr>
            <sz val="9"/>
            <color indexed="81"/>
            <rFont val="Tahoma"/>
            <family val="2"/>
          </rPr>
          <t xml:space="preserve">
Fy23 $22,220, FY24 $23,030</t>
        </r>
      </text>
    </comment>
    <comment ref="L91" authorId="3" shapeId="0" xr:uid="{4A1203CA-DCA0-4CB0-9C2A-0986BAE6F999}">
      <text>
        <r>
          <rPr>
            <b/>
            <sz val="9"/>
            <color indexed="81"/>
            <rFont val="Tahoma"/>
            <family val="2"/>
          </rPr>
          <t>Kristin Nowak:</t>
        </r>
        <r>
          <rPr>
            <sz val="9"/>
            <color indexed="81"/>
            <rFont val="Tahoma"/>
            <family val="2"/>
          </rPr>
          <t xml:space="preserve">
Per Lisa on 5.09.23</t>
        </r>
      </text>
    </comment>
    <comment ref="L93" authorId="2" shapeId="0" xr:uid="{57BA62C6-C20A-455F-96AC-FD53607380D1}">
      <text>
        <r>
          <rPr>
            <b/>
            <sz val="9"/>
            <color indexed="81"/>
            <rFont val="Tahoma"/>
            <family val="2"/>
          </rPr>
          <t>kristin nowak:</t>
        </r>
        <r>
          <rPr>
            <sz val="9"/>
            <color indexed="81"/>
            <rFont val="Tahoma"/>
            <family val="2"/>
          </rPr>
          <t xml:space="preserve">
GRADUATION COSTS MOVED HERE ONLY</t>
        </r>
      </text>
    </comment>
    <comment ref="L94" authorId="2" shapeId="0" xr:uid="{ACCD1B17-051F-416A-AA34-FC0ACD32ABF9}">
      <text>
        <r>
          <rPr>
            <b/>
            <sz val="9"/>
            <color indexed="81"/>
            <rFont val="Tahoma"/>
            <family val="2"/>
          </rPr>
          <t>kristin nowak:</t>
        </r>
        <r>
          <rPr>
            <sz val="9"/>
            <color indexed="81"/>
            <rFont val="Tahoma"/>
            <family val="2"/>
          </rPr>
          <t xml:space="preserve">
Enrollment services CSC $1500/scholar- $250k
</t>
        </r>
      </text>
    </comment>
    <comment ref="L96" authorId="2" shapeId="0" xr:uid="{D8BA5B96-D07E-4E37-B56B-58C5405EA6E2}">
      <text>
        <r>
          <rPr>
            <b/>
            <sz val="9"/>
            <color indexed="81"/>
            <rFont val="Tahoma"/>
            <family val="2"/>
          </rPr>
          <t>kristin nowak:</t>
        </r>
        <r>
          <rPr>
            <sz val="9"/>
            <color indexed="81"/>
            <rFont val="Tahoma"/>
            <family val="2"/>
          </rPr>
          <t xml:space="preserve">
Scholar clubs and engagement
$13k Ethnic Studies $s</t>
        </r>
      </text>
    </comment>
    <comment ref="L97" authorId="2" shapeId="0" xr:uid="{5D2F79F9-0626-4020-906B-C145844D54F5}">
      <text>
        <r>
          <rPr>
            <b/>
            <sz val="9"/>
            <color indexed="81"/>
            <rFont val="Tahoma"/>
            <family val="2"/>
          </rPr>
          <t>kristin nowak:</t>
        </r>
        <r>
          <rPr>
            <sz val="9"/>
            <color indexed="81"/>
            <rFont val="Tahoma"/>
            <family val="2"/>
          </rPr>
          <t xml:space="preserve">
Updated based on updated LCFF $s as of 2.24</t>
        </r>
      </text>
    </comment>
    <comment ref="L98" authorId="2" shapeId="0" xr:uid="{70242B8F-4CFB-4AE3-A66C-58C7C97C413A}">
      <text>
        <r>
          <rPr>
            <b/>
            <sz val="9"/>
            <color indexed="81"/>
            <rFont val="Tahoma"/>
            <family val="2"/>
          </rPr>
          <t>kristin nowak:</t>
        </r>
        <r>
          <rPr>
            <sz val="9"/>
            <color indexed="81"/>
            <rFont val="Tahoma"/>
            <family val="2"/>
          </rPr>
          <t xml:space="preserve">
</t>
        </r>
      </text>
    </comment>
    <comment ref="L100" authorId="1" shapeId="0" xr:uid="{2DD6C723-5840-410A-A784-ED03BFCFE624}">
      <text>
        <r>
          <rPr>
            <b/>
            <sz val="9"/>
            <color indexed="81"/>
            <rFont val="Tahoma"/>
            <family val="2"/>
          </rPr>
          <t>Dennis Nguyen:</t>
        </r>
        <r>
          <rPr>
            <sz val="9"/>
            <color indexed="81"/>
            <rFont val="Tahoma"/>
            <family val="2"/>
          </rPr>
          <t xml:space="preserve">
Pathways - $511,160/3= $170,387
OPS - $25,851
ClassLink - $13,694
Zoom - $15,000
Adobe - $5200
TPX cyber security $120k</t>
        </r>
      </text>
    </comment>
    <comment ref="L103" authorId="2" shapeId="0" xr:uid="{B6E525A3-7538-4219-82CD-971B199839CB}">
      <text>
        <r>
          <rPr>
            <b/>
            <sz val="9"/>
            <color indexed="81"/>
            <rFont val="Tahoma"/>
            <family val="2"/>
          </rPr>
          <t>kristin nowak:</t>
        </r>
        <r>
          <rPr>
            <sz val="9"/>
            <color indexed="81"/>
            <rFont val="Tahoma"/>
            <family val="2"/>
          </rPr>
          <t xml:space="preserve">
Addtl $15k in shipping costs test-related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A7" authorId="0" shapeId="0" xr:uid="{00000000-0006-0000-0600-000001000000}">
      <text>
        <r>
          <rPr>
            <b/>
            <sz val="9"/>
            <color indexed="81"/>
            <rFont val="Tahoma"/>
            <family val="2"/>
          </rPr>
          <t>Miles:</t>
        </r>
        <r>
          <rPr>
            <sz val="9"/>
            <color indexed="81"/>
            <rFont val="Tahoma"/>
            <family val="2"/>
          </rPr>
          <t xml:space="preserve">
Do not erase this row, though please feel free to modify its content</t>
        </r>
      </text>
    </comment>
    <comment ref="A57" authorId="0" shapeId="0" xr:uid="{00000000-0006-0000-0600-000002000000}">
      <text>
        <r>
          <rPr>
            <b/>
            <sz val="9"/>
            <color indexed="81"/>
            <rFont val="Tahoma"/>
            <family val="2"/>
          </rPr>
          <t>Miles:</t>
        </r>
        <r>
          <rPr>
            <sz val="9"/>
            <color indexed="81"/>
            <rFont val="Tahoma"/>
            <family val="2"/>
          </rPr>
          <t xml:space="preserve">
Do not erase this row, though feel free to modify its contents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A7" authorId="0" shapeId="0" xr:uid="{00000000-0006-0000-0700-000001000000}">
      <text>
        <r>
          <rPr>
            <b/>
            <sz val="9"/>
            <color indexed="81"/>
            <rFont val="Tahoma"/>
            <family val="2"/>
          </rPr>
          <t>Miles:</t>
        </r>
        <r>
          <rPr>
            <sz val="9"/>
            <color indexed="81"/>
            <rFont val="Tahoma"/>
            <family val="2"/>
          </rPr>
          <t xml:space="preserve">
Do not erase this row, though please feel free to modify its content</t>
        </r>
      </text>
    </comment>
    <comment ref="A57" authorId="0" shapeId="0" xr:uid="{00000000-0006-0000-0700-000002000000}">
      <text>
        <r>
          <rPr>
            <b/>
            <sz val="9"/>
            <color indexed="81"/>
            <rFont val="Tahoma"/>
            <family val="2"/>
          </rPr>
          <t>Miles:</t>
        </r>
        <r>
          <rPr>
            <sz val="9"/>
            <color indexed="81"/>
            <rFont val="Tahoma"/>
            <family val="2"/>
          </rPr>
          <t xml:space="preserve">
Do not erase this row, though feel free to modify its contents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A7" authorId="0" shapeId="0" xr:uid="{00000000-0006-0000-0800-000001000000}">
      <text>
        <r>
          <rPr>
            <b/>
            <sz val="9"/>
            <color indexed="81"/>
            <rFont val="Tahoma"/>
            <family val="2"/>
          </rPr>
          <t>Miles:</t>
        </r>
        <r>
          <rPr>
            <sz val="9"/>
            <color indexed="81"/>
            <rFont val="Tahoma"/>
            <family val="2"/>
          </rPr>
          <t xml:space="preserve">
Do not erase this row, though please feel free to modify its content</t>
        </r>
      </text>
    </comment>
    <comment ref="A57" authorId="0" shapeId="0" xr:uid="{00000000-0006-0000-0800-000002000000}">
      <text>
        <r>
          <rPr>
            <b/>
            <sz val="9"/>
            <color indexed="81"/>
            <rFont val="Tahoma"/>
            <family val="2"/>
          </rPr>
          <t>Miles:</t>
        </r>
        <r>
          <rPr>
            <sz val="9"/>
            <color indexed="81"/>
            <rFont val="Tahoma"/>
            <family val="2"/>
          </rPr>
          <t xml:space="preserve">
Do not erase this row, though feel free to modify its contents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A7" authorId="0" shapeId="0" xr:uid="{00000000-0006-0000-0900-000001000000}">
      <text>
        <r>
          <rPr>
            <b/>
            <sz val="9"/>
            <color indexed="81"/>
            <rFont val="Tahoma"/>
            <family val="2"/>
          </rPr>
          <t>Miles:</t>
        </r>
        <r>
          <rPr>
            <sz val="9"/>
            <color indexed="81"/>
            <rFont val="Tahoma"/>
            <family val="2"/>
          </rPr>
          <t xml:space="preserve">
Do not erase this row, though please feel free to modify its content</t>
        </r>
      </text>
    </comment>
    <comment ref="A57" authorId="0" shapeId="0" xr:uid="{00000000-0006-0000-0900-000002000000}">
      <text>
        <r>
          <rPr>
            <b/>
            <sz val="9"/>
            <color indexed="81"/>
            <rFont val="Tahoma"/>
            <family val="2"/>
          </rPr>
          <t>Miles:</t>
        </r>
        <r>
          <rPr>
            <sz val="9"/>
            <color indexed="81"/>
            <rFont val="Tahoma"/>
            <family val="2"/>
          </rPr>
          <t xml:space="preserve">
Do not erase this row, though feel free to modify its contents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A7" authorId="0" shapeId="0" xr:uid="{00000000-0006-0000-0A00-000001000000}">
      <text>
        <r>
          <rPr>
            <b/>
            <sz val="9"/>
            <color indexed="81"/>
            <rFont val="Tahoma"/>
            <family val="2"/>
          </rPr>
          <t>Miles:</t>
        </r>
        <r>
          <rPr>
            <sz val="9"/>
            <color indexed="81"/>
            <rFont val="Tahoma"/>
            <family val="2"/>
          </rPr>
          <t xml:space="preserve">
Do not erase this row, though please feel free to modify its content</t>
        </r>
      </text>
    </comment>
    <comment ref="A57" authorId="0" shapeId="0" xr:uid="{00000000-0006-0000-0A00-000002000000}">
      <text>
        <r>
          <rPr>
            <b/>
            <sz val="9"/>
            <color indexed="81"/>
            <rFont val="Tahoma"/>
            <family val="2"/>
          </rPr>
          <t>Miles:</t>
        </r>
        <r>
          <rPr>
            <sz val="9"/>
            <color indexed="81"/>
            <rFont val="Tahoma"/>
            <family val="2"/>
          </rPr>
          <t xml:space="preserve">
Do not erase this row, though feel free to modify its contents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C9" authorId="0" shapeId="0" xr:uid="{00000000-0006-0000-0B00-000001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0" shapeId="0" xr:uid="{00000000-0006-0000-0B00-000002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 ref="C153" authorId="0" shapeId="0" xr:uid="{00000000-0006-0000-0B00-000003000000}">
      <text>
        <r>
          <rPr>
            <b/>
            <sz val="9"/>
            <color indexed="81"/>
            <rFont val="Tahoma"/>
            <family val="2"/>
          </rPr>
          <t>Miles:</t>
        </r>
        <r>
          <rPr>
            <sz val="9"/>
            <color indexed="81"/>
            <rFont val="Tahoma"/>
            <family val="2"/>
          </rPr>
          <t xml:space="preserve">
The intent of this small additional section is to capture the initial cash balance amounts and 'leftover' items from last year</t>
        </r>
      </text>
    </comment>
    <comment ref="C155" authorId="0" shapeId="0" xr:uid="{00000000-0006-0000-0B00-000004000000}">
      <text>
        <r>
          <rPr>
            <b/>
            <sz val="9"/>
            <color indexed="81"/>
            <rFont val="Tahoma"/>
            <family val="2"/>
          </rPr>
          <t>Miles:</t>
        </r>
        <r>
          <rPr>
            <sz val="9"/>
            <color indexed="81"/>
            <rFont val="Tahoma"/>
            <family val="2"/>
          </rPr>
          <t xml:space="preserve">
Ensure no double counting with Revenue line 8019, Prior Year Income</t>
        </r>
      </text>
    </comment>
    <comment ref="C156" authorId="0" shapeId="0" xr:uid="{00000000-0006-0000-0B00-000005000000}">
      <text>
        <r>
          <rPr>
            <b/>
            <sz val="9"/>
            <color indexed="81"/>
            <rFont val="Tahoma"/>
            <family val="2"/>
          </rPr>
          <t>Miles:</t>
        </r>
        <r>
          <rPr>
            <sz val="9"/>
            <color indexed="81"/>
            <rFont val="Tahoma"/>
            <family val="2"/>
          </rPr>
          <t xml:space="preserve">
Ensure no double counting with Revenue line 8019, Prior Year Income</t>
        </r>
      </text>
    </comment>
    <comment ref="C157" authorId="0" shapeId="0" xr:uid="{00000000-0006-0000-0B00-000006000000}">
      <text>
        <r>
          <rPr>
            <b/>
            <sz val="9"/>
            <color indexed="81"/>
            <rFont val="Tahoma"/>
            <family val="2"/>
          </rPr>
          <t>Miles:</t>
        </r>
        <r>
          <rPr>
            <sz val="9"/>
            <color indexed="81"/>
            <rFont val="Tahoma"/>
            <family val="2"/>
          </rPr>
          <t xml:space="preserve">
Interest is covered via Expense line 7438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Miles</author>
  </authors>
  <commentList>
    <comment ref="C9" authorId="0" shapeId="0" xr:uid="{00000000-0006-0000-0C00-000001000000}">
      <text>
        <r>
          <rPr>
            <b/>
            <sz val="9"/>
            <color indexed="81"/>
            <rFont val="Tahoma"/>
            <family val="2"/>
          </rPr>
          <t>Miles:</t>
        </r>
        <r>
          <rPr>
            <sz val="9"/>
            <color indexed="81"/>
            <rFont val="Tahoma"/>
            <family val="2"/>
          </rPr>
          <t xml:space="preserve">
This schedule assumes even ADA from last year and during this year.  Also, I've delayed the official schedule by 1 month to account for County/District delays.</t>
        </r>
      </text>
    </comment>
    <comment ref="C10" authorId="0" shapeId="0" xr:uid="{00000000-0006-0000-0C00-000002000000}">
      <text>
        <r>
          <rPr>
            <b/>
            <sz val="9"/>
            <color indexed="81"/>
            <rFont val="Tahoma"/>
            <family val="2"/>
          </rPr>
          <t>Miles:</t>
        </r>
        <r>
          <rPr>
            <sz val="9"/>
            <color indexed="81"/>
            <rFont val="Tahoma"/>
            <family val="2"/>
          </rPr>
          <t xml:space="preserve">
This schedule assumes May survey data was accurate and even ADA during this year.  Also, I've delayed the official schedule by 1 month to account for County/District delays.</t>
        </r>
      </text>
    </comment>
    <comment ref="C153" authorId="0" shapeId="0" xr:uid="{00000000-0006-0000-0C00-000003000000}">
      <text>
        <r>
          <rPr>
            <b/>
            <sz val="9"/>
            <color indexed="81"/>
            <rFont val="Tahoma"/>
            <family val="2"/>
          </rPr>
          <t>Miles:</t>
        </r>
        <r>
          <rPr>
            <sz val="9"/>
            <color indexed="81"/>
            <rFont val="Tahoma"/>
            <family val="2"/>
          </rPr>
          <t xml:space="preserve">
The intent of this small additional section is to capture the initial cash balance amounts and 'leftover' items from last year</t>
        </r>
      </text>
    </comment>
    <comment ref="C155" authorId="0" shapeId="0" xr:uid="{00000000-0006-0000-0C00-000004000000}">
      <text>
        <r>
          <rPr>
            <b/>
            <sz val="9"/>
            <color indexed="81"/>
            <rFont val="Tahoma"/>
            <family val="2"/>
          </rPr>
          <t>Miles:</t>
        </r>
        <r>
          <rPr>
            <sz val="9"/>
            <color indexed="81"/>
            <rFont val="Tahoma"/>
            <family val="2"/>
          </rPr>
          <t xml:space="preserve">
Ensure no double counting with Revenue line 8019, Prior Year Income</t>
        </r>
      </text>
    </comment>
    <comment ref="C157" authorId="0" shapeId="0" xr:uid="{00000000-0006-0000-0C00-000005000000}">
      <text>
        <r>
          <rPr>
            <b/>
            <sz val="9"/>
            <color indexed="81"/>
            <rFont val="Tahoma"/>
            <family val="2"/>
          </rPr>
          <t>Miles:</t>
        </r>
        <r>
          <rPr>
            <sz val="9"/>
            <color indexed="81"/>
            <rFont val="Tahoma"/>
            <family val="2"/>
          </rPr>
          <t xml:space="preserve">
Interest is covered via Expense line 7438</t>
        </r>
      </text>
    </comment>
  </commentList>
</comments>
</file>

<file path=xl/sharedStrings.xml><?xml version="1.0" encoding="utf-8"?>
<sst xmlns="http://schemas.openxmlformats.org/spreadsheetml/2006/main" count="5649" uniqueCount="2187">
  <si>
    <t>SACS</t>
  </si>
  <si>
    <t>Full Name</t>
  </si>
  <si>
    <t>Title</t>
  </si>
  <si>
    <t>FTE</t>
  </si>
  <si>
    <t>Department</t>
  </si>
  <si>
    <t>Salary Rate</t>
  </si>
  <si>
    <t>STRS</t>
  </si>
  <si>
    <t>STRS, certificated</t>
  </si>
  <si>
    <t>PERS, classified</t>
  </si>
  <si>
    <t>Clean Value results</t>
  </si>
  <si>
    <t>1100</t>
  </si>
  <si>
    <t xml:space="preserve">Certificated Teachers' Salaries                                                 </t>
  </si>
  <si>
    <t>1200</t>
  </si>
  <si>
    <t xml:space="preserve">Certificated Pupil Support Salaries                                             </t>
  </si>
  <si>
    <t>1300</t>
  </si>
  <si>
    <t xml:space="preserve">Certificated Supervisors' and Administrators' Salaries                          </t>
  </si>
  <si>
    <t>1900</t>
  </si>
  <si>
    <t xml:space="preserve">Other Certificated Salaries                                                     </t>
  </si>
  <si>
    <t>2100</t>
  </si>
  <si>
    <t xml:space="preserve">Classified Instructional Salaries                                               </t>
  </si>
  <si>
    <t>2200</t>
  </si>
  <si>
    <t xml:space="preserve">Classified Support Salaries                                                     </t>
  </si>
  <si>
    <t>2300</t>
  </si>
  <si>
    <t xml:space="preserve">Classified Supervisors' and Administrators' Salaries                            </t>
  </si>
  <si>
    <t>2400</t>
  </si>
  <si>
    <t xml:space="preserve">Clerical, Technical, and Office Staff Salaries                                  </t>
  </si>
  <si>
    <t>2900</t>
  </si>
  <si>
    <t xml:space="preserve">Other Classified Salaries                                                       </t>
  </si>
  <si>
    <t>3100</t>
  </si>
  <si>
    <t xml:space="preserve">(Obsolete) State Teachers' Retirement System                                    </t>
  </si>
  <si>
    <t>3101</t>
  </si>
  <si>
    <t xml:space="preserve">State Teachers' Retirement System, certificated positions                       </t>
  </si>
  <si>
    <t>3102</t>
  </si>
  <si>
    <t xml:space="preserve">State Teachers' Retirement System, classified positions                         </t>
  </si>
  <si>
    <t>3200</t>
  </si>
  <si>
    <t xml:space="preserve">(Obsolete) Public Employees' Retirement System                                  </t>
  </si>
  <si>
    <t>3201</t>
  </si>
  <si>
    <t xml:space="preserve">Public Employees' Retirement System, certificated positions                     </t>
  </si>
  <si>
    <t>3202</t>
  </si>
  <si>
    <t xml:space="preserve">Public Employees' Retirement System, classified positions                       </t>
  </si>
  <si>
    <t>3300</t>
  </si>
  <si>
    <t xml:space="preserve">(Obsolete) Social Security/Medicare/Alternative                                 </t>
  </si>
  <si>
    <t>3301</t>
  </si>
  <si>
    <t xml:space="preserve">OASDI/Medicare/Alternative, certificated positions                              </t>
  </si>
  <si>
    <t>3302</t>
  </si>
  <si>
    <t xml:space="preserve">OASDI/Medicare/Alternative, classified positions                                </t>
  </si>
  <si>
    <t>3400</t>
  </si>
  <si>
    <t xml:space="preserve">(Obsolete) Health &amp; Welfare Benefits                                            </t>
  </si>
  <si>
    <t>3401</t>
  </si>
  <si>
    <t xml:space="preserve">Health &amp; Welfare Benefits, certificated positions                               </t>
  </si>
  <si>
    <t>3402</t>
  </si>
  <si>
    <t xml:space="preserve">Health &amp; Welfare Benefits, classified positions                                 </t>
  </si>
  <si>
    <t>3500</t>
  </si>
  <si>
    <t xml:space="preserve">(Obsolete) State Unemployment Insurance                                         </t>
  </si>
  <si>
    <t>3501</t>
  </si>
  <si>
    <t xml:space="preserve">State Unemployment Insurance, certificated positions                            </t>
  </si>
  <si>
    <t>3502</t>
  </si>
  <si>
    <t xml:space="preserve">State Unemployment Insurance, classified positions                              </t>
  </si>
  <si>
    <t>3600</t>
  </si>
  <si>
    <t xml:space="preserve">(Obsolete) Worker's Compensation Insurance                                      </t>
  </si>
  <si>
    <t>3601</t>
  </si>
  <si>
    <t xml:space="preserve">Workers' Compensation Insurance, certificated positions                         </t>
  </si>
  <si>
    <t>3602</t>
  </si>
  <si>
    <t xml:space="preserve">Workers' Compensation Insurance, classified positions                           </t>
  </si>
  <si>
    <t>3700</t>
  </si>
  <si>
    <t xml:space="preserve">(Obsolete) Retiree Benefits                                                     </t>
  </si>
  <si>
    <t>3701</t>
  </si>
  <si>
    <t xml:space="preserve">OPEB, Allocated, certificated positions                                         </t>
  </si>
  <si>
    <t>3702</t>
  </si>
  <si>
    <t xml:space="preserve">OPEB, Allocated, classified positions                                           </t>
  </si>
  <si>
    <t>3751</t>
  </si>
  <si>
    <t xml:space="preserve">OPEB, Active Employees, certificated positions                                  </t>
  </si>
  <si>
    <t>3752</t>
  </si>
  <si>
    <t xml:space="preserve">OPEB, Active Employees, classified positions                                    </t>
  </si>
  <si>
    <t>3800</t>
  </si>
  <si>
    <t xml:space="preserve">(Obsolete) PERS Reduction                                                       </t>
  </si>
  <si>
    <t>3801</t>
  </si>
  <si>
    <t xml:space="preserve">PERS Reduction, certificated positions                                          </t>
  </si>
  <si>
    <t>3802</t>
  </si>
  <si>
    <t xml:space="preserve">PERS Reduction, classified positions                                            </t>
  </si>
  <si>
    <t>3900</t>
  </si>
  <si>
    <t xml:space="preserve">(Obsolete) Other Benefits                                                       </t>
  </si>
  <si>
    <t>3901</t>
  </si>
  <si>
    <t xml:space="preserve">Other Benefits, certificated positions                                          </t>
  </si>
  <si>
    <t>3902</t>
  </si>
  <si>
    <t xml:space="preserve">Other Benefits, classified positions                                            </t>
  </si>
  <si>
    <t>4100</t>
  </si>
  <si>
    <t xml:space="preserve">Approved Textbooks and Core Curricula Materials                                 </t>
  </si>
  <si>
    <t>4200</t>
  </si>
  <si>
    <t xml:space="preserve">Books and Other Reference Materials                                             </t>
  </si>
  <si>
    <t>4300</t>
  </si>
  <si>
    <t xml:space="preserve">Materials and Supplies                                                          </t>
  </si>
  <si>
    <t>4400</t>
  </si>
  <si>
    <t xml:space="preserve">Noncapitalized Equipment                                                        </t>
  </si>
  <si>
    <t>4700</t>
  </si>
  <si>
    <t xml:space="preserve">Food                                                                            </t>
  </si>
  <si>
    <t>5100</t>
  </si>
  <si>
    <t xml:space="preserve">Subagreements for Services                                                      </t>
  </si>
  <si>
    <t>5200</t>
  </si>
  <si>
    <t xml:space="preserve">Travel and Conferences                                                          </t>
  </si>
  <si>
    <t>5300</t>
  </si>
  <si>
    <t xml:space="preserve">Dues and Memberships                                                            </t>
  </si>
  <si>
    <t>5400</t>
  </si>
  <si>
    <t xml:space="preserve">Insurance                                                                       </t>
  </si>
  <si>
    <t>5440</t>
  </si>
  <si>
    <t xml:space="preserve">Pupil Insurance                                                                 </t>
  </si>
  <si>
    <t>5450</t>
  </si>
  <si>
    <t xml:space="preserve">Other Insurance                                                                 </t>
  </si>
  <si>
    <t>5500</t>
  </si>
  <si>
    <t xml:space="preserve">Operations and Housekeeping Services                                            </t>
  </si>
  <si>
    <t>5600</t>
  </si>
  <si>
    <t xml:space="preserve">Rentals, Leases, Repairs, and Noncapitalized Improvements                       </t>
  </si>
  <si>
    <t>5710</t>
  </si>
  <si>
    <t xml:space="preserve">Transfers of Direct Costs                                                       </t>
  </si>
  <si>
    <t>5750</t>
  </si>
  <si>
    <t xml:space="preserve">Transfers of Direct Costs - Interfund                                           </t>
  </si>
  <si>
    <t>5800</t>
  </si>
  <si>
    <t xml:space="preserve">Professional/Consulting Services and Operating Expenditures                     </t>
  </si>
  <si>
    <t>5900</t>
  </si>
  <si>
    <t xml:space="preserve">Communications                                                                  </t>
  </si>
  <si>
    <t>6100</t>
  </si>
  <si>
    <t xml:space="preserve">Land                                                                            </t>
  </si>
  <si>
    <t>6170</t>
  </si>
  <si>
    <t xml:space="preserve">Land Improvements                                                               </t>
  </si>
  <si>
    <t>6200</t>
  </si>
  <si>
    <t xml:space="preserve">Buildings and Improvements of Buildings                                         </t>
  </si>
  <si>
    <t>6300</t>
  </si>
  <si>
    <t xml:space="preserve">Books and Media for New School Libraries or Major Expansion of School Libraries </t>
  </si>
  <si>
    <t>6400</t>
  </si>
  <si>
    <t xml:space="preserve">Equipment                                                                       </t>
  </si>
  <si>
    <t>6500</t>
  </si>
  <si>
    <t xml:space="preserve">Equipment Replacement                                                           </t>
  </si>
  <si>
    <t>6900</t>
  </si>
  <si>
    <t xml:space="preserve">Depreciation Expense                                                            </t>
  </si>
  <si>
    <t>7110</t>
  </si>
  <si>
    <t xml:space="preserve">Tuition for Instruction Under Interdistrict Attendance Agreements               </t>
  </si>
  <si>
    <t>7130</t>
  </si>
  <si>
    <t xml:space="preserve">State Special Schools                                                           </t>
  </si>
  <si>
    <t>7141</t>
  </si>
  <si>
    <t>Other Tuition, Excess Costs, and/or Deficit Payments to Districts or Charter Sch</t>
  </si>
  <si>
    <t>7142</t>
  </si>
  <si>
    <t xml:space="preserve">Other Tuition, Excess Costs, and/or Deficit Payments to County Offices          </t>
  </si>
  <si>
    <t>7143</t>
  </si>
  <si>
    <t xml:space="preserve">Other Tuition, Excess Costs, and/or Deficit Payments to JPAs                    </t>
  </si>
  <si>
    <t>7211</t>
  </si>
  <si>
    <t xml:space="preserve">Transfers of Pass-Through Revenues to Districts or Charter Schools              </t>
  </si>
  <si>
    <t>7212</t>
  </si>
  <si>
    <t xml:space="preserve">Transfers of Pass-Through Revenues to County Offices                            </t>
  </si>
  <si>
    <t>7213</t>
  </si>
  <si>
    <t xml:space="preserve">Transfers of Pass-Through Revenues to JPAs                                      </t>
  </si>
  <si>
    <t>7221</t>
  </si>
  <si>
    <t xml:space="preserve">Transfers of Apportionments to Districts or Charter Schools                     </t>
  </si>
  <si>
    <t>7222</t>
  </si>
  <si>
    <t xml:space="preserve">Transfers of Apportionments to County Offices                                   </t>
  </si>
  <si>
    <t>7223</t>
  </si>
  <si>
    <t xml:space="preserve">Transfers of Apportionments to JPAs                                             </t>
  </si>
  <si>
    <t>7280</t>
  </si>
  <si>
    <t xml:space="preserve">(Obsolete) Transfers to Charter Schools in Lieu of Property Taxes               </t>
  </si>
  <si>
    <t>7281</t>
  </si>
  <si>
    <t xml:space="preserve">All Other Transfers to Districts or Charter Schools                             </t>
  </si>
  <si>
    <t>7282</t>
  </si>
  <si>
    <t xml:space="preserve">All Other Transfers to County Offices                                           </t>
  </si>
  <si>
    <t>7283</t>
  </si>
  <si>
    <t xml:space="preserve">All Other Transfers to JPAs                                                     </t>
  </si>
  <si>
    <t>7299</t>
  </si>
  <si>
    <t xml:space="preserve">All Other Transfers Out to All Others                                           </t>
  </si>
  <si>
    <t>7310</t>
  </si>
  <si>
    <t xml:space="preserve">Transfers of Indirect Costs                                                     </t>
  </si>
  <si>
    <t>7350</t>
  </si>
  <si>
    <t xml:space="preserve">Transfers of Indirect Costs - Interfund                                         </t>
  </si>
  <si>
    <t>7370</t>
  </si>
  <si>
    <t xml:space="preserve">Transfers of Direct Support Costs                                               </t>
  </si>
  <si>
    <t>7380</t>
  </si>
  <si>
    <t xml:space="preserve">Transfers of Direct Support Costs - Interfund                                   </t>
  </si>
  <si>
    <t>7432</t>
  </si>
  <si>
    <t xml:space="preserve">State School Building Repayments                                                </t>
  </si>
  <si>
    <t>7433</t>
  </si>
  <si>
    <t xml:space="preserve">Bond Redemptions                                                                </t>
  </si>
  <si>
    <t>7434</t>
  </si>
  <si>
    <t xml:space="preserve">Bond Interest and Other Service Charges                                         </t>
  </si>
  <si>
    <t>7435</t>
  </si>
  <si>
    <t xml:space="preserve">Repayment of State School Building Fund Aid - Proceeds from Bonds               </t>
  </si>
  <si>
    <t>7436</t>
  </si>
  <si>
    <t xml:space="preserve">Payments to Original District for Acquisition of Property                       </t>
  </si>
  <si>
    <t>7438</t>
  </si>
  <si>
    <t xml:space="preserve">Debt Service - Interest                                                         </t>
  </si>
  <si>
    <t>7439</t>
  </si>
  <si>
    <t xml:space="preserve">Other Debt Service - Principal                                                  </t>
  </si>
  <si>
    <t>7611</t>
  </si>
  <si>
    <t xml:space="preserve">From General Fund to Child Development Fund                                     </t>
  </si>
  <si>
    <t>7612</t>
  </si>
  <si>
    <t xml:space="preserve">Between General Fund and Special Reserve Fund                                   </t>
  </si>
  <si>
    <t>7613</t>
  </si>
  <si>
    <t>To State School Building Fund/County School Facilities Fund from All Other Funds</t>
  </si>
  <si>
    <t>7614</t>
  </si>
  <si>
    <t xml:space="preserve">From Bond Interest and Redemption Fund to General Fund                          </t>
  </si>
  <si>
    <t>7615</t>
  </si>
  <si>
    <t xml:space="preserve">From General, Special Reserve, and Building Funds to Deferred Maintenance Fund  </t>
  </si>
  <si>
    <t>7616</t>
  </si>
  <si>
    <t xml:space="preserve">From General Fund to Cafeteria Fund                                             </t>
  </si>
  <si>
    <t>7619</t>
  </si>
  <si>
    <t xml:space="preserve">Other Authorized Interfund Transfers Out                                        </t>
  </si>
  <si>
    <t>7632</t>
  </si>
  <si>
    <t xml:space="preserve">(Obsolete) State School Building Repayment                                      </t>
  </si>
  <si>
    <t>7633</t>
  </si>
  <si>
    <t xml:space="preserve">(Obsolete) Bond Redemptions                                                     </t>
  </si>
  <si>
    <t>7634</t>
  </si>
  <si>
    <t xml:space="preserve">(Obsolete) Bond Interest and Other Service Charges                              </t>
  </si>
  <si>
    <t>7635</t>
  </si>
  <si>
    <t xml:space="preserve">(Obsolete) Repayment of State School Building Fund Aid - Proceeds from Bonds    </t>
  </si>
  <si>
    <t>7636</t>
  </si>
  <si>
    <t xml:space="preserve">(Obsolete) Payments to Original District for Acquisition of Property            </t>
  </si>
  <si>
    <t>7638</t>
  </si>
  <si>
    <t xml:space="preserve">(Obsolete) Debt Service - Interest                                              </t>
  </si>
  <si>
    <t>7639</t>
  </si>
  <si>
    <t xml:space="preserve">(Obsolete) Other Debt Service - Principal                                       </t>
  </si>
  <si>
    <t>7641</t>
  </si>
  <si>
    <t xml:space="preserve">(Obsolete) Long-Term Loan Repayments                                            </t>
  </si>
  <si>
    <t>7649</t>
  </si>
  <si>
    <t xml:space="preserve">(Obsolete) Other Loan Repayments                                                </t>
  </si>
  <si>
    <t>7651</t>
  </si>
  <si>
    <t xml:space="preserve">Transfers of Funds from Lapsed/Reorganized LEAs                                 </t>
  </si>
  <si>
    <t>7699</t>
  </si>
  <si>
    <t xml:space="preserve">All Other Financing Uses                                                        </t>
  </si>
  <si>
    <t>8011</t>
  </si>
  <si>
    <t xml:space="preserve">Revenue Limit State Aid - Current Year                                          </t>
  </si>
  <si>
    <t>8015</t>
  </si>
  <si>
    <t xml:space="preserve">Charter Schools General Purpose Entitlement - State Aid                         </t>
  </si>
  <si>
    <t>8019</t>
  </si>
  <si>
    <t xml:space="preserve">Revenue Limit State Aid - Prior Years                                           </t>
  </si>
  <si>
    <t>8021</t>
  </si>
  <si>
    <t xml:space="preserve">Homeowners' Exemptions                                                          </t>
  </si>
  <si>
    <t>8022</t>
  </si>
  <si>
    <t xml:space="preserve">Timber Yield Tax                                                                </t>
  </si>
  <si>
    <t>8029</t>
  </si>
  <si>
    <t xml:space="preserve">Other Subventions/In-Lieu Taxes                                                 </t>
  </si>
  <si>
    <t>8030</t>
  </si>
  <si>
    <t xml:space="preserve">(Obsolete) Trailer Coach Fees                                                   </t>
  </si>
  <si>
    <t>8041</t>
  </si>
  <si>
    <t xml:space="preserve">Secured Roll Taxes                                                              </t>
  </si>
  <si>
    <t>8042</t>
  </si>
  <si>
    <t xml:space="preserve">Unsecured Roll Taxes                                                            </t>
  </si>
  <si>
    <t>8043</t>
  </si>
  <si>
    <t xml:space="preserve">Prior Years' Taxes                                                              </t>
  </si>
  <si>
    <t>8044</t>
  </si>
  <si>
    <t xml:space="preserve">Supplemental Taxes                                                              </t>
  </si>
  <si>
    <t>8045</t>
  </si>
  <si>
    <t xml:space="preserve">Education Revenue Augmentation Fund (ERAF)                                      </t>
  </si>
  <si>
    <t>8046</t>
  </si>
  <si>
    <t xml:space="preserve">Supplemental Educational Revenue Augmentation Fund (SERAF)                      </t>
  </si>
  <si>
    <t>8047</t>
  </si>
  <si>
    <t xml:space="preserve">Community Redevelopment Funds                                                   </t>
  </si>
  <si>
    <t>8048</t>
  </si>
  <si>
    <t xml:space="preserve">Penalties and Interest from Delinquent Taxes                                    </t>
  </si>
  <si>
    <t>8070</t>
  </si>
  <si>
    <t xml:space="preserve">Receipts from County Board of Supervisors                                       </t>
  </si>
  <si>
    <t>8081</t>
  </si>
  <si>
    <t xml:space="preserve">Royalties and Bonuses                                                           </t>
  </si>
  <si>
    <t>8082</t>
  </si>
  <si>
    <t xml:space="preserve">Other In-Lieu Taxes                                                             </t>
  </si>
  <si>
    <t>8089</t>
  </si>
  <si>
    <t xml:space="preserve">Less: Non-Revenue Limit (50 Percent) Adjustment                                 </t>
  </si>
  <si>
    <t>8091</t>
  </si>
  <si>
    <t xml:space="preserve">Revenue Limit Transfers - Current Year                                          </t>
  </si>
  <si>
    <t>8092</t>
  </si>
  <si>
    <t xml:space="preserve">PERS Reduction Transfer                                                         </t>
  </si>
  <si>
    <t>8096</t>
  </si>
  <si>
    <t xml:space="preserve">Transfers to Charter Schools in Lieu of Property Taxes                          </t>
  </si>
  <si>
    <t>8097</t>
  </si>
  <si>
    <t xml:space="preserve">Property Taxes Transfers                                                        </t>
  </si>
  <si>
    <t>8099</t>
  </si>
  <si>
    <t xml:space="preserve">Revenue Limit Transfers - Prior Years                                           </t>
  </si>
  <si>
    <t>8110</t>
  </si>
  <si>
    <t xml:space="preserve">Maintenance and Operations (Public Law 81-874)                                  </t>
  </si>
  <si>
    <t>8181</t>
  </si>
  <si>
    <t xml:space="preserve">Special Education - Entitlement                                                 </t>
  </si>
  <si>
    <t>8182</t>
  </si>
  <si>
    <t xml:space="preserve">Special Education - Discretionary Grants                                        </t>
  </si>
  <si>
    <t>8220</t>
  </si>
  <si>
    <t xml:space="preserve">Child Nutrition Programs                                                        </t>
  </si>
  <si>
    <t>8260</t>
  </si>
  <si>
    <t xml:space="preserve">Forest Reserve Funds                                                            </t>
  </si>
  <si>
    <t>8270</t>
  </si>
  <si>
    <t xml:space="preserve">Flood Control Funds                                                             </t>
  </si>
  <si>
    <t>8280</t>
  </si>
  <si>
    <t xml:space="preserve">U.S. Wildlife Reserve Funds                                                     </t>
  </si>
  <si>
    <t>8281</t>
  </si>
  <si>
    <t xml:space="preserve">FEMA                                                                            </t>
  </si>
  <si>
    <t>8285</t>
  </si>
  <si>
    <t xml:space="preserve">Interagency Contracts Between LEAs                                              </t>
  </si>
  <si>
    <t>8287</t>
  </si>
  <si>
    <t xml:space="preserve">Pass-Through Revenues from Federal Sources                                      </t>
  </si>
  <si>
    <t>8290</t>
  </si>
  <si>
    <t xml:space="preserve">All Other Federal Revenue                                                       </t>
  </si>
  <si>
    <t>8311</t>
  </si>
  <si>
    <t xml:space="preserve">Other State Apportionments - Current Year                                       </t>
  </si>
  <si>
    <t>8319</t>
  </si>
  <si>
    <t xml:space="preserve">Other State Apportionments - Prior Years                                        </t>
  </si>
  <si>
    <t>8425</t>
  </si>
  <si>
    <t xml:space="preserve">Year-Round School Incentive                                                     </t>
  </si>
  <si>
    <t>8434</t>
  </si>
  <si>
    <t xml:space="preserve">Class Size Reduction, Grades K-3                                                </t>
  </si>
  <si>
    <t>8435</t>
  </si>
  <si>
    <t xml:space="preserve">Class Size Reduction, Grade Nine                                                </t>
  </si>
  <si>
    <t>8480</t>
  </si>
  <si>
    <t xml:space="preserve">Charter Schools Categorical Block Grant                                         </t>
  </si>
  <si>
    <t>8520</t>
  </si>
  <si>
    <t xml:space="preserve">Child Nutrition                                                                 </t>
  </si>
  <si>
    <t>8530</t>
  </si>
  <si>
    <t xml:space="preserve">Child Development Apportionments                                                </t>
  </si>
  <si>
    <t>8540</t>
  </si>
  <si>
    <t xml:space="preserve">Deferred Maintenance Allowance                                                  </t>
  </si>
  <si>
    <t>8545</t>
  </si>
  <si>
    <t xml:space="preserve">School Facilities Apportionments                                                </t>
  </si>
  <si>
    <t>8550</t>
  </si>
  <si>
    <t xml:space="preserve">Mandated Cost Reimbursements                                                    </t>
  </si>
  <si>
    <t>8560</t>
  </si>
  <si>
    <t xml:space="preserve">State Lottery Revenue                                                           </t>
  </si>
  <si>
    <t>8571</t>
  </si>
  <si>
    <t xml:space="preserve">Voted Indebtedness Levies, Homeowners' Exemptions                               </t>
  </si>
  <si>
    <t>8572</t>
  </si>
  <si>
    <t xml:space="preserve">Voted Indebtedness Levies, Other Subventions/In-Lieu Taxes                      </t>
  </si>
  <si>
    <t>8575</t>
  </si>
  <si>
    <t xml:space="preserve">Other Restricted Levies, Homeowners' Exemptions                                 </t>
  </si>
  <si>
    <t>8576</t>
  </si>
  <si>
    <t xml:space="preserve">Other Restricted Levies, Other Subventions/In-Lieu Taxes                        </t>
  </si>
  <si>
    <t>8587</t>
  </si>
  <si>
    <t xml:space="preserve">Pass-Through Revenues from State Sources                                        </t>
  </si>
  <si>
    <t>8590</t>
  </si>
  <si>
    <t xml:space="preserve">All Other State Revenue                                                         </t>
  </si>
  <si>
    <t>8611</t>
  </si>
  <si>
    <t xml:space="preserve">Voted Indebtedness Levies, Secured Roll                                         </t>
  </si>
  <si>
    <t>8612</t>
  </si>
  <si>
    <t xml:space="preserve">Voted Indebtedness Levies, Unsecured Roll                                       </t>
  </si>
  <si>
    <t>8613</t>
  </si>
  <si>
    <t xml:space="preserve">Voted Indebtedness Levies, Prior Years' Taxes                                   </t>
  </si>
  <si>
    <t>8614</t>
  </si>
  <si>
    <t xml:space="preserve">Voted Indebtedness Levies, Supplemental Taxes                                   </t>
  </si>
  <si>
    <t>8615</t>
  </si>
  <si>
    <t xml:space="preserve">Other Restricted Levies, Secured Roll                                           </t>
  </si>
  <si>
    <t>8616</t>
  </si>
  <si>
    <t xml:space="preserve">Other Restricted Levies, Unsecured Roll                                         </t>
  </si>
  <si>
    <t>8617</t>
  </si>
  <si>
    <t xml:space="preserve">Other Restricted Levies, Prior Years' Taxes                                     </t>
  </si>
  <si>
    <t>8618</t>
  </si>
  <si>
    <t xml:space="preserve">Other Restricted Levies, Supplemental Taxes                                     </t>
  </si>
  <si>
    <t>8621</t>
  </si>
  <si>
    <t xml:space="preserve">Parcel Taxes                                                                    </t>
  </si>
  <si>
    <t>8622</t>
  </si>
  <si>
    <t xml:space="preserve">Other Non-Ad Valorem Taxes                                                      </t>
  </si>
  <si>
    <t>8625</t>
  </si>
  <si>
    <t xml:space="preserve">Community Redevelopment Funds Not Subject to Revenue Limit Deduction            </t>
  </si>
  <si>
    <t>8629</t>
  </si>
  <si>
    <t xml:space="preserve">Penalties and Interest from Delinquent Non-Revenue Limit Taxes                  </t>
  </si>
  <si>
    <t>8631</t>
  </si>
  <si>
    <t xml:space="preserve">Sale of Equipment and Supplies                                                  </t>
  </si>
  <si>
    <t>8632</t>
  </si>
  <si>
    <t xml:space="preserve">Sale of Publications                                                            </t>
  </si>
  <si>
    <t>8634</t>
  </si>
  <si>
    <t xml:space="preserve">Food Service Sales                                                              </t>
  </si>
  <si>
    <t>8639</t>
  </si>
  <si>
    <t xml:space="preserve">All Other Sales                                                                 </t>
  </si>
  <si>
    <t>8650</t>
  </si>
  <si>
    <t xml:space="preserve">Leases and Rentals                                                              </t>
  </si>
  <si>
    <t>8660</t>
  </si>
  <si>
    <t xml:space="preserve">Interest                                                                        </t>
  </si>
  <si>
    <t>8662</t>
  </si>
  <si>
    <t xml:space="preserve">Net Increase (Decrease) in the Fair Value of Investments                        </t>
  </si>
  <si>
    <t>8671</t>
  </si>
  <si>
    <t xml:space="preserve">Adult Education Fees                                                            </t>
  </si>
  <si>
    <t>8672</t>
  </si>
  <si>
    <t xml:space="preserve">Nonresident Student Fees                                                        </t>
  </si>
  <si>
    <t>8673</t>
  </si>
  <si>
    <t xml:space="preserve">Child Development Parent Fees                                                   </t>
  </si>
  <si>
    <t>8674</t>
  </si>
  <si>
    <t xml:space="preserve">In-District Premiums/Contributions                                              </t>
  </si>
  <si>
    <t>8675</t>
  </si>
  <si>
    <t xml:space="preserve">Transportation Fees from Individuals                                            </t>
  </si>
  <si>
    <t>8677</t>
  </si>
  <si>
    <t xml:space="preserve">Interagency Services Between LEAs                                               </t>
  </si>
  <si>
    <t>8681</t>
  </si>
  <si>
    <t xml:space="preserve">Mitigation/Developer Fees                                                       </t>
  </si>
  <si>
    <t>8689</t>
  </si>
  <si>
    <t xml:space="preserve">All Other Fees and Contracts                                                    </t>
  </si>
  <si>
    <t>8691</t>
  </si>
  <si>
    <t xml:space="preserve">Plus: Miscellaneous Funds Non-Revenue Limit (50 Percent) Adjustment             </t>
  </si>
  <si>
    <t>8697</t>
  </si>
  <si>
    <t xml:space="preserve">Pass-Through Revenue from Local Sources                                         </t>
  </si>
  <si>
    <t>8699</t>
  </si>
  <si>
    <t xml:space="preserve">All Other Local Revenue                                                         </t>
  </si>
  <si>
    <t>8710</t>
  </si>
  <si>
    <t xml:space="preserve">Tuition                                                                         </t>
  </si>
  <si>
    <t>8780</t>
  </si>
  <si>
    <t>(Obsolete) Transfers from Sponsoring LEAs to Charter Schools in Lieu of Property</t>
  </si>
  <si>
    <t>8781</t>
  </si>
  <si>
    <t xml:space="preserve">All Other Transfers from Districts or Charter Schools                           </t>
  </si>
  <si>
    <t>8782</t>
  </si>
  <si>
    <t xml:space="preserve">All Other Transfers from County Offices                                         </t>
  </si>
  <si>
    <t>8783</t>
  </si>
  <si>
    <t xml:space="preserve">All Other Transfers from JPAs                                                   </t>
  </si>
  <si>
    <t>8791</t>
  </si>
  <si>
    <t xml:space="preserve">Transfers of Apportionments from Districts or Charter Schools                   </t>
  </si>
  <si>
    <t>8792</t>
  </si>
  <si>
    <t xml:space="preserve">Transfers of Apportionments from County Offices                                 </t>
  </si>
  <si>
    <t>8793</t>
  </si>
  <si>
    <t xml:space="preserve">Transfers of Apportionments from JPAs                                           </t>
  </si>
  <si>
    <t>8799</t>
  </si>
  <si>
    <t xml:space="preserve">Other Transfers In from All Others                                              </t>
  </si>
  <si>
    <t>8911</t>
  </si>
  <si>
    <t xml:space="preserve">To Child Development Fund from General Fund                                     </t>
  </si>
  <si>
    <t>8912</t>
  </si>
  <si>
    <t>8913</t>
  </si>
  <si>
    <t>8914</t>
  </si>
  <si>
    <t xml:space="preserve">To General Fund from Bond Interest and Redemption Fund                          </t>
  </si>
  <si>
    <t>8915</t>
  </si>
  <si>
    <t xml:space="preserve">To Deferred Maintenance Fund from General, Special Reserve and Building Funds   </t>
  </si>
  <si>
    <t>8916</t>
  </si>
  <si>
    <t xml:space="preserve">To Cafeteria Fund from General Fund                                             </t>
  </si>
  <si>
    <t>8919</t>
  </si>
  <si>
    <t xml:space="preserve">Other Authorized Interfund Transfers In                                         </t>
  </si>
  <si>
    <t>8931</t>
  </si>
  <si>
    <t xml:space="preserve">Emergency Apportionments                                                        </t>
  </si>
  <si>
    <t>8935</t>
  </si>
  <si>
    <t xml:space="preserve">(Obsolete) School Facilities Apportionments                                     </t>
  </si>
  <si>
    <t>8951</t>
  </si>
  <si>
    <t xml:space="preserve">Proceeds from Sale of Bonds                                                     </t>
  </si>
  <si>
    <t>8953</t>
  </si>
  <si>
    <t xml:space="preserve">Proceeds from Sale/Lease Purchase of Land and Buildings                         </t>
  </si>
  <si>
    <t>8961</t>
  </si>
  <si>
    <t xml:space="preserve">County School Building Aid                                                      </t>
  </si>
  <si>
    <t>8965</t>
  </si>
  <si>
    <t xml:space="preserve">Transfers from Funds of Lapsed/Reorganized LEAs                                 </t>
  </si>
  <si>
    <t>8971</t>
  </si>
  <si>
    <t xml:space="preserve">Proceeds from Certificates of Participation                                     </t>
  </si>
  <si>
    <t>8972</t>
  </si>
  <si>
    <t xml:space="preserve">Proceeds from Capital Leases                                                    </t>
  </si>
  <si>
    <t>8973</t>
  </si>
  <si>
    <t xml:space="preserve">Proceeds from Lease Revenue Bonds                                               </t>
  </si>
  <si>
    <t>8979</t>
  </si>
  <si>
    <t xml:space="preserve">All Other Financing Sources                                                     </t>
  </si>
  <si>
    <t>8980</t>
  </si>
  <si>
    <t xml:space="preserve">Contributions from Unrestricted Revenues                                        </t>
  </si>
  <si>
    <t>8990</t>
  </si>
  <si>
    <t xml:space="preserve">Contributions from Restricted Revenues                                          </t>
  </si>
  <si>
    <t>8995</t>
  </si>
  <si>
    <t xml:space="preserve">Categorical Education Block Grant Transfers                                     </t>
  </si>
  <si>
    <t>8997</t>
  </si>
  <si>
    <t xml:space="preserve">Transfers of Restricted Balances                                                </t>
  </si>
  <si>
    <t>8998</t>
  </si>
  <si>
    <t xml:space="preserve">Categorical Flexibility Transfers                                               </t>
  </si>
  <si>
    <t>9110</t>
  </si>
  <si>
    <t xml:space="preserve">Cash in County Treasury                                                         </t>
  </si>
  <si>
    <t>9111</t>
  </si>
  <si>
    <t xml:space="preserve">Fair Value Adjustment to Cash in County Treasury                                </t>
  </si>
  <si>
    <t>9120</t>
  </si>
  <si>
    <t xml:space="preserve">Cash in Bank(s)                                                                 </t>
  </si>
  <si>
    <t>9130</t>
  </si>
  <si>
    <t xml:space="preserve">Revolving Cash Account                                                          </t>
  </si>
  <si>
    <t>9135</t>
  </si>
  <si>
    <t xml:space="preserve">Cash with a Fiscal Agent/Trustee                                                </t>
  </si>
  <si>
    <t>9140</t>
  </si>
  <si>
    <t xml:space="preserve">Cash Collections Awaiting Deposit                                               </t>
  </si>
  <si>
    <t>9150</t>
  </si>
  <si>
    <t xml:space="preserve">Investments                                                                     </t>
  </si>
  <si>
    <t>9200</t>
  </si>
  <si>
    <t xml:space="preserve">Accounts Receivable                                                             </t>
  </si>
  <si>
    <t>9290</t>
  </si>
  <si>
    <t xml:space="preserve">Due from Grantor Governments                                                    </t>
  </si>
  <si>
    <t>9310</t>
  </si>
  <si>
    <t xml:space="preserve">Due from Other Funds                                                            </t>
  </si>
  <si>
    <t>9320</t>
  </si>
  <si>
    <t xml:space="preserve">Stores                                                                          </t>
  </si>
  <si>
    <t>9330</t>
  </si>
  <si>
    <t xml:space="preserve">Prepaid Expenditures (Expenses)                                                 </t>
  </si>
  <si>
    <t>9340</t>
  </si>
  <si>
    <t xml:space="preserve">Other Current Assets                                                            </t>
  </si>
  <si>
    <t>9410</t>
  </si>
  <si>
    <t>9420</t>
  </si>
  <si>
    <t>9425</t>
  </si>
  <si>
    <t xml:space="preserve">Accumulated Depreciation - Land Improvements                                    </t>
  </si>
  <si>
    <t>9430</t>
  </si>
  <si>
    <t xml:space="preserve">Buildings                                                                       </t>
  </si>
  <si>
    <t>9435</t>
  </si>
  <si>
    <t xml:space="preserve">Accumulated Depreciation - Buildings                                            </t>
  </si>
  <si>
    <t>9440</t>
  </si>
  <si>
    <t>9445</t>
  </si>
  <si>
    <t xml:space="preserve">Accumulated Depreciation - Equipment                                            </t>
  </si>
  <si>
    <t>9450</t>
  </si>
  <si>
    <t xml:space="preserve">Work in Progress                                                                </t>
  </si>
  <si>
    <t>9500</t>
  </si>
  <si>
    <t xml:space="preserve">Accounts Payable (Current Liabilities)                                          </t>
  </si>
  <si>
    <t>9590</t>
  </si>
  <si>
    <t xml:space="preserve">Due to Grantor Governments                                                      </t>
  </si>
  <si>
    <t>9610</t>
  </si>
  <si>
    <t xml:space="preserve">Due to Other Funds                                                              </t>
  </si>
  <si>
    <t>9620</t>
  </si>
  <si>
    <t xml:space="preserve">Due to Student Groups/Other Agencies                                            </t>
  </si>
  <si>
    <t>9640</t>
  </si>
  <si>
    <t xml:space="preserve">Current Loans                                                                   </t>
  </si>
  <si>
    <t>9650</t>
  </si>
  <si>
    <t xml:space="preserve">Deferred Revenue                                                                </t>
  </si>
  <si>
    <t>9661</t>
  </si>
  <si>
    <t xml:space="preserve">General Obligation Bond Payable                                                 </t>
  </si>
  <si>
    <t>9662</t>
  </si>
  <si>
    <t xml:space="preserve">State School Building Loans Payable                                             </t>
  </si>
  <si>
    <t>9664</t>
  </si>
  <si>
    <t xml:space="preserve">Net OPEB Obligation                                                             </t>
  </si>
  <si>
    <t>9665</t>
  </si>
  <si>
    <t xml:space="preserve">Compensated Absences Payable                                                    </t>
  </si>
  <si>
    <t>9666</t>
  </si>
  <si>
    <t xml:space="preserve">Certificates of Participation (COPs) Payable                                    </t>
  </si>
  <si>
    <t>9667</t>
  </si>
  <si>
    <t xml:space="preserve">Capital Leases Payable                                                          </t>
  </si>
  <si>
    <t>9668</t>
  </si>
  <si>
    <t xml:space="preserve">Lease Revenue Bonds Payable                                                     </t>
  </si>
  <si>
    <t>9669</t>
  </si>
  <si>
    <t xml:space="preserve">Other General Long-Term Debt                                                    </t>
  </si>
  <si>
    <t>9711</t>
  </si>
  <si>
    <t xml:space="preserve">Reserve for Revolving Cash                                                      </t>
  </si>
  <si>
    <t>9712</t>
  </si>
  <si>
    <t xml:space="preserve">Reserve for Stores                                                              </t>
  </si>
  <si>
    <t>9713</t>
  </si>
  <si>
    <t xml:space="preserve">Reserve for Prepaid Expenditures (Expenses)                                     </t>
  </si>
  <si>
    <t>9719</t>
  </si>
  <si>
    <t xml:space="preserve">Reserve for All Others                                                          </t>
  </si>
  <si>
    <t>9730</t>
  </si>
  <si>
    <t xml:space="preserve">General Reserve                                                                 </t>
  </si>
  <si>
    <t>9740</t>
  </si>
  <si>
    <t xml:space="preserve">Legally Restricted Balance                                                      </t>
  </si>
  <si>
    <t>9770</t>
  </si>
  <si>
    <t xml:space="preserve">Designated for Economic Uncertainties                                           </t>
  </si>
  <si>
    <t>9775</t>
  </si>
  <si>
    <t xml:space="preserve">Designated for the Unrealized Gains of Investments and Cash in County Treasury  </t>
  </si>
  <si>
    <t>9780</t>
  </si>
  <si>
    <t xml:space="preserve">Other Designations                                                              </t>
  </si>
  <si>
    <t>9790</t>
  </si>
  <si>
    <t xml:space="preserve">Undesignated/Unappropriated                                                     </t>
  </si>
  <si>
    <t>9791</t>
  </si>
  <si>
    <t xml:space="preserve">Beginning Fund Balance                                                          </t>
  </si>
  <si>
    <t>9793</t>
  </si>
  <si>
    <t xml:space="preserve">Audit Adjustments                                                               </t>
  </si>
  <si>
    <t>9795</t>
  </si>
  <si>
    <t xml:space="preserve">Other Restatements                                                              </t>
  </si>
  <si>
    <t>9980</t>
  </si>
  <si>
    <t xml:space="preserve">Amount Available                                                                </t>
  </si>
  <si>
    <t>9989</t>
  </si>
  <si>
    <t xml:space="preserve">Amount to be Provided                                                           </t>
  </si>
  <si>
    <t>9990</t>
  </si>
  <si>
    <t xml:space="preserve">Investment in General Fixed Assets                                              </t>
  </si>
  <si>
    <t>2410</t>
  </si>
  <si>
    <t>5210</t>
  </si>
  <si>
    <t>5605</t>
  </si>
  <si>
    <t>5610</t>
  </si>
  <si>
    <t>5810</t>
  </si>
  <si>
    <t>7010</t>
  </si>
  <si>
    <t>1000</t>
  </si>
  <si>
    <t>1120</t>
  </si>
  <si>
    <t>2110</t>
  </si>
  <si>
    <t>4000</t>
  </si>
  <si>
    <t>5000</t>
  </si>
  <si>
    <t>6000</t>
  </si>
  <si>
    <t>7500</t>
  </si>
  <si>
    <t>= STRS employer rate</t>
  </si>
  <si>
    <t>= PERS employer rate</t>
  </si>
  <si>
    <t>Monthly</t>
  </si>
  <si>
    <t>Health Rate</t>
  </si>
  <si>
    <t>= Default monthly employer health expense</t>
  </si>
  <si>
    <t>ACCTID</t>
  </si>
  <si>
    <t>ACCTDESC</t>
  </si>
  <si>
    <t>Teachers'  Salaries</t>
  </si>
  <si>
    <t>Teachers'  Bonuses</t>
  </si>
  <si>
    <t>Substitute Expense</t>
  </si>
  <si>
    <t>Certificated Pupil Support Salaries</t>
  </si>
  <si>
    <t>Certificated Supervisor and Administrator Salaries</t>
  </si>
  <si>
    <t>Certificated Supervisor and Administrator Bonuses</t>
  </si>
  <si>
    <t>Other Certificated Salaries</t>
  </si>
  <si>
    <t>Other Certificated Overtime</t>
  </si>
  <si>
    <t>Instructional Aide Salaries</t>
  </si>
  <si>
    <t>Instructional Aide Overtime</t>
  </si>
  <si>
    <t>Classified Support Salaries</t>
  </si>
  <si>
    <t>Classified Support Overtime</t>
  </si>
  <si>
    <t>Classified Supervisor and Administrator Salaries</t>
  </si>
  <si>
    <t>Clerical, Technical, and Office Staff Salaries</t>
  </si>
  <si>
    <t>Clerical, Technical, and Office Staff Overtime</t>
  </si>
  <si>
    <t>Other Classified Salaries</t>
  </si>
  <si>
    <t>Other Stipends</t>
  </si>
  <si>
    <t>Other Classified Overtime</t>
  </si>
  <si>
    <t>State Teachers' Retirement System, certificated positions</t>
  </si>
  <si>
    <t>Public Employees' Retirement System, classified positions</t>
  </si>
  <si>
    <t>Health &amp; Welfare Benefits</t>
  </si>
  <si>
    <t>State Unemployment Insurance</t>
  </si>
  <si>
    <t>Worker Compensation Insurance</t>
  </si>
  <si>
    <t>Approved Textbooks and Core Curricula Materials</t>
  </si>
  <si>
    <t>Books and Other Reference Materials</t>
  </si>
  <si>
    <t>Classroom Materials and Supplies</t>
  </si>
  <si>
    <t>Materials and Supplies</t>
  </si>
  <si>
    <t>Noncapitalized Equipment</t>
  </si>
  <si>
    <t>Travel and Conferences</t>
  </si>
  <si>
    <t>Training and Development Expense</t>
  </si>
  <si>
    <t>Dues and Memberships</t>
  </si>
  <si>
    <t>Insurance</t>
  </si>
  <si>
    <t>Operation and Housekeeping Services/Supplies</t>
  </si>
  <si>
    <t>Utilities</t>
  </si>
  <si>
    <t>Space Rental/Leases Expense</t>
  </si>
  <si>
    <t>Building Maintenance</t>
  </si>
  <si>
    <t>Equipment Rental/Lease Expense</t>
  </si>
  <si>
    <t>Equipment Repair</t>
  </si>
  <si>
    <t>Professional/Consulting Services and Operating Expenditures</t>
  </si>
  <si>
    <t>Banking and Payroll Service Fees</t>
  </si>
  <si>
    <t>Educational Consultants</t>
  </si>
  <si>
    <t>Communications</t>
  </si>
  <si>
    <t>Depreciation Expense</t>
  </si>
  <si>
    <t>Miscellaneous Expense</t>
  </si>
  <si>
    <t>Special Education Encroachment</t>
  </si>
  <si>
    <t>Fundraising Expense</t>
  </si>
  <si>
    <t>Debt Service - Interest</t>
  </si>
  <si>
    <t>District Oversight Fee</t>
  </si>
  <si>
    <t>Special Education - Entitlement</t>
  </si>
  <si>
    <t>Federal Child Nutrition Programs</t>
  </si>
  <si>
    <t>All Other Federal Revenue</t>
  </si>
  <si>
    <t>Charter School Categorical Block Grant</t>
  </si>
  <si>
    <t>State Child Nutrition Program</t>
  </si>
  <si>
    <t>State Lottery Revenue</t>
  </si>
  <si>
    <t>All Other State Revenues</t>
  </si>
  <si>
    <t>Interest</t>
  </si>
  <si>
    <t>Charter Schools Funding In-Lieu of Property Taxes</t>
  </si>
  <si>
    <t>All Other Transfers from County Offices</t>
  </si>
  <si>
    <t>All Other Transfers from Other Locations</t>
  </si>
  <si>
    <t>Student Lunch Revenue</t>
  </si>
  <si>
    <t>Student Body (ASB) Fundraising Revenue</t>
  </si>
  <si>
    <t>School Site Fundraising</t>
  </si>
  <si>
    <t>Rental Income</t>
  </si>
  <si>
    <t>Cash in Bank(s)</t>
  </si>
  <si>
    <t>Investments</t>
  </si>
  <si>
    <t>Accounts Receivables</t>
  </si>
  <si>
    <t>Loans Receivable</t>
  </si>
  <si>
    <t>Prepaid Expenses</t>
  </si>
  <si>
    <t>Employee Advances</t>
  </si>
  <si>
    <t>Other Current Assets</t>
  </si>
  <si>
    <t>Security Deposits</t>
  </si>
  <si>
    <t>Land</t>
  </si>
  <si>
    <t>Building Improvements</t>
  </si>
  <si>
    <t>Accumulated Depreciation - Building Improvements</t>
  </si>
  <si>
    <t>Buildings</t>
  </si>
  <si>
    <t>Accumulated Depreciation - Buildings</t>
  </si>
  <si>
    <t>Furniture &amp; Fixtures</t>
  </si>
  <si>
    <t>Computer Equipment</t>
  </si>
  <si>
    <t>Transportation Equipment</t>
  </si>
  <si>
    <t>Accumulated Depreciation - Furniture &amp; Fixtures</t>
  </si>
  <si>
    <t>Accumulated Depreciation - Computer Equipment</t>
  </si>
  <si>
    <t>Accumulated Depreciation - Transportation Equipment</t>
  </si>
  <si>
    <t>Construction in Progress</t>
  </si>
  <si>
    <t>Accounts Payable-System</t>
  </si>
  <si>
    <t>Accrued Salaries</t>
  </si>
  <si>
    <t>Accrued Payroll Taxes</t>
  </si>
  <si>
    <t>Accrued STRS</t>
  </si>
  <si>
    <t>Accrued PERS</t>
  </si>
  <si>
    <t>Accounts Payable-Accrual</t>
  </si>
  <si>
    <t>Loans Payable</t>
  </si>
  <si>
    <t>Deferred Revenue</t>
  </si>
  <si>
    <t>Voluntary Deductions</t>
  </si>
  <si>
    <t>Revolving Loan Payable</t>
  </si>
  <si>
    <t>Other Postemployment Benefits Payable</t>
  </si>
  <si>
    <t>Compensated Abscences Payable</t>
  </si>
  <si>
    <t>Capital Leases Payable</t>
  </si>
  <si>
    <t>Secured Debt Outstanding</t>
  </si>
  <si>
    <t>Reserve for Economic Uncertainty</t>
  </si>
  <si>
    <t>Undesignated Fund Balance</t>
  </si>
  <si>
    <t xml:space="preserve">= State Unemployment Insurance yearly employer expense </t>
  </si>
  <si>
    <t>= Workers' Comp employer rate</t>
  </si>
  <si>
    <t>= Medicare employer rate</t>
  </si>
  <si>
    <t xml:space="preserve">Total </t>
  </si>
  <si>
    <t>Benefits</t>
  </si>
  <si>
    <t>Total Direct</t>
  </si>
  <si>
    <t>Compensation</t>
  </si>
  <si>
    <t>Total</t>
  </si>
  <si>
    <t>Books and Supplies</t>
  </si>
  <si>
    <t>4430</t>
  </si>
  <si>
    <t>5501</t>
  </si>
  <si>
    <t>5505</t>
  </si>
  <si>
    <t>5601</t>
  </si>
  <si>
    <t>5803</t>
  </si>
  <si>
    <t>5805</t>
  </si>
  <si>
    <t>7000</t>
  </si>
  <si>
    <t>8291</t>
  </si>
  <si>
    <t>8292</t>
  </si>
  <si>
    <t>8293</t>
  </si>
  <si>
    <t>8294</t>
  </si>
  <si>
    <t>8295</t>
  </si>
  <si>
    <t>8784</t>
  </si>
  <si>
    <t>8982</t>
  </si>
  <si>
    <t>8983</t>
  </si>
  <si>
    <t>8984</t>
  </si>
  <si>
    <t>8985</t>
  </si>
  <si>
    <t>8986</t>
  </si>
  <si>
    <t>9125</t>
  </si>
  <si>
    <t>9311</t>
  </si>
  <si>
    <t>9335</t>
  </si>
  <si>
    <t>9350</t>
  </si>
  <si>
    <t>9441</t>
  </si>
  <si>
    <t>9442</t>
  </si>
  <si>
    <t>9446</t>
  </si>
  <si>
    <t>9447</t>
  </si>
  <si>
    <t>9501</t>
  </si>
  <si>
    <t>9502</t>
  </si>
  <si>
    <t>9503</t>
  </si>
  <si>
    <t>9504</t>
  </si>
  <si>
    <t>9505</t>
  </si>
  <si>
    <t>9660</t>
  </si>
  <si>
    <t>9663</t>
  </si>
  <si>
    <t>1105</t>
  </si>
  <si>
    <t>1305</t>
  </si>
  <si>
    <t>1910</t>
  </si>
  <si>
    <t>2210</t>
  </si>
  <si>
    <t>2905</t>
  </si>
  <si>
    <t>2910</t>
  </si>
  <si>
    <t>3403</t>
  </si>
  <si>
    <t>3503</t>
  </si>
  <si>
    <t>3603</t>
  </si>
  <si>
    <t>Subtotal</t>
  </si>
  <si>
    <t>Services and Other Operating Expenses</t>
  </si>
  <si>
    <t>Capital Outlay</t>
  </si>
  <si>
    <t>Other Outgoing</t>
  </si>
  <si>
    <t>Subotal</t>
  </si>
  <si>
    <t>Employee Inputs</t>
  </si>
  <si>
    <t>SACS Series</t>
  </si>
  <si>
    <t>SACS Object Code</t>
  </si>
  <si>
    <t>Code Description</t>
  </si>
  <si>
    <t>Retirement System</t>
  </si>
  <si>
    <t>for Employee</t>
  </si>
  <si>
    <t>Total Expenses</t>
  </si>
  <si>
    <t>Certificated Salaries</t>
  </si>
  <si>
    <t>Classified Salaries</t>
  </si>
  <si>
    <t>Employee Benefits</t>
  </si>
  <si>
    <t>Total Personnel Expenses</t>
  </si>
  <si>
    <t>Total Non-Personnel Expenses</t>
  </si>
  <si>
    <t>2000</t>
  </si>
  <si>
    <t>3000</t>
  </si>
  <si>
    <t>Salary</t>
  </si>
  <si>
    <t>Education</t>
  </si>
  <si>
    <t>Sample Name</t>
  </si>
  <si>
    <t>VP, Education</t>
  </si>
  <si>
    <t>Totals</t>
  </si>
  <si>
    <t>Overtime</t>
  </si>
  <si>
    <t>Bonus and</t>
  </si>
  <si>
    <t>Stipends</t>
  </si>
  <si>
    <t>Teachers Only</t>
  </si>
  <si>
    <t>Expenses Summary</t>
  </si>
  <si>
    <t>Non-Personnel Expenses Input</t>
  </si>
  <si>
    <t>Enrollment By Grade</t>
  </si>
  <si>
    <t>Grade 1</t>
  </si>
  <si>
    <t>Grade 2</t>
  </si>
  <si>
    <t>Grade 3</t>
  </si>
  <si>
    <t>Grade 4</t>
  </si>
  <si>
    <t>Grade 5</t>
  </si>
  <si>
    <t>Grade 6</t>
  </si>
  <si>
    <t>Grade 7</t>
  </si>
  <si>
    <t>Grade 8</t>
  </si>
  <si>
    <t>Grade 9</t>
  </si>
  <si>
    <t xml:space="preserve">Grade 10 </t>
  </si>
  <si>
    <t>Grade 11</t>
  </si>
  <si>
    <t>Grade 12</t>
  </si>
  <si>
    <t>Other Enrollment (Grade 12+, etc.)</t>
  </si>
  <si>
    <t>Total Enrollment</t>
  </si>
  <si>
    <t>Daily Attendance Rate</t>
  </si>
  <si>
    <t>ADA Grades 4-6</t>
  </si>
  <si>
    <t>ADA Grades 7-8</t>
  </si>
  <si>
    <t>ADA Grades 9-12</t>
  </si>
  <si>
    <t>Average Daily Attendance Rate</t>
  </si>
  <si>
    <t>Average Daily Attendance by Grade</t>
  </si>
  <si>
    <t>Average Overall Daily Attendance</t>
  </si>
  <si>
    <t>Average Daily Attendance by Grade Range</t>
  </si>
  <si>
    <t>English Language Learners</t>
  </si>
  <si>
    <t>Poverty level, % of school's overall students</t>
  </si>
  <si>
    <t>Free lunch qualifing, % of school's overall students</t>
  </si>
  <si>
    <t>Poverty level, number of students</t>
  </si>
  <si>
    <t>Poverty and Free/Reduced Price Lunch</t>
  </si>
  <si>
    <t>Student Input</t>
  </si>
  <si>
    <t>State</t>
  </si>
  <si>
    <t>Lottery</t>
  </si>
  <si>
    <t>if applicable</t>
  </si>
  <si>
    <t>no</t>
  </si>
  <si>
    <t>Federal</t>
  </si>
  <si>
    <t>Title I</t>
  </si>
  <si>
    <t>Title II</t>
  </si>
  <si>
    <t>Title III</t>
  </si>
  <si>
    <t>Title IV</t>
  </si>
  <si>
    <t>Title V</t>
  </si>
  <si>
    <t>if applicable, this year's amount</t>
  </si>
  <si>
    <t>Revenue</t>
  </si>
  <si>
    <t>Local</t>
  </si>
  <si>
    <t>State Revenue</t>
  </si>
  <si>
    <t>Federal Revenue</t>
  </si>
  <si>
    <t>Local Revenue</t>
  </si>
  <si>
    <t>Total Revenue</t>
  </si>
  <si>
    <t>Budget Summary</t>
  </si>
  <si>
    <t>Expenses</t>
  </si>
  <si>
    <r>
      <t xml:space="preserve">Surplus / </t>
    </r>
    <r>
      <rPr>
        <b/>
        <sz val="12"/>
        <color rgb="FFFF0000"/>
        <rFont val="Times New Roman"/>
        <family val="1"/>
      </rPr>
      <t>(Deficit)</t>
    </r>
  </si>
  <si>
    <t>Monthly Cash Flow Assumptions</t>
  </si>
  <si>
    <t>July</t>
  </si>
  <si>
    <t>Aug</t>
  </si>
  <si>
    <t>Sept</t>
  </si>
  <si>
    <t>Oct</t>
  </si>
  <si>
    <t>Nov</t>
  </si>
  <si>
    <t>Dec</t>
  </si>
  <si>
    <t>Jan</t>
  </si>
  <si>
    <t>Feb</t>
  </si>
  <si>
    <t>Mar</t>
  </si>
  <si>
    <t>Apr</t>
  </si>
  <si>
    <t>May</t>
  </si>
  <si>
    <t>June</t>
  </si>
  <si>
    <t>Is this a new charter school?</t>
  </si>
  <si>
    <t>Operating School's General Purpose, state aid schedule</t>
  </si>
  <si>
    <t>New School's General Purpose, state aid schedule</t>
  </si>
  <si>
    <t>Monthly Cash Flow Projections</t>
  </si>
  <si>
    <t>These rows are hidden to maintain parallel contstruction with % tab</t>
  </si>
  <si>
    <r>
      <t xml:space="preserve">Total Monthly Surplus / </t>
    </r>
    <r>
      <rPr>
        <b/>
        <sz val="12"/>
        <color rgb="FFFF0000"/>
        <rFont val="Times New Roman"/>
        <family val="1"/>
      </rPr>
      <t>(Deficit)</t>
    </r>
  </si>
  <si>
    <t>Monthly Cash Flow Projection Graph</t>
  </si>
  <si>
    <t>Additional items needed for cash flow</t>
  </si>
  <si>
    <t>Cash balance at previous year end</t>
  </si>
  <si>
    <t>Accounts Receivable</t>
  </si>
  <si>
    <t>Accounts Payable</t>
  </si>
  <si>
    <t>Loan Principal Payable</t>
  </si>
  <si>
    <t>Please ensure you update the "Additional items…" section and $ amounts at the very bottom</t>
  </si>
  <si>
    <t>Enter $ Amounts</t>
  </si>
  <si>
    <r>
      <t xml:space="preserve">Monthly Operating Surplus / </t>
    </r>
    <r>
      <rPr>
        <b/>
        <sz val="12"/>
        <color rgb="FFFF0000"/>
        <rFont val="Times New Roman"/>
        <family val="1"/>
      </rPr>
      <t>(Deficit)</t>
    </r>
  </si>
  <si>
    <t>Projected Monthly Cash Balance</t>
  </si>
  <si>
    <t>Prior Year Income / Adjustments</t>
  </si>
  <si>
    <t>8591</t>
  </si>
  <si>
    <t>All Other Federal Revenue, inc Facilities Incentive Grants program</t>
  </si>
  <si>
    <t>State Child Nutrition program</t>
  </si>
  <si>
    <t>8592</t>
  </si>
  <si>
    <t>CMO Management fee</t>
  </si>
  <si>
    <t>4315</t>
  </si>
  <si>
    <t>General Student Equipment</t>
  </si>
  <si>
    <t>5815</t>
  </si>
  <si>
    <t>Advertising / Recruiting</t>
  </si>
  <si>
    <t>5820</t>
  </si>
  <si>
    <t>5890</t>
  </si>
  <si>
    <t>Interest Expense / Misc. Fees</t>
  </si>
  <si>
    <t>5891</t>
  </si>
  <si>
    <t>Charter School Capital Fees</t>
  </si>
  <si>
    <t>5899</t>
  </si>
  <si>
    <t>CMO Management Fee</t>
  </si>
  <si>
    <t>8785</t>
  </si>
  <si>
    <t>FSCSYR</t>
  </si>
  <si>
    <t>FSCSDSG</t>
  </si>
  <si>
    <t>FSCSCURN</t>
  </si>
  <si>
    <t>CURNTYPE</t>
  </si>
  <si>
    <t>NETPERD1</t>
  </si>
  <si>
    <t>NETPERD2</t>
  </si>
  <si>
    <t>NETPERD3</t>
  </si>
  <si>
    <t>NETPERD4</t>
  </si>
  <si>
    <t>NETPERD5</t>
  </si>
  <si>
    <t>NETPERD6</t>
  </si>
  <si>
    <t>NETPERD7</t>
  </si>
  <si>
    <t>NETPERD8</t>
  </si>
  <si>
    <t>NETPERD9</t>
  </si>
  <si>
    <t>NETPERD10</t>
  </si>
  <si>
    <t>NETPERD11</t>
  </si>
  <si>
    <t>NETPERD12</t>
  </si>
  <si>
    <t>110002000</t>
  </si>
  <si>
    <t>1</t>
  </si>
  <si>
    <t>USD</t>
  </si>
  <si>
    <t>F</t>
  </si>
  <si>
    <t>110002001</t>
  </si>
  <si>
    <t>110002065</t>
  </si>
  <si>
    <t>110502000</t>
  </si>
  <si>
    <t>110502001</t>
  </si>
  <si>
    <t>110502065</t>
  </si>
  <si>
    <t>112002000</t>
  </si>
  <si>
    <t>112002001</t>
  </si>
  <si>
    <t>112002065</t>
  </si>
  <si>
    <t>120002000</t>
  </si>
  <si>
    <t>120002001</t>
  </si>
  <si>
    <t>120002065</t>
  </si>
  <si>
    <t>130002000</t>
  </si>
  <si>
    <t>130002001</t>
  </si>
  <si>
    <t>130002065</t>
  </si>
  <si>
    <t>130502000</t>
  </si>
  <si>
    <t>130502001</t>
  </si>
  <si>
    <t>130502065</t>
  </si>
  <si>
    <t>190002000</t>
  </si>
  <si>
    <t>190002001</t>
  </si>
  <si>
    <t>190002065</t>
  </si>
  <si>
    <t>191002000</t>
  </si>
  <si>
    <t>191002001</t>
  </si>
  <si>
    <t>191002065</t>
  </si>
  <si>
    <t>210002000</t>
  </si>
  <si>
    <t>210002001</t>
  </si>
  <si>
    <t>210002065</t>
  </si>
  <si>
    <t>211002000</t>
  </si>
  <si>
    <t>211002001</t>
  </si>
  <si>
    <t>211002065</t>
  </si>
  <si>
    <t>220002000</t>
  </si>
  <si>
    <t>220002001</t>
  </si>
  <si>
    <t>220002065</t>
  </si>
  <si>
    <t>221002000</t>
  </si>
  <si>
    <t>221002001</t>
  </si>
  <si>
    <t>221002065</t>
  </si>
  <si>
    <t>230002000</t>
  </si>
  <si>
    <t>230002001</t>
  </si>
  <si>
    <t>230002065</t>
  </si>
  <si>
    <t>240002000</t>
  </si>
  <si>
    <t>240002001</t>
  </si>
  <si>
    <t>240002065</t>
  </si>
  <si>
    <t>241002000</t>
  </si>
  <si>
    <t>241002001</t>
  </si>
  <si>
    <t>241002065</t>
  </si>
  <si>
    <t>290002000</t>
  </si>
  <si>
    <t>290002001</t>
  </si>
  <si>
    <t>290002065</t>
  </si>
  <si>
    <t>290502000</t>
  </si>
  <si>
    <t>290502001</t>
  </si>
  <si>
    <t>290502065</t>
  </si>
  <si>
    <t>291002000</t>
  </si>
  <si>
    <t>291002001</t>
  </si>
  <si>
    <t>291002065</t>
  </si>
  <si>
    <t>310102000</t>
  </si>
  <si>
    <t>310102065</t>
  </si>
  <si>
    <t>320202000</t>
  </si>
  <si>
    <t>320202065</t>
  </si>
  <si>
    <t>331302065</t>
  </si>
  <si>
    <t>332302000</t>
  </si>
  <si>
    <t>332302001</t>
  </si>
  <si>
    <t>332302065</t>
  </si>
  <si>
    <t>340302065</t>
  </si>
  <si>
    <t>410002000</t>
  </si>
  <si>
    <t>410002001</t>
  </si>
  <si>
    <t>410002065</t>
  </si>
  <si>
    <t>420002000</t>
  </si>
  <si>
    <t>420002001</t>
  </si>
  <si>
    <t>420002065</t>
  </si>
  <si>
    <t>430002000</t>
  </si>
  <si>
    <t>430002001</t>
  </si>
  <si>
    <t>430002065</t>
  </si>
  <si>
    <t>431502000</t>
  </si>
  <si>
    <t>431502001</t>
  </si>
  <si>
    <t>431502065</t>
  </si>
  <si>
    <t>440002000</t>
  </si>
  <si>
    <t>440002001</t>
  </si>
  <si>
    <t>440002065</t>
  </si>
  <si>
    <t>443002000</t>
  </si>
  <si>
    <t>443002001</t>
  </si>
  <si>
    <t>443002065</t>
  </si>
  <si>
    <t>470002000</t>
  </si>
  <si>
    <t>470002065</t>
  </si>
  <si>
    <t>520002000</t>
  </si>
  <si>
    <t>520002001</t>
  </si>
  <si>
    <t>520002065</t>
  </si>
  <si>
    <t>521002000</t>
  </si>
  <si>
    <t>521002001</t>
  </si>
  <si>
    <t>521002065</t>
  </si>
  <si>
    <t>530002000</t>
  </si>
  <si>
    <t>530002001</t>
  </si>
  <si>
    <t>530002065</t>
  </si>
  <si>
    <t>540002000</t>
  </si>
  <si>
    <t>540002001</t>
  </si>
  <si>
    <t>540002065</t>
  </si>
  <si>
    <t>550002000</t>
  </si>
  <si>
    <t>550002001</t>
  </si>
  <si>
    <t>550002065</t>
  </si>
  <si>
    <t>550102000</t>
  </si>
  <si>
    <t>550102001</t>
  </si>
  <si>
    <t>550102065</t>
  </si>
  <si>
    <t>550502000</t>
  </si>
  <si>
    <t>550502001</t>
  </si>
  <si>
    <t>550502065</t>
  </si>
  <si>
    <t>560002000</t>
  </si>
  <si>
    <t>560002001</t>
  </si>
  <si>
    <t>560002065</t>
  </si>
  <si>
    <t>560102000</t>
  </si>
  <si>
    <t>560102001</t>
  </si>
  <si>
    <t>560102065</t>
  </si>
  <si>
    <t>560502000</t>
  </si>
  <si>
    <t>560502001</t>
  </si>
  <si>
    <t>560502065</t>
  </si>
  <si>
    <t>561002000</t>
  </si>
  <si>
    <t>561002001</t>
  </si>
  <si>
    <t>561002065</t>
  </si>
  <si>
    <t>580002000</t>
  </si>
  <si>
    <t>580002001</t>
  </si>
  <si>
    <t>580002065</t>
  </si>
  <si>
    <t>580302000</t>
  </si>
  <si>
    <t>580502000</t>
  </si>
  <si>
    <t>580502001</t>
  </si>
  <si>
    <t>580502065</t>
  </si>
  <si>
    <t>581002000</t>
  </si>
  <si>
    <t>581002001</t>
  </si>
  <si>
    <t>581002065</t>
  </si>
  <si>
    <t>581502000</t>
  </si>
  <si>
    <t>581502001</t>
  </si>
  <si>
    <t>581502065</t>
  </si>
  <si>
    <t>582002000</t>
  </si>
  <si>
    <t>582002001</t>
  </si>
  <si>
    <t>582002065</t>
  </si>
  <si>
    <t>589002000</t>
  </si>
  <si>
    <t>589102000</t>
  </si>
  <si>
    <t>589902000</t>
  </si>
  <si>
    <t>590002000</t>
  </si>
  <si>
    <t>590002001</t>
  </si>
  <si>
    <t>590002065</t>
  </si>
  <si>
    <t>599902000</t>
  </si>
  <si>
    <t>599902001</t>
  </si>
  <si>
    <t>599902065</t>
  </si>
  <si>
    <t>690002000</t>
  </si>
  <si>
    <t>701002000</t>
  </si>
  <si>
    <t>701002065</t>
  </si>
  <si>
    <t>743802000</t>
  </si>
  <si>
    <t>801902000</t>
  </si>
  <si>
    <t>809602000</t>
  </si>
  <si>
    <t>818102065</t>
  </si>
  <si>
    <t>822002000</t>
  </si>
  <si>
    <t>829002000</t>
  </si>
  <si>
    <t>829002001</t>
  </si>
  <si>
    <t>829102001</t>
  </si>
  <si>
    <t>829202002</t>
  </si>
  <si>
    <t>829302003</t>
  </si>
  <si>
    <t>829402004</t>
  </si>
  <si>
    <t>829502005</t>
  </si>
  <si>
    <t>829902000</t>
  </si>
  <si>
    <t>829902001</t>
  </si>
  <si>
    <t>829902065</t>
  </si>
  <si>
    <t>852002000</t>
  </si>
  <si>
    <t>859002000</t>
  </si>
  <si>
    <t>859002065</t>
  </si>
  <si>
    <t>859102000</t>
  </si>
  <si>
    <t>859202000</t>
  </si>
  <si>
    <t>859902000</t>
  </si>
  <si>
    <t>859902065</t>
  </si>
  <si>
    <t>866002000</t>
  </si>
  <si>
    <t>879202000</t>
  </si>
  <si>
    <t>898002000</t>
  </si>
  <si>
    <t>898202000</t>
  </si>
  <si>
    <t>898302000</t>
  </si>
  <si>
    <t>898402000</t>
  </si>
  <si>
    <t>898502000</t>
  </si>
  <si>
    <t>898602000</t>
  </si>
  <si>
    <t>899902000</t>
  </si>
  <si>
    <t>899902065</t>
  </si>
  <si>
    <t>310102001</t>
  </si>
  <si>
    <t>320202001</t>
  </si>
  <si>
    <t>331302000</t>
  </si>
  <si>
    <t>331302001</t>
  </si>
  <si>
    <t>340302000</t>
  </si>
  <si>
    <t>340302001</t>
  </si>
  <si>
    <t>350302000</t>
  </si>
  <si>
    <t>350302001</t>
  </si>
  <si>
    <t>350302065</t>
  </si>
  <si>
    <t>360302000</t>
  </si>
  <si>
    <t>360302001</t>
  </si>
  <si>
    <t>360302065</t>
  </si>
  <si>
    <t>Series Check</t>
  </si>
  <si>
    <t>Federal / 8200 only:</t>
  </si>
  <si>
    <t>Local and State:</t>
  </si>
  <si>
    <t>Also note that red cells are hard-coded tied to certain rows of the cash flow tab, may need to be modified</t>
  </si>
  <si>
    <t>All should be "100.00%", if not then this sheet isn't probably capturing what is in the cash flow tab</t>
  </si>
  <si>
    <t>Directions:</t>
  </si>
  <si>
    <t>Once this tab is ready (see series check below), right click on the tab, choose "Move or Copy", check the box "create a copy", move to a "(new book)"</t>
  </si>
  <si>
    <t>Then highlight the whole data series (currently A1:Q201), copy, choose cell A1 of the new workbook, then choose "Paste Special", choose "Paste Values", then save this file as an Excel 97-2003 workbook, then erase column S.</t>
  </si>
  <si>
    <t>By default, the below %s are equal to the previous year's %s.  Feel free to overwrite</t>
  </si>
  <si>
    <t>Please ensure you update the "Additional items…" section at the very bottom and the corresponding $ amounts at the very bottom of each year's "Cash Flow $s" tab (e.g. loan principal payable line)</t>
  </si>
  <si>
    <t>state food formula, just copy to cell D18:</t>
  </si>
  <si>
    <t>= Salary increase</t>
  </si>
  <si>
    <t>federal food formula, just copy to cell D26:</t>
  </si>
  <si>
    <t>3313</t>
  </si>
  <si>
    <t>OASDI</t>
  </si>
  <si>
    <t>3323</t>
  </si>
  <si>
    <t>Medicare</t>
  </si>
  <si>
    <t>= OASDI employer rate</t>
  </si>
  <si>
    <t>Health and Welfare</t>
  </si>
  <si>
    <t>SUI</t>
  </si>
  <si>
    <t>Workers' Comp</t>
  </si>
  <si>
    <t>3903</t>
  </si>
  <si>
    <t>3703</t>
  </si>
  <si>
    <t>Other Post Employment Benefits</t>
  </si>
  <si>
    <t>= possible formula for STD, GTL, LTD, AD&amp;D</t>
  </si>
  <si>
    <t>Other Benefits</t>
  </si>
  <si>
    <t>Food and Food Supplies</t>
  </si>
  <si>
    <t>Student Transportation / Field Trips</t>
  </si>
  <si>
    <t>5602</t>
  </si>
  <si>
    <t>Other Space Rental</t>
  </si>
  <si>
    <t>Legal Services and Audit</t>
  </si>
  <si>
    <t>5999</t>
  </si>
  <si>
    <t>Expense Suspense</t>
  </si>
  <si>
    <t>8299</t>
  </si>
  <si>
    <t>Prior Year Federal Revenue</t>
  </si>
  <si>
    <t>Supplemental Instruction</t>
  </si>
  <si>
    <t>8599</t>
  </si>
  <si>
    <t>Prior Year State Income</t>
  </si>
  <si>
    <t>All Other Local Revenue</t>
  </si>
  <si>
    <t>8989</t>
  </si>
  <si>
    <t>8999</t>
  </si>
  <si>
    <t>Revenue Suspense</t>
  </si>
  <si>
    <t>Restriction Codes:</t>
  </si>
  <si>
    <t>01 - Title I</t>
  </si>
  <si>
    <t>02 - Title II</t>
  </si>
  <si>
    <t>03 - Title III</t>
  </si>
  <si>
    <t>04 - Title IV</t>
  </si>
  <si>
    <t>05 - Title V</t>
  </si>
  <si>
    <t>65 - SPED</t>
  </si>
  <si>
    <t>61 - ASES</t>
  </si>
  <si>
    <t>OASDI 6.2% of 106,800</t>
  </si>
  <si>
    <t>Medicare  1.45%</t>
  </si>
  <si>
    <t>All Employer contributions for Health and welfare</t>
  </si>
  <si>
    <t>All employer contributions for State Unemployment Insurance including experience charges</t>
  </si>
  <si>
    <t>All Employer contributions for Worker Compensation Insurance</t>
  </si>
  <si>
    <t>Other Employee Benefits</t>
  </si>
  <si>
    <t>Employer 403b contributions</t>
  </si>
  <si>
    <t xml:space="preserve">Includes all testing and exam supplies </t>
  </si>
  <si>
    <t>Includes printing and copying expense, custodial supplies, any noninstructional supplies, food purchased for staff training, t shirts</t>
  </si>
  <si>
    <t xml:space="preserve">Use for Noncapitalized equipment other than student related </t>
  </si>
  <si>
    <t>Noncapitalized Student Equipment</t>
  </si>
  <si>
    <t>Change to Noncapitalized Student Equipment (band, uniforms, atheletic, arts) Items that are useful for more than one year but below the 2500 capitalization threshhold</t>
  </si>
  <si>
    <t>Includes ONLY NSLP related expenses</t>
  </si>
  <si>
    <t>Includes Auto Mileage and Parking, hotel reimbursements, airfare, taxis, food while out of town</t>
  </si>
  <si>
    <t>Would include all publications as well</t>
  </si>
  <si>
    <t>All Insurance except employee benefits</t>
  </si>
  <si>
    <t>Operation and Housekeeping Services</t>
  </si>
  <si>
    <t>Include Security Services, Transportation repair</t>
  </si>
  <si>
    <t xml:space="preserve">Would include electricity, water, heating. </t>
  </si>
  <si>
    <t>Student Transportation/Field Trips</t>
  </si>
  <si>
    <t>Student Field Trip expenses</t>
  </si>
  <si>
    <t>Only building rents</t>
  </si>
  <si>
    <t>Services only…supplies should be 4300</t>
  </si>
  <si>
    <t>Would include short term rentals such as sports fields, graduation/event hall</t>
  </si>
  <si>
    <t>Includes transportation repair</t>
  </si>
  <si>
    <t>would include all non instructional services except legal and audit and banking and payroll; e.g. djay for student dance, photographer</t>
  </si>
  <si>
    <t>Advertising/Recruiting</t>
  </si>
  <si>
    <t>Livescan; all recruiting for students and employees</t>
  </si>
  <si>
    <t>All expenses for school fundraisers</t>
  </si>
  <si>
    <t>Interest expense/fees</t>
  </si>
  <si>
    <t>For all interest except on long term debt</t>
  </si>
  <si>
    <t>New account for fees related to Charter school Capital…the factoring and the program fees</t>
  </si>
  <si>
    <t>CMO Management Fees</t>
  </si>
  <si>
    <t>New Account on Multi schools</t>
  </si>
  <si>
    <t>Includes all postage and all messenger services as well as telephone</t>
  </si>
  <si>
    <t>New account holding items for which we have no documentation</t>
  </si>
  <si>
    <t>Only for long term debts</t>
  </si>
  <si>
    <t>Prior Year Income/Adjustments</t>
  </si>
  <si>
    <t>Only prior year General Purpose and In lieu</t>
  </si>
  <si>
    <t>would include Charter School Facility INCENTIVE Grants (monthly installments) and 21st Century after school</t>
  </si>
  <si>
    <t xml:space="preserve">with restriction 01 </t>
  </si>
  <si>
    <t>with restriction 02</t>
  </si>
  <si>
    <t>with restriction 03</t>
  </si>
  <si>
    <t>with restriction 04</t>
  </si>
  <si>
    <t>with restriction 05 would include Public Charter School Grant Program</t>
  </si>
  <si>
    <t>New Account Would contain any federal revenues from prior years</t>
  </si>
  <si>
    <t>New Account would contain Retained and Recommended, Low Star, Core Subject, Risk of Failing, Supplemental Categorical for New Schools</t>
  </si>
  <si>
    <t>Class Size Reduction, Grades K-3</t>
  </si>
  <si>
    <t>Includes State ASES with restriction 61</t>
  </si>
  <si>
    <t>SB 740</t>
  </si>
  <si>
    <t>Do not include the amounts for Charter School Finance Incentive Grants which are federal</t>
  </si>
  <si>
    <t>Arts and Music Block Grant</t>
  </si>
  <si>
    <t>New Account</t>
  </si>
  <si>
    <t>New Account all prior year state except General Purpose and in lieu which is 8019</t>
  </si>
  <si>
    <t>Inactivate</t>
  </si>
  <si>
    <t>SPED state/Transfers of Apportionments from County Offices</t>
  </si>
  <si>
    <t>Non Federal SPED</t>
  </si>
  <si>
    <t>Would be fees charged between CMO and schools</t>
  </si>
  <si>
    <t>Foundation Grants/Donations</t>
  </si>
  <si>
    <t>All other Local Revenue</t>
  </si>
  <si>
    <t>Includes contributions for field trips, parent payments for childcare/afterschool, prop tax refunds, workers comp refunds related to prior year expense.</t>
  </si>
  <si>
    <t>Would include any contributions and revenues from fundraisers</t>
  </si>
  <si>
    <t>Would include any receipts from the use of their building by community groups</t>
  </si>
  <si>
    <t>CSC Sale of Future Revenue Streams</t>
  </si>
  <si>
    <t>New Account holding revenue items for which we have no documentation</t>
  </si>
  <si>
    <t>Cash account descriptions can vary; generally we start with 9120 and as they open and close we can change accounts</t>
  </si>
  <si>
    <t>Cash in County Treasury</t>
  </si>
  <si>
    <t>USE ONLY FOR OCCASIONAL checks….do not charge entire payrolls here!!!!!</t>
  </si>
  <si>
    <t>9415</t>
  </si>
  <si>
    <t>Land Improvements</t>
  </si>
  <si>
    <t>9506</t>
  </si>
  <si>
    <t>Credit Card Payable</t>
  </si>
  <si>
    <t>Should agree to balance due on Credit Card statements</t>
  </si>
  <si>
    <t>Set up Loans payable for each loan</t>
  </si>
  <si>
    <t>4000-4999 are for books and supplies</t>
  </si>
  <si>
    <t>5000-5999 are for services and other operating expenditures</t>
  </si>
  <si>
    <t>Personnel Object Code Guidance - CSAM</t>
  </si>
  <si>
    <t>Code</t>
  </si>
  <si>
    <t>Description</t>
  </si>
  <si>
    <t>Teachers</t>
  </si>
  <si>
    <t>Teachers - Home &amp; Hospital</t>
  </si>
  <si>
    <t>Special Ed Resource Specialist</t>
  </si>
  <si>
    <t>Special Ed Resource Teachers</t>
  </si>
  <si>
    <t>Teachers - Pull Out Basis</t>
  </si>
  <si>
    <t>Librarian</t>
  </si>
  <si>
    <t>Social Worker</t>
  </si>
  <si>
    <t>Psychologists</t>
  </si>
  <si>
    <t>Counselors</t>
  </si>
  <si>
    <t>Nurses</t>
  </si>
  <si>
    <t>Audiometrists</t>
  </si>
  <si>
    <t>Principals</t>
  </si>
  <si>
    <t>Administrative Deans</t>
  </si>
  <si>
    <t>Instructional Supervisors</t>
  </si>
  <si>
    <t>Coordinators</t>
  </si>
  <si>
    <t>Directors</t>
  </si>
  <si>
    <t>Certificated Assistants (whether or not they supervise)</t>
  </si>
  <si>
    <t>Superintendents</t>
  </si>
  <si>
    <t>Other Certificated Staff who are not 1100, 1200 or 1300.</t>
  </si>
  <si>
    <t>Resource Teachers not performing classroom duties</t>
  </si>
  <si>
    <t>Special Education Specialists</t>
  </si>
  <si>
    <t>Other Program Specialists</t>
  </si>
  <si>
    <t>Cannot be used for instructional staff</t>
  </si>
  <si>
    <t>Instructional Aides</t>
  </si>
  <si>
    <t>Non-Certificated Charter School Teachers</t>
  </si>
  <si>
    <t>Non-Certificated Instructional Personnel</t>
  </si>
  <si>
    <t>Coaches</t>
  </si>
  <si>
    <t>Tutors</t>
  </si>
  <si>
    <t>Drug/Alcohol Program Mentors</t>
  </si>
  <si>
    <t>Library Aide</t>
  </si>
  <si>
    <t>Media Aide</t>
  </si>
  <si>
    <t>Counselor Aide</t>
  </si>
  <si>
    <t>Health Aide</t>
  </si>
  <si>
    <t>Bus Drivers / Mechanics / Other Transportation Personnel</t>
  </si>
  <si>
    <t>Food Service Personnel</t>
  </si>
  <si>
    <t>Business Managers</t>
  </si>
  <si>
    <t>Controllers</t>
  </si>
  <si>
    <t>Site Administrators</t>
  </si>
  <si>
    <t>Stipends for Board Members</t>
  </si>
  <si>
    <t>Non-Certificated Superintendents, Assistant Superintendents</t>
  </si>
  <si>
    <t>Clerks</t>
  </si>
  <si>
    <t>Secretaries</t>
  </si>
  <si>
    <t>Accountants</t>
  </si>
  <si>
    <t>Bookkeepers</t>
  </si>
  <si>
    <t>Programmers</t>
  </si>
  <si>
    <t>Computer Technical Support</t>
  </si>
  <si>
    <t>Machine Operators</t>
  </si>
  <si>
    <t>Computer Operators</t>
  </si>
  <si>
    <t>Classified not in 2100 - 2400 codes</t>
  </si>
  <si>
    <t>Noon Supervision Personnel</t>
  </si>
  <si>
    <t>Building Inspectors</t>
  </si>
  <si>
    <t>Work Experience Students</t>
  </si>
  <si>
    <t>In-Lieu of Property Taxes, all grades</t>
  </si>
  <si>
    <t>8012</t>
  </si>
  <si>
    <t>As a % of LCFF revenue</t>
  </si>
  <si>
    <t>801202030</t>
  </si>
  <si>
    <t>Assumed CPI over previous year, source: School Services</t>
  </si>
  <si>
    <t>Mandate Block Grant</t>
  </si>
  <si>
    <t>801102000</t>
  </si>
  <si>
    <t>Special Education, federal</t>
  </si>
  <si>
    <t>federal</t>
  </si>
  <si>
    <t>LCFF, state portion</t>
  </si>
  <si>
    <t>8015 = EPA</t>
  </si>
  <si>
    <t>should be above</t>
  </si>
  <si>
    <t>Change in Current Assets</t>
  </si>
  <si>
    <t>Change in Current Liabilities</t>
  </si>
  <si>
    <t>should be a negative number</t>
  </si>
  <si>
    <t>Change in Loans outstanding</t>
  </si>
  <si>
    <t>an outstanding loan balance would be a negative number</t>
  </si>
  <si>
    <t>5875</t>
  </si>
  <si>
    <t>Teachers' Stipends / Bonus</t>
  </si>
  <si>
    <t>Teachers' Salaries</t>
  </si>
  <si>
    <t>Certificated Sup. and Admin. Stipends / Bonus</t>
  </si>
  <si>
    <t>Classified Support Salaries (Maintenance / Food)</t>
  </si>
  <si>
    <t>LCFF; state aid portion</t>
  </si>
  <si>
    <t>LCFF; EPA portion</t>
  </si>
  <si>
    <t>SPED State / Other Transfers from County</t>
  </si>
  <si>
    <t>Foundation Grants / Donations</t>
  </si>
  <si>
    <t>856002022</t>
  </si>
  <si>
    <t>2016</t>
  </si>
  <si>
    <t>1516 Actuals</t>
  </si>
  <si>
    <t>7/1-3/31</t>
  </si>
  <si>
    <t>Projections</t>
  </si>
  <si>
    <t>Unduplicated Pupil Count, % of overall students</t>
  </si>
  <si>
    <t>Unduplicated Pupil Count, number of students</t>
  </si>
  <si>
    <t>Santa Barbara Unified</t>
  </si>
  <si>
    <t>CDS</t>
  </si>
  <si>
    <t>42-76786</t>
  </si>
  <si>
    <t>42-69229</t>
  </si>
  <si>
    <t>In-Lieu / ADA</t>
  </si>
  <si>
    <t>Un Dup %</t>
  </si>
  <si>
    <t>CSC Fees</t>
  </si>
  <si>
    <t>Per ADA</t>
  </si>
  <si>
    <t>Lompoc Unified</t>
  </si>
  <si>
    <t>As a % of LCFF Revenue</t>
  </si>
  <si>
    <t>Hope Elementary</t>
  </si>
  <si>
    <t>Lucia Mar Unified</t>
  </si>
  <si>
    <t>Atascadero Unified</t>
  </si>
  <si>
    <t>40-68759</t>
  </si>
  <si>
    <t>40 68700</t>
  </si>
  <si>
    <t>42 69211</t>
  </si>
  <si>
    <t>5806</t>
  </si>
  <si>
    <t>Audit Services</t>
  </si>
  <si>
    <t>5811</t>
  </si>
  <si>
    <t>5873</t>
  </si>
  <si>
    <t>Financial Services</t>
  </si>
  <si>
    <t>5874</t>
  </si>
  <si>
    <t>Personnel Services</t>
  </si>
  <si>
    <t>IT Services</t>
  </si>
  <si>
    <t>5877</t>
  </si>
  <si>
    <t>x</t>
  </si>
  <si>
    <t>Blochman</t>
  </si>
  <si>
    <t>4381</t>
  </si>
  <si>
    <t>Materials for Plant &amp; Equipment</t>
  </si>
  <si>
    <t>Instructional Related:</t>
  </si>
  <si>
    <t>Facilities</t>
  </si>
  <si>
    <t>Employee #</t>
  </si>
  <si>
    <t>Employee Name</t>
  </si>
  <si>
    <t>Object</t>
  </si>
  <si>
    <t>Annual Salary</t>
  </si>
  <si>
    <t>H&amp;W</t>
  </si>
  <si>
    <t>Cert Support</t>
  </si>
  <si>
    <t>Cert Admin</t>
  </si>
  <si>
    <t>Cert Other</t>
  </si>
  <si>
    <t>Instructional Aide</t>
  </si>
  <si>
    <t>Support Staff</t>
  </si>
  <si>
    <t>Class Admin</t>
  </si>
  <si>
    <t>Clerical Admin</t>
  </si>
  <si>
    <t>Other Class</t>
  </si>
  <si>
    <t>Object Code</t>
  </si>
  <si>
    <t>CERT</t>
  </si>
  <si>
    <t>CLASS</t>
  </si>
  <si>
    <t>TOTAL WAGES</t>
  </si>
  <si>
    <t>EE BEN</t>
  </si>
  <si>
    <t>Sb-740 Funding Determination Test:</t>
  </si>
  <si>
    <t>Certificated Salaries (40% req.):</t>
  </si>
  <si>
    <t>Instructional Costs (80% req.):</t>
  </si>
  <si>
    <t>Cert Salaries Met/Not Met:</t>
  </si>
  <si>
    <t>Instr. Costs Met/Not Met</t>
  </si>
  <si>
    <t>Admin:</t>
  </si>
  <si>
    <t>Home Office</t>
  </si>
  <si>
    <t>42-69112</t>
  </si>
  <si>
    <t>One Time Mandate Block Grant</t>
  </si>
  <si>
    <t>Total PTR Needed</t>
  </si>
  <si>
    <t>Location</t>
  </si>
  <si>
    <t>Total Personnel Expense</t>
  </si>
  <si>
    <t>8682</t>
  </si>
  <si>
    <t>8683</t>
  </si>
  <si>
    <t>8684</t>
  </si>
  <si>
    <t>8685</t>
  </si>
  <si>
    <t>8698</t>
  </si>
  <si>
    <t>E-Rate</t>
  </si>
  <si>
    <t>4410</t>
  </si>
  <si>
    <t>Software and Licenses</t>
  </si>
  <si>
    <t>LPSBG</t>
  </si>
  <si>
    <t>CSEPDBG</t>
  </si>
  <si>
    <t>5812</t>
  </si>
  <si>
    <t>Other Student Activities</t>
  </si>
  <si>
    <t>Instructional  or Facility</t>
  </si>
  <si>
    <t>I</t>
  </si>
  <si>
    <t xml:space="preserve"> </t>
  </si>
  <si>
    <t xml:space="preserve">F </t>
  </si>
  <si>
    <t>Certificated Payroll:</t>
  </si>
  <si>
    <t>Instructional Payroll:</t>
  </si>
  <si>
    <t>Ending Balance</t>
  </si>
  <si>
    <t>Consolidated Fund Balance</t>
  </si>
  <si>
    <t>Restricted Lottery</t>
  </si>
  <si>
    <t>TCS</t>
  </si>
  <si>
    <t>Enrollment</t>
  </si>
  <si>
    <t>020</t>
  </si>
  <si>
    <t>040</t>
  </si>
  <si>
    <t>Account Code</t>
  </si>
  <si>
    <t>CASH FLOW</t>
  </si>
  <si>
    <t>Projected</t>
  </si>
  <si>
    <t>Budget</t>
  </si>
  <si>
    <t>JULY</t>
  </si>
  <si>
    <t>AUGUST</t>
  </si>
  <si>
    <t>SEPT</t>
  </si>
  <si>
    <t>OCT</t>
  </si>
  <si>
    <t>NOV</t>
  </si>
  <si>
    <t>DEC</t>
  </si>
  <si>
    <t>JAN</t>
  </si>
  <si>
    <t>FEB</t>
  </si>
  <si>
    <t>MARCH</t>
  </si>
  <si>
    <t>APRIL</t>
  </si>
  <si>
    <t>MAY</t>
  </si>
  <si>
    <t>JUNE</t>
  </si>
  <si>
    <t>Revenue Limit Sources</t>
  </si>
  <si>
    <t>Total Revenue Limit Sources</t>
  </si>
  <si>
    <t>Total Federal Income</t>
  </si>
  <si>
    <t>Total State Revenue</t>
  </si>
  <si>
    <t>Total Local Revenues</t>
  </si>
  <si>
    <t>TOTAL REVENUE</t>
  </si>
  <si>
    <t>EXPENSES</t>
  </si>
  <si>
    <t>Certified Salaries</t>
  </si>
  <si>
    <t>TEACHERS</t>
  </si>
  <si>
    <t>SUBSTITUTES</t>
  </si>
  <si>
    <t>CERTIFICATED SUPPORT</t>
  </si>
  <si>
    <t>CERTIFICATED SUPERVISORS</t>
  </si>
  <si>
    <t>OTHER CERTIFICATED</t>
  </si>
  <si>
    <t>Total Certified Salaries</t>
  </si>
  <si>
    <t>INSTRUCTIONAL AIDES</t>
  </si>
  <si>
    <t>CLASSIFIED SUPPORT</t>
  </si>
  <si>
    <t>CLASSIFIED SUPERVISORS</t>
  </si>
  <si>
    <t>CLERICAL OFFICE</t>
  </si>
  <si>
    <t>OTHER CLASSIFIED</t>
  </si>
  <si>
    <t>Total Classified Salaries</t>
  </si>
  <si>
    <t>Total Employee Benefits</t>
  </si>
  <si>
    <t>Total Books and Supplies</t>
  </si>
  <si>
    <t>Services, Other Operating Expenses</t>
  </si>
  <si>
    <t>Total Services, Other Operating Expenses</t>
  </si>
  <si>
    <t>Total Capital Outlay</t>
  </si>
  <si>
    <t>Other Outgoing Costs (Direct Support/Indirect Costs)</t>
  </si>
  <si>
    <t>Total Other Outgoing Costs (Direct Support/Indirect Costs)</t>
  </si>
  <si>
    <t>TOTAL EXPENDITURES</t>
  </si>
  <si>
    <t>SEPTEMBER</t>
  </si>
  <si>
    <t>8XXX</t>
  </si>
  <si>
    <t>4XXX</t>
  </si>
  <si>
    <t>5XXX</t>
  </si>
  <si>
    <t>6XXX</t>
  </si>
  <si>
    <t>7XXX</t>
  </si>
  <si>
    <t>LCFF; state aid</t>
  </si>
  <si>
    <t>LCFF; EPA</t>
  </si>
  <si>
    <t>In-Lieu of Property Taxes</t>
  </si>
  <si>
    <t>Special Education - Federal</t>
  </si>
  <si>
    <t>Federal Child Nutrition</t>
  </si>
  <si>
    <t>State Nutrition</t>
  </si>
  <si>
    <t>SB 740 Rent re-imbursement program</t>
  </si>
  <si>
    <t>Prior Year State Revenues</t>
  </si>
  <si>
    <t>Special Education - AB 602</t>
  </si>
  <si>
    <t>Foundation Grants</t>
  </si>
  <si>
    <t>Field Trips</t>
  </si>
  <si>
    <t>Erate Revenues</t>
  </si>
  <si>
    <t>Foreign Exchange Program</t>
  </si>
  <si>
    <t>Transfer in from LLC Charitable Contributions</t>
  </si>
  <si>
    <t>In Kind Contributions</t>
  </si>
  <si>
    <t>Instructional Materials (Core - Math/Science)</t>
  </si>
  <si>
    <t>Instructional Materials (Core - Art/Music/Theatre)</t>
  </si>
  <si>
    <t>Office Supplies</t>
  </si>
  <si>
    <t>Materials for Athletics</t>
  </si>
  <si>
    <t>Uniforms</t>
  </si>
  <si>
    <t>Other Office Supplies</t>
  </si>
  <si>
    <t>Materials for Plant Maintenance</t>
  </si>
  <si>
    <t>Software and Software License</t>
  </si>
  <si>
    <t>Other Food (meetings/events/non-NSLP)</t>
  </si>
  <si>
    <t xml:space="preserve">Travel and Conferences </t>
  </si>
  <si>
    <t xml:space="preserve">Professional Development </t>
  </si>
  <si>
    <t>Facility &amp; Staff Parking</t>
  </si>
  <si>
    <t xml:space="preserve">Insurance </t>
  </si>
  <si>
    <t xml:space="preserve">Property Tax </t>
  </si>
  <si>
    <t xml:space="preserve">Space Rental/Leases Expense </t>
  </si>
  <si>
    <t xml:space="preserve">Building Maintenance </t>
  </si>
  <si>
    <t xml:space="preserve">Other Space Rental </t>
  </si>
  <si>
    <t xml:space="preserve">Theater rentals </t>
  </si>
  <si>
    <t xml:space="preserve">Professional/Consulting Services and Operating Expenditures </t>
  </si>
  <si>
    <t xml:space="preserve">Banking and Payroll Service Fees </t>
  </si>
  <si>
    <t xml:space="preserve">Legal Services  </t>
  </si>
  <si>
    <t xml:space="preserve">Audit Services </t>
  </si>
  <si>
    <t>Legal Settlements</t>
  </si>
  <si>
    <t xml:space="preserve">Student Transportation / Events </t>
  </si>
  <si>
    <t xml:space="preserve">Advertising / Recruiting </t>
  </si>
  <si>
    <t xml:space="preserve">Fundraising Expense </t>
  </si>
  <si>
    <t xml:space="preserve">Transportation Services </t>
  </si>
  <si>
    <t xml:space="preserve">Services Student Athletics/Activities </t>
  </si>
  <si>
    <t>Scholarships</t>
  </si>
  <si>
    <t xml:space="preserve">Financial Services </t>
  </si>
  <si>
    <t>Personnel Expenses</t>
  </si>
  <si>
    <t>Summer School Program</t>
  </si>
  <si>
    <t>Misc Expense</t>
  </si>
  <si>
    <t>Debt</t>
  </si>
  <si>
    <t>Unrestricted Lottery</t>
  </si>
  <si>
    <t>Teacher Salaries</t>
  </si>
  <si>
    <t>1XXX</t>
  </si>
  <si>
    <t>Classified SupervisorandAdministrator Salaries</t>
  </si>
  <si>
    <t>Clerical,Technical and Office Staff Salaries</t>
  </si>
  <si>
    <t>2XXX</t>
  </si>
  <si>
    <t>Public Employees Retirement System</t>
  </si>
  <si>
    <t>3XXX</t>
  </si>
  <si>
    <t>80XX</t>
  </si>
  <si>
    <t>Net Income</t>
  </si>
  <si>
    <t>Total Operational Expenses</t>
  </si>
  <si>
    <t>Services &amp; Other Operating Expenses</t>
  </si>
  <si>
    <t>Communications (Tele., Internet, Copies,Postage,Messenger)</t>
  </si>
  <si>
    <t>Software and Software Licensing</t>
  </si>
  <si>
    <t>Classified Support Salaries (Maintenance, Food)</t>
  </si>
  <si>
    <t>SPED State/Other Transfers of Apportionments from County</t>
  </si>
  <si>
    <t>Interest Income</t>
  </si>
  <si>
    <t>Other State Revenue</t>
  </si>
  <si>
    <t>LCFF</t>
  </si>
  <si>
    <t>Education Protection Account Revenue</t>
  </si>
  <si>
    <t>LCFF Revenue</t>
  </si>
  <si>
    <t>BUDGET</t>
  </si>
  <si>
    <t>ACTUAL</t>
  </si>
  <si>
    <t>Foundations Grants/Donations</t>
  </si>
  <si>
    <t>CASH LOAN PAYMENT</t>
  </si>
  <si>
    <t>CHANGE IN CASH</t>
  </si>
  <si>
    <t>CASH BALANCE</t>
  </si>
  <si>
    <t>ACCOUNTS RECEIVABLE</t>
  </si>
  <si>
    <t>FIXED ASSETS</t>
  </si>
  <si>
    <t>TOTAL</t>
  </si>
  <si>
    <t>LOANS</t>
  </si>
  <si>
    <t>FUNDING BALANCE</t>
  </si>
  <si>
    <t>STARTING FUND BALANCE</t>
  </si>
  <si>
    <t>Total Assets:</t>
  </si>
  <si>
    <t>Total Liabilities &amp; Equity:</t>
  </si>
  <si>
    <t>Variance:</t>
  </si>
  <si>
    <t>BEGINNING CASH</t>
  </si>
  <si>
    <t>PREPAID EXPENSES/OTHER ASSETS</t>
  </si>
  <si>
    <t>ACCOUNTS PAYABLE/ACCRUALS</t>
  </si>
  <si>
    <t>Period #1 Actual</t>
  </si>
  <si>
    <t>Period #2 Actual</t>
  </si>
  <si>
    <t>Period #3 Actual</t>
  </si>
  <si>
    <t>Period #4 Actual</t>
  </si>
  <si>
    <t>OBJECT</t>
  </si>
  <si>
    <t>AMOUNT</t>
  </si>
  <si>
    <t>VOYAGE</t>
  </si>
  <si>
    <t>ADVENTURE</t>
  </si>
  <si>
    <t>FULL</t>
  </si>
  <si>
    <t>LEFT</t>
  </si>
  <si>
    <t>SUM</t>
  </si>
  <si>
    <t>VARIANCE</t>
  </si>
  <si>
    <t>All other State Revenues</t>
  </si>
  <si>
    <t>Period #5 Actual</t>
  </si>
  <si>
    <t>Period #6 Actual</t>
  </si>
  <si>
    <t>Period #7 Actual</t>
  </si>
  <si>
    <t>Period #8 Actual</t>
  </si>
  <si>
    <t>Period #9 Actual</t>
  </si>
  <si>
    <t>Period #10 Actual</t>
  </si>
  <si>
    <t>Period #11 Actual</t>
  </si>
  <si>
    <t>Period #12 Actual</t>
  </si>
  <si>
    <t>Title I Federal Revenue</t>
  </si>
  <si>
    <t>Employee Tuition Reimbursement</t>
  </si>
  <si>
    <t>Unallocated PEX</t>
  </si>
  <si>
    <t>Unallocated PEX Card Expenses</t>
  </si>
  <si>
    <t>REMAINING</t>
  </si>
  <si>
    <t>CLASSIFIED SUI</t>
  </si>
  <si>
    <t>CLASSIFIED Worker's COMP</t>
  </si>
  <si>
    <t>Classified Health and Welfare</t>
  </si>
  <si>
    <t>OASDI/Medicare - Certificated</t>
  </si>
  <si>
    <t>OASDI/Medicare - Classified</t>
  </si>
  <si>
    <t>Health &amp; Welfare - Certificated</t>
  </si>
  <si>
    <t>Health &amp; Welfare - Classified</t>
  </si>
  <si>
    <t>SUI - Certificated</t>
  </si>
  <si>
    <t>SUI - Classified</t>
  </si>
  <si>
    <t>Worker's Comp - Certificated</t>
  </si>
  <si>
    <t>Worker's Comp - Classified</t>
  </si>
  <si>
    <t>Other Employee Benefits - Certificated</t>
  </si>
  <si>
    <t>Other Employee Benefits - Classified</t>
  </si>
  <si>
    <t>RESOURCE</t>
  </si>
  <si>
    <t>0000</t>
  </si>
  <si>
    <t>1400</t>
  </si>
  <si>
    <t>3310</t>
  </si>
  <si>
    <t>3010</t>
  </si>
  <si>
    <t>4035</t>
  </si>
  <si>
    <t>4127</t>
  </si>
  <si>
    <t>Row Labels</t>
  </si>
  <si>
    <t>Grand Total</t>
  </si>
  <si>
    <t>Sum of AMOUNT</t>
  </si>
  <si>
    <t>MID</t>
  </si>
  <si>
    <t>RIGHT</t>
  </si>
  <si>
    <t>11000400000</t>
  </si>
  <si>
    <t>13000400000</t>
  </si>
  <si>
    <t>21000400000</t>
  </si>
  <si>
    <t>22000400000</t>
  </si>
  <si>
    <t>23000400000</t>
  </si>
  <si>
    <t>31010400000</t>
  </si>
  <si>
    <t>41000400000</t>
  </si>
  <si>
    <t>42000400000</t>
  </si>
  <si>
    <t>43000400000</t>
  </si>
  <si>
    <t>44000400000</t>
  </si>
  <si>
    <t>44100400000</t>
  </si>
  <si>
    <t>44300400000</t>
  </si>
  <si>
    <t>52000400000</t>
  </si>
  <si>
    <t>52100400000</t>
  </si>
  <si>
    <t>53000400000</t>
  </si>
  <si>
    <t>54000400000</t>
  </si>
  <si>
    <t>55000400000</t>
  </si>
  <si>
    <t>56000400000</t>
  </si>
  <si>
    <t>56020400000</t>
  </si>
  <si>
    <t>58000400000</t>
  </si>
  <si>
    <t>58030400000</t>
  </si>
  <si>
    <t>58050400000</t>
  </si>
  <si>
    <t>58060400000</t>
  </si>
  <si>
    <t>58100400000</t>
  </si>
  <si>
    <t>58150400000</t>
  </si>
  <si>
    <t>58730400000</t>
  </si>
  <si>
    <t>58750400000</t>
  </si>
  <si>
    <t>58770400000</t>
  </si>
  <si>
    <t>59000400000</t>
  </si>
  <si>
    <t>80110400000</t>
  </si>
  <si>
    <t>80120401400</t>
  </si>
  <si>
    <t>80960400000</t>
  </si>
  <si>
    <t>81810403310</t>
  </si>
  <si>
    <t>82910403010</t>
  </si>
  <si>
    <t>82920404035</t>
  </si>
  <si>
    <t>82940404127</t>
  </si>
  <si>
    <t>85500400000</t>
  </si>
  <si>
    <t>87920406500</t>
  </si>
  <si>
    <t>11000200000</t>
  </si>
  <si>
    <t>13000200000</t>
  </si>
  <si>
    <t>21000200000</t>
  </si>
  <si>
    <t>22000200000</t>
  </si>
  <si>
    <t>23000200000</t>
  </si>
  <si>
    <t>31010200000</t>
  </si>
  <si>
    <t>41000200000</t>
  </si>
  <si>
    <t>42000200000</t>
  </si>
  <si>
    <t>43000200000</t>
  </si>
  <si>
    <t>44000200000</t>
  </si>
  <si>
    <t>44100200000</t>
  </si>
  <si>
    <t>44300200000</t>
  </si>
  <si>
    <t>47000200000</t>
  </si>
  <si>
    <t>52000200000</t>
  </si>
  <si>
    <t>53000200000</t>
  </si>
  <si>
    <t>54000200000</t>
  </si>
  <si>
    <t>55000200000</t>
  </si>
  <si>
    <t>56000200000</t>
  </si>
  <si>
    <t>56020200000</t>
  </si>
  <si>
    <t>58000200000</t>
  </si>
  <si>
    <t>58030200000</t>
  </si>
  <si>
    <t>58050200000</t>
  </si>
  <si>
    <t>58060200000</t>
  </si>
  <si>
    <t>58100200000</t>
  </si>
  <si>
    <t>58150200000</t>
  </si>
  <si>
    <t>58730200000</t>
  </si>
  <si>
    <t>58750200000</t>
  </si>
  <si>
    <t>58770200000</t>
  </si>
  <si>
    <t>59000200000</t>
  </si>
  <si>
    <t>80110200000</t>
  </si>
  <si>
    <t>80120201400</t>
  </si>
  <si>
    <t>80960200000</t>
  </si>
  <si>
    <t>81810203310</t>
  </si>
  <si>
    <t>82910203010</t>
  </si>
  <si>
    <t>82920204035</t>
  </si>
  <si>
    <t>82940204127</t>
  </si>
  <si>
    <t>85500200000</t>
  </si>
  <si>
    <t>87920206500</t>
  </si>
  <si>
    <t>2021-22</t>
  </si>
  <si>
    <t>Substitutes</t>
  </si>
  <si>
    <t>CSC Borrowing Fees</t>
  </si>
  <si>
    <t>&lt;Fees were paid/expensed in FY20/21 and were immaterial so they were not reclassed into FY21/22 as a result.</t>
  </si>
  <si>
    <t>24000200000</t>
  </si>
  <si>
    <t>29000200000</t>
  </si>
  <si>
    <t>58740200000</t>
  </si>
  <si>
    <t>86600200000</t>
  </si>
  <si>
    <t>86990200000</t>
  </si>
  <si>
    <t>24000400000</t>
  </si>
  <si>
    <t>58740400000</t>
  </si>
  <si>
    <t>86600400000</t>
  </si>
  <si>
    <t>86990400000</t>
  </si>
  <si>
    <t>Yolo</t>
  </si>
  <si>
    <t>San Diego</t>
  </si>
  <si>
    <t>Los Angeles</t>
  </si>
  <si>
    <t>Compass Charter Schools</t>
  </si>
  <si>
    <t>Prior Year P2 ADA</t>
  </si>
  <si>
    <t>Increase/Decrease in Investment</t>
  </si>
  <si>
    <t>YOLO</t>
  </si>
  <si>
    <t>SD</t>
  </si>
  <si>
    <t>LA</t>
  </si>
  <si>
    <t>CMO</t>
  </si>
  <si>
    <t>Curriculum Assesment and Software</t>
  </si>
  <si>
    <t xml:space="preserve">Supplemental Curriculum </t>
  </si>
  <si>
    <t>4101</t>
  </si>
  <si>
    <t>4102</t>
  </si>
  <si>
    <t>ESSA - CSI &amp; ESSER II</t>
  </si>
  <si>
    <t>4215</t>
  </si>
  <si>
    <t>-</t>
  </si>
  <si>
    <t>Storage</t>
  </si>
  <si>
    <t>5603</t>
  </si>
  <si>
    <t>Engagement Space Rental</t>
  </si>
  <si>
    <t>5807</t>
  </si>
  <si>
    <t>Legal Fees</t>
  </si>
  <si>
    <t>5809</t>
  </si>
  <si>
    <t>Employee Tuition</t>
  </si>
  <si>
    <t>5830</t>
  </si>
  <si>
    <t>5901</t>
  </si>
  <si>
    <t>Scholar Internet Reimbursement</t>
  </si>
  <si>
    <t>403B ER</t>
  </si>
  <si>
    <t>Prior Year Federal Income</t>
  </si>
  <si>
    <t>Mandated Block Grant</t>
  </si>
  <si>
    <t>Net Increase/Decrease in Investment</t>
  </si>
  <si>
    <t>Other Classified Salaries (Noon and Yard Sup, etc.)</t>
  </si>
  <si>
    <t>OASDI &amp; Medicare - Certificated Staff</t>
  </si>
  <si>
    <t>OASDI &amp; Medicare - Classified Staff</t>
  </si>
  <si>
    <t>Curriculum Assessment and Software</t>
  </si>
  <si>
    <t>Supplemental Curriculum</t>
  </si>
  <si>
    <t>CSI Materials</t>
  </si>
  <si>
    <t>Assessment Space Rental</t>
  </si>
  <si>
    <t>Legal Services</t>
  </si>
  <si>
    <t>Field Trip Expenses</t>
  </si>
  <si>
    <t>Interest Expense/Fees</t>
  </si>
  <si>
    <t>070</t>
  </si>
  <si>
    <t>SAN DIEGO</t>
  </si>
  <si>
    <t>LOS ANGELES</t>
  </si>
  <si>
    <t>11000700000</t>
  </si>
  <si>
    <t>12000700000</t>
  </si>
  <si>
    <t>13000700000</t>
  </si>
  <si>
    <t>21000700000</t>
  </si>
  <si>
    <t>22000700000</t>
  </si>
  <si>
    <t>23000700000</t>
  </si>
  <si>
    <t>24000700000</t>
  </si>
  <si>
    <t>31010700000</t>
  </si>
  <si>
    <t>41000700000</t>
  </si>
  <si>
    <t>41010700000</t>
  </si>
  <si>
    <t>41020700000</t>
  </si>
  <si>
    <t>42000700000</t>
  </si>
  <si>
    <t>43000700000</t>
  </si>
  <si>
    <t>44000700000</t>
  </si>
  <si>
    <t>44100700000</t>
  </si>
  <si>
    <t>44300700000</t>
  </si>
  <si>
    <t>52000700000</t>
  </si>
  <si>
    <t>52100700000</t>
  </si>
  <si>
    <t>53000700000</t>
  </si>
  <si>
    <t>54000700000</t>
  </si>
  <si>
    <t>55000700000</t>
  </si>
  <si>
    <t>55010700000</t>
  </si>
  <si>
    <t>56000700000</t>
  </si>
  <si>
    <t>56020700000</t>
  </si>
  <si>
    <t>56030700000</t>
  </si>
  <si>
    <t>58000700000</t>
  </si>
  <si>
    <t>58030700000</t>
  </si>
  <si>
    <t>58050700000</t>
  </si>
  <si>
    <t>58060700000</t>
  </si>
  <si>
    <t>58090700000</t>
  </si>
  <si>
    <t>58100700000</t>
  </si>
  <si>
    <t>58150700000</t>
  </si>
  <si>
    <t>58300700000</t>
  </si>
  <si>
    <t>58730700000</t>
  </si>
  <si>
    <t>58740700000</t>
  </si>
  <si>
    <t>58750700000</t>
  </si>
  <si>
    <t>58770700000</t>
  </si>
  <si>
    <t>58900700000</t>
  </si>
  <si>
    <t>59000700000</t>
  </si>
  <si>
    <t>59010700000</t>
  </si>
  <si>
    <t>80110700000</t>
  </si>
  <si>
    <t>80960700000</t>
  </si>
  <si>
    <t>85500700000</t>
  </si>
  <si>
    <t>82900700000</t>
  </si>
  <si>
    <t>86600700000</t>
  </si>
  <si>
    <t>86820700000</t>
  </si>
  <si>
    <t>86990700000</t>
  </si>
  <si>
    <t>86620700000</t>
  </si>
  <si>
    <t>12000200000</t>
  </si>
  <si>
    <t>41010200000</t>
  </si>
  <si>
    <t>41020200000</t>
  </si>
  <si>
    <t>43150200000</t>
  </si>
  <si>
    <t>52100200000</t>
  </si>
  <si>
    <t>55010200000</t>
  </si>
  <si>
    <t>56030200000</t>
  </si>
  <si>
    <t>58090200000</t>
  </si>
  <si>
    <t>58300200000</t>
  </si>
  <si>
    <t>58900200000</t>
  </si>
  <si>
    <t>59010200000</t>
  </si>
  <si>
    <t>82900200000</t>
  </si>
  <si>
    <t>86820200000</t>
  </si>
  <si>
    <t>86620200000</t>
  </si>
  <si>
    <t>12000400000</t>
  </si>
  <si>
    <t>41010400000</t>
  </si>
  <si>
    <t>41020400000</t>
  </si>
  <si>
    <t>55010400000</t>
  </si>
  <si>
    <t>56030400000</t>
  </si>
  <si>
    <t>58070400000</t>
  </si>
  <si>
    <t>58090400000</t>
  </si>
  <si>
    <t>58300400000</t>
  </si>
  <si>
    <t>58900400000</t>
  </si>
  <si>
    <t>59010400000</t>
  </si>
  <si>
    <t>82900400000</t>
  </si>
  <si>
    <t>86820400000</t>
  </si>
  <si>
    <t>86620400000</t>
  </si>
  <si>
    <t>620000330010001100070000000</t>
  </si>
  <si>
    <t>620000330031101200070000000</t>
  </si>
  <si>
    <t>620000330021001300070000000</t>
  </si>
  <si>
    <t>620000330010002100070000000</t>
  </si>
  <si>
    <t>620000330039002200070000000</t>
  </si>
  <si>
    <t>620000000027002300070000000</t>
  </si>
  <si>
    <t>620000000027002400070000000</t>
  </si>
  <si>
    <t>620000330010003101070000000</t>
  </si>
  <si>
    <t>620000330010004100070000000</t>
  </si>
  <si>
    <t>620000330010004101070000000</t>
  </si>
  <si>
    <t>620000000072004102070080000</t>
  </si>
  <si>
    <t>620000330010004200070000000</t>
  </si>
  <si>
    <t>620000000072004300070080000</t>
  </si>
  <si>
    <t>620000000077004400070086000</t>
  </si>
  <si>
    <t>620000000072004410070080000</t>
  </si>
  <si>
    <t>620000330010004430070000000</t>
  </si>
  <si>
    <t>620000000071005200070081000</t>
  </si>
  <si>
    <t>620000000072005210070080000</t>
  </si>
  <si>
    <t>620000000072005300070080000</t>
  </si>
  <si>
    <t>620000000027005400070084000</t>
  </si>
  <si>
    <t>620000000081005500070000000</t>
  </si>
  <si>
    <t>620000000081005501070000000</t>
  </si>
  <si>
    <t>620000000087005600070000000</t>
  </si>
  <si>
    <t>620000000087005602070000000</t>
  </si>
  <si>
    <t>620000000087005603070000000</t>
  </si>
  <si>
    <t>620000000027005800070080000</t>
  </si>
  <si>
    <t>620000000073005803070000000</t>
  </si>
  <si>
    <t>620000000027005805070080000</t>
  </si>
  <si>
    <t>620000000071915806070000000</t>
  </si>
  <si>
    <t>620000000074105809070000000</t>
  </si>
  <si>
    <t>620000000027005810070092000</t>
  </si>
  <si>
    <t>620000000027005815070000000</t>
  </si>
  <si>
    <t>620000330010005830070090000</t>
  </si>
  <si>
    <t>620000000073005873070000000</t>
  </si>
  <si>
    <t>620000000074005874070000000</t>
  </si>
  <si>
    <t>620000000075005875070000000</t>
  </si>
  <si>
    <t>620000000077005877070000000</t>
  </si>
  <si>
    <t>620000000091005890070000000</t>
  </si>
  <si>
    <t>620000000072005900070080000</t>
  </si>
  <si>
    <t>620000330010005901070000000</t>
  </si>
  <si>
    <t>620000000000008011070000000</t>
  </si>
  <si>
    <t>620000000000008096070000000</t>
  </si>
  <si>
    <t>620000000000008550070000000</t>
  </si>
  <si>
    <t>620000000000008290070000000</t>
  </si>
  <si>
    <t>620000000000008660070000000</t>
  </si>
  <si>
    <t>620000000000008682070000000</t>
  </si>
  <si>
    <t>620000000000008699070000000</t>
  </si>
  <si>
    <t>620000000000008662070000000</t>
  </si>
  <si>
    <t>620000330010001100020000000</t>
  </si>
  <si>
    <t>620000330031101200020000000</t>
  </si>
  <si>
    <t>620000330021001300020000000</t>
  </si>
  <si>
    <t>620000330010002100020000000</t>
  </si>
  <si>
    <t>620000330039002200020000000</t>
  </si>
  <si>
    <t>620000000027002300020000000</t>
  </si>
  <si>
    <t>620000000027002400020000000</t>
  </si>
  <si>
    <t>620000330021002900020000000</t>
  </si>
  <si>
    <t>620000330010003101020000000</t>
  </si>
  <si>
    <t>620000330010004100020000000</t>
  </si>
  <si>
    <t>620000330010004101020000000</t>
  </si>
  <si>
    <t>620000000072004102020080000</t>
  </si>
  <si>
    <t>620000000072004200020080000</t>
  </si>
  <si>
    <t>620000000071004300020081000</t>
  </si>
  <si>
    <t>620000000072004315020080000</t>
  </si>
  <si>
    <t>620000000077004400020086000</t>
  </si>
  <si>
    <t>620000000072004410020080000</t>
  </si>
  <si>
    <t>620000330010004430020000000</t>
  </si>
  <si>
    <t>620000330010004700020000000</t>
  </si>
  <si>
    <t>620000000071005200020081000</t>
  </si>
  <si>
    <t>620000000072005210020080000</t>
  </si>
  <si>
    <t>620000000071005300020081000</t>
  </si>
  <si>
    <t>620000000027005400020084000</t>
  </si>
  <si>
    <t>620000000081005500020000000</t>
  </si>
  <si>
    <t>620000000081005501020000000</t>
  </si>
  <si>
    <t>620000000087005600020000000</t>
  </si>
  <si>
    <t>620000000077005602020086000</t>
  </si>
  <si>
    <t>620000000087005603020000000</t>
  </si>
  <si>
    <t>620000000027005800020080000</t>
  </si>
  <si>
    <t>620000000073005803020000000</t>
  </si>
  <si>
    <t>620000000027005805020080000</t>
  </si>
  <si>
    <t>620000000071915806020000000</t>
  </si>
  <si>
    <t>620000000074105809020000000</t>
  </si>
  <si>
    <t>620000000027005810020092000</t>
  </si>
  <si>
    <t>620000000027005815020000000</t>
  </si>
  <si>
    <t>620000330010005830020000000</t>
  </si>
  <si>
    <t>620000000073005873020000000</t>
  </si>
  <si>
    <t>620000000074005874020000000</t>
  </si>
  <si>
    <t>620000000075005875020000000</t>
  </si>
  <si>
    <t>620000000074005877020085000</t>
  </si>
  <si>
    <t>620000000091005890020000000</t>
  </si>
  <si>
    <t>620000000071005900020081000</t>
  </si>
  <si>
    <t>620000330010005901020000000</t>
  </si>
  <si>
    <t>620000000000008011020000000</t>
  </si>
  <si>
    <t>620000000000008096020000000</t>
  </si>
  <si>
    <t>620000000000008550020000000</t>
  </si>
  <si>
    <t>620000000000008290020000000</t>
  </si>
  <si>
    <t>620000000000008660020000000</t>
  </si>
  <si>
    <t>620000000000008682020000000</t>
  </si>
  <si>
    <t>620000000000008699020000000</t>
  </si>
  <si>
    <t>620000000000008662020000000</t>
  </si>
  <si>
    <t>620000330010001100040000000</t>
  </si>
  <si>
    <t>620000330031101200040000000</t>
  </si>
  <si>
    <t>620000330021001300040000000</t>
  </si>
  <si>
    <t>620000330010002100040000000</t>
  </si>
  <si>
    <t>620000330039002200040000000</t>
  </si>
  <si>
    <t>620000000027002300040000000</t>
  </si>
  <si>
    <t>620000000027002400040000000</t>
  </si>
  <si>
    <t>620000330010003101040000000</t>
  </si>
  <si>
    <t>620000330010004100040000000</t>
  </si>
  <si>
    <t>620000330010004101040000000</t>
  </si>
  <si>
    <t>620000000072004102040080000</t>
  </si>
  <si>
    <t>620000000072004200040080000</t>
  </si>
  <si>
    <t>620000000071004300040081000</t>
  </si>
  <si>
    <t>620000000077004400040086000</t>
  </si>
  <si>
    <t>620000000072004410040080000</t>
  </si>
  <si>
    <t>620000330010004430040000000</t>
  </si>
  <si>
    <t>620000000071005200040081000</t>
  </si>
  <si>
    <t>620000000072005210040080000</t>
  </si>
  <si>
    <t>620000000071005300040081000</t>
  </si>
  <si>
    <t>620000000027005400040084000</t>
  </si>
  <si>
    <t>620000000081005500040000000</t>
  </si>
  <si>
    <t>620000000081005501040000000</t>
  </si>
  <si>
    <t>620000000087005600040000000</t>
  </si>
  <si>
    <t>620000000077005602040086000</t>
  </si>
  <si>
    <t>620000000087005603040000000</t>
  </si>
  <si>
    <t>620000000027005800040080000</t>
  </si>
  <si>
    <t>620000000073005803040000000</t>
  </si>
  <si>
    <t>620000000027005805040080000</t>
  </si>
  <si>
    <t>620000000071915806040000000</t>
  </si>
  <si>
    <t>620000000072005807040000000</t>
  </si>
  <si>
    <t>620000000074105809040000000</t>
  </si>
  <si>
    <t>620000000027005810040092000</t>
  </si>
  <si>
    <t>620000000027005815040000000</t>
  </si>
  <si>
    <t>620000330010005830040090000</t>
  </si>
  <si>
    <t>620000000073005873040000000</t>
  </si>
  <si>
    <t>620000000074005874040000000</t>
  </si>
  <si>
    <t>620000000075005875040000000</t>
  </si>
  <si>
    <t>620000000074005877040085000</t>
  </si>
  <si>
    <t>620000000091005890040000000</t>
  </si>
  <si>
    <t>620000000071005900040081000</t>
  </si>
  <si>
    <t>620000330010005901040000000</t>
  </si>
  <si>
    <t>620000000000008011040000000</t>
  </si>
  <si>
    <t>620000000000008096040000000</t>
  </si>
  <si>
    <t>620000000000008550040000000</t>
  </si>
  <si>
    <t>620000000000008290040000000</t>
  </si>
  <si>
    <t>620000000000008660040000000</t>
  </si>
  <si>
    <t>620000000000008682040000000</t>
  </si>
  <si>
    <t>620000000000008699040000000</t>
  </si>
  <si>
    <t>620000000000008662040000000</t>
  </si>
  <si>
    <t>7425</t>
  </si>
  <si>
    <t>80120701400</t>
  </si>
  <si>
    <t>85610701100</t>
  </si>
  <si>
    <t>85620706300</t>
  </si>
  <si>
    <t>81810703310</t>
  </si>
  <si>
    <t>82910703010</t>
  </si>
  <si>
    <t>82920704035</t>
  </si>
  <si>
    <t>82940704127</t>
  </si>
  <si>
    <t>87920706500</t>
  </si>
  <si>
    <t>85610201100</t>
  </si>
  <si>
    <t>85620206300</t>
  </si>
  <si>
    <t>85610401100</t>
  </si>
  <si>
    <t>85620406300</t>
  </si>
  <si>
    <t>621400000000008012070000000</t>
  </si>
  <si>
    <t>623310576000008181070000000</t>
  </si>
  <si>
    <t>623010000000008291070000000</t>
  </si>
  <si>
    <t>624035000000008292070000000</t>
  </si>
  <si>
    <t>624127000000008294070000000</t>
  </si>
  <si>
    <t>626500576000008792070000000</t>
  </si>
  <si>
    <t>621400000000008012020000000</t>
  </si>
  <si>
    <t>623310576000008181020000000</t>
  </si>
  <si>
    <t>623010000000008291020000000</t>
  </si>
  <si>
    <t>624035000000008292020000000</t>
  </si>
  <si>
    <t>624127000000008294020000000</t>
  </si>
  <si>
    <t>626500576000008792020000000</t>
  </si>
  <si>
    <t>621400000000008012040000000</t>
  </si>
  <si>
    <t>623310576000008181040000000</t>
  </si>
  <si>
    <t>623010000000008291040000000</t>
  </si>
  <si>
    <t>624035000000008292040000000</t>
  </si>
  <si>
    <t>624127000000008294040000000</t>
  </si>
  <si>
    <t>626500576000008792040000000</t>
  </si>
  <si>
    <t>3182</t>
  </si>
  <si>
    <t>621100000000008560070000000</t>
  </si>
  <si>
    <t>626300000000008560070000000</t>
  </si>
  <si>
    <t>621100000000008560020000000</t>
  </si>
  <si>
    <t>626300000000008560020000000</t>
  </si>
  <si>
    <t>621100000000008560040000000</t>
  </si>
  <si>
    <t>626300000000008560040000000</t>
  </si>
  <si>
    <t>Certificated Health and Welfare</t>
  </si>
  <si>
    <t>CERT OASDI &amp; MEDICARE</t>
  </si>
  <si>
    <t>CLASSIFIED OASDI &amp; MEDICARE</t>
  </si>
  <si>
    <t>CERT SUI</t>
  </si>
  <si>
    <t>CERT Worker's Comp</t>
  </si>
  <si>
    <t>Payroll</t>
  </si>
  <si>
    <t>ADA</t>
  </si>
  <si>
    <t xml:space="preserve">ESSA - CSI </t>
  </si>
  <si>
    <t>ESSER 2 Planned</t>
  </si>
  <si>
    <t>LRP Planned</t>
  </si>
  <si>
    <t>DP Planned</t>
  </si>
  <si>
    <t>Educator Effectiveness Planned</t>
  </si>
  <si>
    <t>Federal Revenues</t>
  </si>
  <si>
    <t>State Revenues</t>
  </si>
  <si>
    <t>ELO (7425/7426) planned</t>
  </si>
  <si>
    <t>ELO (3216-3219) Planned</t>
  </si>
  <si>
    <t>TOTAL:</t>
  </si>
  <si>
    <t>CSI</t>
  </si>
  <si>
    <t>A-G Grant</t>
  </si>
  <si>
    <t>Universal Pre-K</t>
  </si>
  <si>
    <t>Target Fund balance @ 5%</t>
  </si>
  <si>
    <t>CMO Contribution</t>
  </si>
  <si>
    <t>MULTI-YEAR PROJECTION DATA</t>
  </si>
  <si>
    <t>FY24</t>
  </si>
  <si>
    <t>&lt;-- CA CPI</t>
  </si>
  <si>
    <t>Operational Expenses</t>
  </si>
  <si>
    <t>Other Outgo</t>
  </si>
  <si>
    <t>Yolo County</t>
  </si>
  <si>
    <t>Compass Los Angeles</t>
  </si>
  <si>
    <t>Compass San Diego</t>
  </si>
  <si>
    <t>All</t>
  </si>
  <si>
    <t>Program</t>
  </si>
  <si>
    <t>Fund</t>
  </si>
  <si>
    <t>Function</t>
  </si>
  <si>
    <t>Goal</t>
  </si>
  <si>
    <t>Lcp</t>
  </si>
  <si>
    <t>Restriction</t>
  </si>
  <si>
    <t>Filter Applied</t>
  </si>
  <si>
    <t>Segment Name</t>
  </si>
  <si>
    <t>July 2021 - January 2022</t>
  </si>
  <si>
    <t>Income Statement by Location*</t>
  </si>
  <si>
    <t>Amt Added to 4000s to meet 80% target</t>
  </si>
  <si>
    <t>Local Revenue:</t>
  </si>
  <si>
    <t>COPES- Director of counseling stipend (4 years)</t>
  </si>
  <si>
    <t>Ending position after transfer</t>
  </si>
  <si>
    <t>ELO After setaside Paraprofessionals</t>
  </si>
  <si>
    <t>33010700000</t>
  </si>
  <si>
    <t>33020700000</t>
  </si>
  <si>
    <t>34010700000</t>
  </si>
  <si>
    <t>34020700000</t>
  </si>
  <si>
    <t>35010700000</t>
  </si>
  <si>
    <t>35020700000</t>
  </si>
  <si>
    <t>36010700000</t>
  </si>
  <si>
    <t>36020700000</t>
  </si>
  <si>
    <t>39010700000</t>
  </si>
  <si>
    <t>85900700000</t>
  </si>
  <si>
    <t>85990700000</t>
  </si>
  <si>
    <t>33010200000</t>
  </si>
  <si>
    <t>33020200000</t>
  </si>
  <si>
    <t>34010200000</t>
  </si>
  <si>
    <t>34020200000</t>
  </si>
  <si>
    <t>35010200000</t>
  </si>
  <si>
    <t>35020200000</t>
  </si>
  <si>
    <t>36010200000</t>
  </si>
  <si>
    <t>36020200000</t>
  </si>
  <si>
    <t>39010200000</t>
  </si>
  <si>
    <t>82990200000</t>
  </si>
  <si>
    <t>85900200000</t>
  </si>
  <si>
    <t>85990200000</t>
  </si>
  <si>
    <t>33010400000</t>
  </si>
  <si>
    <t>33020400000</t>
  </si>
  <si>
    <t>34010400000</t>
  </si>
  <si>
    <t>34020400000</t>
  </si>
  <si>
    <t>35010400000</t>
  </si>
  <si>
    <t>35020400000</t>
  </si>
  <si>
    <t>36010400000</t>
  </si>
  <si>
    <t>36020400000</t>
  </si>
  <si>
    <t>39010400000</t>
  </si>
  <si>
    <t>85900400000</t>
  </si>
  <si>
    <t>85990400000</t>
  </si>
  <si>
    <t>620000330010003301070000000</t>
  </si>
  <si>
    <t>620000000027003302070000000</t>
  </si>
  <si>
    <t>620000330010003401070084000</t>
  </si>
  <si>
    <t>620000000027003402070084000</t>
  </si>
  <si>
    <t>620000330010003501070000000</t>
  </si>
  <si>
    <t>620000000027003502070000000</t>
  </si>
  <si>
    <t>620000330010003601070084101</t>
  </si>
  <si>
    <t>620000000027003602070084000</t>
  </si>
  <si>
    <t>620000330010003901070084000</t>
  </si>
  <si>
    <t>620000000000008590070000000</t>
  </si>
  <si>
    <t>620000000000008599070000000</t>
  </si>
  <si>
    <t>620000330010003301020000000</t>
  </si>
  <si>
    <t>620000000027003302020000000</t>
  </si>
  <si>
    <t>620000330010003401020084000</t>
  </si>
  <si>
    <t>620000000027003402020084000</t>
  </si>
  <si>
    <t>620000330010003501020000000</t>
  </si>
  <si>
    <t>620000000027003502020000000</t>
  </si>
  <si>
    <t>620000330010003601020084000</t>
  </si>
  <si>
    <t>620000000027003602020084000</t>
  </si>
  <si>
    <t>620000330010003901020084000</t>
  </si>
  <si>
    <t>620000000000008299020000000</t>
  </si>
  <si>
    <t>620000000000008590020000000</t>
  </si>
  <si>
    <t>620000000000008599020000000</t>
  </si>
  <si>
    <t>620000330010003301040000000</t>
  </si>
  <si>
    <t>620000000027003302040000000</t>
  </si>
  <si>
    <t>620000330010003401040084000</t>
  </si>
  <si>
    <t>620000000027003402040084000</t>
  </si>
  <si>
    <t>620000330010003501040000000</t>
  </si>
  <si>
    <t>620000000027003502040000000</t>
  </si>
  <si>
    <t>620000330010003601040084101</t>
  </si>
  <si>
    <t>620000000027003602040084000</t>
  </si>
  <si>
    <t>620000330010003901040084000</t>
  </si>
  <si>
    <t>620000000000008590040000000</t>
  </si>
  <si>
    <t>620000000000008599040000000</t>
  </si>
  <si>
    <t>Initial Adopted</t>
  </si>
  <si>
    <t>FY22 Adopted Budget Ending Position</t>
  </si>
  <si>
    <t>FY22 1st Interim Ending Position</t>
  </si>
  <si>
    <t>FY22 2nd Interim Ending Position</t>
  </si>
  <si>
    <t>FY25</t>
  </si>
  <si>
    <t>ADA Grades TK-3</t>
  </si>
  <si>
    <t>TK/Kindergarten</t>
  </si>
  <si>
    <t>SD w/o OCLC</t>
  </si>
  <si>
    <t>Estimated Beginning Balance</t>
  </si>
  <si>
    <t>OCLC- dedicated payroll only</t>
  </si>
  <si>
    <t>OCLC- dedicated payroll PLUS % shared costs</t>
  </si>
  <si>
    <t>Amt NEEDED to meet 80% target</t>
  </si>
  <si>
    <t>Updated lease costs for OCLC</t>
  </si>
  <si>
    <t>Total SPED Scholar Count:</t>
  </si>
  <si>
    <t>Check</t>
  </si>
  <si>
    <t>Category</t>
  </si>
  <si>
    <t>Cost/scholar</t>
  </si>
  <si>
    <t>Total Cost:</t>
  </si>
  <si>
    <t>Scholar Count</t>
  </si>
  <si>
    <t>Minimum</t>
  </si>
  <si>
    <t>Median</t>
  </si>
  <si>
    <t>Triennials</t>
  </si>
  <si>
    <t>Total:</t>
  </si>
  <si>
    <t>Maximum A</t>
  </si>
  <si>
    <t>Maximum B</t>
  </si>
  <si>
    <t>SAI only</t>
  </si>
  <si>
    <t>Info as of 6.01.2022:</t>
  </si>
  <si>
    <t>OCLC (SD only)</t>
  </si>
  <si>
    <t>**Excludes OCLC revenues for % calcs**</t>
  </si>
  <si>
    <t>FY26</t>
  </si>
  <si>
    <t>BENEFITS ASSUMPTIONS</t>
  </si>
  <si>
    <t>CURRENT YEAR INITIAL</t>
  </si>
  <si>
    <t>CURRENT YEAR REVISION #1</t>
  </si>
  <si>
    <t>CURRENT YEAR REVISION #2</t>
  </si>
  <si>
    <t>CY + 1</t>
  </si>
  <si>
    <t>CY + 2</t>
  </si>
  <si>
    <t>STRS % BY TOTAL SALARY</t>
  </si>
  <si>
    <t>PERS % BY TOTAL SALARY</t>
  </si>
  <si>
    <t>OASDI % BY TOTAL SALARY</t>
  </si>
  <si>
    <t>MEDICARE % BY TOTAL SALARY</t>
  </si>
  <si>
    <t>SUI $$ COST PER FTE</t>
  </si>
  <si>
    <t>SUI % OF TOTAL BY FTE</t>
  </si>
  <si>
    <t>WORKER'S COMP % BY TOTAL SALARY</t>
  </si>
  <si>
    <t>REVENUE ASSUMPTIONS PER ADA</t>
  </si>
  <si>
    <t>IN LIEU OF PROPERTY TAXES</t>
  </si>
  <si>
    <t>SPECIAL EDUCATION - FEDERAL IDEA</t>
  </si>
  <si>
    <t>SPECIAL EDUCATION - MENTAL HEALTH (FED)</t>
  </si>
  <si>
    <t>SPECIAL EDUCATION - MENTAL HEALTH (STATE) and AB602</t>
  </si>
  <si>
    <t>TITLE III</t>
  </si>
  <si>
    <t>TITLE IV</t>
  </si>
  <si>
    <t>TITLE V</t>
  </si>
  <si>
    <t>8550-K8</t>
  </si>
  <si>
    <t>MANDATE BLOCK GRANT K-8</t>
  </si>
  <si>
    <t>8550-912</t>
  </si>
  <si>
    <t>MANDATE BLOCK GRANT 9-12</t>
  </si>
  <si>
    <t>LOTTERY</t>
  </si>
  <si>
    <t>BLANK</t>
  </si>
  <si>
    <t>SB740 RENT REIMBURSEMENT</t>
  </si>
  <si>
    <t>STATE SPED - AB602</t>
  </si>
  <si>
    <t>AMIMDBG</t>
  </si>
  <si>
    <t>Learning Recovery Block Grant</t>
  </si>
  <si>
    <t>Ethnic Studies</t>
  </si>
  <si>
    <t>ESSER 3 Planned (3213/3214)</t>
  </si>
  <si>
    <t>Total award amounts included for now</t>
  </si>
  <si>
    <t>COMBINED SALARY OF ALL PERSONEL</t>
  </si>
  <si>
    <t>SALARY FOR NON SHARED COST PERSONEL</t>
  </si>
  <si>
    <t>SPLIT SALARY OF SHARED COST PERSONEL</t>
  </si>
  <si>
    <t>OVERALL</t>
  </si>
  <si>
    <t>DESCRIPTION</t>
  </si>
  <si>
    <t>TOTAL ANNUAL SALARY</t>
  </si>
  <si>
    <t>TOTAL PAID (SALARY PLUS BENEFITS</t>
  </si>
  <si>
    <t>Substitute Teachers</t>
  </si>
  <si>
    <t>Certifiecated Supervisor and Administrator Salaries</t>
  </si>
  <si>
    <t>Clerical, Techinical and Office Staff Salaries</t>
  </si>
  <si>
    <t>CHECK</t>
  </si>
  <si>
    <t>TOTALS FROM BELOW:</t>
  </si>
  <si>
    <t>SHARED (010)</t>
  </si>
  <si>
    <t>403b</t>
  </si>
  <si>
    <t>Rerun LCFF MYP ADA</t>
  </si>
  <si>
    <t>Reallocate payroll</t>
  </si>
  <si>
    <t>2022-23 Budget- 2nd Interim 13.26% COLA</t>
  </si>
  <si>
    <t>Staff reductions planned</t>
  </si>
  <si>
    <t>FY23 Adopted Budget Ending Position</t>
  </si>
  <si>
    <t>FY23 1st Interim Budget ending Position</t>
  </si>
  <si>
    <t>Ist Interim</t>
  </si>
  <si>
    <t>Variance</t>
  </si>
  <si>
    <t/>
  </si>
  <si>
    <t>Surplus / (Deficit)</t>
  </si>
  <si>
    <t>010</t>
  </si>
  <si>
    <t>FY23 Designations</t>
  </si>
  <si>
    <t>CMO (Contribution)/Draw down:</t>
  </si>
  <si>
    <t>Economic Uncertainty</t>
  </si>
  <si>
    <t xml:space="preserve">Future SPED costs </t>
  </si>
  <si>
    <t>Future LEGAL costs</t>
  </si>
  <si>
    <t>Changes:</t>
  </si>
  <si>
    <t>Future FACILITY costs</t>
  </si>
  <si>
    <t>LCFF Increase to 13.26%</t>
  </si>
  <si>
    <t>Enrollment Uncertainty</t>
  </si>
  <si>
    <t>$50k added to insurance (Wright Specialty)</t>
  </si>
  <si>
    <t>$60k added to PD (Title 2)</t>
  </si>
  <si>
    <t>Met</t>
  </si>
  <si>
    <t>Added $700k to SPED- Assessment costs</t>
  </si>
  <si>
    <t>Adjust 4100 Options scholar count to 1769</t>
  </si>
  <si>
    <t>$176k increase in 5800- Leaner Ctr Collab</t>
  </si>
  <si>
    <t>$700k increase to 5810- to capture SPED assessment costs</t>
  </si>
  <si>
    <t>Removed $15k from 5874 for Bamboo HR- prepaid, spenindg down amount no costs out of pocket this FY</t>
  </si>
  <si>
    <t>Added $62k to IT services TPX Cyber Security</t>
  </si>
  <si>
    <t>Acct</t>
  </si>
  <si>
    <t>SPED Instructional Aide (left mid year $30k + benefits)</t>
  </si>
  <si>
    <t>Psych position removed ($90k + benefits)</t>
  </si>
  <si>
    <t>2 LOAs impacting budgeted payroll favorably</t>
  </si>
  <si>
    <t>Adjusted hourly calc on payroll roster</t>
  </si>
  <si>
    <t>Enrollment decline (2,335)</t>
  </si>
  <si>
    <t>$500k Learning recovery funds used in SD to support lower staff/pupil ratios at OCLC</t>
  </si>
  <si>
    <t>FY23 2nd Interim Ending Position</t>
  </si>
  <si>
    <t>Before transfer</t>
  </si>
  <si>
    <t>FY24 planned</t>
  </si>
  <si>
    <t>Engagement (?)</t>
  </si>
  <si>
    <t>PAYROLL $716k Spend by 9.30.2024 - $350k remaining</t>
  </si>
  <si>
    <t>Longevity stipends $340k (plus ben= $450k)</t>
  </si>
  <si>
    <t>2023-24 Budget- Adopted 5.38% COLA</t>
  </si>
  <si>
    <t>OCLC salaries- $670k (plus ben = $890k)</t>
  </si>
  <si>
    <t>Thousand Oaks</t>
  </si>
  <si>
    <t>FY25- ECE credits/licensure effort</t>
  </si>
  <si>
    <t>2023/24 Budget</t>
  </si>
  <si>
    <t>Notes:</t>
  </si>
  <si>
    <t>Rent for future OCLC site (Santa Ana site)</t>
  </si>
  <si>
    <t>8.22% COLA LCFF</t>
  </si>
  <si>
    <t>5% COLA + step of 2.5%</t>
  </si>
  <si>
    <t>FY24 SPED contract vendor consolidation</t>
  </si>
  <si>
    <t>STS $300k</t>
  </si>
  <si>
    <t>Oxford $550k</t>
  </si>
  <si>
    <t>Partners in SpEd $600k</t>
  </si>
  <si>
    <t>El Paseo $450k</t>
  </si>
  <si>
    <t>$1.9M</t>
  </si>
  <si>
    <t>Live formulas</t>
  </si>
  <si>
    <t>5.38% vs. 8.22% COLA LCFF</t>
  </si>
  <si>
    <t>Salaries: 5% COLA + step of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</si>
</sst>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_(&quot;$&quot;* #,##0_);_(&quot;$&quot;* \(#,##0\);_(&quot;$&quot;* &quot;-&quot;??_);_(@_)"/>
    <numFmt numFmtId="168" formatCode="###0;###0"/>
    <numFmt numFmtId="169" formatCode="###0.00;###0.00"/>
    <numFmt numFmtId="170" formatCode="0.000%"/>
    <numFmt numFmtId="171" formatCode="_(&quot;$&quot;* #,##0.0_);_(&quot;$&quot;* \(#,##0.0\);_(&quot;$&quot;* &quot;-&quot;??_);_(@_)"/>
    <numFmt numFmtId="172" formatCode="0_);\(0\)"/>
    <numFmt numFmtId="173" formatCode="[$-1010409]\$#,##0;\(\$#,##0\);\-"/>
    <numFmt numFmtId="174" formatCode="[$-1010409]0"/>
    <numFmt numFmtId="175" formatCode="0.0000%"/>
    <numFmt numFmtId="176" formatCode="&quot;$&quot;#,##0.00"/>
  </numFmts>
  <fonts count="103" x14ac:knownFonts="1">
    <font>
      <sz val="11"/>
      <color theme="1"/>
      <name val="Calibri"/>
      <family val="2"/>
      <scheme val="minor"/>
    </font>
    <font>
      <sz val="11"/>
      <color theme="1"/>
      <name val="Calibri"/>
      <family val="2"/>
      <scheme val="minor"/>
    </font>
    <font>
      <sz val="10"/>
      <name val="MS Sans Serif"/>
      <family val="2"/>
    </font>
    <font>
      <sz val="12"/>
      <name val="Times New Roman"/>
      <family val="1"/>
    </font>
    <font>
      <b/>
      <sz val="12"/>
      <name val="Times New Roman"/>
      <family val="1"/>
    </font>
    <font>
      <sz val="12"/>
      <color theme="1"/>
      <name val="Times New Roman"/>
      <family val="1"/>
    </font>
    <font>
      <sz val="12"/>
      <color rgb="FFFF0000"/>
      <name val="Times New Roman"/>
      <family val="1"/>
    </font>
    <font>
      <b/>
      <sz val="12"/>
      <color theme="1"/>
      <name val="Times New Roman"/>
      <family val="1"/>
    </font>
    <font>
      <b/>
      <sz val="16"/>
      <color rgb="FFFF0000"/>
      <name val="Times New Roman"/>
      <family val="1"/>
    </font>
    <font>
      <b/>
      <sz val="14"/>
      <color theme="1"/>
      <name val="Times New Roman"/>
      <family val="1"/>
    </font>
    <font>
      <b/>
      <sz val="16"/>
      <name val="Times New Roman"/>
      <family val="1"/>
    </font>
    <font>
      <b/>
      <sz val="14"/>
      <name val="Times New Roman"/>
      <family val="1"/>
    </font>
    <font>
      <sz val="9"/>
      <color indexed="81"/>
      <name val="Tahoma"/>
      <family val="2"/>
    </font>
    <font>
      <b/>
      <sz val="9"/>
      <color indexed="81"/>
      <name val="Tahoma"/>
      <family val="2"/>
    </font>
    <font>
      <b/>
      <sz val="14"/>
      <color rgb="FFFF0000"/>
      <name val="Times New Roman"/>
      <family val="1"/>
    </font>
    <font>
      <b/>
      <sz val="12"/>
      <color indexed="8"/>
      <name val="Times New Roman"/>
      <family val="1"/>
    </font>
    <font>
      <sz val="12"/>
      <color indexed="8"/>
      <name val="Times New Roman"/>
      <family val="1"/>
    </font>
    <font>
      <b/>
      <sz val="14"/>
      <color indexed="8"/>
      <name val="Times New Roman"/>
      <family val="1"/>
    </font>
    <font>
      <b/>
      <sz val="12"/>
      <color rgb="FFFF0000"/>
      <name val="Times New Roman"/>
      <family val="1"/>
    </font>
    <font>
      <sz val="12"/>
      <color indexed="10"/>
      <name val="Times New Roman"/>
      <family val="1"/>
    </font>
    <font>
      <b/>
      <u/>
      <sz val="12"/>
      <name val="Times New Roman"/>
      <family val="1"/>
    </font>
    <font>
      <sz val="10"/>
      <name val="MS Sans Serif"/>
      <family val="2"/>
    </font>
    <font>
      <sz val="10"/>
      <color rgb="FFFF0000"/>
      <name val="MS Sans Serif"/>
      <family val="2"/>
    </font>
    <font>
      <sz val="10"/>
      <color theme="1"/>
      <name val="MS Sans Serif"/>
      <family val="2"/>
    </font>
    <font>
      <b/>
      <u/>
      <sz val="10"/>
      <name val="MS Sans Serif"/>
      <family val="2"/>
    </font>
    <font>
      <b/>
      <sz val="10"/>
      <color rgb="FFFF0000"/>
      <name val="MS Sans Serif"/>
      <family val="2"/>
    </font>
    <font>
      <b/>
      <sz val="11"/>
      <color theme="1"/>
      <name val="Calibri"/>
      <family val="2"/>
    </font>
    <font>
      <b/>
      <sz val="9"/>
      <color theme="1"/>
      <name val="Calibri"/>
      <family val="2"/>
      <scheme val="minor"/>
    </font>
    <font>
      <b/>
      <sz val="9"/>
      <color theme="1"/>
      <name val="Calibri"/>
      <family val="2"/>
    </font>
    <font>
      <b/>
      <i/>
      <sz val="9"/>
      <color theme="1"/>
      <name val="Calibri"/>
      <family val="2"/>
    </font>
    <font>
      <sz val="8"/>
      <color rgb="FFFF0000"/>
      <name val="Times New Roman"/>
      <family val="1"/>
    </font>
    <font>
      <sz val="10"/>
      <name val="Arial"/>
      <family val="2"/>
    </font>
    <font>
      <sz val="8"/>
      <color theme="1"/>
      <name val="Tahoma"/>
      <family val="2"/>
    </font>
    <font>
      <sz val="8"/>
      <color theme="0"/>
      <name val="Tahoma"/>
      <family val="2"/>
    </font>
    <font>
      <sz val="8"/>
      <color rgb="FF9C0006"/>
      <name val="Tahoma"/>
      <family val="2"/>
    </font>
    <font>
      <b/>
      <sz val="8"/>
      <color rgb="FFFA7D00"/>
      <name val="Tahoma"/>
      <family val="2"/>
    </font>
    <font>
      <b/>
      <sz val="8"/>
      <color theme="0"/>
      <name val="Tahoma"/>
      <family val="2"/>
    </font>
    <font>
      <sz val="8"/>
      <color indexed="8"/>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
      <b/>
      <i/>
      <sz val="10"/>
      <color rgb="FF000000"/>
      <name val="Calibri"/>
      <family val="2"/>
      <scheme val="minor"/>
    </font>
    <font>
      <sz val="12"/>
      <name val="Calibri"/>
      <family val="2"/>
      <scheme val="minor"/>
    </font>
    <font>
      <b/>
      <i/>
      <sz val="11"/>
      <name val="Arial"/>
      <family val="2"/>
    </font>
    <font>
      <b/>
      <sz val="11"/>
      <color rgb="FF000000"/>
      <name val="Arial"/>
      <family val="2"/>
    </font>
    <font>
      <sz val="10"/>
      <name val="Arial Narrow"/>
      <family val="2"/>
    </font>
    <font>
      <sz val="11"/>
      <color rgb="FF000000"/>
      <name val="Arial"/>
      <family val="2"/>
    </font>
    <font>
      <sz val="11"/>
      <color theme="0"/>
      <name val="Arial"/>
      <family val="2"/>
    </font>
    <font>
      <sz val="11"/>
      <name val="Arial"/>
      <family val="2"/>
    </font>
    <font>
      <sz val="11"/>
      <color rgb="FF000000"/>
      <name val="Calibri"/>
      <family val="2"/>
    </font>
    <font>
      <b/>
      <sz val="12"/>
      <name val="Calibri"/>
      <family val="2"/>
      <scheme val="minor"/>
    </font>
    <font>
      <b/>
      <u/>
      <sz val="12"/>
      <name val="Calibri"/>
      <family val="2"/>
      <scheme val="minor"/>
    </font>
    <font>
      <i/>
      <sz val="12"/>
      <name val="Times New Roman"/>
      <family val="1"/>
    </font>
    <font>
      <b/>
      <i/>
      <sz val="11"/>
      <name val="Times New Roman"/>
      <family val="1"/>
    </font>
    <font>
      <sz val="10"/>
      <name val="Times New Roman"/>
      <family val="1"/>
    </font>
    <font>
      <b/>
      <sz val="11"/>
      <color theme="1"/>
      <name val="Calibri"/>
      <family val="2"/>
      <scheme val="minor"/>
    </font>
    <font>
      <sz val="8"/>
      <color theme="1"/>
      <name val="Calibri"/>
      <family val="2"/>
      <scheme val="minor"/>
    </font>
    <font>
      <b/>
      <sz val="8"/>
      <name val="Times New Roman"/>
      <family val="1"/>
    </font>
    <font>
      <sz val="8"/>
      <name val="Times New Roman"/>
      <family val="1"/>
    </font>
    <font>
      <sz val="11"/>
      <color theme="0"/>
      <name val="Calibri"/>
      <family val="2"/>
      <scheme val="minor"/>
    </font>
    <font>
      <b/>
      <sz val="36"/>
      <name val="Calibri"/>
      <family val="2"/>
      <scheme val="minor"/>
    </font>
    <font>
      <sz val="11"/>
      <name val="Calibri"/>
      <family val="2"/>
      <charset val="1"/>
      <scheme val="minor"/>
    </font>
    <font>
      <b/>
      <sz val="8"/>
      <color rgb="FFFFFFFF"/>
      <name val="Verdana"/>
      <family val="2"/>
    </font>
    <font>
      <b/>
      <sz val="11"/>
      <name val="Calibri"/>
      <family val="2"/>
      <charset val="1"/>
      <scheme val="minor"/>
    </font>
    <font>
      <sz val="11"/>
      <color theme="1"/>
      <name val="Calibri"/>
      <family val="2"/>
      <charset val="1"/>
      <scheme val="minor"/>
    </font>
    <font>
      <b/>
      <sz val="11"/>
      <color theme="1"/>
      <name val="Calibri"/>
      <family val="2"/>
      <charset val="1"/>
      <scheme val="minor"/>
    </font>
    <font>
      <sz val="7"/>
      <color rgb="FF000000"/>
      <name val="Verdana"/>
      <family val="2"/>
    </font>
    <font>
      <sz val="10"/>
      <color indexed="8"/>
      <name val="Arial"/>
      <family val="2"/>
    </font>
    <font>
      <sz val="10"/>
      <color indexed="8"/>
      <name val="Arial"/>
      <family val="2"/>
    </font>
    <font>
      <sz val="8"/>
      <name val="Calibri"/>
      <family val="2"/>
      <scheme val="minor"/>
    </font>
    <font>
      <b/>
      <sz val="12"/>
      <color indexed="8"/>
      <name val="Calibri"/>
      <family val="2"/>
      <scheme val="minor"/>
    </font>
    <font>
      <b/>
      <sz val="10"/>
      <color theme="1"/>
      <name val="Times New Roman"/>
      <family val="1"/>
    </font>
    <font>
      <b/>
      <sz val="11"/>
      <color theme="1"/>
      <name val="Times New Roman"/>
      <family val="1"/>
    </font>
    <font>
      <sz val="11"/>
      <name val="Calibri"/>
      <family val="2"/>
    </font>
    <font>
      <b/>
      <sz val="7"/>
      <color rgb="FF000000"/>
      <name val="Verdana"/>
      <family val="2"/>
    </font>
    <font>
      <sz val="9"/>
      <color rgb="FF000000"/>
      <name val="Verdana"/>
      <family val="2"/>
    </font>
    <font>
      <sz val="9"/>
      <color rgb="FFFFFFFF"/>
      <name val="Verdana"/>
      <family val="2"/>
    </font>
    <font>
      <b/>
      <sz val="9"/>
      <color rgb="FF000000"/>
      <name val="Verdana"/>
      <family val="2"/>
    </font>
    <font>
      <b/>
      <sz val="14"/>
      <color rgb="FF000000"/>
      <name val="Verdana"/>
      <family val="2"/>
    </font>
    <font>
      <b/>
      <sz val="20"/>
      <color rgb="FF3D3D3D"/>
      <name val="Microsoft Sans Serif"/>
      <family val="2"/>
    </font>
    <font>
      <b/>
      <sz val="8"/>
      <color rgb="FFFFFFFF"/>
      <name val="Verdana"/>
      <family val="2"/>
    </font>
    <font>
      <sz val="7"/>
      <color rgb="FF000000"/>
      <name val="Verdana"/>
      <family val="2"/>
    </font>
    <font>
      <b/>
      <sz val="7"/>
      <color rgb="FF000000"/>
      <name val="Verdana"/>
      <family val="2"/>
    </font>
    <font>
      <b/>
      <sz val="11"/>
      <name val="Times New Roman"/>
      <family val="1"/>
    </font>
    <font>
      <b/>
      <u/>
      <sz val="11"/>
      <color theme="1"/>
      <name val="Calibri"/>
      <family val="2"/>
      <scheme val="minor"/>
    </font>
    <font>
      <sz val="9"/>
      <color theme="0"/>
      <name val="Calibri"/>
      <family val="2"/>
      <scheme val="minor"/>
    </font>
    <font>
      <sz val="10"/>
      <color rgb="FF000000"/>
      <name val="Arial"/>
      <family val="2"/>
    </font>
    <font>
      <b/>
      <sz val="10"/>
      <color rgb="FF000000"/>
      <name val="Arial"/>
      <family val="2"/>
    </font>
    <font>
      <sz val="10"/>
      <color theme="1"/>
      <name val="Arial"/>
      <family val="2"/>
    </font>
    <font>
      <sz val="14"/>
      <name val="Times New Roman"/>
      <family val="1"/>
    </font>
    <font>
      <b/>
      <sz val="9"/>
      <name val="Montserrat"/>
    </font>
    <font>
      <sz val="9"/>
      <name val="Times New Roman"/>
      <family val="1"/>
    </font>
    <font>
      <sz val="12"/>
      <name val="Montserrat"/>
    </font>
    <font>
      <b/>
      <u/>
      <sz val="12"/>
      <name val="Montserrat"/>
    </font>
    <font>
      <b/>
      <sz val="12"/>
      <name val="Montserrat"/>
    </font>
    <font>
      <sz val="11"/>
      <name val="Montserrat"/>
    </font>
    <font>
      <b/>
      <sz val="11"/>
      <name val="Montserrat"/>
    </font>
  </fonts>
  <fills count="66">
    <fill>
      <patternFill patternType="none"/>
    </fill>
    <fill>
      <patternFill patternType="gray125"/>
    </fill>
    <fill>
      <patternFill patternType="solid">
        <fgColor indexed="9"/>
        <bgColor indexed="26"/>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6495ED"/>
      </patternFill>
    </fill>
    <fill>
      <patternFill patternType="solid">
        <fgColor theme="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ADD8E6"/>
      </patternFill>
    </fill>
    <fill>
      <patternFill patternType="solid">
        <fgColor rgb="FFD3D3D3"/>
      </patternFill>
    </fill>
    <fill>
      <patternFill patternType="solid">
        <fgColor theme="1"/>
        <bgColor indexed="64"/>
      </patternFill>
    </fill>
    <fill>
      <patternFill patternType="solid">
        <fgColor theme="8"/>
        <bgColor indexed="64"/>
      </patternFill>
    </fill>
    <fill>
      <patternFill patternType="solid">
        <fgColor rgb="FFFFFF99"/>
        <bgColor indexed="64"/>
      </patternFill>
    </fill>
    <fill>
      <patternFill patternType="solid">
        <fgColor theme="6"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FFCC"/>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FFFFF"/>
      </patternFill>
    </fill>
    <fill>
      <patternFill patternType="solid">
        <fgColor rgb="FFDDDDDD"/>
      </patternFill>
    </fill>
    <fill>
      <patternFill patternType="solid">
        <fgColor theme="0" tint="-0.249977111117893"/>
        <bgColor indexed="64"/>
      </patternFill>
    </fill>
    <fill>
      <patternFill patternType="solid">
        <fgColor theme="5"/>
        <bgColor indexed="64"/>
      </patternFill>
    </fill>
    <fill>
      <patternFill patternType="solid">
        <fgColor theme="6"/>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79998168889431442"/>
        <bgColor indexed="64"/>
      </patternFill>
    </fill>
  </fills>
  <borders count="93">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top style="thin">
        <color rgb="FF000000"/>
      </top>
      <bottom style="thin">
        <color rgb="FF000000"/>
      </bottom>
      <diagonal/>
    </border>
    <border>
      <left/>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diagonal/>
    </border>
    <border>
      <left style="thin">
        <color auto="1"/>
      </left>
      <right style="thin">
        <color indexed="8"/>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style="thin">
        <color auto="1"/>
      </left>
      <right style="thin">
        <color indexed="8"/>
      </right>
      <top/>
      <bottom style="thin">
        <color indexed="8"/>
      </bottom>
      <diagonal/>
    </border>
    <border>
      <left/>
      <right style="thin">
        <color indexed="8"/>
      </right>
      <top/>
      <bottom style="thin">
        <color indexed="8"/>
      </bottom>
      <diagonal/>
    </border>
    <border>
      <left style="thin">
        <color auto="1"/>
      </left>
      <right/>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indexed="8"/>
      </right>
      <top style="thin">
        <color auto="1"/>
      </top>
      <bottom/>
      <diagonal/>
    </border>
    <border>
      <left style="thin">
        <color auto="1"/>
      </left>
      <right style="thin">
        <color indexed="8"/>
      </right>
      <top/>
      <bottom/>
      <diagonal/>
    </border>
    <border>
      <left/>
      <right/>
      <top style="thin">
        <color indexed="8"/>
      </top>
      <bottom/>
      <diagonal/>
    </border>
    <border>
      <left/>
      <right/>
      <top style="thin">
        <color indexed="64"/>
      </top>
      <bottom/>
      <diagonal/>
    </border>
    <border>
      <left style="thick">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indexed="8"/>
      </right>
      <top style="thin">
        <color indexed="8"/>
      </top>
      <bottom/>
      <diagonal/>
    </border>
    <border>
      <left/>
      <right style="thin">
        <color indexed="8"/>
      </right>
      <top style="thin">
        <color indexed="8"/>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ck">
        <color rgb="FF000000"/>
      </left>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n">
        <color rgb="FF000000"/>
      </top>
      <bottom style="thick">
        <color rgb="FF000000"/>
      </bottom>
      <diagonal/>
    </border>
    <border>
      <left style="thick">
        <color rgb="FF000000"/>
      </left>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style="thin">
        <color rgb="FFD3D3D3"/>
      </left>
      <right/>
      <top style="thin">
        <color rgb="FFD3D3D3"/>
      </top>
      <bottom style="thin">
        <color rgb="FFD3D3D3"/>
      </bottom>
      <diagonal/>
    </border>
    <border>
      <left/>
      <right/>
      <top style="thin">
        <color rgb="FF000000"/>
      </top>
      <bottom/>
      <diagonal/>
    </border>
    <border>
      <left style="thin">
        <color indexed="64"/>
      </left>
      <right style="thin">
        <color indexed="64"/>
      </right>
      <top style="thin">
        <color indexed="64"/>
      </top>
      <bottom style="medium">
        <color indexed="64"/>
      </bottom>
      <diagonal/>
    </border>
  </borders>
  <cellStyleXfs count="3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2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5" fillId="8" borderId="13" applyNumberFormat="0" applyAlignment="0" applyProtection="0"/>
    <xf numFmtId="0" fontId="35" fillId="8" borderId="13" applyNumberFormat="0" applyAlignment="0" applyProtection="0"/>
    <xf numFmtId="0" fontId="35" fillId="8" borderId="13" applyNumberFormat="0" applyAlignment="0" applyProtection="0"/>
    <xf numFmtId="0" fontId="35" fillId="8" borderId="13" applyNumberFormat="0" applyAlignment="0" applyProtection="0"/>
    <xf numFmtId="0" fontId="35" fillId="8" borderId="13" applyNumberFormat="0" applyAlignment="0" applyProtection="0"/>
    <xf numFmtId="0" fontId="35" fillId="8" borderId="13" applyNumberFormat="0" applyAlignment="0" applyProtection="0"/>
    <xf numFmtId="0" fontId="36" fillId="9" borderId="16" applyNumberFormat="0" applyAlignment="0" applyProtection="0"/>
    <xf numFmtId="0" fontId="36" fillId="9" borderId="16" applyNumberFormat="0" applyAlignment="0" applyProtection="0"/>
    <xf numFmtId="0" fontId="36" fillId="9" borderId="16" applyNumberFormat="0" applyAlignment="0" applyProtection="0"/>
    <xf numFmtId="0" fontId="36" fillId="9" borderId="16" applyNumberFormat="0" applyAlignment="0" applyProtection="0"/>
    <xf numFmtId="0" fontId="36" fillId="9" borderId="16" applyNumberFormat="0" applyAlignment="0" applyProtection="0"/>
    <xf numFmtId="0" fontId="36" fillId="9" borderId="16" applyNumberFormat="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7"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7" fillId="0" borderId="0" applyFont="0" applyFill="0" applyBorder="0" applyAlignment="0" applyProtection="0"/>
    <xf numFmtId="42" fontId="37" fillId="0" borderId="0" applyFont="0" applyFill="0" applyBorder="0" applyAlignment="0" applyProtection="0"/>
    <xf numFmtId="42" fontId="37" fillId="0" borderId="0" applyFont="0" applyFill="0" applyBorder="0" applyAlignment="0" applyProtection="0"/>
    <xf numFmtId="42" fontId="37" fillId="0" borderId="0" applyFont="0" applyFill="0" applyBorder="0" applyAlignment="0" applyProtection="0"/>
    <xf numFmtId="42" fontId="37" fillId="0" borderId="0" applyFont="0" applyFill="0" applyBorder="0" applyAlignment="0" applyProtection="0"/>
    <xf numFmtId="42" fontId="37"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 borderId="13" applyNumberFormat="0" applyAlignment="0" applyProtection="0"/>
    <xf numFmtId="0" fontId="41" fillId="7" borderId="13" applyNumberFormat="0" applyAlignment="0" applyProtection="0"/>
    <xf numFmtId="0" fontId="41" fillId="7" borderId="13" applyNumberFormat="0" applyAlignment="0" applyProtection="0"/>
    <xf numFmtId="0" fontId="41" fillId="7" borderId="13" applyNumberFormat="0" applyAlignment="0" applyProtection="0"/>
    <xf numFmtId="0" fontId="41" fillId="7" borderId="13" applyNumberFormat="0" applyAlignment="0" applyProtection="0"/>
    <xf numFmtId="0" fontId="41" fillId="7" borderId="13" applyNumberFormat="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32" fillId="0" borderId="0"/>
    <xf numFmtId="0" fontId="32" fillId="0" borderId="0"/>
    <xf numFmtId="0" fontId="32" fillId="0" borderId="0"/>
    <xf numFmtId="0" fontId="1" fillId="0" borderId="0"/>
    <xf numFmtId="0" fontId="37" fillId="10" borderId="17" applyNumberFormat="0" applyFont="0" applyAlignment="0" applyProtection="0"/>
    <xf numFmtId="0" fontId="37" fillId="10" borderId="17" applyNumberFormat="0" applyFont="0" applyAlignment="0" applyProtection="0"/>
    <xf numFmtId="0" fontId="37" fillId="10" borderId="17" applyNumberFormat="0" applyFont="0" applyAlignment="0" applyProtection="0"/>
    <xf numFmtId="0" fontId="37" fillId="10" borderId="17" applyNumberFormat="0" applyFont="0" applyAlignment="0" applyProtection="0"/>
    <xf numFmtId="0" fontId="37" fillId="10" borderId="17" applyNumberFormat="0" applyFont="0" applyAlignment="0" applyProtection="0"/>
    <xf numFmtId="0" fontId="37" fillId="10" borderId="17" applyNumberFormat="0" applyFont="0" applyAlignment="0" applyProtection="0"/>
    <xf numFmtId="0" fontId="32" fillId="10" borderId="17" applyNumberFormat="0" applyFont="0" applyAlignment="0" applyProtection="0"/>
    <xf numFmtId="0" fontId="44" fillId="8" borderId="14" applyNumberFormat="0" applyAlignment="0" applyProtection="0"/>
    <xf numFmtId="0" fontId="44" fillId="8" borderId="14" applyNumberFormat="0" applyAlignment="0" applyProtection="0"/>
    <xf numFmtId="0" fontId="44" fillId="8" borderId="14" applyNumberFormat="0" applyAlignment="0" applyProtection="0"/>
    <xf numFmtId="0" fontId="44" fillId="8" borderId="14" applyNumberFormat="0" applyAlignment="0" applyProtection="0"/>
    <xf numFmtId="0" fontId="44" fillId="8" borderId="14" applyNumberFormat="0" applyAlignment="0" applyProtection="0"/>
    <xf numFmtId="0" fontId="44" fillId="8" borderId="14"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 fillId="0" borderId="0"/>
    <xf numFmtId="43" fontId="51"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alignment wrapText="1"/>
    </xf>
    <xf numFmtId="0" fontId="55" fillId="0" borderId="0">
      <alignment wrapText="1"/>
    </xf>
    <xf numFmtId="0" fontId="73" fillId="0" borderId="0" applyNumberFormat="0" applyFill="0" applyBorder="0" applyProtection="0"/>
    <xf numFmtId="9" fontId="74" fillId="0" borderId="0" applyFont="0" applyFill="0" applyBorder="0" applyAlignment="0" applyProtection="0"/>
    <xf numFmtId="0" fontId="92" fillId="0" borderId="0"/>
    <xf numFmtId="9" fontId="92" fillId="0" borderId="0" applyFont="0" applyFill="0" applyBorder="0" applyAlignment="0" applyProtection="0"/>
  </cellStyleXfs>
  <cellXfs count="871">
    <xf numFmtId="0" fontId="0" fillId="0" borderId="0" xfId="0"/>
    <xf numFmtId="0" fontId="3" fillId="0" borderId="0" xfId="4" applyFont="1"/>
    <xf numFmtId="0" fontId="3" fillId="0" borderId="0" xfId="4" quotePrefix="1" applyFont="1"/>
    <xf numFmtId="14" fontId="3" fillId="0" borderId="0" xfId="4" applyNumberFormat="1" applyFont="1"/>
    <xf numFmtId="0" fontId="4" fillId="2" borderId="0" xfId="0" applyFont="1" applyFill="1" applyAlignment="1">
      <alignment horizontal="left"/>
    </xf>
    <xf numFmtId="0" fontId="5" fillId="0" borderId="0" xfId="0" applyFont="1"/>
    <xf numFmtId="0" fontId="6" fillId="0" borderId="0" xfId="0" applyFont="1"/>
    <xf numFmtId="10" fontId="6" fillId="0" borderId="0" xfId="3" applyNumberFormat="1" applyFont="1"/>
    <xf numFmtId="0" fontId="5" fillId="0" borderId="0" xfId="0" quotePrefix="1" applyFont="1"/>
    <xf numFmtId="44" fontId="6" fillId="0" borderId="0" xfId="2" applyFont="1"/>
    <xf numFmtId="43" fontId="5" fillId="0" borderId="0" xfId="1" applyFont="1"/>
    <xf numFmtId="43" fontId="6" fillId="0" borderId="0" xfId="1" applyFont="1"/>
    <xf numFmtId="43" fontId="5" fillId="0" borderId="0" xfId="0" applyNumberFormat="1" applyFont="1"/>
    <xf numFmtId="0" fontId="6" fillId="0" borderId="0" xfId="0" applyFont="1" applyAlignment="1">
      <alignment horizontal="center"/>
    </xf>
    <xf numFmtId="0" fontId="6" fillId="0" borderId="0" xfId="1" applyNumberFormat="1" applyFont="1" applyAlignment="1">
      <alignment horizontal="center"/>
    </xf>
    <xf numFmtId="43" fontId="6" fillId="0" borderId="0" xfId="1" applyFont="1" applyAlignment="1">
      <alignment horizontal="left"/>
    </xf>
    <xf numFmtId="43" fontId="6" fillId="0" borderId="0" xfId="1" applyFont="1" applyAlignment="1">
      <alignment horizontal="center"/>
    </xf>
    <xf numFmtId="0" fontId="7"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xf>
    <xf numFmtId="0" fontId="8" fillId="0" borderId="0" xfId="0" applyFont="1"/>
    <xf numFmtId="0" fontId="9" fillId="0" borderId="0" xfId="0" applyFont="1"/>
    <xf numFmtId="0" fontId="10" fillId="0" borderId="0" xfId="0" applyFont="1"/>
    <xf numFmtId="0" fontId="5" fillId="0" borderId="1" xfId="0" applyFont="1" applyBorder="1"/>
    <xf numFmtId="0" fontId="6" fillId="0" borderId="1" xfId="0" applyFont="1" applyBorder="1" applyAlignment="1">
      <alignment horizontal="center"/>
    </xf>
    <xf numFmtId="0" fontId="6" fillId="0" borderId="1" xfId="0" applyFont="1" applyBorder="1" applyAlignment="1">
      <alignment horizontal="left"/>
    </xf>
    <xf numFmtId="0" fontId="7" fillId="0" borderId="1" xfId="0" applyFont="1" applyBorder="1" applyAlignment="1">
      <alignment horizontal="center"/>
    </xf>
    <xf numFmtId="0" fontId="5" fillId="0" borderId="1" xfId="0" applyFont="1" applyBorder="1" applyAlignment="1">
      <alignment horizontal="left"/>
    </xf>
    <xf numFmtId="0" fontId="4" fillId="0" borderId="1" xfId="0" applyFont="1" applyBorder="1" applyAlignment="1">
      <alignment horizontal="center"/>
    </xf>
    <xf numFmtId="0" fontId="11" fillId="0" borderId="0" xfId="4" applyFont="1"/>
    <xf numFmtId="0" fontId="11" fillId="0" borderId="1" xfId="4" applyFont="1" applyBorder="1"/>
    <xf numFmtId="0" fontId="3" fillId="0" borderId="0" xfId="4" applyFont="1" applyAlignment="1">
      <alignment horizontal="center"/>
    </xf>
    <xf numFmtId="0" fontId="11" fillId="0" borderId="1" xfId="4" applyFont="1" applyBorder="1" applyAlignment="1">
      <alignment horizontal="center"/>
    </xf>
    <xf numFmtId="14" fontId="4" fillId="0" borderId="0" xfId="4" quotePrefix="1" applyNumberFormat="1" applyFont="1"/>
    <xf numFmtId="0" fontId="4" fillId="0" borderId="0" xfId="4" applyFont="1"/>
    <xf numFmtId="0" fontId="4" fillId="0" borderId="0" xfId="4" quotePrefix="1" applyFont="1"/>
    <xf numFmtId="43" fontId="4" fillId="0" borderId="0" xfId="1" applyFont="1" applyAlignment="1">
      <alignment horizontal="center"/>
    </xf>
    <xf numFmtId="43" fontId="4" fillId="0" borderId="0" xfId="1" applyFont="1"/>
    <xf numFmtId="0" fontId="6" fillId="0" borderId="1" xfId="0" applyFont="1" applyBorder="1"/>
    <xf numFmtId="49" fontId="3" fillId="0" borderId="0" xfId="4" applyNumberFormat="1" applyFont="1"/>
    <xf numFmtId="49" fontId="11" fillId="0" borderId="0" xfId="4" applyNumberFormat="1" applyFont="1"/>
    <xf numFmtId="49" fontId="11" fillId="0" borderId="1" xfId="4" applyNumberFormat="1" applyFont="1" applyBorder="1"/>
    <xf numFmtId="49" fontId="4" fillId="0" borderId="0" xfId="4" quotePrefix="1" applyNumberFormat="1" applyFont="1"/>
    <xf numFmtId="49" fontId="5" fillId="0" borderId="0" xfId="0" applyNumberFormat="1" applyFont="1" applyAlignment="1">
      <alignment horizontal="center"/>
    </xf>
    <xf numFmtId="49" fontId="6" fillId="0" borderId="0" xfId="0" applyNumberFormat="1" applyFont="1" applyAlignment="1">
      <alignment horizontal="center"/>
    </xf>
    <xf numFmtId="44" fontId="4" fillId="0" borderId="0" xfId="2" applyFont="1" applyAlignment="1">
      <alignment horizontal="center"/>
    </xf>
    <xf numFmtId="0" fontId="11" fillId="0" borderId="0" xfId="4" applyFont="1" applyAlignment="1">
      <alignment horizontal="center"/>
    </xf>
    <xf numFmtId="0" fontId="15" fillId="0" borderId="0" xfId="0" applyFont="1"/>
    <xf numFmtId="0" fontId="16" fillId="0" borderId="0" xfId="0" applyFont="1"/>
    <xf numFmtId="166" fontId="15" fillId="0" borderId="0" xfId="1" applyNumberFormat="1" applyFont="1" applyAlignment="1">
      <alignment horizontal="center"/>
    </xf>
    <xf numFmtId="0" fontId="15" fillId="0" borderId="0" xfId="0" applyFont="1" applyAlignment="1">
      <alignment horizontal="center"/>
    </xf>
    <xf numFmtId="0" fontId="16" fillId="0" borderId="3" xfId="0" applyFont="1" applyBorder="1"/>
    <xf numFmtId="0" fontId="15" fillId="0" borderId="3" xfId="0" applyFont="1" applyBorder="1"/>
    <xf numFmtId="166" fontId="6" fillId="0" borderId="3" xfId="1" applyNumberFormat="1" applyFont="1" applyBorder="1" applyAlignment="1">
      <alignment horizontal="center"/>
    </xf>
    <xf numFmtId="9" fontId="16" fillId="0" borderId="0" xfId="3" applyFont="1" applyAlignment="1">
      <alignment horizontal="center"/>
    </xf>
    <xf numFmtId="165" fontId="3" fillId="0" borderId="3" xfId="1" applyNumberFormat="1" applyFont="1" applyBorder="1" applyAlignment="1">
      <alignment horizontal="center"/>
    </xf>
    <xf numFmtId="164" fontId="6" fillId="0" borderId="3" xfId="3" applyNumberFormat="1" applyFont="1" applyBorder="1" applyAlignment="1">
      <alignment horizontal="right"/>
    </xf>
    <xf numFmtId="166" fontId="15" fillId="0" borderId="3" xfId="1" applyNumberFormat="1" applyFont="1" applyBorder="1"/>
    <xf numFmtId="165" fontId="15" fillId="0" borderId="3" xfId="1" applyNumberFormat="1" applyFont="1" applyBorder="1"/>
    <xf numFmtId="164" fontId="15" fillId="0" borderId="3" xfId="3" applyNumberFormat="1" applyFont="1" applyBorder="1" applyAlignment="1">
      <alignment horizontal="right"/>
    </xf>
    <xf numFmtId="0" fontId="16" fillId="0" borderId="4" xfId="0" applyFont="1" applyBorder="1"/>
    <xf numFmtId="0" fontId="15" fillId="0" borderId="5" xfId="0" applyFont="1" applyBorder="1"/>
    <xf numFmtId="166" fontId="3" fillId="0" borderId="3" xfId="1" applyNumberFormat="1" applyFont="1" applyBorder="1" applyAlignment="1">
      <alignment horizontal="center"/>
    </xf>
    <xf numFmtId="0" fontId="16" fillId="0" borderId="3" xfId="0" quotePrefix="1" applyFont="1" applyBorder="1"/>
    <xf numFmtId="14" fontId="3" fillId="0" borderId="3" xfId="4" applyNumberFormat="1" applyFont="1" applyBorder="1"/>
    <xf numFmtId="0" fontId="3" fillId="0" borderId="3" xfId="4" quotePrefix="1" applyFont="1" applyBorder="1"/>
    <xf numFmtId="164" fontId="6" fillId="0" borderId="0" xfId="3" applyNumberFormat="1" applyFont="1" applyAlignment="1">
      <alignment horizontal="right"/>
    </xf>
    <xf numFmtId="0" fontId="14" fillId="0" borderId="1" xfId="4" applyFont="1" applyBorder="1" applyAlignment="1">
      <alignment horizontal="center"/>
    </xf>
    <xf numFmtId="0" fontId="17" fillId="0" borderId="0" xfId="0" applyFont="1"/>
    <xf numFmtId="0" fontId="16" fillId="0" borderId="0" xfId="0" quotePrefix="1" applyFont="1"/>
    <xf numFmtId="14" fontId="4" fillId="0" borderId="0" xfId="4" applyNumberFormat="1" applyFont="1"/>
    <xf numFmtId="0" fontId="4" fillId="0" borderId="6" xfId="4" applyFont="1" applyBorder="1"/>
    <xf numFmtId="0" fontId="3" fillId="0" borderId="7" xfId="4" applyFont="1" applyBorder="1"/>
    <xf numFmtId="0" fontId="11" fillId="0" borderId="6" xfId="4" applyFont="1" applyBorder="1"/>
    <xf numFmtId="0" fontId="11" fillId="0" borderId="7" xfId="4" applyFont="1" applyBorder="1"/>
    <xf numFmtId="0" fontId="4" fillId="0" borderId="0" xfId="4" applyFont="1" applyAlignment="1">
      <alignment horizontal="center"/>
    </xf>
    <xf numFmtId="0" fontId="4" fillId="0" borderId="0" xfId="4" applyFont="1" applyAlignment="1">
      <alignment horizontal="left"/>
    </xf>
    <xf numFmtId="0" fontId="3" fillId="0" borderId="0" xfId="4" applyFont="1" applyAlignment="1">
      <alignment horizontal="left"/>
    </xf>
    <xf numFmtId="0" fontId="3" fillId="0" borderId="0" xfId="4" applyFont="1" applyAlignment="1">
      <alignment horizontal="right"/>
    </xf>
    <xf numFmtId="166" fontId="3" fillId="0" borderId="0" xfId="1" applyNumberFormat="1" applyFont="1" applyAlignment="1">
      <alignment horizontal="center"/>
    </xf>
    <xf numFmtId="14" fontId="3" fillId="0" borderId="1" xfId="4" applyNumberFormat="1" applyFont="1" applyBorder="1"/>
    <xf numFmtId="0" fontId="3" fillId="0" borderId="1" xfId="4" quotePrefix="1" applyFont="1" applyBorder="1"/>
    <xf numFmtId="0" fontId="4" fillId="0" borderId="1" xfId="4" quotePrefix="1" applyFont="1" applyBorder="1"/>
    <xf numFmtId="0" fontId="3" fillId="0" borderId="3" xfId="4" applyFont="1" applyBorder="1"/>
    <xf numFmtId="9" fontId="6" fillId="0" borderId="0" xfId="4" applyNumberFormat="1" applyFont="1" applyAlignment="1">
      <alignment horizontal="center"/>
    </xf>
    <xf numFmtId="9" fontId="14" fillId="0" borderId="0" xfId="4" applyNumberFormat="1" applyFont="1" applyAlignment="1">
      <alignment horizontal="center"/>
    </xf>
    <xf numFmtId="9" fontId="18" fillId="0" borderId="0" xfId="1" applyNumberFormat="1" applyFont="1" applyAlignment="1">
      <alignment horizontal="center"/>
    </xf>
    <xf numFmtId="9" fontId="6" fillId="0" borderId="3" xfId="1" applyNumberFormat="1" applyFont="1" applyBorder="1" applyAlignment="1">
      <alignment horizontal="center"/>
    </xf>
    <xf numFmtId="9" fontId="6" fillId="0" borderId="0" xfId="1" applyNumberFormat="1" applyFont="1" applyAlignment="1">
      <alignment horizontal="center"/>
    </xf>
    <xf numFmtId="9" fontId="18" fillId="0" borderId="0" xfId="2" applyNumberFormat="1" applyFont="1" applyAlignment="1">
      <alignment horizontal="center"/>
    </xf>
    <xf numFmtId="9" fontId="6" fillId="0" borderId="3" xfId="4" applyNumberFormat="1" applyFont="1" applyBorder="1" applyAlignment="1">
      <alignment horizontal="center"/>
    </xf>
    <xf numFmtId="9" fontId="6" fillId="0" borderId="0" xfId="0" applyNumberFormat="1" applyFont="1" applyAlignment="1">
      <alignment horizontal="center"/>
    </xf>
    <xf numFmtId="9" fontId="6" fillId="0" borderId="0" xfId="2" applyNumberFormat="1" applyFont="1" applyAlignment="1">
      <alignment horizontal="center"/>
    </xf>
    <xf numFmtId="9" fontId="11" fillId="0" borderId="1" xfId="4" applyNumberFormat="1" applyFont="1" applyBorder="1" applyAlignment="1">
      <alignment horizontal="center"/>
    </xf>
    <xf numFmtId="9" fontId="3" fillId="0" borderId="0" xfId="4" applyNumberFormat="1" applyFont="1" applyAlignment="1">
      <alignment horizontal="center"/>
    </xf>
    <xf numFmtId="9" fontId="4" fillId="0" borderId="0" xfId="4" applyNumberFormat="1" applyFont="1" applyAlignment="1">
      <alignment horizontal="right"/>
    </xf>
    <xf numFmtId="9" fontId="18" fillId="0" borderId="0" xfId="4" applyNumberFormat="1" applyFont="1" applyAlignment="1">
      <alignment horizontal="center"/>
    </xf>
    <xf numFmtId="10" fontId="3" fillId="0" borderId="0" xfId="4" applyNumberFormat="1" applyFont="1" applyAlignment="1">
      <alignment horizontal="center"/>
    </xf>
    <xf numFmtId="164" fontId="6" fillId="0" borderId="3" xfId="1" applyNumberFormat="1" applyFont="1" applyBorder="1" applyAlignment="1">
      <alignment horizontal="center"/>
    </xf>
    <xf numFmtId="9" fontId="6" fillId="0" borderId="3" xfId="3" applyFont="1" applyBorder="1" applyAlignment="1">
      <alignment horizontal="center"/>
    </xf>
    <xf numFmtId="9" fontId="19" fillId="0" borderId="3" xfId="3" applyFont="1" applyBorder="1" applyAlignment="1">
      <alignment horizontal="center"/>
    </xf>
    <xf numFmtId="164" fontId="19" fillId="0" borderId="3" xfId="3" applyNumberFormat="1" applyFont="1" applyBorder="1" applyAlignment="1">
      <alignment horizontal="center"/>
    </xf>
    <xf numFmtId="9" fontId="3" fillId="0" borderId="3" xfId="3" applyFont="1" applyBorder="1" applyAlignment="1">
      <alignment horizontal="center"/>
    </xf>
    <xf numFmtId="164" fontId="6" fillId="0" borderId="3" xfId="3" applyNumberFormat="1" applyFont="1" applyBorder="1" applyAlignment="1">
      <alignment horizontal="center"/>
    </xf>
    <xf numFmtId="164" fontId="3" fillId="0" borderId="3" xfId="3" applyNumberFormat="1" applyFont="1" applyBorder="1" applyAlignment="1">
      <alignment horizontal="center"/>
    </xf>
    <xf numFmtId="9" fontId="6" fillId="0" borderId="0" xfId="3" applyFont="1" applyAlignment="1">
      <alignment horizontal="center"/>
    </xf>
    <xf numFmtId="164" fontId="6" fillId="0" borderId="0" xfId="1" applyNumberFormat="1" applyFont="1" applyAlignment="1">
      <alignment horizontal="center"/>
    </xf>
    <xf numFmtId="10" fontId="6" fillId="0" borderId="0" xfId="1" applyNumberFormat="1" applyFont="1" applyAlignment="1">
      <alignment horizontal="center"/>
    </xf>
    <xf numFmtId="164" fontId="6" fillId="0" borderId="0" xfId="3" applyNumberFormat="1" applyFont="1" applyAlignment="1">
      <alignment horizontal="center"/>
    </xf>
    <xf numFmtId="9" fontId="18" fillId="0" borderId="0" xfId="4" applyNumberFormat="1" applyFont="1" applyAlignment="1">
      <alignment horizontal="left"/>
    </xf>
    <xf numFmtId="9" fontId="3" fillId="0" borderId="0" xfId="3" applyFont="1" applyAlignment="1">
      <alignment horizontal="center"/>
    </xf>
    <xf numFmtId="9" fontId="3" fillId="0" borderId="0" xfId="1" applyNumberFormat="1" applyFont="1" applyAlignment="1">
      <alignment horizontal="center"/>
    </xf>
    <xf numFmtId="9" fontId="4" fillId="0" borderId="0" xfId="2" applyNumberFormat="1" applyFont="1" applyAlignment="1">
      <alignment horizontal="center"/>
    </xf>
    <xf numFmtId="9" fontId="3" fillId="0" borderId="3" xfId="1" applyNumberFormat="1" applyFont="1" applyBorder="1" applyAlignment="1">
      <alignment horizontal="center"/>
    </xf>
    <xf numFmtId="49" fontId="3" fillId="0" borderId="7" xfId="4" applyNumberFormat="1" applyFont="1" applyBorder="1"/>
    <xf numFmtId="0" fontId="6" fillId="0" borderId="3" xfId="0" quotePrefix="1" applyFont="1" applyBorder="1"/>
    <xf numFmtId="0" fontId="6" fillId="0" borderId="3" xfId="0" applyFont="1" applyBorder="1"/>
    <xf numFmtId="14" fontId="6" fillId="0" borderId="3" xfId="4" applyNumberFormat="1" applyFont="1" applyBorder="1"/>
    <xf numFmtId="0" fontId="6" fillId="0" borderId="3" xfId="4" quotePrefix="1" applyFont="1" applyBorder="1"/>
    <xf numFmtId="0" fontId="6" fillId="0" borderId="3" xfId="4" applyFont="1" applyBorder="1"/>
    <xf numFmtId="49" fontId="6" fillId="0" borderId="3" xfId="4" applyNumberFormat="1" applyFont="1" applyBorder="1"/>
    <xf numFmtId="14" fontId="3" fillId="0" borderId="3" xfId="4" quotePrefix="1" applyNumberFormat="1" applyFont="1" applyBorder="1"/>
    <xf numFmtId="0" fontId="3" fillId="2" borderId="3" xfId="0" applyFont="1" applyFill="1" applyBorder="1" applyAlignment="1">
      <alignment horizontal="left"/>
    </xf>
    <xf numFmtId="49" fontId="3" fillId="0" borderId="3" xfId="4" quotePrefix="1" applyNumberFormat="1" applyFont="1" applyBorder="1"/>
    <xf numFmtId="49" fontId="11" fillId="0" borderId="3" xfId="4" applyNumberFormat="1" applyFont="1" applyBorder="1"/>
    <xf numFmtId="43" fontId="3" fillId="0" borderId="3" xfId="1" applyFont="1" applyBorder="1" applyAlignment="1">
      <alignment horizontal="left"/>
    </xf>
    <xf numFmtId="0" fontId="3" fillId="0" borderId="6" xfId="4" applyFont="1" applyBorder="1"/>
    <xf numFmtId="0" fontId="3" fillId="0" borderId="7" xfId="4" applyFont="1" applyBorder="1" applyAlignment="1">
      <alignment horizontal="right"/>
    </xf>
    <xf numFmtId="6" fontId="3" fillId="0" borderId="7" xfId="4" applyNumberFormat="1" applyFont="1" applyBorder="1" applyAlignment="1">
      <alignment horizontal="center"/>
    </xf>
    <xf numFmtId="6" fontId="3" fillId="0" borderId="8" xfId="4" applyNumberFormat="1" applyFont="1" applyBorder="1" applyAlignment="1">
      <alignment horizontal="center"/>
    </xf>
    <xf numFmtId="167" fontId="6" fillId="0" borderId="0" xfId="2" applyNumberFormat="1" applyFont="1" applyAlignment="1">
      <alignment horizontal="center"/>
    </xf>
    <xf numFmtId="6" fontId="4" fillId="0" borderId="7" xfId="4" applyNumberFormat="1" applyFont="1" applyBorder="1" applyAlignment="1">
      <alignment horizontal="center"/>
    </xf>
    <xf numFmtId="6" fontId="4" fillId="0" borderId="8" xfId="4" applyNumberFormat="1" applyFont="1" applyBorder="1" applyAlignment="1">
      <alignment horizontal="center"/>
    </xf>
    <xf numFmtId="6" fontId="6" fillId="0" borderId="0" xfId="4" applyNumberFormat="1" applyFont="1" applyAlignment="1">
      <alignment horizontal="center"/>
    </xf>
    <xf numFmtId="0" fontId="20" fillId="0" borderId="0" xfId="4" applyFont="1" applyAlignment="1">
      <alignment horizontal="left"/>
    </xf>
    <xf numFmtId="6" fontId="3" fillId="0" borderId="6" xfId="4" applyNumberFormat="1" applyFont="1" applyBorder="1" applyAlignment="1">
      <alignment horizontal="center"/>
    </xf>
    <xf numFmtId="0" fontId="14" fillId="0" borderId="0" xfId="0" applyFont="1"/>
    <xf numFmtId="166" fontId="6" fillId="0" borderId="0" xfId="1" applyNumberFormat="1" applyFont="1" applyAlignment="1">
      <alignment horizontal="left"/>
    </xf>
    <xf numFmtId="0" fontId="6" fillId="0" borderId="3" xfId="0" quotePrefix="1" applyFont="1" applyBorder="1" applyAlignment="1">
      <alignment horizontal="left"/>
    </xf>
    <xf numFmtId="14" fontId="6" fillId="0" borderId="3" xfId="4" quotePrefix="1" applyNumberFormat="1" applyFont="1" applyBorder="1"/>
    <xf numFmtId="0" fontId="21" fillId="0" borderId="0" xfId="5" quotePrefix="1"/>
    <xf numFmtId="0" fontId="21" fillId="0" borderId="0" xfId="5"/>
    <xf numFmtId="0" fontId="2" fillId="0" borderId="0" xfId="5" quotePrefix="1" applyFont="1"/>
    <xf numFmtId="0" fontId="23" fillId="0" borderId="0" xfId="5" quotePrefix="1" applyFont="1"/>
    <xf numFmtId="0" fontId="23" fillId="0" borderId="0" xfId="5" applyFont="1"/>
    <xf numFmtId="10" fontId="21" fillId="0" borderId="0" xfId="3" applyNumberFormat="1" applyFont="1"/>
    <xf numFmtId="10" fontId="24" fillId="0" borderId="0" xfId="3" applyNumberFormat="1" applyFont="1"/>
    <xf numFmtId="10" fontId="2" fillId="0" borderId="0" xfId="3" applyNumberFormat="1" applyFont="1"/>
    <xf numFmtId="0" fontId="25" fillId="0" borderId="0" xfId="5" applyFont="1"/>
    <xf numFmtId="43" fontId="22" fillId="0" borderId="0" xfId="1" quotePrefix="1" applyFont="1"/>
    <xf numFmtId="43" fontId="21" fillId="0" borderId="0" xfId="1" quotePrefix="1" applyFont="1"/>
    <xf numFmtId="0" fontId="3" fillId="0" borderId="2" xfId="4" applyFont="1" applyBorder="1" applyAlignment="1">
      <alignment horizontal="center"/>
    </xf>
    <xf numFmtId="166" fontId="5" fillId="0" borderId="3" xfId="1" applyNumberFormat="1" applyFont="1" applyBorder="1" applyAlignment="1">
      <alignment horizontal="center"/>
    </xf>
    <xf numFmtId="167" fontId="4" fillId="0" borderId="0" xfId="2" applyNumberFormat="1" applyFont="1" applyAlignment="1">
      <alignment horizontal="center"/>
    </xf>
    <xf numFmtId="0" fontId="4" fillId="0" borderId="2" xfId="4" applyFont="1" applyBorder="1" applyAlignment="1">
      <alignment horizontal="left"/>
    </xf>
    <xf numFmtId="166" fontId="6" fillId="0" borderId="0" xfId="1" applyNumberFormat="1" applyFont="1" applyAlignment="1">
      <alignment horizontal="center"/>
    </xf>
    <xf numFmtId="0" fontId="6" fillId="0" borderId="2" xfId="4" applyFont="1" applyBorder="1" applyAlignment="1">
      <alignment horizontal="left"/>
    </xf>
    <xf numFmtId="167" fontId="3" fillId="0" borderId="0" xfId="4" applyNumberFormat="1" applyFont="1" applyAlignment="1">
      <alignment horizontal="center"/>
    </xf>
    <xf numFmtId="167" fontId="5" fillId="0" borderId="0" xfId="0" applyNumberFormat="1" applyFont="1" applyAlignment="1">
      <alignment horizontal="center"/>
    </xf>
    <xf numFmtId="167" fontId="3" fillId="0" borderId="1" xfId="4" applyNumberFormat="1" applyFont="1" applyBorder="1" applyAlignment="1">
      <alignment horizontal="center"/>
    </xf>
    <xf numFmtId="9" fontId="6" fillId="0" borderId="0" xfId="4" applyNumberFormat="1" applyFont="1" applyAlignment="1">
      <alignment horizontal="left"/>
    </xf>
    <xf numFmtId="10" fontId="3" fillId="0" borderId="0" xfId="4" applyNumberFormat="1" applyFont="1"/>
    <xf numFmtId="166" fontId="11" fillId="0" borderId="0" xfId="4" applyNumberFormat="1" applyFont="1" applyAlignment="1">
      <alignment horizontal="center"/>
    </xf>
    <xf numFmtId="166" fontId="3" fillId="0" borderId="1" xfId="2" applyNumberFormat="1" applyFont="1" applyBorder="1" applyAlignment="1">
      <alignment horizontal="center"/>
    </xf>
    <xf numFmtId="166" fontId="3" fillId="0" borderId="0" xfId="4" applyNumberFormat="1" applyFont="1" applyAlignment="1">
      <alignment horizontal="center"/>
    </xf>
    <xf numFmtId="164" fontId="6" fillId="0" borderId="0" xfId="3" applyNumberFormat="1" applyFont="1"/>
    <xf numFmtId="0" fontId="6" fillId="0" borderId="0" xfId="0" quotePrefix="1" applyFont="1"/>
    <xf numFmtId="167" fontId="4" fillId="0" borderId="9" xfId="2" applyNumberFormat="1" applyFont="1" applyBorder="1" applyAlignment="1">
      <alignment horizontal="center"/>
    </xf>
    <xf numFmtId="167" fontId="4" fillId="0" borderId="0" xfId="3" applyNumberFormat="1" applyFont="1" applyAlignment="1">
      <alignment horizontal="center"/>
    </xf>
    <xf numFmtId="166" fontId="3" fillId="0" borderId="1" xfId="1" applyNumberFormat="1" applyFont="1" applyBorder="1" applyAlignment="1">
      <alignment horizontal="center"/>
    </xf>
    <xf numFmtId="166" fontId="5" fillId="0" borderId="0" xfId="0" applyNumberFormat="1" applyFont="1" applyAlignment="1">
      <alignment horizontal="center"/>
    </xf>
    <xf numFmtId="166" fontId="3" fillId="0" borderId="1" xfId="4" applyNumberFormat="1" applyFont="1" applyBorder="1" applyAlignment="1">
      <alignment horizontal="center"/>
    </xf>
    <xf numFmtId="166" fontId="3" fillId="0" borderId="0" xfId="2" applyNumberFormat="1" applyFont="1" applyAlignment="1">
      <alignment horizontal="center"/>
    </xf>
    <xf numFmtId="166" fontId="3" fillId="0" borderId="3" xfId="1" applyNumberFormat="1" applyFont="1" applyBorder="1" applyAlignment="1">
      <alignment horizontal="right"/>
    </xf>
    <xf numFmtId="166" fontId="18" fillId="0" borderId="3" xfId="1" applyNumberFormat="1" applyFont="1" applyBorder="1" applyAlignment="1">
      <alignment horizontal="right"/>
    </xf>
    <xf numFmtId="166" fontId="5" fillId="0" borderId="3" xfId="1" applyNumberFormat="1" applyFont="1" applyBorder="1" applyAlignment="1">
      <alignment horizontal="right"/>
    </xf>
    <xf numFmtId="0" fontId="5" fillId="0" borderId="1" xfId="0" applyFont="1" applyBorder="1" applyAlignment="1">
      <alignment horizontal="center"/>
    </xf>
    <xf numFmtId="49" fontId="6" fillId="0" borderId="3" xfId="4" quotePrefix="1" applyNumberFormat="1" applyFont="1" applyBorder="1"/>
    <xf numFmtId="0" fontId="0" fillId="0" borderId="0" xfId="0" quotePrefix="1"/>
    <xf numFmtId="0" fontId="2" fillId="0" borderId="0" xfId="0" applyFont="1"/>
    <xf numFmtId="0" fontId="2" fillId="0" borderId="0" xfId="0" quotePrefix="1" applyFont="1"/>
    <xf numFmtId="0" fontId="2" fillId="0" borderId="0" xfId="0" applyFont="1" applyAlignment="1">
      <alignment wrapText="1"/>
    </xf>
    <xf numFmtId="0" fontId="0" fillId="0" borderId="0" xfId="0" applyAlignment="1">
      <alignment wrapText="1"/>
    </xf>
    <xf numFmtId="10" fontId="0" fillId="0" borderId="0" xfId="0" applyNumberFormat="1" applyAlignment="1">
      <alignment horizontal="left" wrapText="1"/>
    </xf>
    <xf numFmtId="10" fontId="0" fillId="0" borderId="0" xfId="0" applyNumberFormat="1" applyAlignment="1">
      <alignment wrapText="1"/>
    </xf>
    <xf numFmtId="0" fontId="2" fillId="0" borderId="0" xfId="0" quotePrefix="1" applyFont="1" applyAlignment="1">
      <alignment horizontal="left"/>
    </xf>
    <xf numFmtId="0" fontId="26" fillId="0" borderId="0" xfId="0" quotePrefix="1" applyFont="1"/>
    <xf numFmtId="0" fontId="27" fillId="0" borderId="0" xfId="0" applyFont="1" applyAlignment="1">
      <alignment horizontal="left" vertical="center" wrapText="1"/>
    </xf>
    <xf numFmtId="0" fontId="28" fillId="0" borderId="0" xfId="0" applyFont="1" applyAlignment="1">
      <alignment horizontal="center"/>
    </xf>
    <xf numFmtId="0" fontId="28" fillId="0" borderId="0" xfId="0" applyFont="1"/>
    <xf numFmtId="0" fontId="29" fillId="0" borderId="0" xfId="0" applyFont="1"/>
    <xf numFmtId="0" fontId="2" fillId="0" borderId="0" xfId="5" applyFont="1"/>
    <xf numFmtId="43" fontId="6" fillId="0" borderId="3" xfId="1" applyFont="1" applyBorder="1" applyAlignment="1">
      <alignment horizontal="center"/>
    </xf>
    <xf numFmtId="9" fontId="30" fillId="0" borderId="0" xfId="3" applyFont="1" applyAlignment="1">
      <alignment horizontal="center"/>
    </xf>
    <xf numFmtId="164" fontId="18" fillId="0" borderId="0" xfId="1" applyNumberFormat="1" applyFont="1" applyAlignment="1">
      <alignment horizontal="center"/>
    </xf>
    <xf numFmtId="43" fontId="3" fillId="0" borderId="0" xfId="4" applyNumberFormat="1" applyFont="1" applyAlignment="1">
      <alignment horizontal="center"/>
    </xf>
    <xf numFmtId="167" fontId="11" fillId="0" borderId="7" xfId="4" applyNumberFormat="1" applyFont="1" applyBorder="1" applyAlignment="1">
      <alignment horizontal="center"/>
    </xf>
    <xf numFmtId="10" fontId="6" fillId="0" borderId="3" xfId="3" applyNumberFormat="1" applyFont="1" applyBorder="1" applyAlignment="1">
      <alignment horizontal="center"/>
    </xf>
    <xf numFmtId="10" fontId="5" fillId="0" borderId="3" xfId="3" applyNumberFormat="1" applyFont="1" applyBorder="1" applyAlignment="1">
      <alignment horizontal="center"/>
    </xf>
    <xf numFmtId="0" fontId="0" fillId="0" borderId="0" xfId="0" quotePrefix="1" applyAlignment="1">
      <alignment wrapText="1"/>
    </xf>
    <xf numFmtId="167" fontId="6" fillId="0" borderId="0" xfId="2" applyNumberFormat="1" applyFont="1" applyAlignment="1">
      <alignment horizontal="left"/>
    </xf>
    <xf numFmtId="9" fontId="5" fillId="3" borderId="0" xfId="4" applyNumberFormat="1" applyFont="1" applyFill="1" applyAlignment="1">
      <alignment horizontal="center"/>
    </xf>
    <xf numFmtId="0" fontId="6" fillId="0" borderId="0" xfId="4" applyFont="1" applyAlignment="1">
      <alignment horizontal="left"/>
    </xf>
    <xf numFmtId="0" fontId="0" fillId="0" borderId="0" xfId="0" applyAlignment="1">
      <alignment horizontal="center"/>
    </xf>
    <xf numFmtId="44" fontId="0" fillId="0" borderId="0" xfId="0" applyNumberFormat="1" applyAlignment="1">
      <alignment horizontal="center"/>
    </xf>
    <xf numFmtId="2" fontId="0" fillId="0" borderId="0" xfId="0" applyNumberFormat="1" applyAlignment="1">
      <alignment horizontal="center"/>
    </xf>
    <xf numFmtId="6" fontId="0" fillId="0" borderId="0" xfId="0" applyNumberFormat="1" applyAlignment="1">
      <alignment horizontal="center"/>
    </xf>
    <xf numFmtId="10" fontId="3" fillId="0" borderId="0" xfId="3" applyNumberFormat="1" applyFont="1" applyAlignment="1">
      <alignment horizontal="center"/>
    </xf>
    <xf numFmtId="10" fontId="11" fillId="0" borderId="0" xfId="3" applyNumberFormat="1" applyFont="1" applyAlignment="1">
      <alignment horizontal="center"/>
    </xf>
    <xf numFmtId="0" fontId="47" fillId="0" borderId="0" xfId="0" applyFont="1" applyAlignment="1">
      <alignment horizontal="center" wrapText="1"/>
    </xf>
    <xf numFmtId="164" fontId="4" fillId="0" borderId="0" xfId="3" applyNumberFormat="1" applyFont="1" applyAlignment="1">
      <alignment horizontal="right"/>
    </xf>
    <xf numFmtId="0" fontId="14" fillId="0" borderId="1" xfId="4" applyFont="1" applyBorder="1" applyAlignment="1">
      <alignment horizontal="center" wrapText="1"/>
    </xf>
    <xf numFmtId="0" fontId="48" fillId="0" borderId="0" xfId="4" applyFont="1" applyAlignment="1">
      <alignment horizontal="right"/>
    </xf>
    <xf numFmtId="43" fontId="48" fillId="0" borderId="0" xfId="4" applyNumberFormat="1" applyFont="1" applyAlignment="1">
      <alignment horizontal="center"/>
    </xf>
    <xf numFmtId="43" fontId="48" fillId="0" borderId="1" xfId="4" applyNumberFormat="1" applyFont="1" applyBorder="1" applyAlignment="1">
      <alignment horizontal="center"/>
    </xf>
    <xf numFmtId="0" fontId="48" fillId="0" borderId="0" xfId="4" applyFont="1"/>
    <xf numFmtId="0" fontId="1" fillId="0" borderId="0" xfId="297"/>
    <xf numFmtId="168" fontId="52" fillId="0" borderId="20" xfId="300" applyNumberFormat="1" applyFont="1" applyBorder="1" applyAlignment="1">
      <alignment horizontal="left" vertical="top"/>
    </xf>
    <xf numFmtId="168" fontId="52" fillId="0" borderId="20" xfId="300" applyNumberFormat="1" applyFont="1" applyBorder="1" applyAlignment="1">
      <alignment horizontal="right" vertical="top"/>
    </xf>
    <xf numFmtId="43" fontId="54" fillId="37" borderId="19" xfId="299" applyFont="1" applyFill="1" applyBorder="1" applyAlignment="1">
      <alignment vertical="top"/>
    </xf>
    <xf numFmtId="43" fontId="54" fillId="0" borderId="19" xfId="299" applyFont="1" applyBorder="1" applyAlignment="1">
      <alignment vertical="top"/>
    </xf>
    <xf numFmtId="169" fontId="52" fillId="0" borderId="20" xfId="300" applyNumberFormat="1" applyFont="1" applyBorder="1" applyAlignment="1">
      <alignment horizontal="right" vertical="top"/>
    </xf>
    <xf numFmtId="168" fontId="52" fillId="0" borderId="20" xfId="297" applyNumberFormat="1" applyFont="1" applyBorder="1" applyAlignment="1">
      <alignment horizontal="right" vertical="top"/>
    </xf>
    <xf numFmtId="0" fontId="52" fillId="37" borderId="21" xfId="297" applyFont="1" applyFill="1" applyBorder="1" applyAlignment="1">
      <alignment horizontal="left" vertical="top"/>
    </xf>
    <xf numFmtId="0" fontId="52" fillId="37" borderId="21" xfId="297" applyFont="1" applyFill="1" applyBorder="1" applyAlignment="1">
      <alignment horizontal="center" vertical="top"/>
    </xf>
    <xf numFmtId="165" fontId="52" fillId="37" borderId="21" xfId="299" applyNumberFormat="1" applyFont="1" applyFill="1" applyBorder="1" applyAlignment="1">
      <alignment horizontal="left" vertical="top"/>
    </xf>
    <xf numFmtId="43" fontId="52" fillId="37" borderId="21" xfId="299" applyFont="1" applyFill="1" applyBorder="1" applyAlignment="1">
      <alignment horizontal="left" vertical="top"/>
    </xf>
    <xf numFmtId="43" fontId="52" fillId="0" borderId="0" xfId="298" applyFont="1" applyAlignment="1">
      <alignment horizontal="left" vertical="top"/>
    </xf>
    <xf numFmtId="166" fontId="52" fillId="0" borderId="0" xfId="299" applyNumberFormat="1" applyFont="1" applyAlignment="1">
      <alignment horizontal="left" vertical="top"/>
    </xf>
    <xf numFmtId="43" fontId="52" fillId="0" borderId="0" xfId="299" applyFont="1" applyAlignment="1">
      <alignment horizontal="left" vertical="top"/>
    </xf>
    <xf numFmtId="0" fontId="52" fillId="0" borderId="22" xfId="297" applyFont="1" applyBorder="1" applyAlignment="1">
      <alignment horizontal="left" vertical="top"/>
    </xf>
    <xf numFmtId="0" fontId="52" fillId="0" borderId="23" xfId="297" applyFont="1" applyBorder="1" applyAlignment="1">
      <alignment horizontal="left" vertical="top"/>
    </xf>
    <xf numFmtId="43" fontId="52" fillId="0" borderId="24" xfId="299" applyFont="1" applyBorder="1" applyAlignment="1">
      <alignment horizontal="left" vertical="top"/>
    </xf>
    <xf numFmtId="0" fontId="52" fillId="0" borderId="25" xfId="297" applyFont="1" applyBorder="1" applyAlignment="1">
      <alignment horizontal="center" vertical="top"/>
    </xf>
    <xf numFmtId="43" fontId="52" fillId="0" borderId="26" xfId="299" applyFont="1" applyBorder="1" applyAlignment="1">
      <alignment horizontal="left" vertical="top"/>
    </xf>
    <xf numFmtId="43" fontId="52" fillId="0" borderId="21" xfId="297" applyNumberFormat="1" applyFont="1" applyBorder="1" applyAlignment="1">
      <alignment horizontal="left" vertical="top"/>
    </xf>
    <xf numFmtId="170" fontId="52" fillId="0" borderId="0" xfId="304" applyNumberFormat="1" applyFont="1" applyAlignment="1">
      <alignment horizontal="left" vertical="top"/>
    </xf>
    <xf numFmtId="0" fontId="1" fillId="0" borderId="0" xfId="297" applyAlignment="1">
      <alignment horizontal="center"/>
    </xf>
    <xf numFmtId="0" fontId="52" fillId="0" borderId="25" xfId="297" applyFont="1" applyBorder="1" applyAlignment="1">
      <alignment horizontal="left" vertical="top"/>
    </xf>
    <xf numFmtId="0" fontId="1" fillId="0" borderId="25" xfId="297" applyBorder="1"/>
    <xf numFmtId="0" fontId="1" fillId="0" borderId="26" xfId="297" applyBorder="1"/>
    <xf numFmtId="43" fontId="1" fillId="0" borderId="0" xfId="297" applyNumberFormat="1"/>
    <xf numFmtId="166" fontId="1" fillId="0" borderId="0" xfId="297" applyNumberFormat="1"/>
    <xf numFmtId="0" fontId="1" fillId="0" borderId="27" xfId="297" applyBorder="1"/>
    <xf numFmtId="0" fontId="1" fillId="0" borderId="1" xfId="297" applyBorder="1"/>
    <xf numFmtId="0" fontId="1" fillId="0" borderId="28" xfId="297" applyBorder="1"/>
    <xf numFmtId="0" fontId="56" fillId="0" borderId="0" xfId="4" quotePrefix="1" applyFont="1"/>
    <xf numFmtId="49" fontId="48" fillId="0" borderId="0" xfId="4" applyNumberFormat="1" applyFont="1"/>
    <xf numFmtId="0" fontId="57" fillId="0" borderId="22" xfId="4" applyFont="1" applyBorder="1" applyAlignment="1">
      <alignment horizontal="right"/>
    </xf>
    <xf numFmtId="0" fontId="48" fillId="0" borderId="23" xfId="4" applyFont="1" applyBorder="1" applyAlignment="1">
      <alignment horizontal="center"/>
    </xf>
    <xf numFmtId="0" fontId="48" fillId="0" borderId="24" xfId="4" applyFont="1" applyBorder="1" applyAlignment="1">
      <alignment horizontal="center"/>
    </xf>
    <xf numFmtId="0" fontId="48" fillId="0" borderId="25" xfId="4" applyFont="1" applyBorder="1" applyAlignment="1">
      <alignment horizontal="right"/>
    </xf>
    <xf numFmtId="10" fontId="48" fillId="0" borderId="0" xfId="3" applyNumberFormat="1" applyFont="1" applyAlignment="1">
      <alignment horizontal="right"/>
    </xf>
    <xf numFmtId="0" fontId="48" fillId="0" borderId="27" xfId="4" applyFont="1" applyBorder="1" applyAlignment="1">
      <alignment horizontal="right"/>
    </xf>
    <xf numFmtId="0" fontId="48" fillId="0" borderId="1" xfId="4" applyFont="1" applyBorder="1" applyAlignment="1">
      <alignment horizontal="right"/>
    </xf>
    <xf numFmtId="9" fontId="52" fillId="0" borderId="0" xfId="3" applyFont="1" applyAlignment="1">
      <alignment horizontal="center" vertical="top"/>
    </xf>
    <xf numFmtId="9" fontId="52" fillId="0" borderId="26" xfId="3" applyFont="1" applyBorder="1" applyAlignment="1">
      <alignment horizontal="center" vertical="top"/>
    </xf>
    <xf numFmtId="9" fontId="4" fillId="0" borderId="0" xfId="3" applyFont="1" applyAlignment="1">
      <alignment horizontal="right"/>
    </xf>
    <xf numFmtId="10" fontId="6" fillId="0" borderId="3" xfId="3" applyNumberFormat="1" applyFont="1" applyBorder="1" applyAlignment="1">
      <alignment horizontal="right"/>
    </xf>
    <xf numFmtId="0" fontId="48" fillId="0" borderId="0" xfId="4" applyFont="1" applyAlignment="1">
      <alignment horizontal="center"/>
    </xf>
    <xf numFmtId="0" fontId="11" fillId="0" borderId="1" xfId="4" applyFont="1" applyBorder="1" applyAlignment="1">
      <alignment horizontal="center" wrapText="1"/>
    </xf>
    <xf numFmtId="43" fontId="5" fillId="0" borderId="3" xfId="1" applyFont="1" applyBorder="1" applyAlignment="1">
      <alignment horizontal="right"/>
    </xf>
    <xf numFmtId="43" fontId="3" fillId="0" borderId="3" xfId="1" applyFont="1" applyBorder="1" applyAlignment="1">
      <alignment horizontal="center"/>
    </xf>
    <xf numFmtId="0" fontId="59" fillId="0" borderId="0" xfId="4" applyFont="1"/>
    <xf numFmtId="49" fontId="59" fillId="0" borderId="3" xfId="4" quotePrefix="1" applyNumberFormat="1" applyFont="1" applyBorder="1"/>
    <xf numFmtId="0" fontId="59" fillId="2" borderId="3" xfId="0" applyFont="1" applyFill="1" applyBorder="1" applyAlignment="1">
      <alignment horizontal="right"/>
    </xf>
    <xf numFmtId="166" fontId="59" fillId="0" borderId="29" xfId="1" applyNumberFormat="1" applyFont="1" applyBorder="1" applyAlignment="1">
      <alignment horizontal="center"/>
    </xf>
    <xf numFmtId="164" fontId="59" fillId="0" borderId="29" xfId="3" applyNumberFormat="1" applyFont="1" applyBorder="1" applyAlignment="1">
      <alignment horizontal="center"/>
    </xf>
    <xf numFmtId="0" fontId="59" fillId="0" borderId="0" xfId="4" applyFont="1" applyAlignment="1">
      <alignment horizontal="center"/>
    </xf>
    <xf numFmtId="166" fontId="3" fillId="0" borderId="30" xfId="1" applyNumberFormat="1" applyFont="1" applyBorder="1" applyAlignment="1">
      <alignment horizontal="center"/>
    </xf>
    <xf numFmtId="164" fontId="58" fillId="0" borderId="3" xfId="3" applyNumberFormat="1" applyFont="1" applyBorder="1" applyAlignment="1">
      <alignment horizontal="center"/>
    </xf>
    <xf numFmtId="164" fontId="58" fillId="0" borderId="30" xfId="3" applyNumberFormat="1" applyFont="1" applyBorder="1" applyAlignment="1">
      <alignment horizontal="center"/>
    </xf>
    <xf numFmtId="1" fontId="3" fillId="0" borderId="3" xfId="3" applyNumberFormat="1" applyFont="1" applyBorder="1" applyAlignment="1">
      <alignment horizontal="center"/>
    </xf>
    <xf numFmtId="166" fontId="0" fillId="0" borderId="0" xfId="0" applyNumberFormat="1"/>
    <xf numFmtId="164" fontId="0" fillId="0" borderId="0" xfId="3" applyNumberFormat="1" applyFont="1"/>
    <xf numFmtId="44" fontId="3" fillId="0" borderId="3" xfId="1" applyNumberFormat="1" applyFont="1" applyBorder="1" applyAlignment="1">
      <alignment horizontal="center"/>
    </xf>
    <xf numFmtId="44" fontId="6" fillId="0" borderId="3" xfId="1" applyNumberFormat="1" applyFont="1" applyBorder="1" applyAlignment="1">
      <alignment horizontal="center"/>
    </xf>
    <xf numFmtId="44" fontId="6" fillId="0" borderId="0" xfId="3" applyNumberFormat="1" applyFont="1" applyAlignment="1">
      <alignment horizontal="right"/>
    </xf>
    <xf numFmtId="44" fontId="11" fillId="0" borderId="7" xfId="4" applyNumberFormat="1" applyFont="1" applyBorder="1" applyAlignment="1">
      <alignment horizontal="center"/>
    </xf>
    <xf numFmtId="44" fontId="11" fillId="0" borderId="8" xfId="4" applyNumberFormat="1" applyFont="1" applyBorder="1" applyAlignment="1">
      <alignment horizontal="center"/>
    </xf>
    <xf numFmtId="44" fontId="3" fillId="0" borderId="0" xfId="1" applyNumberFormat="1" applyFont="1" applyAlignment="1">
      <alignment horizontal="center"/>
    </xf>
    <xf numFmtId="44" fontId="3" fillId="0" borderId="0" xfId="4" applyNumberFormat="1" applyFont="1" applyAlignment="1">
      <alignment horizontal="center"/>
    </xf>
    <xf numFmtId="44" fontId="3" fillId="0" borderId="1" xfId="1" applyNumberFormat="1" applyFont="1" applyBorder="1" applyAlignment="1">
      <alignment horizontal="center"/>
    </xf>
    <xf numFmtId="44" fontId="5" fillId="0" borderId="0" xfId="0" applyNumberFormat="1" applyFont="1" applyAlignment="1">
      <alignment horizontal="center"/>
    </xf>
    <xf numFmtId="44" fontId="3" fillId="0" borderId="1" xfId="4" applyNumberFormat="1" applyFont="1" applyBorder="1" applyAlignment="1">
      <alignment horizontal="center"/>
    </xf>
    <xf numFmtId="44" fontId="3" fillId="0" borderId="0" xfId="2" applyFont="1" applyAlignment="1">
      <alignment horizontal="center"/>
    </xf>
    <xf numFmtId="44" fontId="3" fillId="0" borderId="1" xfId="2" applyFont="1" applyBorder="1" applyAlignment="1">
      <alignment horizontal="center"/>
    </xf>
    <xf numFmtId="0" fontId="60" fillId="0" borderId="0" xfId="4" applyFont="1" applyAlignment="1">
      <alignment horizontal="center"/>
    </xf>
    <xf numFmtId="43" fontId="4" fillId="0" borderId="0" xfId="2" applyNumberFormat="1" applyFont="1" applyAlignment="1">
      <alignment horizontal="center"/>
    </xf>
    <xf numFmtId="43" fontId="6" fillId="0" borderId="0" xfId="3" applyNumberFormat="1" applyFont="1" applyAlignment="1">
      <alignment horizontal="right"/>
    </xf>
    <xf numFmtId="43" fontId="11" fillId="0" borderId="8" xfId="4" applyNumberFormat="1" applyFont="1" applyBorder="1" applyAlignment="1">
      <alignment horizontal="center"/>
    </xf>
    <xf numFmtId="9" fontId="60" fillId="0" borderId="0" xfId="4" applyNumberFormat="1" applyFont="1" applyAlignment="1">
      <alignment horizontal="center"/>
    </xf>
    <xf numFmtId="10" fontId="60" fillId="0" borderId="0" xfId="3" applyNumberFormat="1" applyFont="1" applyAlignment="1">
      <alignment horizontal="center"/>
    </xf>
    <xf numFmtId="43" fontId="15" fillId="0" borderId="3" xfId="1" applyFont="1" applyBorder="1"/>
    <xf numFmtId="43" fontId="4" fillId="0" borderId="3" xfId="1" applyFont="1" applyBorder="1" applyAlignment="1">
      <alignment horizontal="center"/>
    </xf>
    <xf numFmtId="0" fontId="61" fillId="0" borderId="0" xfId="0" applyFont="1" applyAlignment="1">
      <alignment horizontal="center" wrapText="1"/>
    </xf>
    <xf numFmtId="0" fontId="62" fillId="0" borderId="0" xfId="0" applyFont="1" applyAlignment="1">
      <alignment horizontal="center"/>
    </xf>
    <xf numFmtId="43" fontId="48" fillId="0" borderId="0" xfId="1" applyFont="1" applyAlignment="1">
      <alignment horizontal="center"/>
    </xf>
    <xf numFmtId="0" fontId="63" fillId="0" borderId="0" xfId="4" quotePrefix="1" applyFont="1"/>
    <xf numFmtId="49" fontId="64" fillId="0" borderId="0" xfId="4" applyNumberFormat="1" applyFont="1"/>
    <xf numFmtId="0" fontId="64" fillId="0" borderId="0" xfId="4" applyFont="1"/>
    <xf numFmtId="166" fontId="64" fillId="0" borderId="0" xfId="4" applyNumberFormat="1" applyFont="1" applyAlignment="1">
      <alignment horizontal="center"/>
    </xf>
    <xf numFmtId="9" fontId="64" fillId="0" borderId="0" xfId="3" applyFont="1" applyAlignment="1">
      <alignment horizontal="center"/>
    </xf>
    <xf numFmtId="0" fontId="62" fillId="0" borderId="0" xfId="0" applyFont="1"/>
    <xf numFmtId="0" fontId="64" fillId="0" borderId="0" xfId="4" applyFont="1" applyAlignment="1">
      <alignment horizontal="center"/>
    </xf>
    <xf numFmtId="0" fontId="64" fillId="0" borderId="0" xfId="4" quotePrefix="1" applyFont="1"/>
    <xf numFmtId="166" fontId="64" fillId="0" borderId="0" xfId="1" applyNumberFormat="1" applyFont="1" applyAlignment="1">
      <alignment horizontal="center"/>
    </xf>
    <xf numFmtId="44" fontId="48" fillId="0" borderId="0" xfId="4" applyNumberFormat="1" applyFont="1" applyAlignment="1">
      <alignment horizontal="center"/>
    </xf>
    <xf numFmtId="0" fontId="56" fillId="0" borderId="0" xfId="4" applyFont="1"/>
    <xf numFmtId="164" fontId="4" fillId="0" borderId="0" xfId="3" applyNumberFormat="1" applyFont="1" applyAlignment="1">
      <alignment horizontal="center"/>
    </xf>
    <xf numFmtId="43" fontId="3" fillId="0" borderId="0" xfId="1" applyFont="1" applyAlignment="1">
      <alignment horizontal="center"/>
    </xf>
    <xf numFmtId="43" fontId="64" fillId="0" borderId="0" xfId="1" applyFont="1" applyAlignment="1">
      <alignment horizontal="center"/>
    </xf>
    <xf numFmtId="43" fontId="3" fillId="0" borderId="1" xfId="1" applyFont="1" applyBorder="1" applyAlignment="1">
      <alignment horizontal="center"/>
    </xf>
    <xf numFmtId="43" fontId="64" fillId="0" borderId="0" xfId="4" applyNumberFormat="1" applyFont="1" applyAlignment="1">
      <alignment horizontal="center"/>
    </xf>
    <xf numFmtId="43" fontId="3" fillId="0" borderId="1" xfId="4" applyNumberFormat="1" applyFont="1" applyBorder="1" applyAlignment="1">
      <alignment horizontal="center"/>
    </xf>
    <xf numFmtId="43" fontId="3" fillId="0" borderId="0" xfId="2" applyNumberFormat="1" applyFont="1" applyAlignment="1">
      <alignment horizontal="center"/>
    </xf>
    <xf numFmtId="43" fontId="3" fillId="0" borderId="1" xfId="2" applyNumberFormat="1" applyFont="1" applyBorder="1" applyAlignment="1">
      <alignment horizontal="center"/>
    </xf>
    <xf numFmtId="171" fontId="4" fillId="0" borderId="0" xfId="2" applyNumberFormat="1" applyFont="1" applyAlignment="1">
      <alignment horizontal="center"/>
    </xf>
    <xf numFmtId="0" fontId="3" fillId="0" borderId="0" xfId="4" quotePrefix="1" applyFont="1" applyAlignment="1">
      <alignment horizontal="center"/>
    </xf>
    <xf numFmtId="0" fontId="52" fillId="0" borderId="0" xfId="299" applyNumberFormat="1" applyFont="1" applyAlignment="1">
      <alignment horizontal="left" vertical="top"/>
    </xf>
    <xf numFmtId="0" fontId="65" fillId="38" borderId="0" xfId="0" applyFont="1" applyFill="1"/>
    <xf numFmtId="0" fontId="65" fillId="38" borderId="22" xfId="0" applyFont="1" applyFill="1" applyBorder="1"/>
    <xf numFmtId="0" fontId="65" fillId="38" borderId="23" xfId="0" applyFont="1" applyFill="1" applyBorder="1"/>
    <xf numFmtId="0" fontId="65" fillId="38" borderId="24" xfId="0" applyFont="1" applyFill="1" applyBorder="1"/>
    <xf numFmtId="0" fontId="65" fillId="38" borderId="25" xfId="0" applyFont="1" applyFill="1" applyBorder="1"/>
    <xf numFmtId="0" fontId="65" fillId="38" borderId="26" xfId="0" applyFont="1" applyFill="1" applyBorder="1"/>
    <xf numFmtId="0" fontId="65" fillId="38" borderId="27" xfId="0" applyFont="1" applyFill="1" applyBorder="1"/>
    <xf numFmtId="0" fontId="65" fillId="38" borderId="1" xfId="0" applyFont="1" applyFill="1" applyBorder="1"/>
    <xf numFmtId="0" fontId="65" fillId="38" borderId="28" xfId="0" applyFont="1" applyFill="1" applyBorder="1"/>
    <xf numFmtId="0" fontId="66" fillId="38" borderId="0" xfId="0" applyFont="1" applyFill="1" applyAlignment="1">
      <alignment vertical="center"/>
    </xf>
    <xf numFmtId="0" fontId="55" fillId="0" borderId="0" xfId="305" applyAlignment="1">
      <alignment wrapText="1" readingOrder="1"/>
    </xf>
    <xf numFmtId="37" fontId="67" fillId="0" borderId="31" xfId="0" applyNumberFormat="1" applyFont="1" applyBorder="1" applyAlignment="1">
      <alignment horizontal="center"/>
    </xf>
    <xf numFmtId="0" fontId="68" fillId="39" borderId="32" xfId="0" applyFont="1" applyFill="1" applyBorder="1" applyAlignment="1">
      <alignment horizontal="left" vertical="center" wrapText="1" readingOrder="1"/>
    </xf>
    <xf numFmtId="0" fontId="68" fillId="39" borderId="33" xfId="0" applyFont="1" applyFill="1" applyBorder="1" applyAlignment="1">
      <alignment horizontal="left" vertical="center" wrapText="1" readingOrder="1"/>
    </xf>
    <xf numFmtId="0" fontId="68" fillId="39" borderId="34" xfId="0" applyFont="1" applyFill="1" applyBorder="1" applyAlignment="1">
      <alignment horizontal="center" vertical="center" wrapText="1" readingOrder="1"/>
    </xf>
    <xf numFmtId="0" fontId="55" fillId="0" borderId="0" xfId="306" applyAlignment="1">
      <alignment wrapText="1" readingOrder="1"/>
    </xf>
    <xf numFmtId="1" fontId="0" fillId="40" borderId="22" xfId="0" quotePrefix="1" applyNumberFormat="1" applyFill="1" applyBorder="1" applyAlignment="1">
      <alignment horizontal="right"/>
    </xf>
    <xf numFmtId="1" fontId="0" fillId="40" borderId="35" xfId="0" quotePrefix="1" applyNumberFormat="1" applyFill="1" applyBorder="1" applyAlignment="1">
      <alignment horizontal="left"/>
    </xf>
    <xf numFmtId="164" fontId="0" fillId="41" borderId="22" xfId="3" applyNumberFormat="1" applyFont="1" applyFill="1" applyBorder="1" applyAlignment="1">
      <alignment horizontal="center"/>
    </xf>
    <xf numFmtId="164" fontId="0" fillId="41" borderId="23" xfId="3" applyNumberFormat="1" applyFont="1" applyFill="1" applyBorder="1" applyAlignment="1">
      <alignment horizontal="center"/>
    </xf>
    <xf numFmtId="10" fontId="55" fillId="0" borderId="0" xfId="306" applyNumberFormat="1" applyAlignment="1">
      <alignment wrapText="1" readingOrder="1"/>
    </xf>
    <xf numFmtId="1" fontId="0" fillId="40" borderId="25" xfId="0" quotePrefix="1" applyNumberFormat="1" applyFill="1" applyBorder="1" applyAlignment="1">
      <alignment horizontal="right"/>
    </xf>
    <xf numFmtId="1" fontId="0" fillId="40" borderId="36" xfId="0" quotePrefix="1" applyNumberFormat="1" applyFill="1" applyBorder="1" applyAlignment="1">
      <alignment horizontal="left"/>
    </xf>
    <xf numFmtId="164" fontId="0" fillId="41" borderId="25" xfId="3" applyNumberFormat="1" applyFont="1" applyFill="1" applyBorder="1" applyAlignment="1">
      <alignment horizontal="center"/>
    </xf>
    <xf numFmtId="164" fontId="0" fillId="41" borderId="0" xfId="3" applyNumberFormat="1" applyFont="1" applyFill="1" applyBorder="1" applyAlignment="1">
      <alignment horizontal="center"/>
    </xf>
    <xf numFmtId="1" fontId="0" fillId="40" borderId="27" xfId="0" quotePrefix="1" applyNumberFormat="1" applyFill="1" applyBorder="1" applyAlignment="1">
      <alignment horizontal="right"/>
    </xf>
    <xf numFmtId="1" fontId="0" fillId="40" borderId="37" xfId="0" quotePrefix="1" applyNumberFormat="1" applyFill="1" applyBorder="1" applyAlignment="1">
      <alignment horizontal="left"/>
    </xf>
    <xf numFmtId="164" fontId="0" fillId="41" borderId="27" xfId="3" applyNumberFormat="1" applyFont="1" applyFill="1" applyBorder="1" applyAlignment="1">
      <alignment horizontal="center"/>
    </xf>
    <xf numFmtId="164" fontId="0" fillId="41" borderId="1" xfId="3" applyNumberFormat="1" applyFont="1" applyFill="1" applyBorder="1" applyAlignment="1">
      <alignment horizontal="center"/>
    </xf>
    <xf numFmtId="1" fontId="0" fillId="40" borderId="36" xfId="0" quotePrefix="1" applyNumberFormat="1" applyFill="1" applyBorder="1" applyAlignment="1">
      <alignment horizontal="right"/>
    </xf>
    <xf numFmtId="1" fontId="0" fillId="40" borderId="26" xfId="0" quotePrefix="1" applyNumberFormat="1" applyFill="1" applyBorder="1" applyAlignment="1">
      <alignment horizontal="left"/>
    </xf>
    <xf numFmtId="1" fontId="0" fillId="40" borderId="37" xfId="0" quotePrefix="1" applyNumberFormat="1" applyFill="1" applyBorder="1" applyAlignment="1">
      <alignment horizontal="right"/>
    </xf>
    <xf numFmtId="1" fontId="0" fillId="40" borderId="28" xfId="0" quotePrefix="1" applyNumberFormat="1" applyFill="1" applyBorder="1" applyAlignment="1">
      <alignment horizontal="left"/>
    </xf>
    <xf numFmtId="1" fontId="0" fillId="40" borderId="35" xfId="0" quotePrefix="1" applyNumberFormat="1" applyFill="1" applyBorder="1" applyAlignment="1">
      <alignment horizontal="right"/>
    </xf>
    <xf numFmtId="1" fontId="0" fillId="40" borderId="24" xfId="0" quotePrefix="1" applyNumberFormat="1" applyFill="1" applyBorder="1" applyAlignment="1">
      <alignment horizontal="left"/>
    </xf>
    <xf numFmtId="0" fontId="0" fillId="40" borderId="36" xfId="0" quotePrefix="1" applyFill="1" applyBorder="1" applyAlignment="1">
      <alignment horizontal="right"/>
    </xf>
    <xf numFmtId="0" fontId="67" fillId="0" borderId="38" xfId="0" applyFont="1" applyBorder="1"/>
    <xf numFmtId="0" fontId="69" fillId="0" borderId="31" xfId="0" applyFont="1" applyBorder="1"/>
    <xf numFmtId="0" fontId="67" fillId="0" borderId="31" xfId="0" applyFont="1" applyBorder="1"/>
    <xf numFmtId="37" fontId="67" fillId="0" borderId="39" xfId="0" applyNumberFormat="1" applyFont="1" applyBorder="1"/>
    <xf numFmtId="43" fontId="67" fillId="0" borderId="31" xfId="1" applyFont="1" applyFill="1" applyBorder="1" applyAlignment="1">
      <alignment horizontal="center"/>
    </xf>
    <xf numFmtId="37" fontId="67" fillId="0" borderId="31" xfId="0" applyNumberFormat="1" applyFont="1" applyBorder="1"/>
    <xf numFmtId="39" fontId="67" fillId="0" borderId="40" xfId="0" applyNumberFormat="1" applyFont="1" applyBorder="1"/>
    <xf numFmtId="3" fontId="67" fillId="0" borderId="0" xfId="0" applyNumberFormat="1" applyFont="1"/>
    <xf numFmtId="0" fontId="67" fillId="0" borderId="0" xfId="0" applyFont="1"/>
    <xf numFmtId="0" fontId="69" fillId="0" borderId="0" xfId="0" applyFont="1"/>
    <xf numFmtId="0" fontId="67" fillId="0" borderId="41" xfId="0" applyFont="1" applyBorder="1"/>
    <xf numFmtId="10" fontId="67" fillId="0" borderId="0" xfId="3" applyNumberFormat="1" applyFont="1"/>
    <xf numFmtId="0" fontId="67" fillId="0" borderId="31" xfId="1" applyNumberFormat="1" applyFont="1" applyFill="1" applyBorder="1" applyAlignment="1">
      <alignment horizontal="center"/>
    </xf>
    <xf numFmtId="37" fontId="69" fillId="0" borderId="39" xfId="0" applyNumberFormat="1" applyFont="1" applyBorder="1" applyAlignment="1">
      <alignment horizontal="center"/>
    </xf>
    <xf numFmtId="43" fontId="69" fillId="0" borderId="31" xfId="1" applyFont="1" applyFill="1" applyBorder="1" applyAlignment="1">
      <alignment horizontal="center"/>
    </xf>
    <xf numFmtId="37" fontId="69" fillId="0" borderId="31" xfId="0" applyNumberFormat="1" applyFont="1" applyBorder="1" applyAlignment="1">
      <alignment horizontal="center"/>
    </xf>
    <xf numFmtId="3" fontId="67" fillId="0" borderId="0" xfId="0" applyNumberFormat="1" applyFont="1" applyAlignment="1">
      <alignment horizontal="center"/>
    </xf>
    <xf numFmtId="0" fontId="67" fillId="0" borderId="43" xfId="0" applyFont="1" applyBorder="1"/>
    <xf numFmtId="0" fontId="67" fillId="0" borderId="44" xfId="0" applyFont="1" applyBorder="1"/>
    <xf numFmtId="172" fontId="69" fillId="0" borderId="45" xfId="0" applyNumberFormat="1" applyFont="1" applyBorder="1" applyAlignment="1">
      <alignment horizontal="center"/>
    </xf>
    <xf numFmtId="172" fontId="69" fillId="0" borderId="0" xfId="0" applyNumberFormat="1" applyFont="1" applyAlignment="1">
      <alignment horizontal="center"/>
    </xf>
    <xf numFmtId="37" fontId="69" fillId="0" borderId="43" xfId="0" applyNumberFormat="1" applyFont="1" applyBorder="1" applyAlignment="1">
      <alignment horizontal="center"/>
    </xf>
    <xf numFmtId="39" fontId="69" fillId="0" borderId="46" xfId="0" applyNumberFormat="1" applyFont="1" applyBorder="1" applyAlignment="1">
      <alignment horizontal="center"/>
    </xf>
    <xf numFmtId="0" fontId="70" fillId="0" borderId="0" xfId="0" applyFont="1"/>
    <xf numFmtId="37" fontId="67" fillId="0" borderId="47" xfId="0" applyNumberFormat="1" applyFont="1" applyBorder="1"/>
    <xf numFmtId="43" fontId="70" fillId="0" borderId="48" xfId="1" applyFont="1" applyFill="1" applyBorder="1"/>
    <xf numFmtId="43" fontId="70" fillId="0" borderId="49" xfId="1" applyFont="1" applyFill="1" applyBorder="1"/>
    <xf numFmtId="43" fontId="70" fillId="0" borderId="49" xfId="1" applyFont="1" applyBorder="1"/>
    <xf numFmtId="0" fontId="70" fillId="0" borderId="49" xfId="0" applyFont="1" applyBorder="1"/>
    <xf numFmtId="0" fontId="70" fillId="0" borderId="50" xfId="0" applyFont="1" applyBorder="1"/>
    <xf numFmtId="3" fontId="70" fillId="0" borderId="0" xfId="0" applyNumberFormat="1" applyFont="1"/>
    <xf numFmtId="43" fontId="70" fillId="0" borderId="0" xfId="1" applyFont="1"/>
    <xf numFmtId="43" fontId="70" fillId="0" borderId="47" xfId="1" applyFont="1" applyFill="1" applyBorder="1"/>
    <xf numFmtId="43" fontId="70" fillId="0" borderId="0" xfId="1" applyFont="1" applyFill="1" applyBorder="1"/>
    <xf numFmtId="43" fontId="70" fillId="0" borderId="0" xfId="1" applyFont="1" applyBorder="1"/>
    <xf numFmtId="0" fontId="70" fillId="0" borderId="51" xfId="0" applyFont="1" applyBorder="1"/>
    <xf numFmtId="43" fontId="70" fillId="0" borderId="0" xfId="0" applyNumberFormat="1" applyFont="1"/>
    <xf numFmtId="3" fontId="67" fillId="0" borderId="47" xfId="0" applyNumberFormat="1" applyFont="1" applyBorder="1"/>
    <xf numFmtId="3" fontId="70" fillId="0" borderId="51" xfId="0" applyNumberFormat="1" applyFont="1" applyBorder="1"/>
    <xf numFmtId="4" fontId="70" fillId="0" borderId="0" xfId="0" applyNumberFormat="1" applyFont="1"/>
    <xf numFmtId="0" fontId="70" fillId="0" borderId="0" xfId="0" quotePrefix="1" applyFont="1" applyAlignment="1">
      <alignment horizontal="right"/>
    </xf>
    <xf numFmtId="0" fontId="71" fillId="0" borderId="0" xfId="0" applyFont="1"/>
    <xf numFmtId="43" fontId="70" fillId="0" borderId="52" xfId="1" applyFont="1" applyFill="1" applyBorder="1"/>
    <xf numFmtId="43" fontId="70" fillId="0" borderId="53" xfId="1" applyFont="1" applyFill="1" applyBorder="1"/>
    <xf numFmtId="43" fontId="70" fillId="0" borderId="53" xfId="1" applyFont="1" applyBorder="1"/>
    <xf numFmtId="43" fontId="71" fillId="42" borderId="47" xfId="1" applyFont="1" applyFill="1" applyBorder="1"/>
    <xf numFmtId="43" fontId="71" fillId="42" borderId="0" xfId="1" applyFont="1" applyFill="1" applyBorder="1"/>
    <xf numFmtId="1" fontId="70" fillId="0" borderId="0" xfId="0" quotePrefix="1" applyNumberFormat="1" applyFont="1"/>
    <xf numFmtId="43" fontId="71" fillId="0" borderId="47" xfId="1" applyFont="1" applyFill="1" applyBorder="1"/>
    <xf numFmtId="43" fontId="71" fillId="0" borderId="0" xfId="1" applyFont="1" applyFill="1" applyBorder="1"/>
    <xf numFmtId="43" fontId="71" fillId="0" borderId="0" xfId="1" applyFont="1" applyBorder="1"/>
    <xf numFmtId="43" fontId="71" fillId="0" borderId="48" xfId="1" applyFont="1" applyFill="1" applyBorder="1"/>
    <xf numFmtId="43" fontId="71" fillId="0" borderId="49" xfId="1" applyFont="1" applyFill="1" applyBorder="1"/>
    <xf numFmtId="43" fontId="71" fillId="0" borderId="49" xfId="1" applyFont="1" applyBorder="1"/>
    <xf numFmtId="1" fontId="67" fillId="0" borderId="0" xfId="0" quotePrefix="1" applyNumberFormat="1" applyFont="1"/>
    <xf numFmtId="0" fontId="69" fillId="0" borderId="41" xfId="0" applyFont="1" applyBorder="1"/>
    <xf numFmtId="0" fontId="67" fillId="0" borderId="0" xfId="0" applyFont="1" applyProtection="1">
      <protection locked="0"/>
    </xf>
    <xf numFmtId="49" fontId="70" fillId="0" borderId="0" xfId="0" applyNumberFormat="1" applyFont="1"/>
    <xf numFmtId="0" fontId="70" fillId="0" borderId="0" xfId="0" quotePrefix="1" applyFont="1"/>
    <xf numFmtId="14" fontId="70" fillId="0" borderId="0" xfId="0" applyNumberFormat="1" applyFont="1"/>
    <xf numFmtId="43" fontId="70" fillId="0" borderId="52" xfId="1" applyFont="1" applyBorder="1"/>
    <xf numFmtId="43" fontId="71" fillId="0" borderId="0" xfId="1" applyFont="1" applyFill="1"/>
    <xf numFmtId="43" fontId="71" fillId="0" borderId="0" xfId="1" applyFont="1"/>
    <xf numFmtId="3" fontId="67" fillId="0" borderId="56" xfId="0" applyNumberFormat="1" applyFont="1" applyBorder="1"/>
    <xf numFmtId="43" fontId="70" fillId="0" borderId="0" xfId="1" applyFont="1" applyFill="1"/>
    <xf numFmtId="43" fontId="69" fillId="0" borderId="0" xfId="1" applyFont="1" applyFill="1" applyBorder="1"/>
    <xf numFmtId="3" fontId="70" fillId="0" borderId="47" xfId="0" applyNumberFormat="1" applyFont="1" applyBorder="1"/>
    <xf numFmtId="0" fontId="71" fillId="3" borderId="0" xfId="0" applyFont="1" applyFill="1"/>
    <xf numFmtId="43" fontId="69" fillId="3" borderId="0" xfId="1" applyFont="1" applyFill="1" applyBorder="1"/>
    <xf numFmtId="37" fontId="67" fillId="0" borderId="56" xfId="0" applyNumberFormat="1" applyFont="1" applyBorder="1"/>
    <xf numFmtId="0" fontId="70" fillId="0" borderId="47" xfId="0" applyFont="1" applyBorder="1"/>
    <xf numFmtId="37" fontId="67" fillId="0" borderId="57" xfId="0" applyNumberFormat="1" applyFont="1" applyBorder="1" applyAlignment="1">
      <alignment horizontal="center"/>
    </xf>
    <xf numFmtId="0" fontId="70" fillId="0" borderId="58" xfId="0" applyFont="1" applyBorder="1"/>
    <xf numFmtId="49" fontId="16" fillId="0" borderId="0" xfId="0" applyNumberFormat="1" applyFont="1"/>
    <xf numFmtId="43" fontId="67" fillId="0" borderId="47" xfId="1" applyFont="1" applyBorder="1"/>
    <xf numFmtId="43" fontId="70" fillId="0" borderId="51" xfId="1" applyFont="1" applyBorder="1"/>
    <xf numFmtId="43" fontId="67" fillId="0" borderId="52" xfId="1" applyFont="1" applyBorder="1"/>
    <xf numFmtId="43" fontId="70" fillId="0" borderId="54" xfId="1" applyFont="1" applyBorder="1"/>
    <xf numFmtId="43" fontId="69" fillId="42" borderId="47" xfId="1" applyFont="1" applyFill="1" applyBorder="1"/>
    <xf numFmtId="43" fontId="71" fillId="42" borderId="51" xfId="1" applyFont="1" applyFill="1" applyBorder="1"/>
    <xf numFmtId="43" fontId="71" fillId="42" borderId="0" xfId="1" applyFont="1" applyFill="1"/>
    <xf numFmtId="43" fontId="69" fillId="0" borderId="48" xfId="1" applyFont="1" applyBorder="1"/>
    <xf numFmtId="43" fontId="71" fillId="0" borderId="51" xfId="1" applyFont="1" applyBorder="1"/>
    <xf numFmtId="43" fontId="69" fillId="0" borderId="47" xfId="1" applyFont="1" applyBorder="1"/>
    <xf numFmtId="43" fontId="71" fillId="0" borderId="50" xfId="1" applyFont="1" applyBorder="1"/>
    <xf numFmtId="43" fontId="69" fillId="0" borderId="55" xfId="1" applyFont="1" applyBorder="1"/>
    <xf numFmtId="43" fontId="67" fillId="0" borderId="56" xfId="1" applyFont="1" applyBorder="1"/>
    <xf numFmtId="43" fontId="69" fillId="0" borderId="56" xfId="1" applyFont="1" applyBorder="1"/>
    <xf numFmtId="43" fontId="69" fillId="0" borderId="41" xfId="1" applyFont="1" applyBorder="1"/>
    <xf numFmtId="43" fontId="69" fillId="0" borderId="0" xfId="1" applyFont="1"/>
    <xf numFmtId="43" fontId="70" fillId="0" borderId="47" xfId="1" applyFont="1" applyBorder="1"/>
    <xf numFmtId="43" fontId="69" fillId="3" borderId="56" xfId="1" applyFont="1" applyFill="1" applyBorder="1"/>
    <xf numFmtId="43" fontId="71" fillId="3" borderId="0" xfId="1" applyFont="1" applyFill="1"/>
    <xf numFmtId="43" fontId="69" fillId="3" borderId="41" xfId="1" applyFont="1" applyFill="1" applyBorder="1"/>
    <xf numFmtId="43" fontId="69" fillId="3" borderId="0" xfId="1" applyFont="1" applyFill="1"/>
    <xf numFmtId="173" fontId="72" fillId="43" borderId="59" xfId="305" applyNumberFormat="1" applyFont="1" applyFill="1" applyBorder="1" applyAlignment="1">
      <alignment horizontal="right" vertical="center" wrapText="1" readingOrder="1"/>
    </xf>
    <xf numFmtId="173" fontId="72" fillId="44" borderId="59" xfId="305" applyNumberFormat="1" applyFont="1" applyFill="1" applyBorder="1" applyAlignment="1">
      <alignment horizontal="right" vertical="center" wrapText="1" readingOrder="1"/>
    </xf>
    <xf numFmtId="0" fontId="72" fillId="0" borderId="59" xfId="305" applyFont="1" applyBorder="1" applyAlignment="1">
      <alignment horizontal="right" vertical="center" wrapText="1" readingOrder="1"/>
    </xf>
    <xf numFmtId="173" fontId="72" fillId="0" borderId="59" xfId="305" applyNumberFormat="1" applyFont="1" applyBorder="1" applyAlignment="1">
      <alignment horizontal="right" vertical="center" wrapText="1" readingOrder="1"/>
    </xf>
    <xf numFmtId="0" fontId="68" fillId="39" borderId="34" xfId="305" applyFont="1" applyFill="1" applyBorder="1" applyAlignment="1">
      <alignment horizontal="center" vertical="center" wrapText="1" readingOrder="1"/>
    </xf>
    <xf numFmtId="37" fontId="67" fillId="0" borderId="64" xfId="0" applyNumberFormat="1" applyFont="1" applyBorder="1"/>
    <xf numFmtId="0" fontId="67" fillId="0" borderId="57" xfId="1" applyNumberFormat="1" applyFont="1" applyFill="1" applyBorder="1" applyAlignment="1">
      <alignment horizontal="center"/>
    </xf>
    <xf numFmtId="37" fontId="67" fillId="0" borderId="57" xfId="0" applyNumberFormat="1" applyFont="1" applyBorder="1"/>
    <xf numFmtId="39" fontId="67" fillId="0" borderId="65" xfId="0" applyNumberFormat="1" applyFont="1" applyBorder="1"/>
    <xf numFmtId="43" fontId="70" fillId="0" borderId="51" xfId="1" applyFont="1" applyFill="1" applyBorder="1"/>
    <xf numFmtId="0" fontId="0" fillId="38" borderId="0" xfId="0" applyFill="1" applyAlignment="1">
      <alignment horizontal="center"/>
    </xf>
    <xf numFmtId="0" fontId="65" fillId="45" borderId="35" xfId="0" applyFont="1" applyFill="1" applyBorder="1"/>
    <xf numFmtId="166" fontId="0" fillId="41" borderId="66" xfId="0" applyNumberFormat="1" applyFill="1" applyBorder="1" applyAlignment="1">
      <alignment horizontal="center"/>
    </xf>
    <xf numFmtId="0" fontId="0" fillId="38" borderId="67" xfId="0" applyFill="1" applyBorder="1" applyAlignment="1">
      <alignment horizontal="center"/>
    </xf>
    <xf numFmtId="0" fontId="0" fillId="38" borderId="68" xfId="0" applyFill="1" applyBorder="1" applyAlignment="1">
      <alignment horizontal="center"/>
    </xf>
    <xf numFmtId="0" fontId="0" fillId="38" borderId="69" xfId="0" applyFill="1" applyBorder="1" applyAlignment="1">
      <alignment horizontal="center"/>
    </xf>
    <xf numFmtId="166" fontId="0" fillId="41" borderId="67" xfId="0" applyNumberFormat="1" applyFill="1" applyBorder="1" applyAlignment="1">
      <alignment horizontal="center"/>
    </xf>
    <xf numFmtId="0" fontId="65" fillId="45" borderId="36" xfId="0" applyFont="1" applyFill="1" applyBorder="1"/>
    <xf numFmtId="166" fontId="0" fillId="41" borderId="72" xfId="0" applyNumberFormat="1" applyFill="1" applyBorder="1" applyAlignment="1">
      <alignment horizontal="center"/>
    </xf>
    <xf numFmtId="166" fontId="0" fillId="41" borderId="75" xfId="0" applyNumberFormat="1" applyFill="1" applyBorder="1" applyAlignment="1">
      <alignment horizontal="center"/>
    </xf>
    <xf numFmtId="0" fontId="65" fillId="45" borderId="37" xfId="0" applyFont="1" applyFill="1" applyBorder="1"/>
    <xf numFmtId="166" fontId="0" fillId="38" borderId="75" xfId="1" applyNumberFormat="1" applyFont="1" applyFill="1" applyBorder="1" applyAlignment="1">
      <alignment horizontal="center"/>
    </xf>
    <xf numFmtId="166" fontId="0" fillId="38" borderId="76" xfId="1" applyNumberFormat="1" applyFont="1" applyFill="1" applyBorder="1" applyAlignment="1">
      <alignment horizontal="center"/>
    </xf>
    <xf numFmtId="166" fontId="0" fillId="38" borderId="77" xfId="1" applyNumberFormat="1" applyFont="1" applyFill="1" applyBorder="1" applyAlignment="1">
      <alignment horizontal="center"/>
    </xf>
    <xf numFmtId="0" fontId="0" fillId="38" borderId="0" xfId="0" applyFill="1"/>
    <xf numFmtId="0" fontId="65" fillId="45" borderId="66" xfId="0" applyFont="1" applyFill="1" applyBorder="1"/>
    <xf numFmtId="166" fontId="0" fillId="38" borderId="6" xfId="0" applyNumberFormat="1" applyFill="1" applyBorder="1" applyAlignment="1">
      <alignment horizontal="center"/>
    </xf>
    <xf numFmtId="166" fontId="0" fillId="38" borderId="7" xfId="0" applyNumberFormat="1" applyFill="1" applyBorder="1" applyAlignment="1">
      <alignment horizontal="center"/>
    </xf>
    <xf numFmtId="166" fontId="0" fillId="38" borderId="8" xfId="0" applyNumberFormat="1" applyFill="1" applyBorder="1" applyAlignment="1">
      <alignment horizontal="center"/>
    </xf>
    <xf numFmtId="0" fontId="0" fillId="38" borderId="0" xfId="0" applyFill="1" applyAlignment="1">
      <alignment horizontal="right"/>
    </xf>
    <xf numFmtId="166" fontId="0" fillId="38" borderId="0" xfId="0" applyNumberFormat="1" applyFill="1" applyAlignment="1">
      <alignment horizontal="center"/>
    </xf>
    <xf numFmtId="166" fontId="0" fillId="38" borderId="58" xfId="0" applyNumberFormat="1" applyFill="1" applyBorder="1" applyAlignment="1">
      <alignment horizontal="center"/>
    </xf>
    <xf numFmtId="0" fontId="6" fillId="0" borderId="78" xfId="0" quotePrefix="1" applyFont="1" applyBorder="1"/>
    <xf numFmtId="0" fontId="6" fillId="0" borderId="78" xfId="0" applyFont="1" applyBorder="1"/>
    <xf numFmtId="166" fontId="6" fillId="0" borderId="78" xfId="1" applyNumberFormat="1" applyFont="1" applyBorder="1" applyAlignment="1">
      <alignment horizontal="center"/>
    </xf>
    <xf numFmtId="164" fontId="6" fillId="0" borderId="78" xfId="3" applyNumberFormat="1" applyFont="1" applyBorder="1" applyAlignment="1">
      <alignment horizontal="right"/>
    </xf>
    <xf numFmtId="0" fontId="16" fillId="0" borderId="78" xfId="0" applyFont="1" applyBorder="1"/>
    <xf numFmtId="43" fontId="52" fillId="0" borderId="20" xfId="1" applyFont="1" applyBorder="1" applyAlignment="1">
      <alignment horizontal="right" vertical="top"/>
    </xf>
    <xf numFmtId="0" fontId="0" fillId="0" borderId="0" xfId="0" applyAlignment="1">
      <alignment horizontal="left"/>
    </xf>
    <xf numFmtId="0" fontId="0" fillId="0" borderId="0" xfId="1" applyNumberFormat="1" applyFont="1"/>
    <xf numFmtId="43" fontId="3" fillId="0" borderId="0" xfId="1" applyFont="1"/>
    <xf numFmtId="43" fontId="0" fillId="41" borderId="70" xfId="1" applyFont="1" applyFill="1" applyBorder="1" applyAlignment="1">
      <alignment horizontal="center"/>
    </xf>
    <xf numFmtId="43" fontId="0" fillId="41" borderId="53" xfId="1" applyFont="1" applyFill="1" applyBorder="1" applyAlignment="1">
      <alignment horizontal="center"/>
    </xf>
    <xf numFmtId="43" fontId="0" fillId="41" borderId="71" xfId="1" applyFont="1" applyFill="1" applyBorder="1" applyAlignment="1">
      <alignment horizontal="center"/>
    </xf>
    <xf numFmtId="43" fontId="0" fillId="41" borderId="72" xfId="1" applyFont="1" applyFill="1" applyBorder="1" applyAlignment="1">
      <alignment horizontal="center"/>
    </xf>
    <xf numFmtId="43" fontId="0" fillId="41" borderId="73" xfId="1" applyFont="1" applyFill="1" applyBorder="1" applyAlignment="1">
      <alignment horizontal="center"/>
    </xf>
    <xf numFmtId="43" fontId="0" fillId="41" borderId="74" xfId="1" applyFont="1" applyFill="1" applyBorder="1" applyAlignment="1">
      <alignment horizontal="center"/>
    </xf>
    <xf numFmtId="43" fontId="0" fillId="41" borderId="75" xfId="1" applyFont="1" applyFill="1" applyBorder="1" applyAlignment="1">
      <alignment horizontal="center"/>
    </xf>
    <xf numFmtId="43" fontId="0" fillId="41" borderId="76" xfId="1" applyFont="1" applyFill="1" applyBorder="1" applyAlignment="1">
      <alignment horizontal="center"/>
    </xf>
    <xf numFmtId="43" fontId="0" fillId="41" borderId="77" xfId="1" applyFont="1" applyFill="1" applyBorder="1" applyAlignment="1">
      <alignment horizontal="center"/>
    </xf>
    <xf numFmtId="43" fontId="55" fillId="0" borderId="0" xfId="1" applyFont="1" applyAlignment="1">
      <alignment wrapText="1" readingOrder="1"/>
    </xf>
    <xf numFmtId="166" fontId="0" fillId="46" borderId="6" xfId="0" applyNumberFormat="1" applyFill="1" applyBorder="1" applyAlignment="1">
      <alignment horizontal="center"/>
    </xf>
    <xf numFmtId="166" fontId="0" fillId="46" borderId="7" xfId="0" applyNumberFormat="1" applyFill="1" applyBorder="1" applyAlignment="1">
      <alignment horizontal="center"/>
    </xf>
    <xf numFmtId="166" fontId="0" fillId="46" borderId="8" xfId="0" applyNumberFormat="1" applyFill="1" applyBorder="1" applyAlignment="1">
      <alignment horizontal="center"/>
    </xf>
    <xf numFmtId="43" fontId="0" fillId="0" borderId="0" xfId="0" applyNumberFormat="1"/>
    <xf numFmtId="0" fontId="49" fillId="35" borderId="19" xfId="297" applyFont="1" applyFill="1" applyBorder="1" applyAlignment="1">
      <alignment horizontal="center" vertical="center" wrapText="1"/>
    </xf>
    <xf numFmtId="43" fontId="50" fillId="35" borderId="19" xfId="299" applyFont="1" applyFill="1" applyBorder="1" applyAlignment="1">
      <alignment horizontal="center" vertical="center" wrapText="1"/>
    </xf>
    <xf numFmtId="0" fontId="6" fillId="0" borderId="78" xfId="4" quotePrefix="1" applyFont="1" applyBorder="1"/>
    <xf numFmtId="166" fontId="3" fillId="0" borderId="78" xfId="1" applyNumberFormat="1" applyFont="1" applyBorder="1" applyAlignment="1">
      <alignment horizontal="center"/>
    </xf>
    <xf numFmtId="49" fontId="6" fillId="0" borderId="78" xfId="4" quotePrefix="1" applyNumberFormat="1" applyFont="1" applyBorder="1"/>
    <xf numFmtId="0" fontId="52" fillId="0" borderId="23" xfId="297" applyFont="1" applyBorder="1" applyAlignment="1">
      <alignment horizontal="center" vertical="top"/>
    </xf>
    <xf numFmtId="0" fontId="52" fillId="35" borderId="0" xfId="297" applyFont="1" applyFill="1" applyAlignment="1">
      <alignment horizontal="left" vertical="top"/>
    </xf>
    <xf numFmtId="0" fontId="52" fillId="35" borderId="0" xfId="297" applyFont="1" applyFill="1" applyAlignment="1">
      <alignment horizontal="center" vertical="top"/>
    </xf>
    <xf numFmtId="0" fontId="52" fillId="35" borderId="0" xfId="299" applyNumberFormat="1" applyFont="1" applyFill="1" applyAlignment="1">
      <alignment horizontal="left" vertical="top"/>
    </xf>
    <xf numFmtId="0" fontId="53" fillId="36" borderId="0" xfId="299" applyNumberFormat="1" applyFont="1" applyFill="1" applyAlignment="1">
      <alignment horizontal="left" vertical="top"/>
    </xf>
    <xf numFmtId="43" fontId="1" fillId="0" borderId="0" xfId="297" applyNumberFormat="1" applyAlignment="1">
      <alignment horizontal="center"/>
    </xf>
    <xf numFmtId="43" fontId="0" fillId="0" borderId="0" xfId="1" applyFont="1"/>
    <xf numFmtId="0" fontId="0" fillId="0" borderId="0" xfId="0" pivotButton="1"/>
    <xf numFmtId="0" fontId="61" fillId="0" borderId="0" xfId="0" applyFont="1"/>
    <xf numFmtId="43" fontId="0" fillId="0" borderId="0" xfId="1" applyFont="1" applyFill="1"/>
    <xf numFmtId="44" fontId="6" fillId="0" borderId="3" xfId="1" applyNumberFormat="1" applyFont="1" applyFill="1" applyBorder="1" applyAlignment="1">
      <alignment horizontal="center"/>
    </xf>
    <xf numFmtId="44" fontId="4" fillId="0" borderId="0" xfId="2" applyFont="1" applyFill="1" applyAlignment="1">
      <alignment horizontal="center"/>
    </xf>
    <xf numFmtId="44" fontId="6" fillId="0" borderId="0" xfId="3" applyNumberFormat="1" applyFont="1" applyFill="1" applyAlignment="1">
      <alignment horizontal="right"/>
    </xf>
    <xf numFmtId="167" fontId="4" fillId="0" borderId="0" xfId="2" applyNumberFormat="1" applyFont="1" applyFill="1" applyAlignment="1">
      <alignment horizontal="center"/>
    </xf>
    <xf numFmtId="0" fontId="4" fillId="0" borderId="0" xfId="0" applyFont="1" applyAlignment="1">
      <alignment horizontal="left"/>
    </xf>
    <xf numFmtId="166" fontId="3" fillId="0" borderId="3" xfId="1" applyNumberFormat="1" applyFont="1" applyFill="1" applyBorder="1" applyAlignment="1">
      <alignment horizontal="center"/>
    </xf>
    <xf numFmtId="44" fontId="3" fillId="0" borderId="3" xfId="1" applyNumberFormat="1" applyFont="1" applyFill="1" applyBorder="1" applyAlignment="1">
      <alignment horizontal="center"/>
    </xf>
    <xf numFmtId="165" fontId="3" fillId="0" borderId="3" xfId="1" applyNumberFormat="1" applyFont="1" applyFill="1" applyBorder="1" applyAlignment="1">
      <alignment horizontal="center"/>
    </xf>
    <xf numFmtId="43" fontId="3" fillId="0" borderId="3" xfId="1" applyFont="1" applyFill="1" applyBorder="1" applyAlignment="1">
      <alignment horizontal="center"/>
    </xf>
    <xf numFmtId="165" fontId="4" fillId="0" borderId="3" xfId="1" applyNumberFormat="1" applyFont="1" applyFill="1" applyBorder="1" applyAlignment="1">
      <alignment horizontal="center"/>
    </xf>
    <xf numFmtId="43" fontId="4" fillId="0" borderId="3" xfId="1" applyFont="1" applyFill="1" applyBorder="1" applyAlignment="1">
      <alignment horizontal="center"/>
    </xf>
    <xf numFmtId="43" fontId="0" fillId="0" borderId="0" xfId="1" quotePrefix="1" applyFont="1"/>
    <xf numFmtId="43" fontId="0" fillId="0" borderId="0" xfId="1" applyFont="1" applyAlignment="1">
      <alignment horizontal="center"/>
    </xf>
    <xf numFmtId="0" fontId="66" fillId="38" borderId="0" xfId="0" applyFont="1" applyFill="1" applyAlignment="1">
      <alignment vertical="center" wrapText="1"/>
    </xf>
    <xf numFmtId="10" fontId="15" fillId="0" borderId="3" xfId="3" applyNumberFormat="1" applyFont="1" applyBorder="1" applyAlignment="1">
      <alignment horizontal="right"/>
    </xf>
    <xf numFmtId="0" fontId="76" fillId="0" borderId="79" xfId="0" applyFont="1" applyBorder="1"/>
    <xf numFmtId="175" fontId="3" fillId="0" borderId="0" xfId="3" applyNumberFormat="1" applyFont="1" applyAlignment="1">
      <alignment horizontal="center"/>
    </xf>
    <xf numFmtId="166" fontId="3" fillId="0" borderId="80" xfId="1" applyNumberFormat="1" applyFont="1" applyBorder="1" applyAlignment="1">
      <alignment horizontal="center"/>
    </xf>
    <xf numFmtId="1" fontId="6" fillId="0" borderId="3" xfId="4" quotePrefix="1" applyNumberFormat="1" applyFont="1" applyBorder="1"/>
    <xf numFmtId="14" fontId="6" fillId="0" borderId="78" xfId="4" quotePrefix="1" applyNumberFormat="1" applyFont="1" applyBorder="1"/>
    <xf numFmtId="44" fontId="48" fillId="0" borderId="0" xfId="2" applyFont="1"/>
    <xf numFmtId="164" fontId="48" fillId="0" borderId="0" xfId="3" applyNumberFormat="1" applyFont="1"/>
    <xf numFmtId="14" fontId="3" fillId="0" borderId="78" xfId="4" applyNumberFormat="1" applyFont="1" applyBorder="1"/>
    <xf numFmtId="166" fontId="3" fillId="0" borderId="78" xfId="1" applyNumberFormat="1" applyFont="1" applyFill="1" applyBorder="1" applyAlignment="1">
      <alignment horizontal="center"/>
    </xf>
    <xf numFmtId="14" fontId="3" fillId="0" borderId="78" xfId="4" quotePrefix="1" applyNumberFormat="1" applyFont="1" applyBorder="1"/>
    <xf numFmtId="0" fontId="58" fillId="0" borderId="3" xfId="3" applyNumberFormat="1" applyFont="1" applyBorder="1" applyAlignment="1">
      <alignment horizontal="center"/>
    </xf>
    <xf numFmtId="44" fontId="6" fillId="47" borderId="3" xfId="1" applyNumberFormat="1" applyFont="1" applyFill="1" applyBorder="1" applyAlignment="1">
      <alignment horizontal="center"/>
    </xf>
    <xf numFmtId="166" fontId="6" fillId="48" borderId="3" xfId="1" applyNumberFormat="1" applyFont="1" applyFill="1" applyBorder="1" applyAlignment="1">
      <alignment horizontal="center"/>
    </xf>
    <xf numFmtId="43" fontId="4" fillId="48" borderId="3" xfId="1" applyFont="1" applyFill="1" applyBorder="1" applyAlignment="1">
      <alignment horizontal="center"/>
    </xf>
    <xf numFmtId="10" fontId="6" fillId="48" borderId="3" xfId="3" applyNumberFormat="1" applyFont="1" applyFill="1" applyBorder="1" applyAlignment="1">
      <alignment horizontal="right"/>
    </xf>
    <xf numFmtId="0" fontId="77" fillId="0" borderId="0" xfId="0" applyFont="1"/>
    <xf numFmtId="44" fontId="3" fillId="48" borderId="3" xfId="1" applyNumberFormat="1" applyFont="1" applyFill="1" applyBorder="1" applyAlignment="1">
      <alignment horizontal="center"/>
    </xf>
    <xf numFmtId="0" fontId="52" fillId="0" borderId="25" xfId="297" quotePrefix="1" applyFont="1" applyBorder="1" applyAlignment="1">
      <alignment horizontal="center" vertical="top"/>
    </xf>
    <xf numFmtId="0" fontId="78" fillId="0" borderId="0" xfId="0" applyFont="1"/>
    <xf numFmtId="0" fontId="3" fillId="0" borderId="7" xfId="4" applyFont="1" applyBorder="1" applyAlignment="1">
      <alignment horizontal="center"/>
    </xf>
    <xf numFmtId="167" fontId="4" fillId="0" borderId="7" xfId="2" applyNumberFormat="1" applyFont="1" applyBorder="1" applyAlignment="1">
      <alignment horizontal="center"/>
    </xf>
    <xf numFmtId="167" fontId="4" fillId="49" borderId="7" xfId="2" applyNumberFormat="1" applyFont="1" applyFill="1" applyBorder="1" applyAlignment="1">
      <alignment horizontal="center"/>
    </xf>
    <xf numFmtId="167" fontId="4" fillId="50" borderId="7" xfId="2" applyNumberFormat="1" applyFont="1" applyFill="1" applyBorder="1" applyAlignment="1">
      <alignment horizontal="center"/>
    </xf>
    <xf numFmtId="43" fontId="4" fillId="0" borderId="0" xfId="4" applyNumberFormat="1" applyFont="1" applyAlignment="1">
      <alignment horizontal="center"/>
    </xf>
    <xf numFmtId="43" fontId="4" fillId="47" borderId="66" xfId="4" applyNumberFormat="1" applyFont="1" applyFill="1" applyBorder="1" applyAlignment="1">
      <alignment horizontal="center"/>
    </xf>
    <xf numFmtId="0" fontId="4" fillId="0" borderId="1" xfId="4" applyFont="1" applyBorder="1" applyAlignment="1">
      <alignment horizontal="center"/>
    </xf>
    <xf numFmtId="43" fontId="3" fillId="48" borderId="3" xfId="1" applyFont="1" applyFill="1" applyBorder="1" applyAlignment="1">
      <alignment horizontal="center"/>
    </xf>
    <xf numFmtId="44" fontId="6" fillId="48" borderId="3" xfId="1" applyNumberFormat="1" applyFont="1" applyFill="1" applyBorder="1" applyAlignment="1">
      <alignment horizontal="center"/>
    </xf>
    <xf numFmtId="44" fontId="6" fillId="3" borderId="3" xfId="1" applyNumberFormat="1" applyFont="1" applyFill="1" applyBorder="1" applyAlignment="1">
      <alignment horizontal="center"/>
    </xf>
    <xf numFmtId="44" fontId="4" fillId="47" borderId="0" xfId="2" applyFont="1" applyFill="1" applyAlignment="1">
      <alignment horizontal="center"/>
    </xf>
    <xf numFmtId="44" fontId="4" fillId="51" borderId="0" xfId="2" applyFont="1" applyFill="1" applyAlignment="1">
      <alignment horizontal="center"/>
    </xf>
    <xf numFmtId="44" fontId="6" fillId="51" borderId="3" xfId="1" applyNumberFormat="1" applyFont="1" applyFill="1" applyBorder="1" applyAlignment="1">
      <alignment horizontal="center"/>
    </xf>
    <xf numFmtId="44" fontId="3" fillId="52" borderId="0" xfId="4" applyNumberFormat="1" applyFont="1" applyFill="1" applyAlignment="1">
      <alignment horizontal="center"/>
    </xf>
    <xf numFmtId="44" fontId="4" fillId="47" borderId="66" xfId="4" applyNumberFormat="1" applyFont="1" applyFill="1" applyBorder="1" applyAlignment="1">
      <alignment horizontal="center"/>
    </xf>
    <xf numFmtId="44" fontId="4" fillId="51" borderId="66" xfId="4" applyNumberFormat="1" applyFont="1" applyFill="1" applyBorder="1" applyAlignment="1">
      <alignment horizontal="center"/>
    </xf>
    <xf numFmtId="44" fontId="3" fillId="47" borderId="66" xfId="4" applyNumberFormat="1" applyFont="1" applyFill="1" applyBorder="1" applyAlignment="1">
      <alignment horizontal="center"/>
    </xf>
    <xf numFmtId="44" fontId="3" fillId="51" borderId="66" xfId="4" applyNumberFormat="1" applyFont="1" applyFill="1" applyBorder="1" applyAlignment="1">
      <alignment horizontal="center"/>
    </xf>
    <xf numFmtId="43" fontId="4" fillId="53" borderId="0" xfId="1" applyFont="1" applyFill="1" applyAlignment="1">
      <alignment horizontal="center"/>
    </xf>
    <xf numFmtId="167" fontId="4" fillId="52" borderId="66" xfId="2" applyNumberFormat="1" applyFont="1" applyFill="1" applyBorder="1" applyAlignment="1">
      <alignment horizontal="center"/>
    </xf>
    <xf numFmtId="10" fontId="48" fillId="0" borderId="0" xfId="3" applyNumberFormat="1" applyFont="1" applyBorder="1" applyAlignment="1">
      <alignment horizontal="right"/>
    </xf>
    <xf numFmtId="10" fontId="48" fillId="0" borderId="0" xfId="3" applyNumberFormat="1" applyFont="1" applyBorder="1" applyAlignment="1">
      <alignment horizontal="center"/>
    </xf>
    <xf numFmtId="0" fontId="56" fillId="0" borderId="0" xfId="4" applyFont="1" applyAlignment="1">
      <alignment horizontal="center"/>
    </xf>
    <xf numFmtId="10" fontId="56" fillId="0" borderId="0" xfId="3" applyNumberFormat="1" applyFont="1" applyBorder="1" applyAlignment="1">
      <alignment horizontal="center"/>
    </xf>
    <xf numFmtId="0" fontId="56" fillId="0" borderId="26" xfId="4" applyFont="1" applyBorder="1" applyAlignment="1">
      <alignment horizontal="center"/>
    </xf>
    <xf numFmtId="0" fontId="56" fillId="0" borderId="1" xfId="4" applyFont="1" applyBorder="1" applyAlignment="1">
      <alignment horizontal="center"/>
    </xf>
    <xf numFmtId="10" fontId="56" fillId="0" borderId="1" xfId="3" applyNumberFormat="1" applyFont="1" applyBorder="1" applyAlignment="1">
      <alignment horizontal="center"/>
    </xf>
    <xf numFmtId="0" fontId="56" fillId="0" borderId="28" xfId="4" applyFont="1" applyBorder="1" applyAlignment="1">
      <alignment horizontal="center"/>
    </xf>
    <xf numFmtId="10" fontId="48" fillId="0" borderId="26" xfId="3" applyNumberFormat="1" applyFont="1" applyBorder="1" applyAlignment="1">
      <alignment horizontal="center"/>
    </xf>
    <xf numFmtId="166" fontId="3" fillId="54" borderId="66" xfId="1" applyNumberFormat="1" applyFont="1" applyFill="1" applyBorder="1" applyAlignment="1">
      <alignment horizontal="center"/>
    </xf>
    <xf numFmtId="165" fontId="4" fillId="0" borderId="3" xfId="1" applyNumberFormat="1" applyFont="1" applyBorder="1" applyAlignment="1">
      <alignment horizontal="center"/>
    </xf>
    <xf numFmtId="9" fontId="4" fillId="47" borderId="37" xfId="4" applyNumberFormat="1" applyFont="1" applyFill="1" applyBorder="1" applyAlignment="1">
      <alignment horizontal="center"/>
    </xf>
    <xf numFmtId="10" fontId="4" fillId="47" borderId="37" xfId="4" applyNumberFormat="1" applyFont="1" applyFill="1" applyBorder="1" applyAlignment="1">
      <alignment horizontal="center"/>
    </xf>
    <xf numFmtId="43" fontId="61" fillId="0" borderId="0" xfId="0" applyNumberFormat="1" applyFont="1"/>
    <xf numFmtId="43" fontId="61" fillId="47" borderId="0" xfId="0" applyNumberFormat="1" applyFont="1" applyFill="1"/>
    <xf numFmtId="43" fontId="61" fillId="47" borderId="6" xfId="0" applyNumberFormat="1" applyFont="1" applyFill="1" applyBorder="1"/>
    <xf numFmtId="43" fontId="61" fillId="47" borderId="7" xfId="0" applyNumberFormat="1" applyFont="1" applyFill="1" applyBorder="1"/>
    <xf numFmtId="43" fontId="61" fillId="47" borderId="8" xfId="0" applyNumberFormat="1" applyFont="1" applyFill="1" applyBorder="1"/>
    <xf numFmtId="164" fontId="4" fillId="55" borderId="37" xfId="4" applyNumberFormat="1" applyFont="1" applyFill="1" applyBorder="1" applyAlignment="1">
      <alignment horizontal="center"/>
    </xf>
    <xf numFmtId="43" fontId="61" fillId="55" borderId="0" xfId="0" applyNumberFormat="1" applyFont="1" applyFill="1"/>
    <xf numFmtId="43" fontId="61" fillId="55" borderId="6" xfId="0" applyNumberFormat="1" applyFont="1" applyFill="1" applyBorder="1"/>
    <xf numFmtId="43" fontId="61" fillId="55" borderId="7" xfId="0" applyNumberFormat="1" applyFont="1" applyFill="1" applyBorder="1"/>
    <xf numFmtId="43" fontId="61" fillId="55" borderId="8" xfId="0" applyNumberFormat="1" applyFont="1" applyFill="1" applyBorder="1"/>
    <xf numFmtId="166" fontId="6" fillId="0" borderId="3" xfId="1" applyNumberFormat="1" applyFont="1" applyFill="1" applyBorder="1" applyAlignment="1">
      <alignment horizontal="center"/>
    </xf>
    <xf numFmtId="43" fontId="3" fillId="0" borderId="0" xfId="4" applyNumberFormat="1" applyFont="1"/>
    <xf numFmtId="166" fontId="4" fillId="0" borderId="0" xfId="1" applyNumberFormat="1" applyFont="1" applyAlignment="1">
      <alignment horizontal="center"/>
    </xf>
    <xf numFmtId="0" fontId="4" fillId="47" borderId="66" xfId="4" applyFont="1" applyFill="1" applyBorder="1" applyAlignment="1">
      <alignment horizontal="center"/>
    </xf>
    <xf numFmtId="166" fontId="4" fillId="0" borderId="0" xfId="4" applyNumberFormat="1" applyFont="1"/>
    <xf numFmtId="166" fontId="3" fillId="47" borderId="0" xfId="1" applyNumberFormat="1" applyFont="1" applyFill="1" applyAlignment="1">
      <alignment horizontal="center"/>
    </xf>
    <xf numFmtId="166" fontId="3" fillId="55" borderId="0" xfId="1" applyNumberFormat="1" applyFont="1" applyFill="1" applyAlignment="1">
      <alignment horizontal="center"/>
    </xf>
    <xf numFmtId="0" fontId="3" fillId="53" borderId="0" xfId="4" applyFont="1" applyFill="1"/>
    <xf numFmtId="0" fontId="3" fillId="52" borderId="0" xfId="4" applyFont="1" applyFill="1"/>
    <xf numFmtId="43" fontId="3" fillId="52" borderId="0" xfId="4" applyNumberFormat="1" applyFont="1" applyFill="1"/>
    <xf numFmtId="165" fontId="3" fillId="53" borderId="0" xfId="4" applyNumberFormat="1" applyFont="1" applyFill="1"/>
    <xf numFmtId="43" fontId="3" fillId="53" borderId="0" xfId="4" applyNumberFormat="1" applyFont="1" applyFill="1"/>
    <xf numFmtId="0" fontId="3" fillId="0" borderId="0" xfId="4" applyFont="1" applyAlignment="1">
      <alignment horizontal="center" wrapText="1"/>
    </xf>
    <xf numFmtId="0" fontId="79" fillId="0" borderId="0" xfId="305" applyFont="1" applyAlignment="1">
      <alignment horizontal="center" vertical="top" readingOrder="1"/>
    </xf>
    <xf numFmtId="0" fontId="72" fillId="0" borderId="63" xfId="305" applyFont="1" applyBorder="1" applyAlignment="1">
      <alignment horizontal="left" vertical="center" wrapText="1" readingOrder="1"/>
    </xf>
    <xf numFmtId="0" fontId="68" fillId="39" borderId="83" xfId="305" applyFont="1" applyFill="1" applyBorder="1" applyAlignment="1">
      <alignment horizontal="center" vertical="center" wrapText="1" readingOrder="1"/>
    </xf>
    <xf numFmtId="0" fontId="68" fillId="39" borderId="32" xfId="305" applyFont="1" applyFill="1" applyBorder="1" applyAlignment="1">
      <alignment horizontal="left" vertical="center" wrapText="1" readingOrder="1"/>
    </xf>
    <xf numFmtId="0" fontId="79" fillId="56" borderId="0" xfId="305" applyFont="1" applyFill="1" applyAlignment="1">
      <alignment horizontal="center" vertical="top" readingOrder="1"/>
    </xf>
    <xf numFmtId="0" fontId="79" fillId="57" borderId="0" xfId="305" applyFont="1" applyFill="1" applyAlignment="1">
      <alignment horizontal="center" vertical="top" readingOrder="1"/>
    </xf>
    <xf numFmtId="44" fontId="3" fillId="0" borderId="0" xfId="4" applyNumberFormat="1" applyFont="1"/>
    <xf numFmtId="49" fontId="4" fillId="0" borderId="0" xfId="4" applyNumberFormat="1" applyFont="1"/>
    <xf numFmtId="43" fontId="61" fillId="0" borderId="0" xfId="1" applyFont="1"/>
    <xf numFmtId="43" fontId="6" fillId="51" borderId="3" xfId="1" applyFont="1" applyFill="1" applyBorder="1" applyAlignment="1">
      <alignment horizontal="center"/>
    </xf>
    <xf numFmtId="43" fontId="3" fillId="0" borderId="0" xfId="4" applyNumberFormat="1" applyFont="1" applyAlignment="1">
      <alignment horizontal="center" wrapText="1"/>
    </xf>
    <xf numFmtId="0" fontId="0" fillId="0" borderId="0" xfId="0" applyAlignment="1">
      <alignment wrapText="1" readingOrder="1"/>
    </xf>
    <xf numFmtId="0" fontId="86" fillId="39" borderId="32" xfId="0" applyFont="1" applyFill="1" applyBorder="1" applyAlignment="1">
      <alignment horizontal="left" vertical="center" wrapText="1" readingOrder="1"/>
    </xf>
    <xf numFmtId="0" fontId="86" fillId="39" borderId="33" xfId="0" applyFont="1" applyFill="1" applyBorder="1" applyAlignment="1">
      <alignment horizontal="left" vertical="center" wrapText="1" readingOrder="1"/>
    </xf>
    <xf numFmtId="0" fontId="86" fillId="39" borderId="34" xfId="0" applyFont="1" applyFill="1" applyBorder="1" applyAlignment="1">
      <alignment horizontal="center" vertical="center" wrapText="1" readingOrder="1"/>
    </xf>
    <xf numFmtId="174" fontId="87" fillId="0" borderId="63" xfId="0" applyNumberFormat="1" applyFont="1" applyBorder="1" applyAlignment="1">
      <alignment horizontal="left" vertical="center" wrapText="1" readingOrder="1"/>
    </xf>
    <xf numFmtId="0" fontId="87" fillId="0" borderId="62" xfId="0" applyFont="1" applyBorder="1" applyAlignment="1">
      <alignment horizontal="left" vertical="center" wrapText="1" readingOrder="1"/>
    </xf>
    <xf numFmtId="173" fontId="87" fillId="0" borderId="59" xfId="0" applyNumberFormat="1" applyFont="1" applyBorder="1" applyAlignment="1">
      <alignment horizontal="right" vertical="center" wrapText="1" readingOrder="1"/>
    </xf>
    <xf numFmtId="0" fontId="87" fillId="0" borderId="59" xfId="0" applyFont="1" applyBorder="1" applyAlignment="1">
      <alignment horizontal="right" vertical="center" wrapText="1" readingOrder="1"/>
    </xf>
    <xf numFmtId="173" fontId="87" fillId="44" borderId="59" xfId="0" applyNumberFormat="1" applyFont="1" applyFill="1" applyBorder="1" applyAlignment="1">
      <alignment horizontal="right" vertical="center" wrapText="1" readingOrder="1"/>
    </xf>
    <xf numFmtId="0" fontId="87" fillId="44" borderId="59" xfId="0" applyFont="1" applyFill="1" applyBorder="1" applyAlignment="1">
      <alignment horizontal="right" vertical="center" wrapText="1" readingOrder="1"/>
    </xf>
    <xf numFmtId="173" fontId="87" fillId="43" borderId="59" xfId="0" applyNumberFormat="1" applyFont="1" applyFill="1" applyBorder="1" applyAlignment="1">
      <alignment horizontal="right" vertical="center" wrapText="1" readingOrder="1"/>
    </xf>
    <xf numFmtId="43" fontId="55" fillId="0" borderId="0" xfId="306" applyNumberFormat="1" applyAlignment="1">
      <alignment wrapText="1" readingOrder="1"/>
    </xf>
    <xf numFmtId="44" fontId="3" fillId="51" borderId="3" xfId="1" applyNumberFormat="1" applyFont="1" applyFill="1" applyBorder="1" applyAlignment="1">
      <alignment horizontal="center"/>
    </xf>
    <xf numFmtId="44" fontId="3" fillId="47" borderId="3" xfId="1" applyNumberFormat="1" applyFont="1" applyFill="1" applyBorder="1" applyAlignment="1">
      <alignment horizontal="center"/>
    </xf>
    <xf numFmtId="43" fontId="4" fillId="53" borderId="0" xfId="1" applyFont="1" applyFill="1"/>
    <xf numFmtId="166" fontId="18" fillId="48" borderId="3" xfId="1" applyNumberFormat="1" applyFont="1" applyFill="1" applyBorder="1" applyAlignment="1">
      <alignment horizontal="center"/>
    </xf>
    <xf numFmtId="43" fontId="4" fillId="52" borderId="0" xfId="1" applyFont="1" applyFill="1" applyAlignment="1">
      <alignment horizontal="center"/>
    </xf>
    <xf numFmtId="44" fontId="3" fillId="50" borderId="3" xfId="1" applyNumberFormat="1" applyFont="1" applyFill="1" applyBorder="1" applyAlignment="1">
      <alignment horizontal="center"/>
    </xf>
    <xf numFmtId="166" fontId="3" fillId="0" borderId="29" xfId="1" applyNumberFormat="1" applyFont="1" applyBorder="1" applyAlignment="1">
      <alignment horizontal="center"/>
    </xf>
    <xf numFmtId="10" fontId="11" fillId="47" borderId="66" xfId="3" applyNumberFormat="1" applyFont="1" applyFill="1" applyBorder="1" applyAlignment="1">
      <alignment horizontal="center"/>
    </xf>
    <xf numFmtId="10" fontId="4" fillId="47" borderId="66" xfId="3" applyNumberFormat="1" applyFont="1" applyFill="1" applyBorder="1" applyAlignment="1">
      <alignment horizontal="center"/>
    </xf>
    <xf numFmtId="0" fontId="4" fillId="0" borderId="1" xfId="4" applyFont="1" applyBorder="1" applyAlignment="1">
      <alignment horizontal="center" wrapText="1"/>
    </xf>
    <xf numFmtId="0" fontId="89" fillId="0" borderId="1" xfId="4" applyFont="1" applyBorder="1" applyAlignment="1">
      <alignment horizontal="center" wrapText="1"/>
    </xf>
    <xf numFmtId="0" fontId="20" fillId="0" borderId="0" xfId="4" applyFont="1" applyAlignment="1">
      <alignment horizontal="center"/>
    </xf>
    <xf numFmtId="0" fontId="90" fillId="0" borderId="0" xfId="0" applyFont="1"/>
    <xf numFmtId="166" fontId="4" fillId="0" borderId="0" xfId="4" applyNumberFormat="1" applyFont="1" applyAlignment="1">
      <alignment horizontal="center"/>
    </xf>
    <xf numFmtId="166" fontId="4" fillId="0" borderId="0" xfId="1" applyNumberFormat="1" applyFont="1" applyAlignment="1">
      <alignment horizontal="center" wrapText="1"/>
    </xf>
    <xf numFmtId="44" fontId="3" fillId="54" borderId="3" xfId="1" applyNumberFormat="1" applyFont="1" applyFill="1" applyBorder="1" applyAlignment="1">
      <alignment horizontal="center"/>
    </xf>
    <xf numFmtId="0" fontId="4" fillId="54" borderId="0" xfId="4" applyFont="1" applyFill="1"/>
    <xf numFmtId="0" fontId="3" fillId="54" borderId="0" xfId="4" applyFont="1" applyFill="1"/>
    <xf numFmtId="0" fontId="61" fillId="0" borderId="0" xfId="0" quotePrefix="1" applyFont="1"/>
    <xf numFmtId="43" fontId="0" fillId="47" borderId="0" xfId="1" applyFont="1" applyFill="1"/>
    <xf numFmtId="0" fontId="9" fillId="47" borderId="6" xfId="0" applyFont="1" applyFill="1" applyBorder="1" applyAlignment="1">
      <alignment vertical="center"/>
    </xf>
    <xf numFmtId="49" fontId="3" fillId="47" borderId="7" xfId="4" applyNumberFormat="1" applyFont="1" applyFill="1" applyBorder="1" applyAlignment="1">
      <alignment vertical="center"/>
    </xf>
    <xf numFmtId="0" fontId="3" fillId="47" borderId="8" xfId="4" applyFont="1" applyFill="1" applyBorder="1" applyAlignment="1">
      <alignment vertical="center"/>
    </xf>
    <xf numFmtId="166" fontId="0" fillId="0" borderId="0" xfId="1" applyNumberFormat="1" applyFont="1"/>
    <xf numFmtId="0" fontId="0" fillId="47" borderId="66" xfId="0" applyFill="1" applyBorder="1"/>
    <xf numFmtId="166" fontId="61" fillId="0" borderId="0" xfId="1" applyNumberFormat="1" applyFont="1"/>
    <xf numFmtId="166" fontId="61" fillId="47" borderId="66" xfId="1" applyNumberFormat="1" applyFont="1" applyFill="1" applyBorder="1"/>
    <xf numFmtId="166" fontId="3" fillId="0" borderId="0" xfId="1" applyNumberFormat="1" applyFont="1" applyFill="1" applyAlignment="1">
      <alignment horizontal="center"/>
    </xf>
    <xf numFmtId="166" fontId="64" fillId="0" borderId="0" xfId="1" applyNumberFormat="1" applyFont="1" applyFill="1" applyAlignment="1">
      <alignment horizontal="center"/>
    </xf>
    <xf numFmtId="166" fontId="3" fillId="0" borderId="1" xfId="1" applyNumberFormat="1" applyFont="1" applyFill="1" applyBorder="1" applyAlignment="1">
      <alignment horizontal="center"/>
    </xf>
    <xf numFmtId="166" fontId="3" fillId="0" borderId="0" xfId="2" applyNumberFormat="1" applyFont="1" applyFill="1" applyAlignment="1">
      <alignment horizontal="center"/>
    </xf>
    <xf numFmtId="166" fontId="3" fillId="0" borderId="1" xfId="2" applyNumberFormat="1" applyFont="1" applyFill="1" applyBorder="1" applyAlignment="1">
      <alignment horizontal="center"/>
    </xf>
    <xf numFmtId="44" fontId="56" fillId="0" borderId="0" xfId="2" applyFont="1"/>
    <xf numFmtId="0" fontId="91" fillId="45" borderId="36" xfId="0" applyFont="1" applyFill="1" applyBorder="1" applyAlignment="1">
      <alignment horizontal="center"/>
    </xf>
    <xf numFmtId="0" fontId="0" fillId="40" borderId="25" xfId="0" applyFill="1" applyBorder="1" applyAlignment="1">
      <alignment horizontal="center"/>
    </xf>
    <xf numFmtId="0" fontId="0" fillId="40" borderId="0" xfId="0" applyFill="1" applyAlignment="1">
      <alignment horizontal="center"/>
    </xf>
    <xf numFmtId="0" fontId="0" fillId="38" borderId="0" xfId="0" applyFill="1" applyAlignment="1">
      <alignment horizontal="center" vertical="center" wrapText="1"/>
    </xf>
    <xf numFmtId="0" fontId="91" fillId="45" borderId="66" xfId="0" applyFont="1" applyFill="1" applyBorder="1" applyAlignment="1">
      <alignment horizontal="center" vertical="center" wrapText="1"/>
    </xf>
    <xf numFmtId="0" fontId="65" fillId="45" borderId="66" xfId="0" applyFont="1" applyFill="1" applyBorder="1" applyAlignment="1">
      <alignment horizontal="center" vertical="center" wrapText="1"/>
    </xf>
    <xf numFmtId="0" fontId="65" fillId="45" borderId="7" xfId="0" applyFont="1" applyFill="1" applyBorder="1" applyAlignment="1">
      <alignment horizontal="center" vertical="center" wrapText="1"/>
    </xf>
    <xf numFmtId="0" fontId="65" fillId="45" borderId="8" xfId="0" applyFont="1" applyFill="1" applyBorder="1" applyAlignment="1">
      <alignment horizontal="center" vertical="center" wrapText="1"/>
    </xf>
    <xf numFmtId="10" fontId="0" fillId="41" borderId="22" xfId="0" applyNumberFormat="1" applyFill="1" applyBorder="1" applyAlignment="1">
      <alignment horizontal="center"/>
    </xf>
    <xf numFmtId="10" fontId="0" fillId="41" borderId="23" xfId="0" applyNumberFormat="1" applyFill="1" applyBorder="1" applyAlignment="1">
      <alignment horizontal="center"/>
    </xf>
    <xf numFmtId="10" fontId="0" fillId="41" borderId="23" xfId="3" applyNumberFormat="1" applyFont="1" applyFill="1" applyBorder="1" applyAlignment="1">
      <alignment horizontal="center"/>
    </xf>
    <xf numFmtId="10" fontId="0" fillId="41" borderId="24" xfId="3" applyNumberFormat="1" applyFont="1" applyFill="1" applyBorder="1" applyAlignment="1">
      <alignment horizontal="center"/>
    </xf>
    <xf numFmtId="0" fontId="0" fillId="38" borderId="0" xfId="0" applyFill="1" applyAlignment="1">
      <alignment horizontal="left"/>
    </xf>
    <xf numFmtId="10" fontId="0" fillId="41" borderId="25" xfId="0" applyNumberFormat="1" applyFill="1" applyBorder="1" applyAlignment="1">
      <alignment horizontal="center"/>
    </xf>
    <xf numFmtId="10" fontId="0" fillId="41" borderId="0" xfId="0" applyNumberFormat="1" applyFill="1" applyAlignment="1">
      <alignment horizontal="center"/>
    </xf>
    <xf numFmtId="10" fontId="0" fillId="41" borderId="0" xfId="3" applyNumberFormat="1" applyFont="1" applyFill="1" applyBorder="1" applyAlignment="1">
      <alignment horizontal="center"/>
    </xf>
    <xf numFmtId="10" fontId="0" fillId="41" borderId="26" xfId="3" applyNumberFormat="1" applyFont="1" applyFill="1" applyBorder="1" applyAlignment="1">
      <alignment horizontal="center"/>
    </xf>
    <xf numFmtId="176" fontId="0" fillId="41" borderId="25" xfId="2" applyNumberFormat="1" applyFont="1" applyFill="1" applyBorder="1" applyAlignment="1">
      <alignment horizontal="center" vertical="center"/>
    </xf>
    <xf numFmtId="176" fontId="0" fillId="41" borderId="0" xfId="2" applyNumberFormat="1" applyFont="1" applyFill="1" applyBorder="1" applyAlignment="1">
      <alignment horizontal="center" vertical="center"/>
    </xf>
    <xf numFmtId="44" fontId="0" fillId="41" borderId="0" xfId="2" applyFont="1" applyFill="1" applyBorder="1" applyAlignment="1">
      <alignment horizontal="center"/>
    </xf>
    <xf numFmtId="44" fontId="0" fillId="41" borderId="26" xfId="2" applyFont="1" applyFill="1" applyBorder="1" applyAlignment="1">
      <alignment horizontal="center"/>
    </xf>
    <xf numFmtId="10" fontId="0" fillId="41" borderId="27" xfId="0" applyNumberFormat="1" applyFill="1" applyBorder="1" applyAlignment="1">
      <alignment horizontal="center"/>
    </xf>
    <xf numFmtId="10" fontId="0" fillId="41" borderId="1" xfId="0" applyNumberFormat="1" applyFill="1" applyBorder="1" applyAlignment="1">
      <alignment horizontal="center"/>
    </xf>
    <xf numFmtId="10" fontId="0" fillId="41" borderId="1" xfId="3" applyNumberFormat="1" applyFont="1" applyFill="1" applyBorder="1" applyAlignment="1">
      <alignment horizontal="center"/>
    </xf>
    <xf numFmtId="10" fontId="0" fillId="41" borderId="28" xfId="3" applyNumberFormat="1" applyFont="1" applyFill="1" applyBorder="1" applyAlignment="1">
      <alignment horizontal="center"/>
    </xf>
    <xf numFmtId="0" fontId="65" fillId="45" borderId="35" xfId="0" applyFont="1" applyFill="1" applyBorder="1" applyAlignment="1">
      <alignment horizontal="center" vertical="center" wrapText="1"/>
    </xf>
    <xf numFmtId="0" fontId="65" fillId="45" borderId="23" xfId="0" applyFont="1" applyFill="1" applyBorder="1" applyAlignment="1">
      <alignment horizontal="center" vertical="center" wrapText="1"/>
    </xf>
    <xf numFmtId="0" fontId="65" fillId="45" borderId="24" xfId="0" applyFont="1" applyFill="1" applyBorder="1" applyAlignment="1">
      <alignment horizontal="center" vertical="center" wrapText="1"/>
    </xf>
    <xf numFmtId="0" fontId="0" fillId="38" borderId="22" xfId="0" applyFill="1" applyBorder="1" applyAlignment="1">
      <alignment horizontal="center"/>
    </xf>
    <xf numFmtId="0" fontId="0" fillId="38" borderId="23" xfId="0" applyFill="1" applyBorder="1"/>
    <xf numFmtId="43" fontId="0" fillId="41" borderId="22" xfId="1" applyFont="1" applyFill="1" applyBorder="1" applyAlignment="1">
      <alignment horizontal="center"/>
    </xf>
    <xf numFmtId="43" fontId="0" fillId="41" borderId="23" xfId="1" applyFont="1" applyFill="1" applyBorder="1" applyAlignment="1">
      <alignment horizontal="center"/>
    </xf>
    <xf numFmtId="43" fontId="0" fillId="41" borderId="24" xfId="1" applyFont="1" applyFill="1" applyBorder="1" applyAlignment="1">
      <alignment horizontal="center"/>
    </xf>
    <xf numFmtId="0" fontId="0" fillId="38" borderId="25" xfId="0" applyFill="1" applyBorder="1" applyAlignment="1">
      <alignment horizontal="center"/>
    </xf>
    <xf numFmtId="43" fontId="0" fillId="3" borderId="25" xfId="1" applyFont="1" applyFill="1" applyBorder="1" applyAlignment="1">
      <alignment horizontal="center"/>
    </xf>
    <xf numFmtId="43" fontId="0" fillId="41" borderId="0" xfId="1" applyFont="1" applyFill="1" applyBorder="1" applyAlignment="1">
      <alignment horizontal="center"/>
    </xf>
    <xf numFmtId="43" fontId="0" fillId="41" borderId="0" xfId="1" applyFont="1" applyFill="1" applyBorder="1" applyAlignment="1">
      <alignment horizontal="left"/>
    </xf>
    <xf numFmtId="43" fontId="0" fillId="41" borderId="26" xfId="1" applyFont="1" applyFill="1" applyBorder="1" applyAlignment="1">
      <alignment horizontal="center"/>
    </xf>
    <xf numFmtId="43" fontId="0" fillId="41" borderId="25" xfId="1" applyFont="1" applyFill="1" applyBorder="1" applyAlignment="1">
      <alignment horizontal="center"/>
    </xf>
    <xf numFmtId="43" fontId="65" fillId="41" borderId="0" xfId="1" applyFont="1" applyFill="1" applyBorder="1" applyAlignment="1">
      <alignment horizontal="center"/>
    </xf>
    <xf numFmtId="0" fontId="0" fillId="0" borderId="0" xfId="0" applyAlignment="1">
      <alignment vertical="center"/>
    </xf>
    <xf numFmtId="0" fontId="91" fillId="45" borderId="36" xfId="0" applyFont="1" applyFill="1" applyBorder="1" applyAlignment="1">
      <alignment horizontal="center" vertical="center"/>
    </xf>
    <xf numFmtId="0" fontId="0" fillId="38" borderId="25" xfId="0" applyFill="1" applyBorder="1" applyAlignment="1">
      <alignment horizontal="center" vertical="center"/>
    </xf>
    <xf numFmtId="0" fontId="0" fillId="38" borderId="0" xfId="0" applyFill="1" applyAlignment="1">
      <alignment vertical="center"/>
    </xf>
    <xf numFmtId="43" fontId="0" fillId="41" borderId="25" xfId="1" applyFont="1" applyFill="1" applyBorder="1" applyAlignment="1">
      <alignment horizontal="center" vertical="center" wrapText="1"/>
    </xf>
    <xf numFmtId="43" fontId="0" fillId="41" borderId="0" xfId="1" applyFont="1" applyFill="1" applyBorder="1" applyAlignment="1">
      <alignment horizontal="center" vertical="center" wrapText="1"/>
    </xf>
    <xf numFmtId="43" fontId="0" fillId="41" borderId="26" xfId="1" applyFont="1" applyFill="1" applyBorder="1" applyAlignment="1">
      <alignment horizontal="center" vertical="center" wrapText="1"/>
    </xf>
    <xf numFmtId="0" fontId="0" fillId="38" borderId="27" xfId="0" applyFill="1" applyBorder="1" applyAlignment="1">
      <alignment horizontal="center"/>
    </xf>
    <xf numFmtId="0" fontId="0" fillId="38" borderId="1" xfId="0" applyFill="1" applyBorder="1"/>
    <xf numFmtId="43" fontId="0" fillId="41" borderId="27" xfId="1" applyFont="1" applyFill="1" applyBorder="1" applyAlignment="1">
      <alignment horizontal="center"/>
    </xf>
    <xf numFmtId="43" fontId="0" fillId="41" borderId="1" xfId="1" applyFont="1" applyFill="1" applyBorder="1" applyAlignment="1">
      <alignment horizontal="center"/>
    </xf>
    <xf numFmtId="43" fontId="0" fillId="41" borderId="1" xfId="1" applyFont="1" applyFill="1" applyBorder="1" applyAlignment="1">
      <alignment horizontal="left"/>
    </xf>
    <xf numFmtId="43" fontId="0" fillId="41" borderId="28" xfId="1" applyFont="1" applyFill="1" applyBorder="1" applyAlignment="1">
      <alignment horizontal="center"/>
    </xf>
    <xf numFmtId="43" fontId="6" fillId="3" borderId="3" xfId="1" applyFont="1" applyFill="1" applyBorder="1" applyAlignment="1">
      <alignment horizontal="center"/>
    </xf>
    <xf numFmtId="43" fontId="3" fillId="52" borderId="0" xfId="1" applyFont="1" applyFill="1" applyAlignment="1">
      <alignment horizontal="center"/>
    </xf>
    <xf numFmtId="44" fontId="4" fillId="58" borderId="0" xfId="4" applyNumberFormat="1" applyFont="1" applyFill="1" applyAlignment="1">
      <alignment horizontal="center"/>
    </xf>
    <xf numFmtId="43" fontId="4" fillId="58" borderId="0" xfId="1" applyFont="1" applyFill="1" applyAlignment="1">
      <alignment horizontal="center"/>
    </xf>
    <xf numFmtId="44" fontId="4" fillId="49" borderId="0" xfId="4" applyNumberFormat="1" applyFont="1" applyFill="1" applyAlignment="1">
      <alignment horizontal="center"/>
    </xf>
    <xf numFmtId="44" fontId="3" fillId="51" borderId="35" xfId="4" applyNumberFormat="1" applyFont="1" applyFill="1" applyBorder="1" applyAlignment="1">
      <alignment horizontal="center"/>
    </xf>
    <xf numFmtId="44" fontId="4" fillId="51" borderId="7" xfId="2" applyFont="1" applyFill="1" applyBorder="1" applyAlignment="1">
      <alignment horizontal="center"/>
    </xf>
    <xf numFmtId="44" fontId="3" fillId="47" borderId="35" xfId="4" applyNumberFormat="1" applyFont="1" applyFill="1" applyBorder="1" applyAlignment="1">
      <alignment horizontal="center"/>
    </xf>
    <xf numFmtId="44" fontId="4" fillId="47" borderId="7" xfId="2" applyFont="1" applyFill="1" applyBorder="1" applyAlignment="1">
      <alignment horizontal="center"/>
    </xf>
    <xf numFmtId="0" fontId="92" fillId="0" borderId="0" xfId="309"/>
    <xf numFmtId="10" fontId="0" fillId="0" borderId="0" xfId="310" applyNumberFormat="1" applyFont="1" applyAlignment="1"/>
    <xf numFmtId="0" fontId="92" fillId="60" borderId="0" xfId="309" applyFill="1"/>
    <xf numFmtId="0" fontId="92" fillId="3" borderId="0" xfId="309" applyFill="1"/>
    <xf numFmtId="0" fontId="93" fillId="0" borderId="0" xfId="309" applyFont="1" applyAlignment="1">
      <alignment horizontal="center"/>
    </xf>
    <xf numFmtId="0" fontId="93" fillId="0" borderId="53" xfId="309" applyFont="1" applyBorder="1" applyAlignment="1">
      <alignment horizontal="center" vertical="center" wrapText="1"/>
    </xf>
    <xf numFmtId="0" fontId="93" fillId="3" borderId="53" xfId="309" applyFont="1" applyFill="1" applyBorder="1" applyAlignment="1">
      <alignment horizontal="center" vertical="center" wrapText="1"/>
    </xf>
    <xf numFmtId="0" fontId="94" fillId="0" borderId="0" xfId="309" applyFont="1"/>
    <xf numFmtId="43" fontId="92" fillId="3" borderId="0" xfId="309" applyNumberFormat="1" applyFill="1"/>
    <xf numFmtId="43" fontId="92" fillId="0" borderId="0" xfId="309" applyNumberFormat="1"/>
    <xf numFmtId="0" fontId="92" fillId="0" borderId="0" xfId="309" applyAlignment="1">
      <alignment horizontal="right"/>
    </xf>
    <xf numFmtId="43" fontId="92" fillId="3" borderId="91" xfId="309" applyNumberFormat="1" applyFill="1" applyBorder="1"/>
    <xf numFmtId="43" fontId="92" fillId="0" borderId="91" xfId="309" applyNumberFormat="1" applyBorder="1"/>
    <xf numFmtId="10" fontId="93" fillId="59" borderId="0" xfId="310" applyNumberFormat="1" applyFont="1" applyFill="1" applyAlignment="1"/>
    <xf numFmtId="9" fontId="92" fillId="60" borderId="0" xfId="309" applyNumberFormat="1" applyFill="1"/>
    <xf numFmtId="43" fontId="92" fillId="35" borderId="0" xfId="309" applyNumberFormat="1" applyFill="1"/>
    <xf numFmtId="43" fontId="92" fillId="35" borderId="91" xfId="309" applyNumberFormat="1" applyFill="1" applyBorder="1"/>
    <xf numFmtId="9" fontId="0" fillId="0" borderId="0" xfId="0" applyNumberFormat="1"/>
    <xf numFmtId="167" fontId="4" fillId="61" borderId="7" xfId="2" applyNumberFormat="1" applyFont="1" applyFill="1" applyBorder="1" applyAlignment="1">
      <alignment horizontal="center"/>
    </xf>
    <xf numFmtId="167" fontId="4" fillId="0" borderId="7" xfId="2" applyNumberFormat="1" applyFont="1" applyFill="1" applyBorder="1" applyAlignment="1">
      <alignment horizontal="center"/>
    </xf>
    <xf numFmtId="167" fontId="4" fillId="62" borderId="7" xfId="2" applyNumberFormat="1" applyFont="1" applyFill="1" applyBorder="1" applyAlignment="1">
      <alignment horizontal="center"/>
    </xf>
    <xf numFmtId="0" fontId="11" fillId="55" borderId="1" xfId="4" applyFont="1" applyFill="1" applyBorder="1" applyAlignment="1">
      <alignment horizontal="center"/>
    </xf>
    <xf numFmtId="0" fontId="95" fillId="0" borderId="1" xfId="4" applyFont="1" applyBorder="1" applyAlignment="1">
      <alignment horizontal="center"/>
    </xf>
    <xf numFmtId="0" fontId="89" fillId="0" borderId="0" xfId="4" applyFont="1" applyAlignment="1">
      <alignment horizontal="left"/>
    </xf>
    <xf numFmtId="0" fontId="61" fillId="55" borderId="0" xfId="0" applyFont="1" applyFill="1" applyAlignment="1">
      <alignment horizontal="center"/>
    </xf>
    <xf numFmtId="49" fontId="11" fillId="0" borderId="80" xfId="4" applyNumberFormat="1" applyFont="1" applyBorder="1"/>
    <xf numFmtId="43" fontId="3" fillId="0" borderId="80" xfId="1" applyFont="1" applyBorder="1" applyAlignment="1">
      <alignment horizontal="left"/>
    </xf>
    <xf numFmtId="0" fontId="3" fillId="0" borderId="80" xfId="4" quotePrefix="1" applyFont="1" applyBorder="1"/>
    <xf numFmtId="0" fontId="3" fillId="2" borderId="80" xfId="0" applyFont="1" applyFill="1" applyBorder="1" applyAlignment="1">
      <alignment horizontal="left"/>
    </xf>
    <xf numFmtId="164" fontId="58" fillId="0" borderId="80" xfId="3" applyNumberFormat="1" applyFont="1" applyBorder="1" applyAlignment="1">
      <alignment horizontal="center"/>
    </xf>
    <xf numFmtId="49" fontId="3" fillId="0" borderId="80" xfId="4" quotePrefix="1" applyNumberFormat="1" applyFont="1" applyBorder="1"/>
    <xf numFmtId="166" fontId="3" fillId="0" borderId="92" xfId="1" applyNumberFormat="1" applyFont="1" applyBorder="1" applyAlignment="1">
      <alignment horizontal="center"/>
    </xf>
    <xf numFmtId="164" fontId="58" fillId="0" borderId="92" xfId="3" applyNumberFormat="1" applyFont="1" applyBorder="1" applyAlignment="1">
      <alignment horizontal="center"/>
    </xf>
    <xf numFmtId="49" fontId="59" fillId="0" borderId="80" xfId="4" quotePrefix="1" applyNumberFormat="1" applyFont="1" applyBorder="1"/>
    <xf numFmtId="0" fontId="59" fillId="2" borderId="80" xfId="0" applyFont="1" applyFill="1" applyBorder="1" applyAlignment="1">
      <alignment horizontal="right"/>
    </xf>
    <xf numFmtId="0" fontId="3" fillId="0" borderId="80" xfId="4" applyFont="1" applyBorder="1"/>
    <xf numFmtId="0" fontId="58" fillId="0" borderId="80" xfId="3" applyNumberFormat="1" applyFont="1" applyBorder="1" applyAlignment="1">
      <alignment horizontal="center"/>
    </xf>
    <xf numFmtId="43" fontId="4" fillId="0" borderId="0" xfId="1" quotePrefix="1" applyFont="1" applyAlignment="1">
      <alignment horizontal="center"/>
    </xf>
    <xf numFmtId="167" fontId="56" fillId="52" borderId="66" xfId="4" applyNumberFormat="1" applyFont="1" applyFill="1" applyBorder="1" applyAlignment="1">
      <alignment horizontal="center"/>
    </xf>
    <xf numFmtId="0" fontId="57" fillId="0" borderId="0" xfId="4" applyFont="1" applyAlignment="1">
      <alignment horizontal="left"/>
    </xf>
    <xf numFmtId="9" fontId="48" fillId="0" borderId="0" xfId="4" applyNumberFormat="1" applyFont="1" applyAlignment="1">
      <alignment horizontal="center"/>
    </xf>
    <xf numFmtId="166" fontId="48" fillId="0" borderId="0" xfId="1" applyNumberFormat="1" applyFont="1" applyAlignment="1">
      <alignment horizontal="center"/>
    </xf>
    <xf numFmtId="0" fontId="48" fillId="0" borderId="0" xfId="4" applyFont="1" applyAlignment="1">
      <alignment horizontal="left"/>
    </xf>
    <xf numFmtId="49" fontId="3" fillId="0" borderId="0" xfId="4" applyNumberFormat="1" applyFont="1" applyAlignment="1">
      <alignment horizontal="left"/>
    </xf>
    <xf numFmtId="0" fontId="97" fillId="0" borderId="0" xfId="4" applyFont="1" applyAlignment="1">
      <alignment horizontal="left"/>
    </xf>
    <xf numFmtId="9" fontId="4" fillId="0" borderId="0" xfId="3" applyFont="1"/>
    <xf numFmtId="49" fontId="4" fillId="0" borderId="0" xfId="4" applyNumberFormat="1" applyFont="1" applyAlignment="1">
      <alignment horizontal="left"/>
    </xf>
    <xf numFmtId="0" fontId="97" fillId="0" borderId="0" xfId="4" applyFont="1" applyAlignment="1">
      <alignment horizontal="left" wrapText="1"/>
    </xf>
    <xf numFmtId="0" fontId="96" fillId="0" borderId="0" xfId="4" applyFont="1" applyAlignment="1">
      <alignment horizontal="center" vertical="center" wrapText="1"/>
    </xf>
    <xf numFmtId="12" fontId="4" fillId="53" borderId="0" xfId="1" applyNumberFormat="1" applyFont="1" applyFill="1" applyAlignment="1">
      <alignment horizontal="center"/>
    </xf>
    <xf numFmtId="0" fontId="64" fillId="0" borderId="0" xfId="4" applyFont="1" applyAlignment="1">
      <alignment horizontal="center" wrapText="1"/>
    </xf>
    <xf numFmtId="44" fontId="3" fillId="63" borderId="3" xfId="1" applyNumberFormat="1" applyFont="1" applyFill="1" applyBorder="1" applyAlignment="1">
      <alignment horizontal="center"/>
    </xf>
    <xf numFmtId="166" fontId="3" fillId="63" borderId="3" xfId="1" applyNumberFormat="1" applyFont="1" applyFill="1" applyBorder="1" applyAlignment="1">
      <alignment horizontal="center"/>
    </xf>
    <xf numFmtId="43" fontId="3" fillId="63" borderId="3" xfId="1" applyFont="1" applyFill="1" applyBorder="1" applyAlignment="1">
      <alignment horizontal="center"/>
    </xf>
    <xf numFmtId="0" fontId="90" fillId="0" borderId="0" xfId="1" applyNumberFormat="1" applyFont="1" applyAlignment="1">
      <alignment horizontal="center"/>
    </xf>
    <xf numFmtId="166" fontId="3" fillId="64" borderId="0" xfId="1" applyNumberFormat="1" applyFont="1" applyFill="1" applyAlignment="1">
      <alignment horizontal="center"/>
    </xf>
    <xf numFmtId="43" fontId="3" fillId="64" borderId="0" xfId="1" applyFont="1" applyFill="1" applyAlignment="1">
      <alignment horizontal="center"/>
    </xf>
    <xf numFmtId="167" fontId="4" fillId="65" borderId="7" xfId="2" applyNumberFormat="1" applyFont="1" applyFill="1" applyBorder="1" applyAlignment="1">
      <alignment horizontal="center"/>
    </xf>
    <xf numFmtId="10" fontId="98" fillId="0" borderId="0" xfId="3" applyNumberFormat="1" applyFont="1" applyAlignment="1">
      <alignment horizontal="right"/>
    </xf>
    <xf numFmtId="10" fontId="99" fillId="0" borderId="0" xfId="3" applyNumberFormat="1" applyFont="1" applyAlignment="1">
      <alignment horizontal="right"/>
    </xf>
    <xf numFmtId="0" fontId="98" fillId="0" borderId="0" xfId="4" applyFont="1" applyAlignment="1">
      <alignment horizontal="right"/>
    </xf>
    <xf numFmtId="0" fontId="100" fillId="0" borderId="0" xfId="4" applyFont="1" applyAlignment="1">
      <alignment horizontal="right"/>
    </xf>
    <xf numFmtId="166" fontId="100" fillId="0" borderId="0" xfId="1" applyNumberFormat="1" applyFont="1" applyAlignment="1">
      <alignment horizontal="right"/>
    </xf>
    <xf numFmtId="0" fontId="98" fillId="0" borderId="0" xfId="4" applyFont="1" applyAlignment="1">
      <alignment horizontal="center"/>
    </xf>
    <xf numFmtId="0" fontId="98" fillId="0" borderId="0" xfId="4" applyFont="1" applyAlignment="1">
      <alignment horizontal="center" wrapText="1"/>
    </xf>
    <xf numFmtId="166" fontId="100" fillId="0" borderId="0" xfId="1" applyNumberFormat="1" applyFont="1" applyAlignment="1">
      <alignment horizontal="center" wrapText="1"/>
    </xf>
    <xf numFmtId="0" fontId="101" fillId="0" borderId="0" xfId="4" applyFont="1" applyAlignment="1">
      <alignment horizontal="right"/>
    </xf>
    <xf numFmtId="0" fontId="101" fillId="0" borderId="53" xfId="4" applyFont="1" applyBorder="1" applyAlignment="1">
      <alignment horizontal="right"/>
    </xf>
    <xf numFmtId="0" fontId="102" fillId="0" borderId="0" xfId="4" applyFont="1" applyAlignment="1">
      <alignment horizontal="center"/>
    </xf>
    <xf numFmtId="0" fontId="66" fillId="38" borderId="0" xfId="0" applyFont="1" applyFill="1" applyAlignment="1">
      <alignment horizontal="center" vertical="center"/>
    </xf>
    <xf numFmtId="0" fontId="66" fillId="38" borderId="0" xfId="0" applyFont="1" applyFill="1" applyAlignment="1">
      <alignment horizontal="center" vertical="center" wrapText="1"/>
    </xf>
    <xf numFmtId="0" fontId="4" fillId="0" borderId="6" xfId="4" applyFont="1" applyBorder="1" applyAlignment="1">
      <alignment horizontal="center" vertical="center"/>
    </xf>
    <xf numFmtId="0" fontId="4" fillId="0" borderId="7" xfId="4" applyFont="1" applyBorder="1" applyAlignment="1">
      <alignment horizontal="center" vertical="center"/>
    </xf>
    <xf numFmtId="0" fontId="4" fillId="0" borderId="8" xfId="4" applyFont="1" applyBorder="1" applyAlignment="1">
      <alignment horizontal="center" vertical="center"/>
    </xf>
    <xf numFmtId="0" fontId="3" fillId="0" borderId="0" xfId="4" applyFont="1" applyAlignment="1">
      <alignment horizontal="center"/>
    </xf>
    <xf numFmtId="0" fontId="0" fillId="0" borderId="0" xfId="0" applyAlignment="1">
      <alignment horizontal="center"/>
    </xf>
    <xf numFmtId="166" fontId="15" fillId="0" borderId="2" xfId="1" applyNumberFormat="1" applyFont="1" applyBorder="1" applyAlignment="1">
      <alignment horizontal="center"/>
    </xf>
    <xf numFmtId="0" fontId="4" fillId="47" borderId="6" xfId="4" applyFont="1" applyFill="1" applyBorder="1" applyAlignment="1">
      <alignment horizontal="center" vertical="center"/>
    </xf>
    <xf numFmtId="0" fontId="4" fillId="47" borderId="7" xfId="4" applyFont="1" applyFill="1" applyBorder="1" applyAlignment="1">
      <alignment horizontal="center" vertical="center"/>
    </xf>
    <xf numFmtId="0" fontId="4" fillId="47" borderId="8" xfId="4" applyFont="1" applyFill="1" applyBorder="1" applyAlignment="1">
      <alignment horizontal="center" vertical="center"/>
    </xf>
    <xf numFmtId="0" fontId="3" fillId="47" borderId="6" xfId="4" applyFont="1" applyFill="1" applyBorder="1" applyAlignment="1">
      <alignment horizontal="center"/>
    </xf>
    <xf numFmtId="0" fontId="3" fillId="47" borderId="7" xfId="4" applyFont="1" applyFill="1" applyBorder="1" applyAlignment="1">
      <alignment horizontal="center"/>
    </xf>
    <xf numFmtId="0" fontId="3" fillId="47" borderId="8" xfId="4" applyFont="1" applyFill="1" applyBorder="1" applyAlignment="1">
      <alignment horizontal="center"/>
    </xf>
    <xf numFmtId="0" fontId="3" fillId="55" borderId="6" xfId="4" applyFont="1" applyFill="1" applyBorder="1" applyAlignment="1">
      <alignment horizontal="center"/>
    </xf>
    <xf numFmtId="0" fontId="3" fillId="55" borderId="7" xfId="4" applyFont="1" applyFill="1" applyBorder="1" applyAlignment="1">
      <alignment horizontal="center"/>
    </xf>
    <xf numFmtId="0" fontId="3" fillId="55" borderId="8" xfId="4" applyFont="1" applyFill="1" applyBorder="1" applyAlignment="1">
      <alignment horizontal="center"/>
    </xf>
    <xf numFmtId="0" fontId="0" fillId="38" borderId="25" xfId="0" applyFill="1" applyBorder="1" applyAlignment="1">
      <alignment horizontal="left"/>
    </xf>
    <xf numFmtId="0" fontId="0" fillId="38" borderId="0" xfId="0" applyFill="1" applyAlignment="1">
      <alignment horizontal="left"/>
    </xf>
    <xf numFmtId="0" fontId="0" fillId="38" borderId="27" xfId="0" applyFill="1" applyBorder="1" applyAlignment="1">
      <alignment horizontal="left"/>
    </xf>
    <xf numFmtId="0" fontId="0" fillId="38" borderId="1" xfId="0" applyFill="1" applyBorder="1" applyAlignment="1">
      <alignment horizontal="left"/>
    </xf>
    <xf numFmtId="0" fontId="91" fillId="45" borderId="6" xfId="0" applyFont="1" applyFill="1" applyBorder="1" applyAlignment="1">
      <alignment horizontal="left"/>
    </xf>
    <xf numFmtId="0" fontId="91" fillId="45" borderId="8" xfId="0" applyFont="1" applyFill="1" applyBorder="1" applyAlignment="1">
      <alignment horizontal="left"/>
    </xf>
    <xf numFmtId="0" fontId="91" fillId="45" borderId="6" xfId="0" applyFont="1" applyFill="1" applyBorder="1" applyAlignment="1">
      <alignment horizontal="center" vertical="center" wrapText="1"/>
    </xf>
    <xf numFmtId="0" fontId="91" fillId="45" borderId="8" xfId="0" applyFont="1" applyFill="1" applyBorder="1" applyAlignment="1">
      <alignment horizontal="center" vertical="center" wrapText="1"/>
    </xf>
    <xf numFmtId="0" fontId="0" fillId="38" borderId="22" xfId="0" applyFill="1" applyBorder="1" applyAlignment="1">
      <alignment horizontal="left"/>
    </xf>
    <xf numFmtId="0" fontId="0" fillId="38" borderId="23" xfId="0" applyFill="1" applyBorder="1" applyAlignment="1">
      <alignment horizontal="left"/>
    </xf>
    <xf numFmtId="37" fontId="69" fillId="0" borderId="42" xfId="0" applyNumberFormat="1" applyFont="1" applyBorder="1" applyAlignment="1">
      <alignment horizontal="center"/>
    </xf>
    <xf numFmtId="0" fontId="88" fillId="44" borderId="61" xfId="0" applyFont="1" applyFill="1" applyBorder="1" applyAlignment="1">
      <alignment horizontal="left" vertical="center" wrapText="1" readingOrder="1"/>
    </xf>
    <xf numFmtId="0" fontId="88" fillId="44" borderId="60" xfId="0" applyFont="1" applyFill="1" applyBorder="1" applyAlignment="1">
      <alignment horizontal="left" vertical="center" wrapText="1" readingOrder="1"/>
    </xf>
    <xf numFmtId="0" fontId="88" fillId="43" borderId="61" xfId="0" applyFont="1" applyFill="1" applyBorder="1" applyAlignment="1">
      <alignment horizontal="right" vertical="center" wrapText="1" readingOrder="1"/>
    </xf>
    <xf numFmtId="0" fontId="88" fillId="43" borderId="60" xfId="0" applyFont="1" applyFill="1" applyBorder="1" applyAlignment="1">
      <alignment horizontal="right" vertical="center" wrapText="1" readingOrder="1"/>
    </xf>
    <xf numFmtId="0" fontId="88" fillId="43" borderId="61" xfId="0" applyFont="1" applyFill="1" applyBorder="1" applyAlignment="1">
      <alignment horizontal="left" vertical="center" wrapText="1" readingOrder="1"/>
    </xf>
    <xf numFmtId="0" fontId="88" fillId="43" borderId="60" xfId="0" applyFont="1" applyFill="1" applyBorder="1" applyAlignment="1">
      <alignment horizontal="left" vertical="center" wrapText="1" readingOrder="1"/>
    </xf>
    <xf numFmtId="0" fontId="80" fillId="43" borderId="61" xfId="305" applyFont="1" applyFill="1" applyBorder="1" applyAlignment="1">
      <alignment horizontal="right" vertical="center" wrapText="1" readingOrder="1"/>
    </xf>
    <xf numFmtId="0" fontId="80" fillId="43" borderId="20" xfId="305" applyFont="1" applyFill="1" applyBorder="1" applyAlignment="1">
      <alignment horizontal="right" vertical="center" wrapText="1" readingOrder="1"/>
    </xf>
    <xf numFmtId="0" fontId="80" fillId="43" borderId="60" xfId="305" applyFont="1" applyFill="1" applyBorder="1" applyAlignment="1">
      <alignment horizontal="right" vertical="center" wrapText="1" readingOrder="1"/>
    </xf>
    <xf numFmtId="173" fontId="72" fillId="43" borderId="82" xfId="305" applyNumberFormat="1" applyFont="1" applyFill="1" applyBorder="1" applyAlignment="1">
      <alignment horizontal="right" vertical="center" wrapText="1" readingOrder="1"/>
    </xf>
    <xf numFmtId="173" fontId="72" fillId="43" borderId="81" xfId="305" applyNumberFormat="1" applyFont="1" applyFill="1" applyBorder="1" applyAlignment="1">
      <alignment horizontal="right" vertical="center" wrapText="1" readingOrder="1"/>
    </xf>
    <xf numFmtId="173" fontId="72" fillId="43" borderId="20" xfId="305" applyNumberFormat="1" applyFont="1" applyFill="1" applyBorder="1" applyAlignment="1">
      <alignment horizontal="right" vertical="center" wrapText="1" readingOrder="1"/>
    </xf>
    <xf numFmtId="0" fontId="72" fillId="0" borderId="61" xfId="305" applyFont="1" applyBorder="1" applyAlignment="1">
      <alignment horizontal="left" vertical="center" wrapText="1" readingOrder="1"/>
    </xf>
    <xf numFmtId="0" fontId="72" fillId="0" borderId="20" xfId="305" applyFont="1" applyBorder="1" applyAlignment="1">
      <alignment horizontal="left" vertical="center" wrapText="1" readingOrder="1"/>
    </xf>
    <xf numFmtId="0" fontId="72" fillId="0" borderId="60" xfId="305" applyFont="1" applyBorder="1" applyAlignment="1">
      <alignment horizontal="left" vertical="center" wrapText="1" readingOrder="1"/>
    </xf>
    <xf numFmtId="173" fontId="72" fillId="0" borderId="82" xfId="305" applyNumberFormat="1" applyFont="1" applyBorder="1" applyAlignment="1">
      <alignment horizontal="right" vertical="center" wrapText="1" readingOrder="1"/>
    </xf>
    <xf numFmtId="173" fontId="72" fillId="0" borderId="81" xfId="305" applyNumberFormat="1" applyFont="1" applyBorder="1" applyAlignment="1">
      <alignment horizontal="right" vertical="center" wrapText="1" readingOrder="1"/>
    </xf>
    <xf numFmtId="173" fontId="72" fillId="0" borderId="20" xfId="305" applyNumberFormat="1" applyFont="1" applyBorder="1" applyAlignment="1">
      <alignment horizontal="right" vertical="center" wrapText="1" readingOrder="1"/>
    </xf>
    <xf numFmtId="0" fontId="80" fillId="44" borderId="61" xfId="305" applyFont="1" applyFill="1" applyBorder="1" applyAlignment="1">
      <alignment horizontal="right" vertical="center" wrapText="1" readingOrder="1"/>
    </xf>
    <xf numFmtId="0" fontId="80" fillId="44" borderId="20" xfId="305" applyFont="1" applyFill="1" applyBorder="1" applyAlignment="1">
      <alignment horizontal="right" vertical="center" wrapText="1" readingOrder="1"/>
    </xf>
    <xf numFmtId="0" fontId="80" fillId="44" borderId="60" xfId="305" applyFont="1" applyFill="1" applyBorder="1" applyAlignment="1">
      <alignment horizontal="right" vertical="center" wrapText="1" readingOrder="1"/>
    </xf>
    <xf numFmtId="173" fontId="72" fillId="44" borderId="82" xfId="305" applyNumberFormat="1" applyFont="1" applyFill="1" applyBorder="1" applyAlignment="1">
      <alignment horizontal="right" vertical="center" wrapText="1" readingOrder="1"/>
    </xf>
    <xf numFmtId="173" fontId="72" fillId="44" borderId="81" xfId="305" applyNumberFormat="1" applyFont="1" applyFill="1" applyBorder="1" applyAlignment="1">
      <alignment horizontal="right" vertical="center" wrapText="1" readingOrder="1"/>
    </xf>
    <xf numFmtId="173" fontId="72" fillId="44" borderId="20" xfId="305" applyNumberFormat="1" applyFont="1" applyFill="1" applyBorder="1" applyAlignment="1">
      <alignment horizontal="right" vertical="center" wrapText="1" readingOrder="1"/>
    </xf>
    <xf numFmtId="0" fontId="72" fillId="0" borderId="82" xfId="305" applyFont="1" applyBorder="1" applyAlignment="1">
      <alignment horizontal="right" vertical="center" wrapText="1" readingOrder="1"/>
    </xf>
    <xf numFmtId="0" fontId="72" fillId="0" borderId="81" xfId="305" applyFont="1" applyBorder="1" applyAlignment="1">
      <alignment horizontal="right" vertical="center" wrapText="1" readingOrder="1"/>
    </xf>
    <xf numFmtId="0" fontId="72" fillId="44" borderId="82" xfId="305" applyFont="1" applyFill="1" applyBorder="1" applyAlignment="1">
      <alignment horizontal="right" vertical="center" wrapText="1" readingOrder="1"/>
    </xf>
    <xf numFmtId="0" fontId="72" fillId="44" borderId="81" xfId="305" applyFont="1" applyFill="1" applyBorder="1" applyAlignment="1">
      <alignment horizontal="right" vertical="center" wrapText="1" readingOrder="1"/>
    </xf>
    <xf numFmtId="0" fontId="81" fillId="0" borderId="90" xfId="305" applyFont="1" applyBorder="1" applyAlignment="1">
      <alignment horizontal="left" vertical="top" wrapText="1" readingOrder="1"/>
    </xf>
    <xf numFmtId="0" fontId="81" fillId="0" borderId="89" xfId="305" applyFont="1" applyBorder="1" applyAlignment="1">
      <alignment horizontal="left" vertical="top" wrapText="1" readingOrder="1"/>
    </xf>
    <xf numFmtId="0" fontId="81" fillId="0" borderId="88" xfId="305" applyFont="1" applyBorder="1" applyAlignment="1">
      <alignment horizontal="left" vertical="top" wrapText="1" readingOrder="1"/>
    </xf>
    <xf numFmtId="0" fontId="68" fillId="39" borderId="87" xfId="305" applyFont="1" applyFill="1" applyBorder="1" applyAlignment="1">
      <alignment horizontal="left" vertical="center" wrapText="1" readingOrder="1"/>
    </xf>
    <xf numFmtId="0" fontId="68" fillId="39" borderId="85" xfId="305" applyFont="1" applyFill="1" applyBorder="1" applyAlignment="1">
      <alignment horizontal="left" vertical="center" wrapText="1" readingOrder="1"/>
    </xf>
    <xf numFmtId="0" fontId="68" fillId="39" borderId="84" xfId="305" applyFont="1" applyFill="1" applyBorder="1" applyAlignment="1">
      <alignment horizontal="left" vertical="center" wrapText="1" readingOrder="1"/>
    </xf>
    <xf numFmtId="0" fontId="68" fillId="39" borderId="86" xfId="305" applyFont="1" applyFill="1" applyBorder="1" applyAlignment="1">
      <alignment horizontal="center" vertical="center" wrapText="1" readingOrder="1"/>
    </xf>
    <xf numFmtId="0" fontId="68" fillId="39" borderId="84" xfId="305" applyFont="1" applyFill="1" applyBorder="1" applyAlignment="1">
      <alignment horizontal="center" vertical="center" wrapText="1" readingOrder="1"/>
    </xf>
    <xf numFmtId="0" fontId="68" fillId="39" borderId="85" xfId="305" applyFont="1" applyFill="1" applyBorder="1" applyAlignment="1">
      <alignment horizontal="center" vertical="center" wrapText="1" readingOrder="1"/>
    </xf>
    <xf numFmtId="0" fontId="84" fillId="56" borderId="0" xfId="305" applyFont="1" applyFill="1" applyAlignment="1">
      <alignment horizontal="left" vertical="top" wrapText="1" readingOrder="1"/>
    </xf>
    <xf numFmtId="0" fontId="79" fillId="57" borderId="0" xfId="305" applyFont="1" applyFill="1" applyAlignment="1">
      <alignment horizontal="center" vertical="top" readingOrder="1"/>
    </xf>
    <xf numFmtId="0" fontId="85" fillId="57" borderId="0" xfId="305" applyFont="1" applyFill="1" applyAlignment="1">
      <alignment horizontal="right" vertical="center" wrapText="1" readingOrder="1"/>
    </xf>
    <xf numFmtId="0" fontId="83" fillId="56" borderId="0" xfId="305" applyFont="1" applyFill="1" applyAlignment="1">
      <alignment horizontal="right" vertical="top" wrapText="1" readingOrder="1"/>
    </xf>
    <xf numFmtId="0" fontId="82" fillId="39" borderId="90" xfId="305" applyFont="1" applyFill="1" applyBorder="1" applyAlignment="1">
      <alignment horizontal="left" vertical="center" wrapText="1" readingOrder="1"/>
    </xf>
    <xf numFmtId="0" fontId="82" fillId="39" borderId="89" xfId="305" applyFont="1" applyFill="1" applyBorder="1" applyAlignment="1">
      <alignment horizontal="left" vertical="center" wrapText="1" readingOrder="1"/>
    </xf>
    <xf numFmtId="0" fontId="82" fillId="39" borderId="88" xfId="305" applyFont="1" applyFill="1" applyBorder="1" applyAlignment="1">
      <alignment horizontal="left" vertical="center" wrapText="1" readingOrder="1"/>
    </xf>
    <xf numFmtId="10" fontId="93" fillId="59" borderId="0" xfId="310" applyNumberFormat="1" applyFont="1" applyFill="1" applyAlignment="1">
      <alignment horizontal="center"/>
    </xf>
  </cellXfs>
  <cellStyles count="311">
    <cellStyle name="20% - Accent1 2" xfId="9" xr:uid="{00000000-0005-0000-0000-000000000000}"/>
    <cellStyle name="20% - Accent1 3" xfId="10" xr:uid="{00000000-0005-0000-0000-000001000000}"/>
    <cellStyle name="20% - Accent1 4" xfId="11" xr:uid="{00000000-0005-0000-0000-000002000000}"/>
    <cellStyle name="20% - Accent1 5" xfId="12" xr:uid="{00000000-0005-0000-0000-000003000000}"/>
    <cellStyle name="20% - Accent1 6" xfId="13" xr:uid="{00000000-0005-0000-0000-000004000000}"/>
    <cellStyle name="20% - Accent1 7" xfId="14" xr:uid="{00000000-0005-0000-0000-000005000000}"/>
    <cellStyle name="20% - Accent2 2" xfId="15" xr:uid="{00000000-0005-0000-0000-000006000000}"/>
    <cellStyle name="20% - Accent2 3" xfId="16" xr:uid="{00000000-0005-0000-0000-000007000000}"/>
    <cellStyle name="20% - Accent2 4" xfId="17" xr:uid="{00000000-0005-0000-0000-000008000000}"/>
    <cellStyle name="20% - Accent2 5" xfId="18" xr:uid="{00000000-0005-0000-0000-000009000000}"/>
    <cellStyle name="20% - Accent2 6" xfId="19" xr:uid="{00000000-0005-0000-0000-00000A000000}"/>
    <cellStyle name="20% - Accent2 7" xfId="20" xr:uid="{00000000-0005-0000-0000-00000B000000}"/>
    <cellStyle name="20% - Accent3 2" xfId="21" xr:uid="{00000000-0005-0000-0000-00000C000000}"/>
    <cellStyle name="20% - Accent3 3" xfId="22" xr:uid="{00000000-0005-0000-0000-00000D000000}"/>
    <cellStyle name="20% - Accent3 4" xfId="23" xr:uid="{00000000-0005-0000-0000-00000E000000}"/>
    <cellStyle name="20% - Accent3 5" xfId="24" xr:uid="{00000000-0005-0000-0000-00000F000000}"/>
    <cellStyle name="20% - Accent3 6" xfId="25" xr:uid="{00000000-0005-0000-0000-000010000000}"/>
    <cellStyle name="20% - Accent3 7" xfId="26" xr:uid="{00000000-0005-0000-0000-000011000000}"/>
    <cellStyle name="20% - Accent4 2" xfId="27" xr:uid="{00000000-0005-0000-0000-000012000000}"/>
    <cellStyle name="20% - Accent4 3" xfId="28" xr:uid="{00000000-0005-0000-0000-000013000000}"/>
    <cellStyle name="20% - Accent4 4" xfId="29" xr:uid="{00000000-0005-0000-0000-000014000000}"/>
    <cellStyle name="20% - Accent4 5" xfId="30" xr:uid="{00000000-0005-0000-0000-000015000000}"/>
    <cellStyle name="20% - Accent4 6" xfId="31" xr:uid="{00000000-0005-0000-0000-000016000000}"/>
    <cellStyle name="20% - Accent4 7" xfId="32" xr:uid="{00000000-0005-0000-0000-000017000000}"/>
    <cellStyle name="20% - Accent5 2" xfId="33" xr:uid="{00000000-0005-0000-0000-000018000000}"/>
    <cellStyle name="20% - Accent5 3" xfId="34" xr:uid="{00000000-0005-0000-0000-000019000000}"/>
    <cellStyle name="20% - Accent5 4" xfId="35" xr:uid="{00000000-0005-0000-0000-00001A000000}"/>
    <cellStyle name="20% - Accent5 5" xfId="36" xr:uid="{00000000-0005-0000-0000-00001B000000}"/>
    <cellStyle name="20% - Accent5 6" xfId="37" xr:uid="{00000000-0005-0000-0000-00001C000000}"/>
    <cellStyle name="20% - Accent5 7" xfId="38" xr:uid="{00000000-0005-0000-0000-00001D000000}"/>
    <cellStyle name="20% - Accent6 2" xfId="39" xr:uid="{00000000-0005-0000-0000-00001E000000}"/>
    <cellStyle name="20% - Accent6 3" xfId="40" xr:uid="{00000000-0005-0000-0000-00001F000000}"/>
    <cellStyle name="20% - Accent6 4" xfId="41" xr:uid="{00000000-0005-0000-0000-000020000000}"/>
    <cellStyle name="20% - Accent6 5" xfId="42" xr:uid="{00000000-0005-0000-0000-000021000000}"/>
    <cellStyle name="20% - Accent6 6" xfId="43" xr:uid="{00000000-0005-0000-0000-000022000000}"/>
    <cellStyle name="20% - Accent6 7" xfId="44" xr:uid="{00000000-0005-0000-0000-000023000000}"/>
    <cellStyle name="40% - Accent1 2" xfId="45" xr:uid="{00000000-0005-0000-0000-000024000000}"/>
    <cellStyle name="40% - Accent1 3" xfId="46" xr:uid="{00000000-0005-0000-0000-000025000000}"/>
    <cellStyle name="40% - Accent1 4" xfId="47" xr:uid="{00000000-0005-0000-0000-000026000000}"/>
    <cellStyle name="40% - Accent1 5" xfId="48" xr:uid="{00000000-0005-0000-0000-000027000000}"/>
    <cellStyle name="40% - Accent1 6" xfId="49" xr:uid="{00000000-0005-0000-0000-000028000000}"/>
    <cellStyle name="40% - Accent1 7" xfId="50" xr:uid="{00000000-0005-0000-0000-000029000000}"/>
    <cellStyle name="40% - Accent2 2" xfId="51" xr:uid="{00000000-0005-0000-0000-00002A000000}"/>
    <cellStyle name="40% - Accent2 3" xfId="52" xr:uid="{00000000-0005-0000-0000-00002B000000}"/>
    <cellStyle name="40% - Accent2 4" xfId="53" xr:uid="{00000000-0005-0000-0000-00002C000000}"/>
    <cellStyle name="40% - Accent2 5" xfId="54" xr:uid="{00000000-0005-0000-0000-00002D000000}"/>
    <cellStyle name="40% - Accent2 6" xfId="55" xr:uid="{00000000-0005-0000-0000-00002E000000}"/>
    <cellStyle name="40% - Accent2 7" xfId="56" xr:uid="{00000000-0005-0000-0000-00002F000000}"/>
    <cellStyle name="40% - Accent3 2" xfId="57" xr:uid="{00000000-0005-0000-0000-000030000000}"/>
    <cellStyle name="40% - Accent3 3" xfId="58" xr:uid="{00000000-0005-0000-0000-000031000000}"/>
    <cellStyle name="40% - Accent3 4" xfId="59" xr:uid="{00000000-0005-0000-0000-000032000000}"/>
    <cellStyle name="40% - Accent3 5" xfId="60" xr:uid="{00000000-0005-0000-0000-000033000000}"/>
    <cellStyle name="40% - Accent3 6" xfId="61" xr:uid="{00000000-0005-0000-0000-000034000000}"/>
    <cellStyle name="40% - Accent3 7" xfId="62" xr:uid="{00000000-0005-0000-0000-000035000000}"/>
    <cellStyle name="40% - Accent4 2" xfId="63" xr:uid="{00000000-0005-0000-0000-000036000000}"/>
    <cellStyle name="40% - Accent4 3" xfId="64" xr:uid="{00000000-0005-0000-0000-000037000000}"/>
    <cellStyle name="40% - Accent4 4" xfId="65" xr:uid="{00000000-0005-0000-0000-000038000000}"/>
    <cellStyle name="40% - Accent4 5" xfId="66" xr:uid="{00000000-0005-0000-0000-000039000000}"/>
    <cellStyle name="40% - Accent4 6" xfId="67" xr:uid="{00000000-0005-0000-0000-00003A000000}"/>
    <cellStyle name="40% - Accent4 7" xfId="68" xr:uid="{00000000-0005-0000-0000-00003B000000}"/>
    <cellStyle name="40% - Accent5 2" xfId="69" xr:uid="{00000000-0005-0000-0000-00003C000000}"/>
    <cellStyle name="40% - Accent5 3" xfId="70" xr:uid="{00000000-0005-0000-0000-00003D000000}"/>
    <cellStyle name="40% - Accent5 4" xfId="71" xr:uid="{00000000-0005-0000-0000-00003E000000}"/>
    <cellStyle name="40% - Accent5 5" xfId="72" xr:uid="{00000000-0005-0000-0000-00003F000000}"/>
    <cellStyle name="40% - Accent5 6" xfId="73" xr:uid="{00000000-0005-0000-0000-000040000000}"/>
    <cellStyle name="40% - Accent5 7" xfId="74" xr:uid="{00000000-0005-0000-0000-000041000000}"/>
    <cellStyle name="40% - Accent6 2" xfId="75" xr:uid="{00000000-0005-0000-0000-000042000000}"/>
    <cellStyle name="40% - Accent6 3" xfId="76" xr:uid="{00000000-0005-0000-0000-000043000000}"/>
    <cellStyle name="40% - Accent6 4" xfId="77" xr:uid="{00000000-0005-0000-0000-000044000000}"/>
    <cellStyle name="40% - Accent6 5" xfId="78" xr:uid="{00000000-0005-0000-0000-000045000000}"/>
    <cellStyle name="40% - Accent6 6" xfId="79" xr:uid="{00000000-0005-0000-0000-000046000000}"/>
    <cellStyle name="40% - Accent6 7" xfId="80" xr:uid="{00000000-0005-0000-0000-000047000000}"/>
    <cellStyle name="60% - Accent1 2" xfId="81" xr:uid="{00000000-0005-0000-0000-000048000000}"/>
    <cellStyle name="60% - Accent1 3" xfId="82" xr:uid="{00000000-0005-0000-0000-000049000000}"/>
    <cellStyle name="60% - Accent1 4" xfId="83" xr:uid="{00000000-0005-0000-0000-00004A000000}"/>
    <cellStyle name="60% - Accent1 5" xfId="84" xr:uid="{00000000-0005-0000-0000-00004B000000}"/>
    <cellStyle name="60% - Accent1 6" xfId="85" xr:uid="{00000000-0005-0000-0000-00004C000000}"/>
    <cellStyle name="60% - Accent1 7" xfId="86" xr:uid="{00000000-0005-0000-0000-00004D000000}"/>
    <cellStyle name="60% - Accent2 2" xfId="87" xr:uid="{00000000-0005-0000-0000-00004E000000}"/>
    <cellStyle name="60% - Accent2 3" xfId="88" xr:uid="{00000000-0005-0000-0000-00004F000000}"/>
    <cellStyle name="60% - Accent2 4" xfId="89" xr:uid="{00000000-0005-0000-0000-000050000000}"/>
    <cellStyle name="60% - Accent2 5" xfId="90" xr:uid="{00000000-0005-0000-0000-000051000000}"/>
    <cellStyle name="60% - Accent2 6" xfId="91" xr:uid="{00000000-0005-0000-0000-000052000000}"/>
    <cellStyle name="60% - Accent2 7" xfId="92" xr:uid="{00000000-0005-0000-0000-000053000000}"/>
    <cellStyle name="60% - Accent3 2" xfId="93" xr:uid="{00000000-0005-0000-0000-000054000000}"/>
    <cellStyle name="60% - Accent3 3" xfId="94" xr:uid="{00000000-0005-0000-0000-000055000000}"/>
    <cellStyle name="60% - Accent3 4" xfId="95" xr:uid="{00000000-0005-0000-0000-000056000000}"/>
    <cellStyle name="60% - Accent3 5" xfId="96" xr:uid="{00000000-0005-0000-0000-000057000000}"/>
    <cellStyle name="60% - Accent3 6" xfId="97" xr:uid="{00000000-0005-0000-0000-000058000000}"/>
    <cellStyle name="60% - Accent3 7" xfId="98" xr:uid="{00000000-0005-0000-0000-000059000000}"/>
    <cellStyle name="60% - Accent4 2" xfId="99" xr:uid="{00000000-0005-0000-0000-00005A000000}"/>
    <cellStyle name="60% - Accent4 3" xfId="100" xr:uid="{00000000-0005-0000-0000-00005B000000}"/>
    <cellStyle name="60% - Accent4 4" xfId="101" xr:uid="{00000000-0005-0000-0000-00005C000000}"/>
    <cellStyle name="60% - Accent4 5" xfId="102" xr:uid="{00000000-0005-0000-0000-00005D000000}"/>
    <cellStyle name="60% - Accent4 6" xfId="103" xr:uid="{00000000-0005-0000-0000-00005E000000}"/>
    <cellStyle name="60% - Accent4 7" xfId="104" xr:uid="{00000000-0005-0000-0000-00005F000000}"/>
    <cellStyle name="60% - Accent5 2" xfId="105" xr:uid="{00000000-0005-0000-0000-000060000000}"/>
    <cellStyle name="60% - Accent5 3" xfId="106" xr:uid="{00000000-0005-0000-0000-000061000000}"/>
    <cellStyle name="60% - Accent5 4" xfId="107" xr:uid="{00000000-0005-0000-0000-000062000000}"/>
    <cellStyle name="60% - Accent5 5" xfId="108" xr:uid="{00000000-0005-0000-0000-000063000000}"/>
    <cellStyle name="60% - Accent5 6" xfId="109" xr:uid="{00000000-0005-0000-0000-000064000000}"/>
    <cellStyle name="60% - Accent5 7" xfId="110" xr:uid="{00000000-0005-0000-0000-000065000000}"/>
    <cellStyle name="60% - Accent6 2" xfId="111" xr:uid="{00000000-0005-0000-0000-000066000000}"/>
    <cellStyle name="60% - Accent6 3" xfId="112" xr:uid="{00000000-0005-0000-0000-000067000000}"/>
    <cellStyle name="60% - Accent6 4" xfId="113" xr:uid="{00000000-0005-0000-0000-000068000000}"/>
    <cellStyle name="60% - Accent6 5" xfId="114" xr:uid="{00000000-0005-0000-0000-000069000000}"/>
    <cellStyle name="60% - Accent6 6" xfId="115" xr:uid="{00000000-0005-0000-0000-00006A000000}"/>
    <cellStyle name="60% - Accent6 7" xfId="116" xr:uid="{00000000-0005-0000-0000-00006B000000}"/>
    <cellStyle name="Accent1 2" xfId="117" xr:uid="{00000000-0005-0000-0000-00006C000000}"/>
    <cellStyle name="Accent1 3" xfId="118" xr:uid="{00000000-0005-0000-0000-00006D000000}"/>
    <cellStyle name="Accent1 4" xfId="119" xr:uid="{00000000-0005-0000-0000-00006E000000}"/>
    <cellStyle name="Accent1 5" xfId="120" xr:uid="{00000000-0005-0000-0000-00006F000000}"/>
    <cellStyle name="Accent1 6" xfId="121" xr:uid="{00000000-0005-0000-0000-000070000000}"/>
    <cellStyle name="Accent1 7" xfId="122" xr:uid="{00000000-0005-0000-0000-000071000000}"/>
    <cellStyle name="Accent2 2" xfId="123" xr:uid="{00000000-0005-0000-0000-000072000000}"/>
    <cellStyle name="Accent2 3" xfId="124" xr:uid="{00000000-0005-0000-0000-000073000000}"/>
    <cellStyle name="Accent2 4" xfId="125" xr:uid="{00000000-0005-0000-0000-000074000000}"/>
    <cellStyle name="Accent2 5" xfId="126" xr:uid="{00000000-0005-0000-0000-000075000000}"/>
    <cellStyle name="Accent2 6" xfId="127" xr:uid="{00000000-0005-0000-0000-000076000000}"/>
    <cellStyle name="Accent2 7" xfId="128" xr:uid="{00000000-0005-0000-0000-000077000000}"/>
    <cellStyle name="Accent3 2" xfId="129" xr:uid="{00000000-0005-0000-0000-000078000000}"/>
    <cellStyle name="Accent3 3" xfId="130" xr:uid="{00000000-0005-0000-0000-000079000000}"/>
    <cellStyle name="Accent3 4" xfId="131" xr:uid="{00000000-0005-0000-0000-00007A000000}"/>
    <cellStyle name="Accent3 5" xfId="132" xr:uid="{00000000-0005-0000-0000-00007B000000}"/>
    <cellStyle name="Accent3 6" xfId="133" xr:uid="{00000000-0005-0000-0000-00007C000000}"/>
    <cellStyle name="Accent3 7" xfId="134" xr:uid="{00000000-0005-0000-0000-00007D000000}"/>
    <cellStyle name="Accent4 2" xfId="135" xr:uid="{00000000-0005-0000-0000-00007E000000}"/>
    <cellStyle name="Accent4 3" xfId="136" xr:uid="{00000000-0005-0000-0000-00007F000000}"/>
    <cellStyle name="Accent4 4" xfId="137" xr:uid="{00000000-0005-0000-0000-000080000000}"/>
    <cellStyle name="Accent4 5" xfId="138" xr:uid="{00000000-0005-0000-0000-000081000000}"/>
    <cellStyle name="Accent4 6" xfId="139" xr:uid="{00000000-0005-0000-0000-000082000000}"/>
    <cellStyle name="Accent4 7" xfId="140" xr:uid="{00000000-0005-0000-0000-000083000000}"/>
    <cellStyle name="Accent5 2" xfId="141" xr:uid="{00000000-0005-0000-0000-000084000000}"/>
    <cellStyle name="Accent5 3" xfId="142" xr:uid="{00000000-0005-0000-0000-000085000000}"/>
    <cellStyle name="Accent5 4" xfId="143" xr:uid="{00000000-0005-0000-0000-000086000000}"/>
    <cellStyle name="Accent5 5" xfId="144" xr:uid="{00000000-0005-0000-0000-000087000000}"/>
    <cellStyle name="Accent5 6" xfId="145" xr:uid="{00000000-0005-0000-0000-000088000000}"/>
    <cellStyle name="Accent5 7" xfId="146" xr:uid="{00000000-0005-0000-0000-000089000000}"/>
    <cellStyle name="Accent6 2" xfId="147" xr:uid="{00000000-0005-0000-0000-00008A000000}"/>
    <cellStyle name="Accent6 3" xfId="148" xr:uid="{00000000-0005-0000-0000-00008B000000}"/>
    <cellStyle name="Accent6 4" xfId="149" xr:uid="{00000000-0005-0000-0000-00008C000000}"/>
    <cellStyle name="Accent6 5" xfId="150" xr:uid="{00000000-0005-0000-0000-00008D000000}"/>
    <cellStyle name="Accent6 6" xfId="151" xr:uid="{00000000-0005-0000-0000-00008E000000}"/>
    <cellStyle name="Accent6 7" xfId="152" xr:uid="{00000000-0005-0000-0000-00008F000000}"/>
    <cellStyle name="Bad 2" xfId="153" xr:uid="{00000000-0005-0000-0000-000090000000}"/>
    <cellStyle name="Bad 3" xfId="154" xr:uid="{00000000-0005-0000-0000-000091000000}"/>
    <cellStyle name="Bad 4" xfId="155" xr:uid="{00000000-0005-0000-0000-000092000000}"/>
    <cellStyle name="Bad 5" xfId="156" xr:uid="{00000000-0005-0000-0000-000093000000}"/>
    <cellStyle name="Bad 6" xfId="157" xr:uid="{00000000-0005-0000-0000-000094000000}"/>
    <cellStyle name="Bad 7" xfId="158" xr:uid="{00000000-0005-0000-0000-000095000000}"/>
    <cellStyle name="Calculation 2" xfId="159" xr:uid="{00000000-0005-0000-0000-000096000000}"/>
    <cellStyle name="Calculation 3" xfId="160" xr:uid="{00000000-0005-0000-0000-000097000000}"/>
    <cellStyle name="Calculation 4" xfId="161" xr:uid="{00000000-0005-0000-0000-000098000000}"/>
    <cellStyle name="Calculation 5" xfId="162" xr:uid="{00000000-0005-0000-0000-000099000000}"/>
    <cellStyle name="Calculation 6" xfId="163" xr:uid="{00000000-0005-0000-0000-00009A000000}"/>
    <cellStyle name="Calculation 7" xfId="164" xr:uid="{00000000-0005-0000-0000-00009B000000}"/>
    <cellStyle name="Check Cell 2" xfId="165" xr:uid="{00000000-0005-0000-0000-00009C000000}"/>
    <cellStyle name="Check Cell 3" xfId="166" xr:uid="{00000000-0005-0000-0000-00009D000000}"/>
    <cellStyle name="Check Cell 4" xfId="167" xr:uid="{00000000-0005-0000-0000-00009E000000}"/>
    <cellStyle name="Check Cell 5" xfId="168" xr:uid="{00000000-0005-0000-0000-00009F000000}"/>
    <cellStyle name="Check Cell 6" xfId="169" xr:uid="{00000000-0005-0000-0000-0000A0000000}"/>
    <cellStyle name="Check Cell 7" xfId="170" xr:uid="{00000000-0005-0000-0000-0000A1000000}"/>
    <cellStyle name="Comma" xfId="1" builtinId="3"/>
    <cellStyle name="Comma [0] 2" xfId="171" xr:uid="{00000000-0005-0000-0000-0000A3000000}"/>
    <cellStyle name="Comma [0] 3" xfId="172" xr:uid="{00000000-0005-0000-0000-0000A4000000}"/>
    <cellStyle name="Comma [0] 4" xfId="173" xr:uid="{00000000-0005-0000-0000-0000A5000000}"/>
    <cellStyle name="Comma [0] 5" xfId="174" xr:uid="{00000000-0005-0000-0000-0000A6000000}"/>
    <cellStyle name="Comma [0] 6" xfId="175" xr:uid="{00000000-0005-0000-0000-0000A7000000}"/>
    <cellStyle name="Comma [0] 7" xfId="176" xr:uid="{00000000-0005-0000-0000-0000A8000000}"/>
    <cellStyle name="Comma [0] 8" xfId="177" xr:uid="{00000000-0005-0000-0000-0000A9000000}"/>
    <cellStyle name="Comma 10" xfId="178" xr:uid="{00000000-0005-0000-0000-0000AA000000}"/>
    <cellStyle name="Comma 2" xfId="7" xr:uid="{00000000-0005-0000-0000-0000AB000000}"/>
    <cellStyle name="Comma 2 10" xfId="298" xr:uid="{00000000-0005-0000-0000-0000AC000000}"/>
    <cellStyle name="Comma 3" xfId="179" xr:uid="{00000000-0005-0000-0000-0000AD000000}"/>
    <cellStyle name="Comma 36 2 3" xfId="302" xr:uid="{00000000-0005-0000-0000-0000AE000000}"/>
    <cellStyle name="Comma 36 3" xfId="299" xr:uid="{00000000-0005-0000-0000-0000AF000000}"/>
    <cellStyle name="Comma 4" xfId="180" xr:uid="{00000000-0005-0000-0000-0000B0000000}"/>
    <cellStyle name="Comma 5" xfId="181" xr:uid="{00000000-0005-0000-0000-0000B1000000}"/>
    <cellStyle name="Comma 6" xfId="182" xr:uid="{00000000-0005-0000-0000-0000B2000000}"/>
    <cellStyle name="Comma 60 3" xfId="301" xr:uid="{00000000-0005-0000-0000-0000B3000000}"/>
    <cellStyle name="Comma 68 2" xfId="303" xr:uid="{00000000-0005-0000-0000-0000B4000000}"/>
    <cellStyle name="Comma 7" xfId="183" xr:uid="{00000000-0005-0000-0000-0000B5000000}"/>
    <cellStyle name="Comma 8" xfId="184" xr:uid="{00000000-0005-0000-0000-0000B6000000}"/>
    <cellStyle name="Comma 9" xfId="185" xr:uid="{00000000-0005-0000-0000-0000B7000000}"/>
    <cellStyle name="Currency" xfId="2" builtinId="4"/>
    <cellStyle name="Currency [0] 2" xfId="186" xr:uid="{00000000-0005-0000-0000-0000B9000000}"/>
    <cellStyle name="Currency [0] 3" xfId="187" xr:uid="{00000000-0005-0000-0000-0000BA000000}"/>
    <cellStyle name="Currency [0] 4" xfId="188" xr:uid="{00000000-0005-0000-0000-0000BB000000}"/>
    <cellStyle name="Currency [0] 5" xfId="189" xr:uid="{00000000-0005-0000-0000-0000BC000000}"/>
    <cellStyle name="Currency [0] 6" xfId="190" xr:uid="{00000000-0005-0000-0000-0000BD000000}"/>
    <cellStyle name="Currency [0] 7" xfId="191" xr:uid="{00000000-0005-0000-0000-0000BE000000}"/>
    <cellStyle name="Currency [0] 8" xfId="192" xr:uid="{00000000-0005-0000-0000-0000BF000000}"/>
    <cellStyle name="Currency 10" xfId="193" xr:uid="{00000000-0005-0000-0000-0000C0000000}"/>
    <cellStyle name="Currency 2" xfId="8" xr:uid="{00000000-0005-0000-0000-0000C1000000}"/>
    <cellStyle name="Currency 3" xfId="194" xr:uid="{00000000-0005-0000-0000-0000C2000000}"/>
    <cellStyle name="Currency 4" xfId="195" xr:uid="{00000000-0005-0000-0000-0000C3000000}"/>
    <cellStyle name="Currency 5" xfId="196" xr:uid="{00000000-0005-0000-0000-0000C4000000}"/>
    <cellStyle name="Currency 6" xfId="197" xr:uid="{00000000-0005-0000-0000-0000C5000000}"/>
    <cellStyle name="Currency 7" xfId="198" xr:uid="{00000000-0005-0000-0000-0000C6000000}"/>
    <cellStyle name="Currency 8" xfId="199" xr:uid="{00000000-0005-0000-0000-0000C7000000}"/>
    <cellStyle name="Currency 9" xfId="200" xr:uid="{00000000-0005-0000-0000-0000C8000000}"/>
    <cellStyle name="Explanatory Text 2" xfId="201" xr:uid="{00000000-0005-0000-0000-0000C9000000}"/>
    <cellStyle name="Explanatory Text 3" xfId="202" xr:uid="{00000000-0005-0000-0000-0000CA000000}"/>
    <cellStyle name="Explanatory Text 4" xfId="203" xr:uid="{00000000-0005-0000-0000-0000CB000000}"/>
    <cellStyle name="Explanatory Text 5" xfId="204" xr:uid="{00000000-0005-0000-0000-0000CC000000}"/>
    <cellStyle name="Explanatory Text 6" xfId="205" xr:uid="{00000000-0005-0000-0000-0000CD000000}"/>
    <cellStyle name="Explanatory Text 7" xfId="206" xr:uid="{00000000-0005-0000-0000-0000CE000000}"/>
    <cellStyle name="Good 2" xfId="207" xr:uid="{00000000-0005-0000-0000-0000CF000000}"/>
    <cellStyle name="Good 3" xfId="208" xr:uid="{00000000-0005-0000-0000-0000D0000000}"/>
    <cellStyle name="Good 4" xfId="209" xr:uid="{00000000-0005-0000-0000-0000D1000000}"/>
    <cellStyle name="Good 5" xfId="210" xr:uid="{00000000-0005-0000-0000-0000D2000000}"/>
    <cellStyle name="Good 6" xfId="211" xr:uid="{00000000-0005-0000-0000-0000D3000000}"/>
    <cellStyle name="Good 7" xfId="212" xr:uid="{00000000-0005-0000-0000-0000D4000000}"/>
    <cellStyle name="Heading 1 2" xfId="213" xr:uid="{00000000-0005-0000-0000-0000D5000000}"/>
    <cellStyle name="Heading 1 3" xfId="214" xr:uid="{00000000-0005-0000-0000-0000D6000000}"/>
    <cellStyle name="Heading 1 4" xfId="215" xr:uid="{00000000-0005-0000-0000-0000D7000000}"/>
    <cellStyle name="Heading 1 5" xfId="216" xr:uid="{00000000-0005-0000-0000-0000D8000000}"/>
    <cellStyle name="Heading 1 6" xfId="217" xr:uid="{00000000-0005-0000-0000-0000D9000000}"/>
    <cellStyle name="Heading 1 7" xfId="218" xr:uid="{00000000-0005-0000-0000-0000DA000000}"/>
    <cellStyle name="Heading 2 2" xfId="219" xr:uid="{00000000-0005-0000-0000-0000DB000000}"/>
    <cellStyle name="Heading 2 3" xfId="220" xr:uid="{00000000-0005-0000-0000-0000DC000000}"/>
    <cellStyle name="Heading 2 4" xfId="221" xr:uid="{00000000-0005-0000-0000-0000DD000000}"/>
    <cellStyle name="Heading 2 5" xfId="222" xr:uid="{00000000-0005-0000-0000-0000DE000000}"/>
    <cellStyle name="Heading 2 6" xfId="223" xr:uid="{00000000-0005-0000-0000-0000DF000000}"/>
    <cellStyle name="Heading 2 7" xfId="224" xr:uid="{00000000-0005-0000-0000-0000E0000000}"/>
    <cellStyle name="Heading 3 2" xfId="225" xr:uid="{00000000-0005-0000-0000-0000E1000000}"/>
    <cellStyle name="Heading 3 3" xfId="226" xr:uid="{00000000-0005-0000-0000-0000E2000000}"/>
    <cellStyle name="Heading 3 4" xfId="227" xr:uid="{00000000-0005-0000-0000-0000E3000000}"/>
    <cellStyle name="Heading 3 5" xfId="228" xr:uid="{00000000-0005-0000-0000-0000E4000000}"/>
    <cellStyle name="Heading 3 6" xfId="229" xr:uid="{00000000-0005-0000-0000-0000E5000000}"/>
    <cellStyle name="Heading 3 7" xfId="230" xr:uid="{00000000-0005-0000-0000-0000E6000000}"/>
    <cellStyle name="Heading 4 2" xfId="231" xr:uid="{00000000-0005-0000-0000-0000E7000000}"/>
    <cellStyle name="Heading 4 3" xfId="232" xr:uid="{00000000-0005-0000-0000-0000E8000000}"/>
    <cellStyle name="Heading 4 4" xfId="233" xr:uid="{00000000-0005-0000-0000-0000E9000000}"/>
    <cellStyle name="Heading 4 5" xfId="234" xr:uid="{00000000-0005-0000-0000-0000EA000000}"/>
    <cellStyle name="Heading 4 6" xfId="235" xr:uid="{00000000-0005-0000-0000-0000EB000000}"/>
    <cellStyle name="Heading 4 7" xfId="236" xr:uid="{00000000-0005-0000-0000-0000EC000000}"/>
    <cellStyle name="Input 2" xfId="237" xr:uid="{00000000-0005-0000-0000-0000ED000000}"/>
    <cellStyle name="Input 3" xfId="238" xr:uid="{00000000-0005-0000-0000-0000EE000000}"/>
    <cellStyle name="Input 4" xfId="239" xr:uid="{00000000-0005-0000-0000-0000EF000000}"/>
    <cellStyle name="Input 5" xfId="240" xr:uid="{00000000-0005-0000-0000-0000F0000000}"/>
    <cellStyle name="Input 6" xfId="241" xr:uid="{00000000-0005-0000-0000-0000F1000000}"/>
    <cellStyle name="Input 7" xfId="242" xr:uid="{00000000-0005-0000-0000-0000F2000000}"/>
    <cellStyle name="Linked Cell 2" xfId="243" xr:uid="{00000000-0005-0000-0000-0000F3000000}"/>
    <cellStyle name="Linked Cell 3" xfId="244" xr:uid="{00000000-0005-0000-0000-0000F4000000}"/>
    <cellStyle name="Linked Cell 4" xfId="245" xr:uid="{00000000-0005-0000-0000-0000F5000000}"/>
    <cellStyle name="Linked Cell 5" xfId="246" xr:uid="{00000000-0005-0000-0000-0000F6000000}"/>
    <cellStyle name="Linked Cell 6" xfId="247" xr:uid="{00000000-0005-0000-0000-0000F7000000}"/>
    <cellStyle name="Linked Cell 7" xfId="248" xr:uid="{00000000-0005-0000-0000-0000F8000000}"/>
    <cellStyle name="Neutral 2" xfId="249" xr:uid="{00000000-0005-0000-0000-0000F9000000}"/>
    <cellStyle name="Neutral 3" xfId="250" xr:uid="{00000000-0005-0000-0000-0000FA000000}"/>
    <cellStyle name="Neutral 4" xfId="251" xr:uid="{00000000-0005-0000-0000-0000FB000000}"/>
    <cellStyle name="Neutral 5" xfId="252" xr:uid="{00000000-0005-0000-0000-0000FC000000}"/>
    <cellStyle name="Neutral 6" xfId="253" xr:uid="{00000000-0005-0000-0000-0000FD000000}"/>
    <cellStyle name="Neutral 7" xfId="254" xr:uid="{00000000-0005-0000-0000-0000FE000000}"/>
    <cellStyle name="Normal" xfId="0" builtinId="0"/>
    <cellStyle name="Normal 108" xfId="305" xr:uid="{9ED6F643-A3DE-4CAC-836B-0D686C0B9302}"/>
    <cellStyle name="Normal 109" xfId="306" xr:uid="{4411B200-E653-4D89-B37B-3128E72E432D}"/>
    <cellStyle name="Normal 12" xfId="309" xr:uid="{DEE9F861-EE8C-4EF1-B14C-4C42C2991ACB}"/>
    <cellStyle name="Normal 2" xfId="4" xr:uid="{00000000-0005-0000-0000-000000010000}"/>
    <cellStyle name="Normal 3" xfId="5" xr:uid="{00000000-0005-0000-0000-000001010000}"/>
    <cellStyle name="Normal 4" xfId="6" xr:uid="{00000000-0005-0000-0000-000002010000}"/>
    <cellStyle name="Normal 5" xfId="255" xr:uid="{00000000-0005-0000-0000-000003010000}"/>
    <cellStyle name="Normal 6" xfId="256" xr:uid="{00000000-0005-0000-0000-000004010000}"/>
    <cellStyle name="Normal 7" xfId="257" xr:uid="{00000000-0005-0000-0000-000005010000}"/>
    <cellStyle name="Normal 71" xfId="297" xr:uid="{00000000-0005-0000-0000-000006010000}"/>
    <cellStyle name="Normal 71 2 3" xfId="300" xr:uid="{00000000-0005-0000-0000-000007010000}"/>
    <cellStyle name="Normal 8" xfId="258" xr:uid="{00000000-0005-0000-0000-000008010000}"/>
    <cellStyle name="Normal 9" xfId="307" xr:uid="{0C4CD9B4-4AE1-4B2F-9ACB-5928D3F7C691}"/>
    <cellStyle name="Note 2" xfId="259" xr:uid="{00000000-0005-0000-0000-000009010000}"/>
    <cellStyle name="Note 3" xfId="260" xr:uid="{00000000-0005-0000-0000-00000A010000}"/>
    <cellStyle name="Note 4" xfId="261" xr:uid="{00000000-0005-0000-0000-00000B010000}"/>
    <cellStyle name="Note 5" xfId="262" xr:uid="{00000000-0005-0000-0000-00000C010000}"/>
    <cellStyle name="Note 6" xfId="263" xr:uid="{00000000-0005-0000-0000-00000D010000}"/>
    <cellStyle name="Note 7" xfId="264" xr:uid="{00000000-0005-0000-0000-00000E010000}"/>
    <cellStyle name="Note 8" xfId="265" xr:uid="{00000000-0005-0000-0000-00000F010000}"/>
    <cellStyle name="Output 2" xfId="266" xr:uid="{00000000-0005-0000-0000-000010010000}"/>
    <cellStyle name="Output 3" xfId="267" xr:uid="{00000000-0005-0000-0000-000011010000}"/>
    <cellStyle name="Output 4" xfId="268" xr:uid="{00000000-0005-0000-0000-000012010000}"/>
    <cellStyle name="Output 5" xfId="269" xr:uid="{00000000-0005-0000-0000-000013010000}"/>
    <cellStyle name="Output 6" xfId="270" xr:uid="{00000000-0005-0000-0000-000014010000}"/>
    <cellStyle name="Output 7" xfId="271" xr:uid="{00000000-0005-0000-0000-000015010000}"/>
    <cellStyle name="Percent" xfId="3" builtinId="5"/>
    <cellStyle name="Percent 10" xfId="310" xr:uid="{15E13CFF-F8A4-4776-89EC-89A1A4B919EB}"/>
    <cellStyle name="Percent 2" xfId="272" xr:uid="{00000000-0005-0000-0000-000017010000}"/>
    <cellStyle name="Percent 20" xfId="304" xr:uid="{00000000-0005-0000-0000-000018010000}"/>
    <cellStyle name="Percent 3" xfId="273" xr:uid="{00000000-0005-0000-0000-000019010000}"/>
    <cellStyle name="Percent 4" xfId="274" xr:uid="{00000000-0005-0000-0000-00001A010000}"/>
    <cellStyle name="Percent 5" xfId="275" xr:uid="{00000000-0005-0000-0000-00001B010000}"/>
    <cellStyle name="Percent 6" xfId="276" xr:uid="{00000000-0005-0000-0000-00001C010000}"/>
    <cellStyle name="Percent 7" xfId="277" xr:uid="{00000000-0005-0000-0000-00001D010000}"/>
    <cellStyle name="Percent 8" xfId="278" xr:uid="{00000000-0005-0000-0000-00001E010000}"/>
    <cellStyle name="Percent 9" xfId="308" xr:uid="{E88F53B7-E67B-459F-80E8-C610F7D758DD}"/>
    <cellStyle name="Title 2" xfId="279" xr:uid="{00000000-0005-0000-0000-00001F010000}"/>
    <cellStyle name="Title 3" xfId="280" xr:uid="{00000000-0005-0000-0000-000020010000}"/>
    <cellStyle name="Title 4" xfId="281" xr:uid="{00000000-0005-0000-0000-000021010000}"/>
    <cellStyle name="Title 5" xfId="282" xr:uid="{00000000-0005-0000-0000-000022010000}"/>
    <cellStyle name="Title 6" xfId="283" xr:uid="{00000000-0005-0000-0000-000023010000}"/>
    <cellStyle name="Title 7" xfId="284" xr:uid="{00000000-0005-0000-0000-000024010000}"/>
    <cellStyle name="Total 2" xfId="285" xr:uid="{00000000-0005-0000-0000-000025010000}"/>
    <cellStyle name="Total 3" xfId="286" xr:uid="{00000000-0005-0000-0000-000026010000}"/>
    <cellStyle name="Total 4" xfId="287" xr:uid="{00000000-0005-0000-0000-000027010000}"/>
    <cellStyle name="Total 5" xfId="288" xr:uid="{00000000-0005-0000-0000-000028010000}"/>
    <cellStyle name="Total 6" xfId="289" xr:uid="{00000000-0005-0000-0000-000029010000}"/>
    <cellStyle name="Total 7" xfId="290" xr:uid="{00000000-0005-0000-0000-00002A010000}"/>
    <cellStyle name="Warning Text 2" xfId="291" xr:uid="{00000000-0005-0000-0000-00002B010000}"/>
    <cellStyle name="Warning Text 3" xfId="292" xr:uid="{00000000-0005-0000-0000-00002C010000}"/>
    <cellStyle name="Warning Text 4" xfId="293" xr:uid="{00000000-0005-0000-0000-00002D010000}"/>
    <cellStyle name="Warning Text 5" xfId="294" xr:uid="{00000000-0005-0000-0000-00002E010000}"/>
    <cellStyle name="Warning Text 6" xfId="295" xr:uid="{00000000-0005-0000-0000-00002F010000}"/>
    <cellStyle name="Warning Text 7" xfId="296" xr:uid="{00000000-0005-0000-0000-000030010000}"/>
  </cellStyles>
  <dxfs count="9">
    <dxf>
      <fill>
        <patternFill>
          <bgColor indexed="29"/>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pivotCacheDefinition" Target="pivotCache/pivotCacheDefinition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pivotCacheDefinition" Target="pivotCache/pivotCacheDefinition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pivotCacheDefinition" Target="pivotCache/pivotCacheDefinition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362"/>
          <c:y val="8.2744858544475747E-2"/>
          <c:w val="0.8581956168039987"/>
          <c:h val="0.89731239352724168"/>
        </c:manualLayout>
      </c:layout>
      <c:areaChart>
        <c:grouping val="standard"/>
        <c:varyColors val="0"/>
        <c:ser>
          <c:idx val="0"/>
          <c:order val="0"/>
          <c:tx>
            <c:strRef>
              <c:f>'Cash Flow graphs'!$C$11</c:f>
              <c:strCache>
                <c:ptCount val="1"/>
                <c:pt idx="0">
                  <c:v>Projected Monthly Cash Balance</c:v>
                </c:pt>
              </c:strCache>
            </c:strRef>
          </c:tx>
          <c:cat>
            <c:strRef>
              <c:f>'Cash Flow graphs'!$D$10:$O$10</c:f>
              <c:strCache>
                <c:ptCount val="12"/>
                <c:pt idx="0">
                  <c:v>July</c:v>
                </c:pt>
                <c:pt idx="1">
                  <c:v>Aug</c:v>
                </c:pt>
                <c:pt idx="2">
                  <c:v>Sept</c:v>
                </c:pt>
                <c:pt idx="3">
                  <c:v>Oct</c:v>
                </c:pt>
                <c:pt idx="4">
                  <c:v>Nov</c:v>
                </c:pt>
                <c:pt idx="5">
                  <c:v>Dec</c:v>
                </c:pt>
                <c:pt idx="6">
                  <c:v>Jan</c:v>
                </c:pt>
                <c:pt idx="7">
                  <c:v>Feb</c:v>
                </c:pt>
                <c:pt idx="8">
                  <c:v>Mar</c:v>
                </c:pt>
                <c:pt idx="9">
                  <c:v>Apr</c:v>
                </c:pt>
                <c:pt idx="10">
                  <c:v>May</c:v>
                </c:pt>
                <c:pt idx="11">
                  <c:v>June</c:v>
                </c:pt>
              </c:strCache>
            </c:strRef>
          </c:cat>
          <c:val>
            <c:numRef>
              <c:f>'Cash Flow graphs'!$D$11:$O$11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84-43C5-AA48-10E644C4C94A}"/>
            </c:ext>
          </c:extLst>
        </c:ser>
        <c:dLbls>
          <c:showLegendKey val="0"/>
          <c:showVal val="0"/>
          <c:showCatName val="0"/>
          <c:showSerName val="0"/>
          <c:showPercent val="0"/>
          <c:showBubbleSize val="0"/>
        </c:dLbls>
        <c:axId val="388048544"/>
        <c:axId val="388048936"/>
      </c:areaChart>
      <c:catAx>
        <c:axId val="388048544"/>
        <c:scaling>
          <c:orientation val="minMax"/>
        </c:scaling>
        <c:delete val="0"/>
        <c:axPos val="b"/>
        <c:numFmt formatCode="General" sourceLinked="0"/>
        <c:majorTickMark val="out"/>
        <c:minorTickMark val="none"/>
        <c:tickLblPos val="nextTo"/>
        <c:crossAx val="388048936"/>
        <c:crosses val="autoZero"/>
        <c:auto val="1"/>
        <c:lblAlgn val="ctr"/>
        <c:lblOffset val="100"/>
        <c:noMultiLvlLbl val="0"/>
      </c:catAx>
      <c:valAx>
        <c:axId val="388048936"/>
        <c:scaling>
          <c:orientation val="minMax"/>
        </c:scaling>
        <c:delete val="0"/>
        <c:axPos val="l"/>
        <c:majorGridlines/>
        <c:numFmt formatCode="&quot;$&quot;#,##0_);[Red]\(&quot;$&quot;#,##0\)" sourceLinked="1"/>
        <c:majorTickMark val="out"/>
        <c:minorTickMark val="none"/>
        <c:tickLblPos val="nextTo"/>
        <c:crossAx val="388048544"/>
        <c:crosses val="autoZero"/>
        <c:crossBetween val="midCat"/>
      </c:valAx>
    </c:plotArea>
    <c:plotVisOnly val="1"/>
    <c:dispBlanksAs val="zero"/>
    <c:showDLblsOverMax val="0"/>
  </c:chart>
  <c:spPr>
    <a:ln cap="sq">
      <a:round/>
    </a:ln>
  </c:spPr>
  <c:printSettings>
    <c:headerFooter/>
    <c:pageMargins b="0.7500000000000081" l="0.70000000000000062" r="0.70000000000000062" t="0.750000000000008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1648929825416385"/>
          <c:y val="9.054839075348417E-2"/>
          <c:w val="0.86173228346456765"/>
          <c:h val="0.84858590350624752"/>
        </c:manualLayout>
      </c:layout>
      <c:areaChart>
        <c:grouping val="standard"/>
        <c:varyColors val="0"/>
        <c:ser>
          <c:idx val="0"/>
          <c:order val="0"/>
          <c:tx>
            <c:strRef>
              <c:f>'Cash Flow graphs'!$C$18</c:f>
              <c:strCache>
                <c:ptCount val="1"/>
                <c:pt idx="0">
                  <c:v>Projected Monthly Cash Balance</c:v>
                </c:pt>
              </c:strCache>
            </c:strRef>
          </c:tx>
          <c:val>
            <c:numRef>
              <c:f>'Cash Flow graphs'!$D$18:$O$18</c:f>
            </c:numRef>
          </c:val>
          <c:extLst>
            <c:ext xmlns:c15="http://schemas.microsoft.com/office/drawing/2012/chart" uri="{02D57815-91ED-43cb-92C2-25804820EDAC}">
              <c15:filteredCategoryTitle>
                <c15:cat>
                  <c:multiLvlStrRef>
                    <c:extLst>
                      <c:ext uri="{02D57815-91ED-43cb-92C2-25804820EDAC}">
                        <c15:formulaRef>
                          <c15:sqref>'Cash Flow graphs'!$D$17:$O$17</c15:sqref>
                        </c15:formulaRef>
                      </c:ext>
                    </c:extLst>
                  </c:multiLvlStrRef>
                </c15:cat>
              </c15:filteredCategoryTitle>
            </c:ext>
            <c:ext xmlns:c16="http://schemas.microsoft.com/office/drawing/2014/chart" uri="{C3380CC4-5D6E-409C-BE32-E72D297353CC}">
              <c16:uniqueId val="{00000000-D219-4BFB-ADD2-4F6C4527902D}"/>
            </c:ext>
          </c:extLst>
        </c:ser>
        <c:dLbls>
          <c:showLegendKey val="0"/>
          <c:showVal val="0"/>
          <c:showCatName val="0"/>
          <c:showSerName val="0"/>
          <c:showPercent val="0"/>
          <c:showBubbleSize val="0"/>
        </c:dLbls>
        <c:axId val="388050504"/>
        <c:axId val="388046976"/>
      </c:areaChart>
      <c:catAx>
        <c:axId val="388050504"/>
        <c:scaling>
          <c:orientation val="minMax"/>
        </c:scaling>
        <c:delete val="0"/>
        <c:axPos val="b"/>
        <c:majorTickMark val="out"/>
        <c:minorTickMark val="none"/>
        <c:tickLblPos val="nextTo"/>
        <c:crossAx val="388046976"/>
        <c:crosses val="autoZero"/>
        <c:auto val="1"/>
        <c:lblAlgn val="ctr"/>
        <c:lblOffset val="100"/>
        <c:noMultiLvlLbl val="0"/>
      </c:catAx>
      <c:valAx>
        <c:axId val="388046976"/>
        <c:scaling>
          <c:orientation val="minMax"/>
        </c:scaling>
        <c:delete val="0"/>
        <c:axPos val="l"/>
        <c:majorGridlines/>
        <c:numFmt formatCode="&quot;$&quot;#,##0_);[Red]\(&quot;$&quot;#,##0\)" sourceLinked="1"/>
        <c:majorTickMark val="out"/>
        <c:minorTickMark val="none"/>
        <c:tickLblPos val="nextTo"/>
        <c:crossAx val="388050504"/>
        <c:crosses val="autoZero"/>
        <c:crossBetween val="midCat"/>
      </c:valAx>
    </c:plotArea>
    <c:plotVisOnly val="1"/>
    <c:dispBlanksAs val="zero"/>
    <c:showDLblsOverMax val="0"/>
  </c:chart>
  <c:spPr>
    <a:ln cap="sq">
      <a:round/>
    </a:ln>
  </c:spPr>
  <c:printSettings>
    <c:headerFooter/>
    <c:pageMargins b="0.75000000000000833" l="0.70000000000000062" r="0.70000000000000062" t="0.750000000000008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362"/>
          <c:y val="8.6880217627312989E-2"/>
          <c:w val="0.85819561680399914"/>
          <c:h val="0.85505139115930662"/>
        </c:manualLayout>
      </c:layout>
      <c:areaChart>
        <c:grouping val="standard"/>
        <c:varyColors val="0"/>
        <c:ser>
          <c:idx val="0"/>
          <c:order val="0"/>
          <c:tx>
            <c:strRef>
              <c:f>'Cash Flow graphs'!$C$25</c:f>
              <c:strCache>
                <c:ptCount val="1"/>
                <c:pt idx="0">
                  <c:v>Projected Monthly Cash Balance</c:v>
                </c:pt>
              </c:strCache>
            </c:strRef>
          </c:tx>
          <c:val>
            <c:numRef>
              <c:f>'Cash Flow graphs'!$D$25:$O$25</c:f>
            </c:numRef>
          </c:val>
          <c:extLst>
            <c:ext xmlns:c15="http://schemas.microsoft.com/office/drawing/2012/chart" uri="{02D57815-91ED-43cb-92C2-25804820EDAC}">
              <c15:filteredCategoryTitle>
                <c15:cat>
                  <c:multiLvlStrRef>
                    <c:extLst>
                      <c:ext uri="{02D57815-91ED-43cb-92C2-25804820EDAC}">
                        <c15:formulaRef>
                          <c15:sqref>'Cash Flow graphs'!$D$24:$O$24</c15:sqref>
                        </c15:formulaRef>
                      </c:ext>
                    </c:extLst>
                  </c:multiLvlStrRef>
                </c15:cat>
              </c15:filteredCategoryTitle>
            </c:ext>
            <c:ext xmlns:c16="http://schemas.microsoft.com/office/drawing/2014/chart" uri="{C3380CC4-5D6E-409C-BE32-E72D297353CC}">
              <c16:uniqueId val="{00000000-3236-4A60-9549-59EFE8FCEDA2}"/>
            </c:ext>
          </c:extLst>
        </c:ser>
        <c:dLbls>
          <c:showLegendKey val="0"/>
          <c:showVal val="0"/>
          <c:showCatName val="0"/>
          <c:showSerName val="0"/>
          <c:showPercent val="0"/>
          <c:showBubbleSize val="0"/>
        </c:dLbls>
        <c:axId val="385471280"/>
        <c:axId val="385472064"/>
      </c:areaChart>
      <c:catAx>
        <c:axId val="385471280"/>
        <c:scaling>
          <c:orientation val="minMax"/>
        </c:scaling>
        <c:delete val="0"/>
        <c:axPos val="b"/>
        <c:majorTickMark val="out"/>
        <c:minorTickMark val="none"/>
        <c:tickLblPos val="nextTo"/>
        <c:crossAx val="385472064"/>
        <c:crosses val="autoZero"/>
        <c:auto val="1"/>
        <c:lblAlgn val="ctr"/>
        <c:lblOffset val="100"/>
        <c:noMultiLvlLbl val="0"/>
      </c:catAx>
      <c:valAx>
        <c:axId val="385472064"/>
        <c:scaling>
          <c:orientation val="minMax"/>
        </c:scaling>
        <c:delete val="0"/>
        <c:axPos val="l"/>
        <c:majorGridlines/>
        <c:numFmt formatCode="&quot;$&quot;#,##0_);[Red]\(&quot;$&quot;#,##0\)" sourceLinked="1"/>
        <c:majorTickMark val="out"/>
        <c:minorTickMark val="none"/>
        <c:tickLblPos val="nextTo"/>
        <c:crossAx val="385471280"/>
        <c:crosses val="autoZero"/>
        <c:crossBetween val="midCat"/>
      </c:valAx>
    </c:plotArea>
    <c:plotVisOnly val="1"/>
    <c:dispBlanksAs val="zero"/>
    <c:showDLblsOverMax val="0"/>
  </c:chart>
  <c:spPr>
    <a:ln cap="sq">
      <a:round/>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362"/>
          <c:y val="9.7445457986531384E-2"/>
          <c:w val="0.85819561680399914"/>
          <c:h val="0.84448615080008749"/>
        </c:manualLayout>
      </c:layout>
      <c:areaChart>
        <c:grouping val="standard"/>
        <c:varyColors val="0"/>
        <c:ser>
          <c:idx val="0"/>
          <c:order val="0"/>
          <c:tx>
            <c:strRef>
              <c:f>'Cash Flow graphs'!$C$32</c:f>
              <c:strCache>
                <c:ptCount val="1"/>
                <c:pt idx="0">
                  <c:v>Projected Monthly Cash Balance</c:v>
                </c:pt>
              </c:strCache>
            </c:strRef>
          </c:tx>
          <c:val>
            <c:numRef>
              <c:f>'Cash Flow graphs'!$D$32:$O$32</c:f>
            </c:numRef>
          </c:val>
          <c:extLst>
            <c:ext xmlns:c15="http://schemas.microsoft.com/office/drawing/2012/chart" uri="{02D57815-91ED-43cb-92C2-25804820EDAC}">
              <c15:filteredCategoryTitle>
                <c15:cat>
                  <c:multiLvlStrRef>
                    <c:extLst>
                      <c:ext uri="{02D57815-91ED-43cb-92C2-25804820EDAC}">
                        <c15:formulaRef>
                          <c15:sqref>'Cash Flow graphs'!$D$31:$O$31</c15:sqref>
                        </c15:formulaRef>
                      </c:ext>
                    </c:extLst>
                  </c:multiLvlStrRef>
                </c15:cat>
              </c15:filteredCategoryTitle>
            </c:ext>
            <c:ext xmlns:c16="http://schemas.microsoft.com/office/drawing/2014/chart" uri="{C3380CC4-5D6E-409C-BE32-E72D297353CC}">
              <c16:uniqueId val="{00000000-FEBB-4431-AFAC-910529EE6E9D}"/>
            </c:ext>
          </c:extLst>
        </c:ser>
        <c:dLbls>
          <c:showLegendKey val="0"/>
          <c:showVal val="0"/>
          <c:showCatName val="0"/>
          <c:showSerName val="0"/>
          <c:showPercent val="0"/>
          <c:showBubbleSize val="0"/>
        </c:dLbls>
        <c:axId val="385474808"/>
        <c:axId val="385475984"/>
      </c:areaChart>
      <c:catAx>
        <c:axId val="385474808"/>
        <c:scaling>
          <c:orientation val="minMax"/>
        </c:scaling>
        <c:delete val="0"/>
        <c:axPos val="b"/>
        <c:majorTickMark val="out"/>
        <c:minorTickMark val="none"/>
        <c:tickLblPos val="nextTo"/>
        <c:crossAx val="385475984"/>
        <c:crosses val="autoZero"/>
        <c:auto val="1"/>
        <c:lblAlgn val="ctr"/>
        <c:lblOffset val="100"/>
        <c:noMultiLvlLbl val="0"/>
      </c:catAx>
      <c:valAx>
        <c:axId val="385475984"/>
        <c:scaling>
          <c:orientation val="minMax"/>
        </c:scaling>
        <c:delete val="0"/>
        <c:axPos val="l"/>
        <c:majorGridlines/>
        <c:numFmt formatCode="&quot;$&quot;#,##0_);[Red]\(&quot;$&quot;#,##0\)" sourceLinked="1"/>
        <c:majorTickMark val="out"/>
        <c:minorTickMark val="none"/>
        <c:tickLblPos val="nextTo"/>
        <c:crossAx val="385474808"/>
        <c:crosses val="autoZero"/>
        <c:crossBetween val="midCat"/>
      </c:valAx>
    </c:plotArea>
    <c:plotVisOnly val="1"/>
    <c:dispBlanksAs val="zero"/>
    <c:showDLblsOverMax val="0"/>
  </c:chart>
  <c:spPr>
    <a:ln cap="sq">
      <a:round/>
    </a:ln>
  </c:spPr>
  <c:printSettings>
    <c:headerFooter/>
    <c:pageMargins b="0.75000000000000833" l="0.70000000000000062" r="0.70000000000000062" t="0.750000000000008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362"/>
          <c:y val="0.11431296206457595"/>
          <c:w val="0.85819561680399914"/>
          <c:h val="0.82780211715241769"/>
        </c:manualLayout>
      </c:layout>
      <c:areaChart>
        <c:grouping val="standard"/>
        <c:varyColors val="0"/>
        <c:ser>
          <c:idx val="0"/>
          <c:order val="0"/>
          <c:tx>
            <c:strRef>
              <c:f>'Cash Flow graphs'!$C$39</c:f>
              <c:strCache>
                <c:ptCount val="1"/>
                <c:pt idx="0">
                  <c:v>Projected Monthly Cash Balance</c:v>
                </c:pt>
              </c:strCache>
            </c:strRef>
          </c:tx>
          <c:val>
            <c:numRef>
              <c:f>'Cash Flow graphs'!$D$39:$O$39</c:f>
            </c:numRef>
          </c:val>
          <c:extLst>
            <c:ext xmlns:c15="http://schemas.microsoft.com/office/drawing/2012/chart" uri="{02D57815-91ED-43cb-92C2-25804820EDAC}">
              <c15:filteredCategoryTitle>
                <c15:cat>
                  <c:multiLvlStrRef>
                    <c:extLst>
                      <c:ext uri="{02D57815-91ED-43cb-92C2-25804820EDAC}">
                        <c15:formulaRef>
                          <c15:sqref>'Cash Flow graphs'!$D$38:$O$38</c15:sqref>
                        </c15:formulaRef>
                      </c:ext>
                    </c:extLst>
                  </c:multiLvlStrRef>
                </c15:cat>
              </c15:filteredCategoryTitle>
            </c:ext>
            <c:ext xmlns:c16="http://schemas.microsoft.com/office/drawing/2014/chart" uri="{C3380CC4-5D6E-409C-BE32-E72D297353CC}">
              <c16:uniqueId val="{00000000-3E04-4115-A048-65F860A5FAB9}"/>
            </c:ext>
          </c:extLst>
        </c:ser>
        <c:dLbls>
          <c:showLegendKey val="0"/>
          <c:showVal val="0"/>
          <c:showCatName val="0"/>
          <c:showSerName val="0"/>
          <c:showPercent val="0"/>
          <c:showBubbleSize val="0"/>
        </c:dLbls>
        <c:axId val="385473632"/>
        <c:axId val="385471672"/>
      </c:areaChart>
      <c:catAx>
        <c:axId val="385473632"/>
        <c:scaling>
          <c:orientation val="minMax"/>
        </c:scaling>
        <c:delete val="0"/>
        <c:axPos val="b"/>
        <c:majorTickMark val="out"/>
        <c:minorTickMark val="none"/>
        <c:tickLblPos val="nextTo"/>
        <c:crossAx val="385471672"/>
        <c:crosses val="autoZero"/>
        <c:auto val="1"/>
        <c:lblAlgn val="ctr"/>
        <c:lblOffset val="100"/>
        <c:noMultiLvlLbl val="0"/>
      </c:catAx>
      <c:valAx>
        <c:axId val="385471672"/>
        <c:scaling>
          <c:orientation val="minMax"/>
        </c:scaling>
        <c:delete val="0"/>
        <c:axPos val="l"/>
        <c:majorGridlines/>
        <c:numFmt formatCode="&quot;$&quot;#,##0_);[Red]\(&quot;$&quot;#,##0\)" sourceLinked="1"/>
        <c:majorTickMark val="out"/>
        <c:minorTickMark val="none"/>
        <c:tickLblPos val="nextTo"/>
        <c:crossAx val="385473632"/>
        <c:crosses val="autoZero"/>
        <c:crossBetween val="midCat"/>
      </c:valAx>
    </c:plotArea>
    <c:plotVisOnly val="1"/>
    <c:dispBlanksAs val="zero"/>
    <c:showDLblsOverMax val="0"/>
  </c:chart>
  <c:spPr>
    <a:ln cap="sq">
      <a:round/>
    </a:ln>
  </c:spPr>
  <c:printSettings>
    <c:headerFooter/>
    <c:pageMargins b="0.75000000000000833" l="0.70000000000000062" r="0.70000000000000062" t="0.750000000000008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1884709371540735"/>
          <c:y val="9.7461987867630259E-2"/>
          <c:w val="0.85937448800332361"/>
          <c:h val="0.84465309134936362"/>
        </c:manualLayout>
      </c:layout>
      <c:areaChart>
        <c:grouping val="standard"/>
        <c:varyColors val="0"/>
        <c:ser>
          <c:idx val="0"/>
          <c:order val="0"/>
          <c:tx>
            <c:strRef>
              <c:f>'Cash Flow graphs'!$C$46</c:f>
              <c:strCache>
                <c:ptCount val="1"/>
                <c:pt idx="0">
                  <c:v>Projected Monthly Cash Balance</c:v>
                </c:pt>
              </c:strCache>
            </c:strRef>
          </c:tx>
          <c:val>
            <c:numRef>
              <c:f>'Cash Flow graphs'!$D$46:$O$46</c:f>
            </c:numRef>
          </c:val>
          <c:extLst>
            <c:ext xmlns:c15="http://schemas.microsoft.com/office/drawing/2012/chart" uri="{02D57815-91ED-43cb-92C2-25804820EDAC}">
              <c15:filteredCategoryTitle>
                <c15:cat>
                  <c:multiLvlStrRef>
                    <c:extLst>
                      <c:ext uri="{02D57815-91ED-43cb-92C2-25804820EDAC}">
                        <c15:formulaRef>
                          <c15:sqref>'Cash Flow graphs'!$D$45:$O$45</c15:sqref>
                        </c15:formulaRef>
                      </c:ext>
                    </c:extLst>
                  </c:multiLvlStrRef>
                </c15:cat>
              </c15:filteredCategoryTitle>
            </c:ext>
            <c:ext xmlns:c16="http://schemas.microsoft.com/office/drawing/2014/chart" uri="{C3380CC4-5D6E-409C-BE32-E72D297353CC}">
              <c16:uniqueId val="{00000000-CCFB-4F98-A555-554C2B3E8261}"/>
            </c:ext>
          </c:extLst>
        </c:ser>
        <c:dLbls>
          <c:showLegendKey val="0"/>
          <c:showVal val="0"/>
          <c:showCatName val="0"/>
          <c:showSerName val="0"/>
          <c:showPercent val="0"/>
          <c:showBubbleSize val="0"/>
        </c:dLbls>
        <c:axId val="385472456"/>
        <c:axId val="385468536"/>
      </c:areaChart>
      <c:catAx>
        <c:axId val="385472456"/>
        <c:scaling>
          <c:orientation val="minMax"/>
        </c:scaling>
        <c:delete val="0"/>
        <c:axPos val="b"/>
        <c:majorTickMark val="out"/>
        <c:minorTickMark val="none"/>
        <c:tickLblPos val="nextTo"/>
        <c:crossAx val="385468536"/>
        <c:crosses val="autoZero"/>
        <c:auto val="1"/>
        <c:lblAlgn val="ctr"/>
        <c:lblOffset val="100"/>
        <c:noMultiLvlLbl val="0"/>
      </c:catAx>
      <c:valAx>
        <c:axId val="385468536"/>
        <c:scaling>
          <c:orientation val="minMax"/>
        </c:scaling>
        <c:delete val="0"/>
        <c:axPos val="l"/>
        <c:majorGridlines/>
        <c:numFmt formatCode="&quot;$&quot;#,##0_);[Red]\(&quot;$&quot;#,##0\)" sourceLinked="1"/>
        <c:majorTickMark val="out"/>
        <c:minorTickMark val="none"/>
        <c:tickLblPos val="nextTo"/>
        <c:crossAx val="385472456"/>
        <c:crosses val="autoZero"/>
        <c:crossBetween val="midCat"/>
      </c:valAx>
    </c:plotArea>
    <c:plotVisOnly val="1"/>
    <c:dispBlanksAs val="zero"/>
    <c:showDLblsOverMax val="0"/>
  </c:chart>
  <c:spPr>
    <a:ln cap="sq">
      <a:round/>
    </a:ln>
  </c:spPr>
  <c:printSettings>
    <c:headerFooter/>
    <c:pageMargins b="0.7500000000000081" l="0.70000000000000062" r="0.70000000000000062" t="0.7500000000000081"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9.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tif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tif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7</xdr:col>
      <xdr:colOff>527724</xdr:colOff>
      <xdr:row>36</xdr:row>
      <xdr:rowOff>38100</xdr:rowOff>
    </xdr:from>
    <xdr:to>
      <xdr:col>9</xdr:col>
      <xdr:colOff>516255</xdr:colOff>
      <xdr:row>40</xdr:row>
      <xdr:rowOff>151868</xdr:rowOff>
    </xdr:to>
    <xdr:pic>
      <xdr:nvPicPr>
        <xdr:cNvPr id="2" name="Picture 9" descr="C:\Users\Ryan\Desktop\CSMC\Marketing\Logos\174471_logo_final.tif">
          <a:extLst>
            <a:ext uri="{FF2B5EF4-FFF2-40B4-BE49-F238E27FC236}">
              <a16:creationId xmlns:a16="http://schemas.microsoft.com/office/drawing/2014/main" id="{C5A38A65-0F02-435D-BFB4-F191525E54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26369" y="7353300"/>
          <a:ext cx="1238211" cy="875768"/>
        </a:xfrm>
        <a:prstGeom prst="rect">
          <a:avLst/>
        </a:prstGeom>
        <a:noFill/>
        <a:ln w="9525">
          <a:noFill/>
          <a:miter lim="800000"/>
          <a:headEnd/>
          <a:tailEnd/>
        </a:ln>
      </xdr:spPr>
    </xdr:pic>
    <xdr:clientData/>
  </xdr:twoCellAnchor>
  <xdr:twoCellAnchor editAs="oneCell">
    <xdr:from>
      <xdr:col>5</xdr:col>
      <xdr:colOff>38100</xdr:colOff>
      <xdr:row>5</xdr:row>
      <xdr:rowOff>28575</xdr:rowOff>
    </xdr:from>
    <xdr:to>
      <xdr:col>12</xdr:col>
      <xdr:colOff>521970</xdr:colOff>
      <xdr:row>19</xdr:row>
      <xdr:rowOff>163830</xdr:rowOff>
    </xdr:to>
    <xdr:pic>
      <xdr:nvPicPr>
        <xdr:cNvPr id="3" name="Picture 2" descr="Compass Charter Schools">
          <a:extLst>
            <a:ext uri="{FF2B5EF4-FFF2-40B4-BE49-F238E27FC236}">
              <a16:creationId xmlns:a16="http://schemas.microsoft.com/office/drawing/2014/main" id="{72A04A0B-2C1C-4444-8E74-F3E75FD2B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1350" y="941070"/>
          <a:ext cx="485775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5" name="Picture 9" descr="C:\Users\Ryan\Desktop\CSMC\Marketing\Logos\174471_logo_final.tif">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5" name="Picture 9" descr="C:\Users\Ryan\Desktop\CSMC\Marketing\Logos\174471_logo_final.t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5" name="Picture 9" descr="C:\Users\Ryan\Desktop\CSMC\Marketing\Logos\174471_logo_final.t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479425</xdr:colOff>
      <xdr:row>3</xdr:row>
      <xdr:rowOff>0</xdr:rowOff>
    </xdr:to>
    <xdr:pic>
      <xdr:nvPicPr>
        <xdr:cNvPr id="2" name="Picture 9" descr="C:\Users\Ryan\Desktop\CSMC\Marketing\Logos\174471_logo_final.t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0"/>
          <a:ext cx="1003300" cy="7334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57150</xdr:rowOff>
    </xdr:to>
    <xdr:pic>
      <xdr:nvPicPr>
        <xdr:cNvPr id="2" name="Picture 9" descr="C:\Users\Ryan\Desktop\CSMC\Marketing\Logos\174471_logo_final.t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57150</xdr:rowOff>
    </xdr:to>
    <xdr:pic>
      <xdr:nvPicPr>
        <xdr:cNvPr id="2" name="Picture 9" descr="C:\Users\Ryan\Desktop\CSMC\Marketing\Logos\174471_logo_final.tif">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57150</xdr:rowOff>
    </xdr:to>
    <xdr:pic>
      <xdr:nvPicPr>
        <xdr:cNvPr id="2" name="Picture 9" descr="C:\Users\Ryan\Desktop\CSMC\Marketing\Logos\174471_logo_final.t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57150</xdr:rowOff>
    </xdr:to>
    <xdr:pic>
      <xdr:nvPicPr>
        <xdr:cNvPr id="2" name="Picture 9" descr="C:\Users\Ryan\Desktop\CSMC\Marketing\Logos\174471_logo_final.tif">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0</xdr:colOff>
      <xdr:row>0</xdr:row>
      <xdr:rowOff>19050</xdr:rowOff>
    </xdr:from>
    <xdr:to>
      <xdr:col>18</xdr:col>
      <xdr:colOff>174625</xdr:colOff>
      <xdr:row>3</xdr:row>
      <xdr:rowOff>19050</xdr:rowOff>
    </xdr:to>
    <xdr:pic>
      <xdr:nvPicPr>
        <xdr:cNvPr id="2" name="Picture 9" descr="C:\Users\Ryan\Desktop\CSMC\Marketing\Logos\174471_logo_final.tif">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19050"/>
          <a:ext cx="1003300" cy="733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3</xdr:row>
      <xdr:rowOff>0</xdr:rowOff>
    </xdr:to>
    <xdr:pic>
      <xdr:nvPicPr>
        <xdr:cNvPr id="2" name="Picture 9" descr="C:\Users\Ryan\Desktop\CSMC\Marketing\Logos\174471_logo_final.tif">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83821</xdr:colOff>
      <xdr:row>3</xdr:row>
      <xdr:rowOff>184786</xdr:rowOff>
    </xdr:from>
    <xdr:to>
      <xdr:col>1</xdr:col>
      <xdr:colOff>320676</xdr:colOff>
      <xdr:row>5</xdr:row>
      <xdr:rowOff>205740</xdr:rowOff>
    </xdr:to>
    <xdr:pic>
      <xdr:nvPicPr>
        <xdr:cNvPr id="2" name="Picture 9" descr="C:\Users\Ryan\Desktop\CSMC\Marketing\Logos\174471_logo_final.tif">
          <a:extLst>
            <a:ext uri="{FF2B5EF4-FFF2-40B4-BE49-F238E27FC236}">
              <a16:creationId xmlns:a16="http://schemas.microsoft.com/office/drawing/2014/main" id="{1DCEA727-7CB8-4C48-BBED-40BB087DD6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821" y="1076326"/>
          <a:ext cx="625475" cy="432434"/>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3</xdr:row>
      <xdr:rowOff>0</xdr:rowOff>
    </xdr:to>
    <xdr:pic>
      <xdr:nvPicPr>
        <xdr:cNvPr id="2" name="Picture 9" descr="C:\Users\Ryan\Desktop\CSMC\Marketing\Logos\174471_logo_final.tif">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3</xdr:row>
      <xdr:rowOff>0</xdr:rowOff>
    </xdr:to>
    <xdr:pic>
      <xdr:nvPicPr>
        <xdr:cNvPr id="2" name="Picture 9" descr="C:\Users\Ryan\Desktop\CSMC\Marketing\Logos\174471_logo_final.tif">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3</xdr:row>
      <xdr:rowOff>0</xdr:rowOff>
    </xdr:to>
    <xdr:pic>
      <xdr:nvPicPr>
        <xdr:cNvPr id="2" name="Picture 9" descr="C:\Users\Ryan\Desktop\CSMC\Marketing\Logos\174471_logo_final.tif">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457199</xdr:colOff>
      <xdr:row>6</xdr:row>
      <xdr:rowOff>9525</xdr:rowOff>
    </xdr:from>
    <xdr:to>
      <xdr:col>14</xdr:col>
      <xdr:colOff>781049</xdr:colOff>
      <xdr:row>8</xdr:row>
      <xdr:rowOff>1981200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457199</xdr:colOff>
      <xdr:row>13</xdr:row>
      <xdr:rowOff>9525</xdr:rowOff>
    </xdr:from>
    <xdr:to>
      <xdr:col>14</xdr:col>
      <xdr:colOff>781049</xdr:colOff>
      <xdr:row>15</xdr:row>
      <xdr:rowOff>1981200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457199</xdr:colOff>
      <xdr:row>20</xdr:row>
      <xdr:rowOff>9525</xdr:rowOff>
    </xdr:from>
    <xdr:to>
      <xdr:col>14</xdr:col>
      <xdr:colOff>781049</xdr:colOff>
      <xdr:row>22</xdr:row>
      <xdr:rowOff>1981200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457199</xdr:colOff>
      <xdr:row>27</xdr:row>
      <xdr:rowOff>9525</xdr:rowOff>
    </xdr:from>
    <xdr:to>
      <xdr:col>14</xdr:col>
      <xdr:colOff>781049</xdr:colOff>
      <xdr:row>29</xdr:row>
      <xdr:rowOff>1981200</xdr:rowOff>
    </xdr:to>
    <xdr:graphicFrame macro="">
      <xdr:nvGraphicFramePr>
        <xdr:cNvPr id="5" name="Chart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457199</xdr:colOff>
      <xdr:row>34</xdr:row>
      <xdr:rowOff>9525</xdr:rowOff>
    </xdr:from>
    <xdr:to>
      <xdr:col>14</xdr:col>
      <xdr:colOff>781049</xdr:colOff>
      <xdr:row>36</xdr:row>
      <xdr:rowOff>1981200</xdr:rowOff>
    </xdr:to>
    <xdr:graphicFrame macro="">
      <xdr:nvGraphicFramePr>
        <xdr:cNvPr id="6" name="Chart 5">
          <a:extLst>
            <a:ext uri="{FF2B5EF4-FFF2-40B4-BE49-F238E27FC236}">
              <a16:creationId xmlns:a16="http://schemas.microsoft.com/office/drawing/2014/main" id="{00000000-0008-0000-1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457199</xdr:colOff>
      <xdr:row>41</xdr:row>
      <xdr:rowOff>9525</xdr:rowOff>
    </xdr:from>
    <xdr:to>
      <xdr:col>14</xdr:col>
      <xdr:colOff>781049</xdr:colOff>
      <xdr:row>43</xdr:row>
      <xdr:rowOff>1981200</xdr:rowOff>
    </xdr:to>
    <xdr:graphicFrame macro="">
      <xdr:nvGraphicFramePr>
        <xdr:cNvPr id="7" name="Chart 6">
          <a:extLst>
            <a:ext uri="{FF2B5EF4-FFF2-40B4-BE49-F238E27FC236}">
              <a16:creationId xmlns:a16="http://schemas.microsoft.com/office/drawing/2014/main" id="{00000000-0008-0000-1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0</xdr:colOff>
      <xdr:row>0</xdr:row>
      <xdr:rowOff>0</xdr:rowOff>
    </xdr:from>
    <xdr:to>
      <xdr:col>14</xdr:col>
      <xdr:colOff>174625</xdr:colOff>
      <xdr:row>3</xdr:row>
      <xdr:rowOff>0</xdr:rowOff>
    </xdr:to>
    <xdr:pic>
      <xdr:nvPicPr>
        <xdr:cNvPr id="8" name="Picture 9" descr="C:\Users\Ryan\Desktop\CSMC\Marketing\Logos\174471_logo_final.tif">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344150" y="0"/>
          <a:ext cx="1003300" cy="7334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178560</xdr:colOff>
      <xdr:row>0</xdr:row>
      <xdr:rowOff>0</xdr:rowOff>
    </xdr:from>
    <xdr:to>
      <xdr:col>2</xdr:col>
      <xdr:colOff>1641240</xdr:colOff>
      <xdr:row>0</xdr:row>
      <xdr:rowOff>393120</xdr:rowOff>
    </xdr:to>
    <xdr:pic>
      <xdr:nvPicPr>
        <xdr:cNvPr id="2" name="Picture 1">
          <a:extLst>
            <a:ext uri="{FF2B5EF4-FFF2-40B4-BE49-F238E27FC236}">
              <a16:creationId xmlns:a16="http://schemas.microsoft.com/office/drawing/2014/main" id="{9F35D830-1AA0-4373-BDFD-E8C2D3819476}"/>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8560" y="0"/>
          <a:ext cx="1653180" cy="17976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178858</xdr:colOff>
      <xdr:row>78</xdr:row>
      <xdr:rowOff>119591</xdr:rowOff>
    </xdr:from>
    <xdr:to>
      <xdr:col>7</xdr:col>
      <xdr:colOff>48758</xdr:colOff>
      <xdr:row>95</xdr:row>
      <xdr:rowOff>87581</xdr:rowOff>
    </xdr:to>
    <xdr:pic>
      <xdr:nvPicPr>
        <xdr:cNvPr id="2" name="Picture 1">
          <a:extLst>
            <a:ext uri="{FF2B5EF4-FFF2-40B4-BE49-F238E27FC236}">
              <a16:creationId xmlns:a16="http://schemas.microsoft.com/office/drawing/2014/main" id="{A9203F57-5BC0-4922-A963-752E91233EB9}"/>
            </a:ext>
          </a:extLst>
        </xdr:cNvPr>
        <xdr:cNvPicPr>
          <a:picLocks noChangeAspect="1"/>
        </xdr:cNvPicPr>
      </xdr:nvPicPr>
      <xdr:blipFill>
        <a:blip xmlns:r="http://schemas.openxmlformats.org/officeDocument/2006/relationships" r:embed="rId1"/>
        <a:stretch>
          <a:fillRect/>
        </a:stretch>
      </xdr:blipFill>
      <xdr:spPr>
        <a:xfrm>
          <a:off x="570441" y="17158758"/>
          <a:ext cx="5161567" cy="3386406"/>
        </a:xfrm>
        <a:prstGeom prst="rect">
          <a:avLst/>
        </a:prstGeom>
      </xdr:spPr>
    </xdr:pic>
    <xdr:clientData/>
  </xdr:twoCellAnchor>
  <xdr:twoCellAnchor editAs="oneCell">
    <xdr:from>
      <xdr:col>1</xdr:col>
      <xdr:colOff>76199</xdr:colOff>
      <xdr:row>93</xdr:row>
      <xdr:rowOff>22144</xdr:rowOff>
    </xdr:from>
    <xdr:to>
      <xdr:col>6</xdr:col>
      <xdr:colOff>1028314</xdr:colOff>
      <xdr:row>110</xdr:row>
      <xdr:rowOff>30480</xdr:rowOff>
    </xdr:to>
    <xdr:pic>
      <xdr:nvPicPr>
        <xdr:cNvPr id="4" name="Picture 3">
          <a:extLst>
            <a:ext uri="{FF2B5EF4-FFF2-40B4-BE49-F238E27FC236}">
              <a16:creationId xmlns:a16="http://schemas.microsoft.com/office/drawing/2014/main" id="{BEE3389B-46AD-4545-9DBC-894B56BE5F39}"/>
            </a:ext>
          </a:extLst>
        </xdr:cNvPr>
        <xdr:cNvPicPr>
          <a:picLocks noChangeAspect="1"/>
        </xdr:cNvPicPr>
      </xdr:nvPicPr>
      <xdr:blipFill>
        <a:blip xmlns:r="http://schemas.openxmlformats.org/officeDocument/2006/relationships" r:embed="rId2"/>
        <a:stretch>
          <a:fillRect/>
        </a:stretch>
      </xdr:blipFill>
      <xdr:spPr>
        <a:xfrm>
          <a:off x="464819" y="19994164"/>
          <a:ext cx="5219315" cy="3376376"/>
        </a:xfrm>
        <a:prstGeom prst="rect">
          <a:avLst/>
        </a:prstGeom>
      </xdr:spPr>
    </xdr:pic>
    <xdr:clientData/>
  </xdr:twoCellAnchor>
  <xdr:twoCellAnchor editAs="oneCell">
    <xdr:from>
      <xdr:col>1</xdr:col>
      <xdr:colOff>38100</xdr:colOff>
      <xdr:row>109</xdr:row>
      <xdr:rowOff>181710</xdr:rowOff>
    </xdr:from>
    <xdr:to>
      <xdr:col>6</xdr:col>
      <xdr:colOff>1021080</xdr:colOff>
      <xdr:row>127</xdr:row>
      <xdr:rowOff>26405</xdr:rowOff>
    </xdr:to>
    <xdr:pic>
      <xdr:nvPicPr>
        <xdr:cNvPr id="5" name="Picture 4">
          <a:extLst>
            <a:ext uri="{FF2B5EF4-FFF2-40B4-BE49-F238E27FC236}">
              <a16:creationId xmlns:a16="http://schemas.microsoft.com/office/drawing/2014/main" id="{D6FED73F-FB71-4381-A0BF-1A5C472238DB}"/>
            </a:ext>
          </a:extLst>
        </xdr:cNvPr>
        <xdr:cNvPicPr>
          <a:picLocks noChangeAspect="1"/>
        </xdr:cNvPicPr>
      </xdr:nvPicPr>
      <xdr:blipFill>
        <a:blip xmlns:r="http://schemas.openxmlformats.org/officeDocument/2006/relationships" r:embed="rId3"/>
        <a:stretch>
          <a:fillRect/>
        </a:stretch>
      </xdr:blipFill>
      <xdr:spPr>
        <a:xfrm>
          <a:off x="426720" y="23323650"/>
          <a:ext cx="5250180" cy="3410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200025</xdr:colOff>
      <xdr:row>0</xdr:row>
      <xdr:rowOff>38100</xdr:rowOff>
    </xdr:from>
    <xdr:to>
      <xdr:col>9</xdr:col>
      <xdr:colOff>1201420</xdr:colOff>
      <xdr:row>2</xdr:row>
      <xdr:rowOff>230717</xdr:rowOff>
    </xdr:to>
    <xdr:pic>
      <xdr:nvPicPr>
        <xdr:cNvPr id="2" name="Picture 9" descr="C:\Users\Ryan\Desktop\CSMC\Marketing\Logos\174471_logo_final.t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10675" y="38100"/>
          <a:ext cx="1003300" cy="733425"/>
        </a:xfrm>
        <a:prstGeom prst="rect">
          <a:avLst/>
        </a:prstGeom>
        <a:noFill/>
        <a:ln w="9525">
          <a:noFill/>
          <a:miter lim="800000"/>
          <a:headEnd/>
          <a:tailEnd/>
        </a:ln>
      </xdr:spPr>
    </xdr:pic>
    <xdr:clientData/>
  </xdr:twoCellAnchor>
  <xdr:twoCellAnchor editAs="oneCell">
    <xdr:from>
      <xdr:col>0</xdr:col>
      <xdr:colOff>0</xdr:colOff>
      <xdr:row>76</xdr:row>
      <xdr:rowOff>63499</xdr:rowOff>
    </xdr:from>
    <xdr:to>
      <xdr:col>12</xdr:col>
      <xdr:colOff>622293</xdr:colOff>
      <xdr:row>84</xdr:row>
      <xdr:rowOff>57298</xdr:rowOff>
    </xdr:to>
    <xdr:pic>
      <xdr:nvPicPr>
        <xdr:cNvPr id="5" name="Picture 4" descr="A picture containing table&#10;&#10;Description automatically generated">
          <a:extLst>
            <a:ext uri="{FF2B5EF4-FFF2-40B4-BE49-F238E27FC236}">
              <a16:creationId xmlns:a16="http://schemas.microsoft.com/office/drawing/2014/main" id="{8A4BD0AD-94B2-58F5-4B51-FF14AA2391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747999"/>
          <a:ext cx="10712080" cy="1590370"/>
        </a:xfrm>
        <a:prstGeom prst="rect">
          <a:avLst/>
        </a:prstGeom>
        <a:noFill/>
        <a:ln>
          <a:noFill/>
        </a:ln>
      </xdr:spPr>
    </xdr:pic>
    <xdr:clientData/>
  </xdr:twoCellAnchor>
  <xdr:twoCellAnchor editAs="oneCell">
    <xdr:from>
      <xdr:col>0</xdr:col>
      <xdr:colOff>0</xdr:colOff>
      <xdr:row>84</xdr:row>
      <xdr:rowOff>109614</xdr:rowOff>
    </xdr:from>
    <xdr:to>
      <xdr:col>12</xdr:col>
      <xdr:colOff>588062</xdr:colOff>
      <xdr:row>95</xdr:row>
      <xdr:rowOff>20678</xdr:rowOff>
    </xdr:to>
    <xdr:pic>
      <xdr:nvPicPr>
        <xdr:cNvPr id="6" name="Picture 5" descr="Calendar&#10;&#10;Description automatically generated">
          <a:extLst>
            <a:ext uri="{FF2B5EF4-FFF2-40B4-BE49-F238E27FC236}">
              <a16:creationId xmlns:a16="http://schemas.microsoft.com/office/drawing/2014/main" id="{1F0FB5B5-A490-94EB-DC4C-D479764687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390685"/>
          <a:ext cx="10693089" cy="2094920"/>
        </a:xfrm>
        <a:prstGeom prst="rect">
          <a:avLst/>
        </a:prstGeom>
        <a:noFill/>
        <a:ln>
          <a:noFill/>
        </a:ln>
      </xdr:spPr>
    </xdr:pic>
    <xdr:clientData/>
  </xdr:twoCellAnchor>
  <xdr:twoCellAnchor editAs="oneCell">
    <xdr:from>
      <xdr:col>25</xdr:col>
      <xdr:colOff>725715</xdr:colOff>
      <xdr:row>76</xdr:row>
      <xdr:rowOff>75808</xdr:rowOff>
    </xdr:from>
    <xdr:to>
      <xdr:col>28</xdr:col>
      <xdr:colOff>878739</xdr:colOff>
      <xdr:row>79</xdr:row>
      <xdr:rowOff>136478</xdr:rowOff>
    </xdr:to>
    <xdr:pic>
      <xdr:nvPicPr>
        <xdr:cNvPr id="4" name="Picture 3">
          <a:extLst>
            <a:ext uri="{FF2B5EF4-FFF2-40B4-BE49-F238E27FC236}">
              <a16:creationId xmlns:a16="http://schemas.microsoft.com/office/drawing/2014/main" id="{E5A340CA-D3C1-3F0A-5E23-8451F2B911EF}"/>
            </a:ext>
          </a:extLst>
        </xdr:cNvPr>
        <xdr:cNvPicPr>
          <a:picLocks noChangeAspect="1"/>
        </xdr:cNvPicPr>
      </xdr:nvPicPr>
      <xdr:blipFill>
        <a:blip xmlns:r="http://schemas.openxmlformats.org/officeDocument/2006/relationships" r:embed="rId4"/>
        <a:stretch>
          <a:fillRect/>
        </a:stretch>
      </xdr:blipFill>
      <xdr:spPr>
        <a:xfrm>
          <a:off x="9833429" y="16068737"/>
          <a:ext cx="3586559" cy="665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99060</xdr:rowOff>
    </xdr:from>
    <xdr:to>
      <xdr:col>23</xdr:col>
      <xdr:colOff>286083</xdr:colOff>
      <xdr:row>10</xdr:row>
      <xdr:rowOff>523048</xdr:rowOff>
    </xdr:to>
    <xdr:pic>
      <xdr:nvPicPr>
        <xdr:cNvPr id="2" name="Picture 1">
          <a:extLst>
            <a:ext uri="{FF2B5EF4-FFF2-40B4-BE49-F238E27FC236}">
              <a16:creationId xmlns:a16="http://schemas.microsoft.com/office/drawing/2014/main" id="{E221BBB3-6395-4F82-A785-1E22266F8E36}"/>
            </a:ext>
          </a:extLst>
        </xdr:cNvPr>
        <xdr:cNvPicPr>
          <a:picLocks noChangeAspect="1"/>
        </xdr:cNvPicPr>
      </xdr:nvPicPr>
      <xdr:blipFill>
        <a:blip xmlns:r="http://schemas.openxmlformats.org/officeDocument/2006/relationships" r:embed="rId1"/>
        <a:stretch>
          <a:fillRect/>
        </a:stretch>
      </xdr:blipFill>
      <xdr:spPr>
        <a:xfrm>
          <a:off x="7536180" y="99060"/>
          <a:ext cx="8782383" cy="2831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1122045</xdr:colOff>
      <xdr:row>0</xdr:row>
      <xdr:rowOff>135255</xdr:rowOff>
    </xdr:from>
    <xdr:to>
      <xdr:col>10</xdr:col>
      <xdr:colOff>1029053</xdr:colOff>
      <xdr:row>3</xdr:row>
      <xdr:rowOff>134471</xdr:rowOff>
    </xdr:to>
    <xdr:pic>
      <xdr:nvPicPr>
        <xdr:cNvPr id="2" name="Picture 9" descr="C:\Users\Ryan\Desktop\CSMC\Marketing\Logos\174471_logo_final.t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7695" y="135255"/>
          <a:ext cx="1005205" cy="712470"/>
        </a:xfrm>
        <a:prstGeom prst="rect">
          <a:avLst/>
        </a:prstGeom>
        <a:noFill/>
        <a:ln w="9525">
          <a:noFill/>
          <a:miter lim="800000"/>
          <a:headEnd/>
          <a:tailEnd/>
        </a:ln>
      </xdr:spPr>
    </xdr:pic>
    <xdr:clientData/>
  </xdr:twoCellAnchor>
  <xdr:twoCellAnchor editAs="oneCell">
    <xdr:from>
      <xdr:col>24</xdr:col>
      <xdr:colOff>430307</xdr:colOff>
      <xdr:row>84</xdr:row>
      <xdr:rowOff>41929</xdr:rowOff>
    </xdr:from>
    <xdr:to>
      <xdr:col>32</xdr:col>
      <xdr:colOff>105723</xdr:colOff>
      <xdr:row>92</xdr:row>
      <xdr:rowOff>12243</xdr:rowOff>
    </xdr:to>
    <xdr:pic>
      <xdr:nvPicPr>
        <xdr:cNvPr id="3" name="Picture 2">
          <a:extLst>
            <a:ext uri="{FF2B5EF4-FFF2-40B4-BE49-F238E27FC236}">
              <a16:creationId xmlns:a16="http://schemas.microsoft.com/office/drawing/2014/main" id="{BE4AE962-DF1A-1930-8140-2A8D83CA7998}"/>
            </a:ext>
          </a:extLst>
        </xdr:cNvPr>
        <xdr:cNvPicPr>
          <a:picLocks noChangeAspect="1"/>
        </xdr:cNvPicPr>
      </xdr:nvPicPr>
      <xdr:blipFill>
        <a:blip xmlns:r="http://schemas.openxmlformats.org/officeDocument/2006/relationships" r:embed="rId2"/>
        <a:stretch>
          <a:fillRect/>
        </a:stretch>
      </xdr:blipFill>
      <xdr:spPr>
        <a:xfrm>
          <a:off x="22124895" y="17209341"/>
          <a:ext cx="5360946" cy="15461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350520</xdr:colOff>
      <xdr:row>16</xdr:row>
      <xdr:rowOff>97033</xdr:rowOff>
    </xdr:from>
    <xdr:to>
      <xdr:col>7</xdr:col>
      <xdr:colOff>126579</xdr:colOff>
      <xdr:row>22</xdr:row>
      <xdr:rowOff>16949</xdr:rowOff>
    </xdr:to>
    <xdr:pic>
      <xdr:nvPicPr>
        <xdr:cNvPr id="2" name="Picture 1">
          <a:extLst>
            <a:ext uri="{FF2B5EF4-FFF2-40B4-BE49-F238E27FC236}">
              <a16:creationId xmlns:a16="http://schemas.microsoft.com/office/drawing/2014/main" id="{BACEE72C-55E2-1100-6D03-8B69D8CDFD6B}"/>
            </a:ext>
          </a:extLst>
        </xdr:cNvPr>
        <xdr:cNvPicPr>
          <a:picLocks noChangeAspect="1"/>
        </xdr:cNvPicPr>
      </xdr:nvPicPr>
      <xdr:blipFill>
        <a:blip xmlns:r="http://schemas.openxmlformats.org/officeDocument/2006/relationships" r:embed="rId1"/>
        <a:stretch>
          <a:fillRect/>
        </a:stretch>
      </xdr:blipFill>
      <xdr:spPr>
        <a:xfrm>
          <a:off x="350520" y="2840233"/>
          <a:ext cx="5468199" cy="1017196"/>
        </a:xfrm>
        <a:prstGeom prst="rect">
          <a:avLst/>
        </a:prstGeom>
      </xdr:spPr>
    </xdr:pic>
    <xdr:clientData/>
  </xdr:twoCellAnchor>
  <xdr:twoCellAnchor editAs="oneCell">
    <xdr:from>
      <xdr:col>0</xdr:col>
      <xdr:colOff>381000</xdr:colOff>
      <xdr:row>22</xdr:row>
      <xdr:rowOff>7621</xdr:rowOff>
    </xdr:from>
    <xdr:to>
      <xdr:col>3</xdr:col>
      <xdr:colOff>228600</xdr:colOff>
      <xdr:row>23</xdr:row>
      <xdr:rowOff>63306</xdr:rowOff>
    </xdr:to>
    <xdr:pic>
      <xdr:nvPicPr>
        <xdr:cNvPr id="3" name="Picture 2">
          <a:extLst>
            <a:ext uri="{FF2B5EF4-FFF2-40B4-BE49-F238E27FC236}">
              <a16:creationId xmlns:a16="http://schemas.microsoft.com/office/drawing/2014/main" id="{801E3FA6-DA35-CE04-3D54-C8454B5FA670}"/>
            </a:ext>
          </a:extLst>
        </xdr:cNvPr>
        <xdr:cNvPicPr>
          <a:picLocks noChangeAspect="1"/>
        </xdr:cNvPicPr>
      </xdr:nvPicPr>
      <xdr:blipFill>
        <a:blip xmlns:r="http://schemas.openxmlformats.org/officeDocument/2006/relationships" r:embed="rId2"/>
        <a:stretch>
          <a:fillRect/>
        </a:stretch>
      </xdr:blipFill>
      <xdr:spPr>
        <a:xfrm>
          <a:off x="381000" y="4244341"/>
          <a:ext cx="2849880" cy="238565"/>
        </a:xfrm>
        <a:prstGeom prst="rect">
          <a:avLst/>
        </a:prstGeom>
      </xdr:spPr>
    </xdr:pic>
    <xdr:clientData/>
  </xdr:twoCellAnchor>
  <xdr:twoCellAnchor editAs="oneCell">
    <xdr:from>
      <xdr:col>3</xdr:col>
      <xdr:colOff>243841</xdr:colOff>
      <xdr:row>22</xdr:row>
      <xdr:rowOff>15240</xdr:rowOff>
    </xdr:from>
    <xdr:to>
      <xdr:col>6</xdr:col>
      <xdr:colOff>160021</xdr:colOff>
      <xdr:row>23</xdr:row>
      <xdr:rowOff>40043</xdr:rowOff>
    </xdr:to>
    <xdr:pic>
      <xdr:nvPicPr>
        <xdr:cNvPr id="5" name="Picture 4">
          <a:extLst>
            <a:ext uri="{FF2B5EF4-FFF2-40B4-BE49-F238E27FC236}">
              <a16:creationId xmlns:a16="http://schemas.microsoft.com/office/drawing/2014/main" id="{3F517496-1361-ED96-6C6E-4E776CFE5B00}"/>
            </a:ext>
          </a:extLst>
        </xdr:cNvPr>
        <xdr:cNvPicPr>
          <a:picLocks noChangeAspect="1"/>
        </xdr:cNvPicPr>
      </xdr:nvPicPr>
      <xdr:blipFill>
        <a:blip xmlns:r="http://schemas.openxmlformats.org/officeDocument/2006/relationships" r:embed="rId3"/>
        <a:stretch>
          <a:fillRect/>
        </a:stretch>
      </xdr:blipFill>
      <xdr:spPr>
        <a:xfrm>
          <a:off x="3246121" y="4251960"/>
          <a:ext cx="1996440" cy="2076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28575</xdr:colOff>
      <xdr:row>0</xdr:row>
      <xdr:rowOff>38100</xdr:rowOff>
    </xdr:from>
    <xdr:to>
      <xdr:col>10</xdr:col>
      <xdr:colOff>933450</xdr:colOff>
      <xdr:row>3</xdr:row>
      <xdr:rowOff>209550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838325" y="38100"/>
          <a:ext cx="5610225"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u="sng">
              <a:latin typeface="Times New Roman" pitchFamily="18" charset="0"/>
              <a:cs typeface="Times New Roman" pitchFamily="18" charset="0"/>
            </a:rPr>
            <a:t>Instructions</a:t>
          </a:r>
          <a:r>
            <a:rPr lang="en-US" sz="900">
              <a:latin typeface="Times New Roman" pitchFamily="18" charset="0"/>
              <a:cs typeface="Times New Roman" pitchFamily="18" charset="0"/>
            </a:rPr>
            <a:t>:  These</a:t>
          </a:r>
          <a:r>
            <a:rPr lang="en-US" sz="900" baseline="0">
              <a:latin typeface="Times New Roman" pitchFamily="18" charset="0"/>
              <a:cs typeface="Times New Roman" pitchFamily="18" charset="0"/>
            </a:rPr>
            <a:t> employee input </a:t>
          </a:r>
          <a:r>
            <a:rPr lang="en-US" sz="900">
              <a:latin typeface="Times New Roman" pitchFamily="18" charset="0"/>
              <a:cs typeface="Times New Roman" pitchFamily="18" charset="0"/>
            </a:rPr>
            <a:t> tabs are designed to model out 'typical'</a:t>
          </a:r>
          <a:r>
            <a:rPr lang="en-US" sz="900" baseline="0">
              <a:latin typeface="Times New Roman" pitchFamily="18" charset="0"/>
              <a:cs typeface="Times New Roman" pitchFamily="18" charset="0"/>
            </a:rPr>
            <a:t> employee compensation.  Unusual compensation programs may require modification to the structure or formulas.  Usually, you should  only have to modify the red input items and copy down the black formulas from row 7 to match how many employees you  </a:t>
          </a:r>
          <a:r>
            <a:rPr lang="en-US" sz="900" baseline="0">
              <a:solidFill>
                <a:schemeClr val="dk1"/>
              </a:solidFill>
              <a:latin typeface="Times New Roman" pitchFamily="18" charset="0"/>
              <a:ea typeface="+mn-ea"/>
              <a:cs typeface="Times New Roman" pitchFamily="18" charset="0"/>
            </a:rPr>
            <a:t>have.  The SACS code per employee in column B is essential.  </a:t>
          </a:r>
          <a:r>
            <a:rPr lang="en-US" sz="900" baseline="0">
              <a:latin typeface="Times New Roman" pitchFamily="18" charset="0"/>
              <a:cs typeface="Times New Roman" pitchFamily="18" charset="0"/>
            </a:rPr>
            <a:t>Please do not add or erase whole rows - the below can handle 50 employees.  Summary information is shown in rows 58 through 60.  Feel free to erase this text box for cleaner printing / presentation.</a:t>
          </a:r>
          <a:endParaRPr lang="en-US" sz="900">
            <a:latin typeface="Times New Roman" pitchFamily="18" charset="0"/>
            <a:cs typeface="Times New Roman" pitchFamily="18" charset="0"/>
          </a:endParaRPr>
        </a:p>
      </xdr:txBody>
    </xdr:sp>
    <xdr:clientData/>
  </xdr:twoCellAnchor>
  <xdr:twoCellAnchor editAs="oneCell">
    <xdr:from>
      <xdr:col>23</xdr:col>
      <xdr:colOff>0</xdr:colOff>
      <xdr:row>0</xdr:row>
      <xdr:rowOff>0</xdr:rowOff>
    </xdr:from>
    <xdr:to>
      <xdr:col>23</xdr:col>
      <xdr:colOff>1003300</xdr:colOff>
      <xdr:row>3</xdr:row>
      <xdr:rowOff>0</xdr:rowOff>
    </xdr:to>
    <xdr:pic>
      <xdr:nvPicPr>
        <xdr:cNvPr id="4" name="Picture 9" descr="C:\Users\Ryan\Desktop\CSMC\Marketing\Logos\174471_logo_final.t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4" name="Picture 9" descr="C:\Users\Ryan\Desktop\CSMC\Marketing\Logos\174471_logo_final.t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ALLWORK/9900apport/MARCH.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01/Users/Administrator/AppData/Local/Microsoft/Windows/Temporary%20Internet%20Files/Content.Outlook/5XROMFJZ/PRIN-Jun%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dministrator/AppData/Local/Microsoft/Windows/Temporary%20Internet%20Files/Content.Outlook/5XROMFJZ/PRIN-Jun%202005.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csmci-my.sharepoint.com/Users/Documents%20and%20Settings/fheim/Local%20Settings/Temporary%20Internet%20Files/OLKD6/Documents%20and%20Settings/Ldonaldson/Local%20Settings/Temporary%20Internet%20Files/OLK2B/feb2002advanceapportionment.xls?CE872FC9" TargetMode="External"/><Relationship Id="rId1" Type="http://schemas.openxmlformats.org/officeDocument/2006/relationships/externalLinkPath" Target="file:///\\CE872FC9\feb2002advanceapportionmen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Documents%20and%20Settings/Ldonaldson/Local%20Settings/Temporary%20Internet%20Files/OLK2B/feb2002advanceapportionmen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Documents%20and%20Settings/Ldonaldson/Local%20Settings/Temporary%20Internet%20Files/OLK2B/feb2002advanceapportion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smci-my.sharepoint.com/Users/Administrator/AppData/Local/Microsoft/Windows/Temporary%20Internet%20Files/Content.Outlook/5XROMFJZ/TRANSFER%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1/Users/Administrator/AppData/Local/Microsoft/Windows/Temporary%20Internet%20Files/Content.Outlook/5XROMFJZ/TRANSFER%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ministrator/AppData/Local/Microsoft/Windows/Temporary%20Internet%20Files/Content.Outlook/5XROMFJZ/TRANSFER%20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ALLWORK/INTERNET/2002%20ADA%20ANNUAL%20CharterC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ALLWORK/INTERNET/2002%20ADA%20ANNUAL%20CharterC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ALLWORK/9900apport/MAR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ALLWORK/INTERNET/2002%20ADA%20ANNUAL%20CharterC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WINDOWS/Temporary%20Internet%20Files/Content.IE5/UZ2EWYSK/PROCEDURES/TRANSFER%20TEMPL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WINDOWS/Temporary%20Internet%20Files/Content.IE5/UZ2EWYSK/PROCEDURES/TRANSFER%20TEMPL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WINDOWS/Temporary%20Internet%20Files/Content.IE5/UZ2EWYSK/PROCEDURES/TRANSFER%20TEMPL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ALLWORK/INTERNET/TS273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ALLWORK/INTERNET/TS27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ALLWORK/INTERNET/TS273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smci-my.sharepoint.com/Clients/Epiphany%20Preparatory%20Charter%20School/3.%20Budget/15-16/15-16%20APPROVED%20DASHBOARD%20Budget%20Epiphany%20Prep.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1/Clients/Epiphany%20Preparatory%20Charter%20School/3.%20Budget/15-16/15-16%20APPROVED%20DASHBOARD%20Budget%20Epiphany%20Prep.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lients/Epiphany%20Preparatory%20Charter%20School/3.%20Budget/15-16/15-16%20APPROVED%20DASHBOARD%20Budget%20Epiphany%20Prep.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ALLWORK/9900apport/MARCH.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aron%20Guibord/Dropbox%20(Charter%20School%20Management%20Corporation)/Kinetic/Charter%20Renewal/2020-07-21%20Kinetic%20Budget%20(V6%20Budget%20Mode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cott%20Warner/Dropbox%20(Charter%20School%20Management%20Corporation)/NVMI/Budget/FY20-21/NVMI%2020-21%20Budget%20Model%20-%2006-09-20.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Kristin%20Nowak/Dropbox%20(Charter%20School%20Management%20Corporation)/POLAHS/Budgets/2019-20/POLAHS%20-%202019-20%20Revised%20Budget%20-%2012-16-19%20(New%20Model)%20Variance%20V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Scott%20Warner/Dropbox%20(Charter%20School%20Management%20Corporation)/NVMI/Budget/FY20-21/NVMI%2020-21%20Budget%20Model%20-%2006-08-20.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csmci-my.sharepoint.com/Users/wpickering/AppData/Local/Temp/mydownloader-1375303933682/BASC~sLCFF~sCALCULATOR~sV14-2~sPrototype~sV3~s4_Wrkng~sCopy.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1/Users/wpickering/AppData/Local/Temp/mydownloader-1375303933682/BASC~sLCFF~sCALCULATOR~sV14-2~sPrototype~sV3~s4_Wrkng~sCopy.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wpickering/AppData/Local/Temp/mydownloader-1375303933682/BASC~sLCFF~sCALCULATOR~sV14-2~sPrototype~sV3~s4_Wrkng~sCopy.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csmci-my.sharepoint.com/Users/pfogliano/Desktop/BASC%20LCFF%20CALCULATOR%20V14-2%20Prototype%20V3%204_Working%20Copy.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1/Users/pfogliano/Desktop/BASC%20LCFF%20CALCULATOR%20V14-2%20Prototype%20V3%204_Working%20Cop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pfogliano/Desktop/BASC%20LCFF%20CALCULATOR%20V14-2%20Prototype%20V3%204_Working%20Copy.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ALLWORK/04%20Budget/1ST%20INTERIM/2004FIRSTINTERIMMY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Eric%20Wolfe/Dropbox%20(Charter%20School%20Management%20Corporation)/POLAHS/Budgets/2019-20/POLAHS%20-%2019-20%20Cash%20Flow%20-%20Adopted.xlsx" TargetMode="External"/></Relationships>
</file>

<file path=xl/externalLinks/_rels/externalLink41.xml.rels><?xml version="1.0" encoding="UTF-8" standalone="yes"?>
<Relationships xmlns="http://schemas.openxmlformats.org/package/2006/relationships"><Relationship Id="rId2" Type="http://schemas.microsoft.com/office/2019/04/relationships/externalLinkLongPath" Target="https://csmci-my.sharepoint.com/Users/Documents%20and%20Settings/fheim/Local%20Settings/Temporary%20Internet%20Files/OLKD6/Documents%20and%20Settings/Ldonaldson/Local%20Settings/Temporary%20Internet%20Files/OLK2B/june2002advanceapportionment.xls?CE872FC9" TargetMode="External"/><Relationship Id="rId1" Type="http://schemas.openxmlformats.org/officeDocument/2006/relationships/externalLinkPath" Target="file:///\\CE872FC9\june2002advanceapportion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Documents%20and%20Settings/Ldonaldson/Local%20Settings/Temporary%20Internet%20Files/OLK2B/june2002advanceapportion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Documents%20and%20Settings/Ldonaldson/Local%20Settings/Temporary%20Internet%20Files/OLK2B/june2002advanceapportion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csmci-my.sharepoint.com/Users/Documents%20and%20Settings/fheim/Local%20Settings/Temporary%20Internet%20Files/OLKD6/Documents%20and%20Settings/Ldonaldson/Local%20Settings/Temporary%20Internet%20Files/OLK2B/Spedma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Documents%20and%20Settings/Ldonaldson/Local%20Settings/Temporary%20Internet%20Files/OLK2B/Spedmay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Documents%20and%20Settings/Ldonaldson/Local%20Settings/Temporary%20Internet%20Files/OLK2B/Spedmay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1/Users/Administrator/AppData/Local/Microsoft/Windows/Temporary%20Internet%20Files/Content.Outlook/5XROMFJZ/FY2016-17%20Epiphany%20Prep%20Escondido%20Budget%2010-14-1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csmci-my.sharepoint.com/Users/Administrator/AppData/Local/Microsoft/Windows/Temporary%20Internet%20Files/Content.Outlook/5XROMFJZ/FY2016-17%20Epiphany%20Prep%20Escondido%20Budget%2010-14-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dministrator/AppData/Local/Microsoft/Windows/Temporary%20Internet%20Files/Content.Outlook/5XROMFJZ/FY2016-17%20Epiphany%20Prep%20Escondido%20Budget%2010-1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1/Users/Documents%20and%20Settings/fheim/Local%20Settings/Temporary%20Internet%20Files/OLKD6/ALLWORK/04%20Budget/1ST%20INTERIM/2004FIRSTINTERIMMY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ocuments%20and%20Settings/fheim/Local%20Settings/Temporary%20Internet%20Files/OLKD6/ALLWORK/04%20Budget/1ST%20INTERIM/2004FIRSTINTERIMMY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1/Users/Zrwolfe/Downloads/PRIN-Sept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smci-my.sharepoint.com/file01/Users/Zrwolfe/Downloads/PRIN-Sept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smci-my.sharepoint.com/Users/Administrator/AppData/Local/Microsoft/Windows/Temporary%20Internet%20Files/Content.Outlook/5XROMFJZ/PRIN-Jun%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Auditors"/>
      <sheetName val="sped alloc"/>
      <sheetName val="sped tsf"/>
      <sheetName val="60% nps"/>
      <sheetName val="60% tsf"/>
      <sheetName val="100% nps"/>
      <sheetName val="100% tsf"/>
      <sheetName val="Con-Ap"/>
      <sheetName val="Con-Ap Trfr Form"/>
      <sheetName val="Payment Schedule"/>
      <sheetName val="District 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sheetName val="SHELLY"/>
      <sheetName val="ADV TOTALS jul_jan"/>
      <sheetName val="PRIN_ RECON"/>
      <sheetName val="mastersum"/>
      <sheetName val="spec ed cashflow"/>
      <sheetName val="Auditors"/>
      <sheetName val="Payment Schedule"/>
      <sheetName val="sp pur sum"/>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sheetName val="SHELLY"/>
      <sheetName val="ADV TOTALS jul_jan"/>
      <sheetName val="PRIN_ RECON"/>
      <sheetName val="mastersum"/>
      <sheetName val="spec ed cashflow"/>
      <sheetName val="Auditors"/>
      <sheetName val="Payment Schedule"/>
      <sheetName val="sp pur su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reconciliation"/>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 val="FEDERAL RECO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refreshError="1"/>
      <sheetData sheetId="11" refreshError="1"/>
      <sheetData sheetId="12" refreshError="1">
        <row r="6">
          <cell r="D6" t="str">
            <v>Acc't</v>
          </cell>
        </row>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reconciliation"/>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 val="FEDERAL RECO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refreshError="1"/>
      <sheetData sheetId="11" refreshError="1"/>
      <sheetData sheetId="12" refreshError="1">
        <row r="6">
          <cell r="D6" t="str">
            <v>Acc't</v>
          </cell>
        </row>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reconciliation"/>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 val="FEDERAL RECO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refreshError="1"/>
      <sheetData sheetId="11" refreshError="1"/>
      <sheetData sheetId="12" refreshError="1">
        <row r="6">
          <cell r="D6" t="str">
            <v>Acc't</v>
          </cell>
        </row>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Month"/>
      <sheetName val="Transfer Form "/>
      <sheetName val="spec ed cashflow"/>
      <sheetName val="Auditors"/>
      <sheetName val="SHELLY"/>
      <sheetName val="District Name"/>
      <sheetName val="Payment Schedule"/>
      <sheetName val="Transfer Form (3)"/>
      <sheetName val="Transfer Form (2)"/>
      <sheetName val="District Table"/>
    </sheetNames>
    <sheetDataSet>
      <sheetData sheetId="0" refreshError="1">
        <row r="6">
          <cell r="D6" t="str">
            <v>Acc't</v>
          </cell>
        </row>
        <row r="7">
          <cell r="D7">
            <v>402</v>
          </cell>
        </row>
        <row r="8">
          <cell r="D8">
            <v>401</v>
          </cell>
        </row>
        <row r="9">
          <cell r="D9">
            <v>401</v>
          </cell>
        </row>
        <row r="10">
          <cell r="D10">
            <v>401</v>
          </cell>
        </row>
        <row r="11">
          <cell r="D11">
            <v>401</v>
          </cell>
        </row>
        <row r="12">
          <cell r="D12">
            <v>401</v>
          </cell>
        </row>
        <row r="13">
          <cell r="D13">
            <v>401</v>
          </cell>
        </row>
        <row r="14">
          <cell r="D14">
            <v>401</v>
          </cell>
        </row>
        <row r="15">
          <cell r="D15">
            <v>401</v>
          </cell>
        </row>
        <row r="16">
          <cell r="D16">
            <v>401</v>
          </cell>
        </row>
        <row r="17">
          <cell r="D17">
            <v>401</v>
          </cell>
        </row>
        <row r="18">
          <cell r="D18">
            <v>401</v>
          </cell>
        </row>
        <row r="19">
          <cell r="D19">
            <v>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Month"/>
      <sheetName val="Transfer Form "/>
      <sheetName val="spec ed cashflow"/>
      <sheetName val="Auditors"/>
      <sheetName val="SHELLY"/>
      <sheetName val="District Name"/>
      <sheetName val="Payment Schedule"/>
      <sheetName val="Transfer Form (3)"/>
      <sheetName val="Transfer Form (2)"/>
      <sheetName val="District Table"/>
    </sheetNames>
    <sheetDataSet>
      <sheetData sheetId="0" refreshError="1">
        <row r="6">
          <cell r="D6" t="str">
            <v>Acc't</v>
          </cell>
        </row>
        <row r="7">
          <cell r="D7">
            <v>402</v>
          </cell>
        </row>
        <row r="8">
          <cell r="D8">
            <v>401</v>
          </cell>
        </row>
        <row r="9">
          <cell r="D9">
            <v>401</v>
          </cell>
        </row>
        <row r="10">
          <cell r="D10">
            <v>401</v>
          </cell>
        </row>
        <row r="11">
          <cell r="D11">
            <v>401</v>
          </cell>
        </row>
        <row r="12">
          <cell r="D12">
            <v>401</v>
          </cell>
        </row>
        <row r="13">
          <cell r="D13">
            <v>401</v>
          </cell>
        </row>
        <row r="14">
          <cell r="D14">
            <v>401</v>
          </cell>
        </row>
        <row r="15">
          <cell r="D15">
            <v>401</v>
          </cell>
        </row>
        <row r="16">
          <cell r="D16">
            <v>401</v>
          </cell>
        </row>
        <row r="17">
          <cell r="D17">
            <v>401</v>
          </cell>
        </row>
        <row r="18">
          <cell r="D18">
            <v>401</v>
          </cell>
        </row>
        <row r="19">
          <cell r="D19">
            <v>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Month"/>
      <sheetName val="Transfer Form "/>
      <sheetName val="spec ed cashflow"/>
      <sheetName val="Auditors"/>
      <sheetName val="SHELLY"/>
      <sheetName val="District Name"/>
      <sheetName val="Payment Schedule"/>
      <sheetName val="Transfer Form (3)"/>
      <sheetName val="Transfer Form (2)"/>
      <sheetName val="District Table"/>
    </sheetNames>
    <sheetDataSet>
      <sheetData sheetId="0" refreshError="1">
        <row r="6">
          <cell r="D6" t="str">
            <v>Acc't</v>
          </cell>
        </row>
        <row r="7">
          <cell r="D7">
            <v>402</v>
          </cell>
        </row>
        <row r="8">
          <cell r="D8">
            <v>401</v>
          </cell>
        </row>
        <row r="9">
          <cell r="D9">
            <v>401</v>
          </cell>
        </row>
        <row r="10">
          <cell r="D10">
            <v>401</v>
          </cell>
        </row>
        <row r="11">
          <cell r="D11">
            <v>401</v>
          </cell>
        </row>
        <row r="12">
          <cell r="D12">
            <v>401</v>
          </cell>
        </row>
        <row r="13">
          <cell r="D13">
            <v>401</v>
          </cell>
        </row>
        <row r="14">
          <cell r="D14">
            <v>401</v>
          </cell>
        </row>
        <row r="15">
          <cell r="D15">
            <v>401</v>
          </cell>
        </row>
        <row r="16">
          <cell r="D16">
            <v>401</v>
          </cell>
        </row>
        <row r="17">
          <cell r="D17">
            <v>401</v>
          </cell>
        </row>
        <row r="18">
          <cell r="D18">
            <v>401</v>
          </cell>
        </row>
        <row r="19">
          <cell r="D19">
            <v>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5 Grade 6 Detail"/>
      <sheetName val="Grades&lt;6 by Pgm"/>
      <sheetName val="ComDAYsch C5"/>
      <sheetName val="ComDAYsch DataSubSet"/>
      <sheetName val="Projections"/>
      <sheetName val="COPY MONTH 13"/>
      <sheetName val="Data Input"/>
      <sheetName val="Sheet1"/>
      <sheetName val="A&amp;BONLY"/>
      <sheetName val="All Programs"/>
      <sheetName val="All 'C' for Jim"/>
      <sheetName val="A"/>
      <sheetName val="B"/>
      <sheetName val="oldb"/>
      <sheetName val="C0_All"/>
      <sheetName val="ComDAYsch"/>
      <sheetName val="C2"/>
      <sheetName val="C3"/>
      <sheetName val="C4"/>
      <sheetName val="C5"/>
      <sheetName val="ComDAYsch C0"/>
      <sheetName val="XXX-Other C0-XXX"/>
      <sheetName val="CARE by Track &amp; School"/>
      <sheetName val="52-CARE"/>
      <sheetName val="92-CARE"/>
      <sheetName val="99-CARE"/>
      <sheetName val="94-1CARE"/>
      <sheetName val="94-2CARE"/>
      <sheetName val="94-3CARE"/>
      <sheetName val="94-4CARE"/>
      <sheetName val="94-2C0"/>
      <sheetName val="94-3C0"/>
      <sheetName val="92-1"/>
      <sheetName val="92-2"/>
      <sheetName val="92-3"/>
      <sheetName val="OP-All"/>
      <sheetName val="OP-C0"/>
      <sheetName val="OP-C23"/>
      <sheetName val="Module_Attendance"/>
    </sheetNames>
    <sheetDataSet>
      <sheetData sheetId="0" refreshError="1"/>
      <sheetData sheetId="1" refreshError="1"/>
      <sheetData sheetId="2" refreshError="1"/>
      <sheetData sheetId="3" refreshError="1"/>
      <sheetData sheetId="4" refreshError="1"/>
      <sheetData sheetId="5" refreshError="1"/>
      <sheetData sheetId="6" refreshError="1">
        <row r="222">
          <cell r="C222">
            <v>1</v>
          </cell>
          <cell r="P222">
            <v>85</v>
          </cell>
          <cell r="V222">
            <v>149</v>
          </cell>
          <cell r="AA222">
            <v>182</v>
          </cell>
        </row>
        <row r="223">
          <cell r="C223">
            <v>2</v>
          </cell>
          <cell r="P223">
            <v>84</v>
          </cell>
          <cell r="V223">
            <v>147</v>
          </cell>
          <cell r="AA223">
            <v>177</v>
          </cell>
        </row>
        <row r="224">
          <cell r="C224">
            <v>3</v>
          </cell>
          <cell r="P224">
            <v>88</v>
          </cell>
          <cell r="V224">
            <v>152</v>
          </cell>
          <cell r="AA224">
            <v>181</v>
          </cell>
        </row>
        <row r="225">
          <cell r="C225">
            <v>4</v>
          </cell>
          <cell r="P225">
            <v>100</v>
          </cell>
        </row>
        <row r="226">
          <cell r="C226">
            <v>5</v>
          </cell>
          <cell r="P226">
            <v>0</v>
          </cell>
          <cell r="V226">
            <v>0</v>
          </cell>
          <cell r="AA226">
            <v>0</v>
          </cell>
        </row>
        <row r="227">
          <cell r="C227">
            <v>1</v>
          </cell>
          <cell r="P227">
            <v>0</v>
          </cell>
          <cell r="V227">
            <v>0</v>
          </cell>
          <cell r="AA227">
            <v>0</v>
          </cell>
        </row>
        <row r="228">
          <cell r="C228">
            <v>2</v>
          </cell>
          <cell r="P228">
            <v>0</v>
          </cell>
          <cell r="V228">
            <v>0</v>
          </cell>
          <cell r="AA228">
            <v>0</v>
          </cell>
        </row>
        <row r="229">
          <cell r="C229">
            <v>3</v>
          </cell>
          <cell r="P229">
            <v>0</v>
          </cell>
          <cell r="V229">
            <v>0</v>
          </cell>
          <cell r="AA229">
            <v>0</v>
          </cell>
        </row>
        <row r="230">
          <cell r="C230">
            <v>4</v>
          </cell>
          <cell r="P230">
            <v>88</v>
          </cell>
          <cell r="V230">
            <v>151</v>
          </cell>
          <cell r="AA230">
            <v>180</v>
          </cell>
        </row>
        <row r="231">
          <cell r="C231">
            <v>5</v>
          </cell>
          <cell r="P231">
            <v>0</v>
          </cell>
          <cell r="V231">
            <v>0</v>
          </cell>
          <cell r="AA231">
            <v>0</v>
          </cell>
        </row>
        <row r="232">
          <cell r="C232">
            <v>1</v>
          </cell>
          <cell r="P232">
            <v>0</v>
          </cell>
          <cell r="V232">
            <v>56</v>
          </cell>
          <cell r="AA232">
            <v>99</v>
          </cell>
        </row>
        <row r="233">
          <cell r="C233">
            <v>2</v>
          </cell>
          <cell r="P233">
            <v>0</v>
          </cell>
          <cell r="V233">
            <v>0</v>
          </cell>
          <cell r="AA233">
            <v>0</v>
          </cell>
        </row>
        <row r="234">
          <cell r="C234">
            <v>3</v>
          </cell>
          <cell r="P234">
            <v>88</v>
          </cell>
          <cell r="V234">
            <v>151</v>
          </cell>
          <cell r="AA234">
            <v>180</v>
          </cell>
        </row>
        <row r="235">
          <cell r="C235">
            <v>4</v>
          </cell>
          <cell r="P235">
            <v>54</v>
          </cell>
          <cell r="V235">
            <v>54</v>
          </cell>
          <cell r="AA235">
            <v>54</v>
          </cell>
        </row>
        <row r="236">
          <cell r="C236">
            <v>1</v>
          </cell>
          <cell r="P236">
            <v>113</v>
          </cell>
          <cell r="V236">
            <v>177</v>
          </cell>
          <cell r="AA236">
            <v>231</v>
          </cell>
        </row>
        <row r="237">
          <cell r="C237">
            <v>2</v>
          </cell>
          <cell r="P237">
            <v>73</v>
          </cell>
          <cell r="V237">
            <v>137</v>
          </cell>
          <cell r="AA237">
            <v>186</v>
          </cell>
        </row>
        <row r="238">
          <cell r="C238">
            <v>3</v>
          </cell>
          <cell r="P238">
            <v>113</v>
          </cell>
          <cell r="V238">
            <v>175</v>
          </cell>
          <cell r="AA238">
            <v>233</v>
          </cell>
        </row>
        <row r="239">
          <cell r="C239">
            <v>4</v>
          </cell>
          <cell r="P239">
            <v>0</v>
          </cell>
          <cell r="V239">
            <v>0</v>
          </cell>
          <cell r="AA239">
            <v>0</v>
          </cell>
        </row>
        <row r="240">
          <cell r="C240">
            <v>5</v>
          </cell>
          <cell r="P240">
            <v>0</v>
          </cell>
          <cell r="V240">
            <v>0</v>
          </cell>
          <cell r="AA240">
            <v>0</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5 Grade 6 Detail"/>
      <sheetName val="Grades&lt;6 by Pgm"/>
      <sheetName val="ComDAYsch C5"/>
      <sheetName val="ComDAYsch DataSubSet"/>
      <sheetName val="Projections"/>
      <sheetName val="COPY MONTH 13"/>
      <sheetName val="Data Input"/>
      <sheetName val="Sheet1"/>
      <sheetName val="A&amp;BONLY"/>
      <sheetName val="All Programs"/>
      <sheetName val="All 'C' for Jim"/>
      <sheetName val="A"/>
      <sheetName val="B"/>
      <sheetName val="oldb"/>
      <sheetName val="C0_All"/>
      <sheetName val="ComDAYsch"/>
      <sheetName val="C2"/>
      <sheetName val="C3"/>
      <sheetName val="C4"/>
      <sheetName val="C5"/>
      <sheetName val="ComDAYsch C0"/>
      <sheetName val="XXX-Other C0-XXX"/>
      <sheetName val="CARE by Track &amp; School"/>
      <sheetName val="52-CARE"/>
      <sheetName val="92-CARE"/>
      <sheetName val="99-CARE"/>
      <sheetName val="94-1CARE"/>
      <sheetName val="94-2CARE"/>
      <sheetName val="94-3CARE"/>
      <sheetName val="94-4CARE"/>
      <sheetName val="94-2C0"/>
      <sheetName val="94-3C0"/>
      <sheetName val="92-1"/>
      <sheetName val="92-2"/>
      <sheetName val="92-3"/>
      <sheetName val="OP-All"/>
      <sheetName val="OP-C0"/>
      <sheetName val="OP-C23"/>
      <sheetName val="Module_Attendance"/>
    </sheetNames>
    <sheetDataSet>
      <sheetData sheetId="0" refreshError="1"/>
      <sheetData sheetId="1" refreshError="1"/>
      <sheetData sheetId="2" refreshError="1"/>
      <sheetData sheetId="3" refreshError="1"/>
      <sheetData sheetId="4" refreshError="1"/>
      <sheetData sheetId="5" refreshError="1"/>
      <sheetData sheetId="6" refreshError="1">
        <row r="222">
          <cell r="C222">
            <v>1</v>
          </cell>
          <cell r="P222">
            <v>85</v>
          </cell>
          <cell r="V222">
            <v>149</v>
          </cell>
          <cell r="AA222">
            <v>182</v>
          </cell>
        </row>
        <row r="223">
          <cell r="C223">
            <v>2</v>
          </cell>
          <cell r="P223">
            <v>84</v>
          </cell>
          <cell r="V223">
            <v>147</v>
          </cell>
          <cell r="AA223">
            <v>177</v>
          </cell>
        </row>
        <row r="224">
          <cell r="C224">
            <v>3</v>
          </cell>
          <cell r="P224">
            <v>88</v>
          </cell>
          <cell r="V224">
            <v>152</v>
          </cell>
          <cell r="AA224">
            <v>181</v>
          </cell>
        </row>
        <row r="225">
          <cell r="C225">
            <v>4</v>
          </cell>
          <cell r="P225">
            <v>100</v>
          </cell>
        </row>
        <row r="226">
          <cell r="C226">
            <v>5</v>
          </cell>
          <cell r="P226">
            <v>0</v>
          </cell>
          <cell r="V226">
            <v>0</v>
          </cell>
          <cell r="AA226">
            <v>0</v>
          </cell>
        </row>
        <row r="227">
          <cell r="C227">
            <v>1</v>
          </cell>
          <cell r="P227">
            <v>0</v>
          </cell>
          <cell r="V227">
            <v>0</v>
          </cell>
          <cell r="AA227">
            <v>0</v>
          </cell>
        </row>
        <row r="228">
          <cell r="C228">
            <v>2</v>
          </cell>
          <cell r="P228">
            <v>0</v>
          </cell>
          <cell r="V228">
            <v>0</v>
          </cell>
          <cell r="AA228">
            <v>0</v>
          </cell>
        </row>
        <row r="229">
          <cell r="C229">
            <v>3</v>
          </cell>
          <cell r="P229">
            <v>0</v>
          </cell>
          <cell r="V229">
            <v>0</v>
          </cell>
          <cell r="AA229">
            <v>0</v>
          </cell>
        </row>
        <row r="230">
          <cell r="C230">
            <v>4</v>
          </cell>
          <cell r="P230">
            <v>88</v>
          </cell>
          <cell r="V230">
            <v>151</v>
          </cell>
          <cell r="AA230">
            <v>180</v>
          </cell>
        </row>
        <row r="231">
          <cell r="C231">
            <v>5</v>
          </cell>
          <cell r="P231">
            <v>0</v>
          </cell>
          <cell r="V231">
            <v>0</v>
          </cell>
          <cell r="AA231">
            <v>0</v>
          </cell>
        </row>
        <row r="232">
          <cell r="C232">
            <v>1</v>
          </cell>
          <cell r="P232">
            <v>0</v>
          </cell>
          <cell r="V232">
            <v>56</v>
          </cell>
          <cell r="AA232">
            <v>99</v>
          </cell>
        </row>
        <row r="233">
          <cell r="C233">
            <v>2</v>
          </cell>
          <cell r="P233">
            <v>0</v>
          </cell>
          <cell r="V233">
            <v>0</v>
          </cell>
          <cell r="AA233">
            <v>0</v>
          </cell>
        </row>
        <row r="234">
          <cell r="C234">
            <v>3</v>
          </cell>
          <cell r="P234">
            <v>88</v>
          </cell>
          <cell r="V234">
            <v>151</v>
          </cell>
          <cell r="AA234">
            <v>180</v>
          </cell>
        </row>
        <row r="235">
          <cell r="C235">
            <v>4</v>
          </cell>
          <cell r="P235">
            <v>54</v>
          </cell>
          <cell r="V235">
            <v>54</v>
          </cell>
          <cell r="AA235">
            <v>54</v>
          </cell>
        </row>
        <row r="236">
          <cell r="C236">
            <v>1</v>
          </cell>
          <cell r="P236">
            <v>113</v>
          </cell>
          <cell r="V236">
            <v>177</v>
          </cell>
          <cell r="AA236">
            <v>231</v>
          </cell>
        </row>
        <row r="237">
          <cell r="C237">
            <v>2</v>
          </cell>
          <cell r="P237">
            <v>73</v>
          </cell>
          <cell r="V237">
            <v>137</v>
          </cell>
          <cell r="AA237">
            <v>186</v>
          </cell>
        </row>
        <row r="238">
          <cell r="C238">
            <v>3</v>
          </cell>
          <cell r="P238">
            <v>113</v>
          </cell>
          <cell r="V238">
            <v>175</v>
          </cell>
          <cell r="AA238">
            <v>233</v>
          </cell>
        </row>
        <row r="239">
          <cell r="C239">
            <v>4</v>
          </cell>
          <cell r="P239">
            <v>0</v>
          </cell>
          <cell r="V239">
            <v>0</v>
          </cell>
          <cell r="AA239">
            <v>0</v>
          </cell>
        </row>
        <row r="240">
          <cell r="C240">
            <v>5</v>
          </cell>
          <cell r="P240">
            <v>0</v>
          </cell>
          <cell r="V240">
            <v>0</v>
          </cell>
          <cell r="AA240">
            <v>0</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Auditors"/>
      <sheetName val="sped alloc"/>
      <sheetName val="sped tsf"/>
      <sheetName val="60% nps"/>
      <sheetName val="60% tsf"/>
      <sheetName val="100% nps"/>
      <sheetName val="100% tsf"/>
      <sheetName val="Con-Ap"/>
      <sheetName val="Con-Ap Trfr Form"/>
      <sheetName val="Payment Schedule"/>
      <sheetName val="District 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5 Grade 6 Detail"/>
      <sheetName val="Grades&lt;6 by Pgm"/>
      <sheetName val="ComDAYsch C5"/>
      <sheetName val="ComDAYsch DataSubSet"/>
      <sheetName val="Projections"/>
      <sheetName val="COPY MONTH 13"/>
      <sheetName val="Data Input"/>
      <sheetName val="Sheet1"/>
      <sheetName val="A&amp;BONLY"/>
      <sheetName val="All Programs"/>
      <sheetName val="All 'C' for Jim"/>
      <sheetName val="A"/>
      <sheetName val="B"/>
      <sheetName val="oldb"/>
      <sheetName val="C0_All"/>
      <sheetName val="ComDAYsch"/>
      <sheetName val="C2"/>
      <sheetName val="C3"/>
      <sheetName val="C4"/>
      <sheetName val="C5"/>
      <sheetName val="ComDAYsch C0"/>
      <sheetName val="XXX-Other C0-XXX"/>
      <sheetName val="CARE by Track &amp; School"/>
      <sheetName val="52-CARE"/>
      <sheetName val="92-CARE"/>
      <sheetName val="99-CARE"/>
      <sheetName val="94-1CARE"/>
      <sheetName val="94-2CARE"/>
      <sheetName val="94-3CARE"/>
      <sheetName val="94-4CARE"/>
      <sheetName val="94-2C0"/>
      <sheetName val="94-3C0"/>
      <sheetName val="92-1"/>
      <sheetName val="92-2"/>
      <sheetName val="92-3"/>
      <sheetName val="OP-All"/>
      <sheetName val="OP-C0"/>
      <sheetName val="OP-C23"/>
      <sheetName val="Module_Attendance"/>
    </sheetNames>
    <sheetDataSet>
      <sheetData sheetId="0" refreshError="1"/>
      <sheetData sheetId="1" refreshError="1"/>
      <sheetData sheetId="2" refreshError="1"/>
      <sheetData sheetId="3" refreshError="1"/>
      <sheetData sheetId="4" refreshError="1"/>
      <sheetData sheetId="5" refreshError="1"/>
      <sheetData sheetId="6" refreshError="1">
        <row r="222">
          <cell r="C222">
            <v>1</v>
          </cell>
          <cell r="P222">
            <v>85</v>
          </cell>
          <cell r="V222">
            <v>149</v>
          </cell>
          <cell r="AA222">
            <v>182</v>
          </cell>
        </row>
        <row r="223">
          <cell r="C223">
            <v>2</v>
          </cell>
          <cell r="P223">
            <v>84</v>
          </cell>
          <cell r="V223">
            <v>147</v>
          </cell>
          <cell r="AA223">
            <v>177</v>
          </cell>
        </row>
        <row r="224">
          <cell r="C224">
            <v>3</v>
          </cell>
          <cell r="P224">
            <v>88</v>
          </cell>
          <cell r="V224">
            <v>152</v>
          </cell>
          <cell r="AA224">
            <v>181</v>
          </cell>
        </row>
        <row r="225">
          <cell r="C225">
            <v>4</v>
          </cell>
          <cell r="P225">
            <v>100</v>
          </cell>
        </row>
        <row r="226">
          <cell r="C226">
            <v>5</v>
          </cell>
          <cell r="P226">
            <v>0</v>
          </cell>
          <cell r="V226">
            <v>0</v>
          </cell>
          <cell r="AA226">
            <v>0</v>
          </cell>
        </row>
        <row r="227">
          <cell r="C227">
            <v>1</v>
          </cell>
          <cell r="P227">
            <v>0</v>
          </cell>
          <cell r="V227">
            <v>0</v>
          </cell>
          <cell r="AA227">
            <v>0</v>
          </cell>
        </row>
        <row r="228">
          <cell r="C228">
            <v>2</v>
          </cell>
          <cell r="P228">
            <v>0</v>
          </cell>
          <cell r="V228">
            <v>0</v>
          </cell>
          <cell r="AA228">
            <v>0</v>
          </cell>
        </row>
        <row r="229">
          <cell r="C229">
            <v>3</v>
          </cell>
          <cell r="P229">
            <v>0</v>
          </cell>
          <cell r="V229">
            <v>0</v>
          </cell>
          <cell r="AA229">
            <v>0</v>
          </cell>
        </row>
        <row r="230">
          <cell r="C230">
            <v>4</v>
          </cell>
          <cell r="P230">
            <v>88</v>
          </cell>
          <cell r="V230">
            <v>151</v>
          </cell>
          <cell r="AA230">
            <v>180</v>
          </cell>
        </row>
        <row r="231">
          <cell r="C231">
            <v>5</v>
          </cell>
          <cell r="P231">
            <v>0</v>
          </cell>
          <cell r="V231">
            <v>0</v>
          </cell>
          <cell r="AA231">
            <v>0</v>
          </cell>
        </row>
        <row r="232">
          <cell r="C232">
            <v>1</v>
          </cell>
          <cell r="P232">
            <v>0</v>
          </cell>
          <cell r="V232">
            <v>56</v>
          </cell>
          <cell r="AA232">
            <v>99</v>
          </cell>
        </row>
        <row r="233">
          <cell r="C233">
            <v>2</v>
          </cell>
          <cell r="P233">
            <v>0</v>
          </cell>
          <cell r="V233">
            <v>0</v>
          </cell>
          <cell r="AA233">
            <v>0</v>
          </cell>
        </row>
        <row r="234">
          <cell r="C234">
            <v>3</v>
          </cell>
          <cell r="P234">
            <v>88</v>
          </cell>
          <cell r="V234">
            <v>151</v>
          </cell>
          <cell r="AA234">
            <v>180</v>
          </cell>
        </row>
        <row r="235">
          <cell r="C235">
            <v>4</v>
          </cell>
          <cell r="P235">
            <v>54</v>
          </cell>
          <cell r="V235">
            <v>54</v>
          </cell>
          <cell r="AA235">
            <v>54</v>
          </cell>
        </row>
        <row r="236">
          <cell r="C236">
            <v>1</v>
          </cell>
          <cell r="P236">
            <v>113</v>
          </cell>
          <cell r="V236">
            <v>177</v>
          </cell>
          <cell r="AA236">
            <v>231</v>
          </cell>
        </row>
        <row r="237">
          <cell r="C237">
            <v>2</v>
          </cell>
          <cell r="P237">
            <v>73</v>
          </cell>
          <cell r="V237">
            <v>137</v>
          </cell>
          <cell r="AA237">
            <v>186</v>
          </cell>
        </row>
        <row r="238">
          <cell r="C238">
            <v>3</v>
          </cell>
          <cell r="P238">
            <v>113</v>
          </cell>
          <cell r="V238">
            <v>175</v>
          </cell>
          <cell r="AA238">
            <v>233</v>
          </cell>
        </row>
        <row r="239">
          <cell r="C239">
            <v>4</v>
          </cell>
          <cell r="P239">
            <v>0</v>
          </cell>
          <cell r="V239">
            <v>0</v>
          </cell>
          <cell r="AA239">
            <v>0</v>
          </cell>
        </row>
        <row r="240">
          <cell r="C240">
            <v>5</v>
          </cell>
          <cell r="P240">
            <v>0</v>
          </cell>
          <cell r="V240">
            <v>0</v>
          </cell>
          <cell r="AA240">
            <v>0</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3)"/>
      <sheetName val="Transfer Form (2)"/>
      <sheetName val="Transfer Form"/>
      <sheetName val="District Table"/>
    </sheetNames>
    <sheetDataSet>
      <sheetData sheetId="0" refreshError="1"/>
      <sheetData sheetId="1" refreshError="1"/>
      <sheetData sheetId="2" refreshError="1"/>
      <sheetData sheetId="3" refreshError="1">
        <row r="3">
          <cell r="A3">
            <v>901</v>
          </cell>
          <cell r="B3" t="str">
            <v>Buckeye</v>
          </cell>
        </row>
        <row r="4">
          <cell r="A4">
            <v>902</v>
          </cell>
          <cell r="B4" t="str">
            <v>Camino</v>
          </cell>
        </row>
        <row r="5">
          <cell r="A5">
            <v>904</v>
          </cell>
          <cell r="B5" t="str">
            <v>Gold Oak</v>
          </cell>
        </row>
        <row r="6">
          <cell r="A6">
            <v>905</v>
          </cell>
          <cell r="B6" t="str">
            <v>Gold Trail</v>
          </cell>
        </row>
        <row r="7">
          <cell r="A7">
            <v>906</v>
          </cell>
          <cell r="B7" t="str">
            <v>Indian Diggings</v>
          </cell>
        </row>
        <row r="8">
          <cell r="A8">
            <v>907</v>
          </cell>
          <cell r="B8" t="str">
            <v>LTUSD</v>
          </cell>
        </row>
        <row r="9">
          <cell r="A9">
            <v>908</v>
          </cell>
          <cell r="B9" t="str">
            <v>Latrobe</v>
          </cell>
        </row>
        <row r="10">
          <cell r="A10">
            <v>909</v>
          </cell>
          <cell r="B10" t="str">
            <v>BOMUSD</v>
          </cell>
        </row>
        <row r="11">
          <cell r="A11">
            <v>910</v>
          </cell>
          <cell r="B11" t="str">
            <v>Mother Lode</v>
          </cell>
        </row>
        <row r="12">
          <cell r="A12">
            <v>912</v>
          </cell>
          <cell r="B12" t="str">
            <v>Pioneer</v>
          </cell>
        </row>
        <row r="14">
          <cell r="A14">
            <v>913</v>
          </cell>
          <cell r="B14" t="str">
            <v>Placerville</v>
          </cell>
        </row>
        <row r="15">
          <cell r="A15">
            <v>914</v>
          </cell>
          <cell r="B15" t="str">
            <v>Pollock Pines</v>
          </cell>
        </row>
        <row r="16">
          <cell r="A16">
            <v>915</v>
          </cell>
          <cell r="B16" t="str">
            <v>Rescue</v>
          </cell>
        </row>
        <row r="17">
          <cell r="A17">
            <v>916</v>
          </cell>
          <cell r="B17" t="str">
            <v>Silver Fork</v>
          </cell>
        </row>
        <row r="18">
          <cell r="A18">
            <v>918</v>
          </cell>
          <cell r="B18" t="str">
            <v>EDUHSD</v>
          </cell>
        </row>
        <row r="19">
          <cell r="A19">
            <v>919</v>
          </cell>
          <cell r="B19" t="str">
            <v>County Service</v>
          </cell>
        </row>
        <row r="20">
          <cell r="A20">
            <v>924</v>
          </cell>
          <cell r="B20" t="str">
            <v>LTCC</v>
          </cell>
        </row>
        <row r="21">
          <cell r="A21">
            <v>925</v>
          </cell>
          <cell r="B21" t="str">
            <v>CSROP</v>
          </cell>
        </row>
        <row r="22">
          <cell r="A22">
            <v>972</v>
          </cell>
          <cell r="B22" t="str">
            <v>Schools Trust</v>
          </cell>
        </row>
        <row r="23">
          <cell r="A23">
            <v>978</v>
          </cell>
          <cell r="B23" t="str">
            <v>JPA Dental</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3)"/>
      <sheetName val="Transfer Form (2)"/>
      <sheetName val="Transfer Form"/>
      <sheetName val="District Table"/>
      <sheetName val="Month"/>
      <sheetName val="Transfer Form "/>
      <sheetName val="spec ed cashflow"/>
      <sheetName val="Auditors"/>
      <sheetName val="SHELLY"/>
      <sheetName val="District Name"/>
      <sheetName val="Payment Schedule"/>
    </sheetNames>
    <sheetDataSet>
      <sheetData sheetId="0" refreshError="1"/>
      <sheetData sheetId="1" refreshError="1"/>
      <sheetData sheetId="2" refreshError="1"/>
      <sheetData sheetId="3" refreshError="1">
        <row r="3">
          <cell r="A3">
            <v>901</v>
          </cell>
          <cell r="B3" t="str">
            <v>Buckeye</v>
          </cell>
        </row>
        <row r="4">
          <cell r="A4">
            <v>902</v>
          </cell>
          <cell r="B4" t="str">
            <v>Camino</v>
          </cell>
        </row>
        <row r="5">
          <cell r="A5">
            <v>904</v>
          </cell>
          <cell r="B5" t="str">
            <v>Gold Oak</v>
          </cell>
        </row>
        <row r="6">
          <cell r="A6">
            <v>905</v>
          </cell>
          <cell r="B6" t="str">
            <v>Gold Trail</v>
          </cell>
        </row>
        <row r="7">
          <cell r="A7">
            <v>906</v>
          </cell>
          <cell r="B7" t="str">
            <v>Indian Diggings</v>
          </cell>
        </row>
        <row r="8">
          <cell r="A8">
            <v>907</v>
          </cell>
          <cell r="B8" t="str">
            <v>LTUSD</v>
          </cell>
        </row>
        <row r="9">
          <cell r="A9">
            <v>908</v>
          </cell>
          <cell r="B9" t="str">
            <v>Latrobe</v>
          </cell>
        </row>
        <row r="10">
          <cell r="A10">
            <v>909</v>
          </cell>
          <cell r="B10" t="str">
            <v>BOMUSD</v>
          </cell>
        </row>
        <row r="11">
          <cell r="A11">
            <v>910</v>
          </cell>
          <cell r="B11" t="str">
            <v>Mother Lode</v>
          </cell>
        </row>
        <row r="12">
          <cell r="A12">
            <v>912</v>
          </cell>
          <cell r="B12" t="str">
            <v>Pioneer</v>
          </cell>
        </row>
        <row r="14">
          <cell r="A14">
            <v>913</v>
          </cell>
          <cell r="B14" t="str">
            <v>Placerville</v>
          </cell>
        </row>
        <row r="15">
          <cell r="A15">
            <v>914</v>
          </cell>
          <cell r="B15" t="str">
            <v>Pollock Pines</v>
          </cell>
        </row>
        <row r="16">
          <cell r="A16">
            <v>915</v>
          </cell>
          <cell r="B16" t="str">
            <v>Rescue</v>
          </cell>
        </row>
        <row r="17">
          <cell r="A17">
            <v>916</v>
          </cell>
          <cell r="B17" t="str">
            <v>Silver Fork</v>
          </cell>
        </row>
        <row r="18">
          <cell r="A18">
            <v>918</v>
          </cell>
          <cell r="B18" t="str">
            <v>EDUHSD</v>
          </cell>
        </row>
        <row r="19">
          <cell r="A19">
            <v>919</v>
          </cell>
          <cell r="B19" t="str">
            <v>County Service</v>
          </cell>
        </row>
        <row r="20">
          <cell r="A20">
            <v>924</v>
          </cell>
          <cell r="B20" t="str">
            <v>LTCC</v>
          </cell>
        </row>
        <row r="21">
          <cell r="A21">
            <v>925</v>
          </cell>
          <cell r="B21" t="str">
            <v>CSROP</v>
          </cell>
        </row>
        <row r="22">
          <cell r="A22">
            <v>972</v>
          </cell>
          <cell r="B22" t="str">
            <v>Schools Trust</v>
          </cell>
        </row>
        <row r="23">
          <cell r="A23">
            <v>978</v>
          </cell>
          <cell r="B23" t="str">
            <v>JPA Dental</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3)"/>
      <sheetName val="Transfer Form (2)"/>
      <sheetName val="Transfer Form"/>
      <sheetName val="District Table"/>
    </sheetNames>
    <sheetDataSet>
      <sheetData sheetId="0" refreshError="1"/>
      <sheetData sheetId="1" refreshError="1"/>
      <sheetData sheetId="2" refreshError="1"/>
      <sheetData sheetId="3" refreshError="1">
        <row r="3">
          <cell r="A3">
            <v>901</v>
          </cell>
          <cell r="B3" t="str">
            <v>Buckeye</v>
          </cell>
        </row>
        <row r="4">
          <cell r="A4">
            <v>902</v>
          </cell>
          <cell r="B4" t="str">
            <v>Camino</v>
          </cell>
        </row>
        <row r="5">
          <cell r="A5">
            <v>904</v>
          </cell>
          <cell r="B5" t="str">
            <v>Gold Oak</v>
          </cell>
        </row>
        <row r="6">
          <cell r="A6">
            <v>905</v>
          </cell>
          <cell r="B6" t="str">
            <v>Gold Trail</v>
          </cell>
        </row>
        <row r="7">
          <cell r="A7">
            <v>906</v>
          </cell>
          <cell r="B7" t="str">
            <v>Indian Diggings</v>
          </cell>
        </row>
        <row r="8">
          <cell r="A8">
            <v>907</v>
          </cell>
          <cell r="B8" t="str">
            <v>LTUSD</v>
          </cell>
        </row>
        <row r="9">
          <cell r="A9">
            <v>908</v>
          </cell>
          <cell r="B9" t="str">
            <v>Latrobe</v>
          </cell>
        </row>
        <row r="10">
          <cell r="A10">
            <v>909</v>
          </cell>
          <cell r="B10" t="str">
            <v>BOMUSD</v>
          </cell>
        </row>
        <row r="11">
          <cell r="A11">
            <v>910</v>
          </cell>
          <cell r="B11" t="str">
            <v>Mother Lode</v>
          </cell>
        </row>
        <row r="12">
          <cell r="A12">
            <v>912</v>
          </cell>
          <cell r="B12" t="str">
            <v>Pioneer</v>
          </cell>
        </row>
        <row r="14">
          <cell r="A14">
            <v>913</v>
          </cell>
          <cell r="B14" t="str">
            <v>Placerville</v>
          </cell>
        </row>
        <row r="15">
          <cell r="A15">
            <v>914</v>
          </cell>
          <cell r="B15" t="str">
            <v>Pollock Pines</v>
          </cell>
        </row>
        <row r="16">
          <cell r="A16">
            <v>915</v>
          </cell>
          <cell r="B16" t="str">
            <v>Rescue</v>
          </cell>
        </row>
        <row r="17">
          <cell r="A17">
            <v>916</v>
          </cell>
          <cell r="B17" t="str">
            <v>Silver Fork</v>
          </cell>
        </row>
        <row r="18">
          <cell r="A18">
            <v>918</v>
          </cell>
          <cell r="B18" t="str">
            <v>EDUHSD</v>
          </cell>
        </row>
        <row r="19">
          <cell r="A19">
            <v>919</v>
          </cell>
          <cell r="B19" t="str">
            <v>County Service</v>
          </cell>
        </row>
        <row r="20">
          <cell r="A20">
            <v>924</v>
          </cell>
          <cell r="B20" t="str">
            <v>LTCC</v>
          </cell>
        </row>
        <row r="21">
          <cell r="A21">
            <v>925</v>
          </cell>
          <cell r="B21" t="str">
            <v>CSROP</v>
          </cell>
        </row>
        <row r="22">
          <cell r="A22">
            <v>972</v>
          </cell>
          <cell r="B22" t="str">
            <v>Schools Trust</v>
          </cell>
        </row>
        <row r="23">
          <cell r="A23">
            <v>978</v>
          </cell>
          <cell r="B23" t="str">
            <v>JPA Dental</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District Table"/>
    </sheetNames>
    <sheetDataSet>
      <sheetData sheetId="0" refreshError="1"/>
      <sheetData sheetId="1" refreshError="1">
        <row r="3">
          <cell r="A3">
            <v>901</v>
          </cell>
          <cell r="B3" t="str">
            <v>Buckeye</v>
          </cell>
          <cell r="C3">
            <v>0</v>
          </cell>
        </row>
        <row r="4">
          <cell r="A4">
            <v>902</v>
          </cell>
          <cell r="B4" t="str">
            <v>Camino</v>
          </cell>
          <cell r="C4">
            <v>1</v>
          </cell>
          <cell r="D4" t="str">
            <v>GF</v>
          </cell>
        </row>
        <row r="5">
          <cell r="A5">
            <v>904</v>
          </cell>
          <cell r="B5" t="str">
            <v>Gold Oak</v>
          </cell>
          <cell r="C5">
            <v>2</v>
          </cell>
          <cell r="D5" t="str">
            <v>Building Fund</v>
          </cell>
        </row>
        <row r="6">
          <cell r="A6">
            <v>905</v>
          </cell>
          <cell r="B6" t="str">
            <v>Gold Trail</v>
          </cell>
          <cell r="C6">
            <v>3</v>
          </cell>
          <cell r="D6" t="str">
            <v>SSBF</v>
          </cell>
        </row>
        <row r="7">
          <cell r="A7">
            <v>906</v>
          </cell>
          <cell r="B7" t="str">
            <v>Indian Diggings</v>
          </cell>
          <cell r="C7">
            <v>4</v>
          </cell>
          <cell r="D7" t="str">
            <v>Cafeteria</v>
          </cell>
        </row>
        <row r="8">
          <cell r="A8">
            <v>907</v>
          </cell>
          <cell r="B8" t="str">
            <v>LTUSD</v>
          </cell>
          <cell r="C8">
            <v>5</v>
          </cell>
          <cell r="D8" t="str">
            <v>ADULT ED</v>
          </cell>
        </row>
        <row r="9">
          <cell r="A9">
            <v>908</v>
          </cell>
          <cell r="B9" t="str">
            <v>Latrobe</v>
          </cell>
          <cell r="C9">
            <v>6</v>
          </cell>
          <cell r="D9" t="str">
            <v>Deferred Maint</v>
          </cell>
        </row>
        <row r="10">
          <cell r="A10">
            <v>909</v>
          </cell>
          <cell r="B10" t="str">
            <v>BOMUSD</v>
          </cell>
          <cell r="C10">
            <v>8</v>
          </cell>
          <cell r="D10" t="str">
            <v>Forest Res</v>
          </cell>
        </row>
        <row r="11">
          <cell r="A11">
            <v>910</v>
          </cell>
          <cell r="B11" t="str">
            <v>Mother Lode</v>
          </cell>
          <cell r="C11">
            <v>11</v>
          </cell>
          <cell r="D11" t="str">
            <v>Impact Fees</v>
          </cell>
        </row>
        <row r="12">
          <cell r="A12">
            <v>912</v>
          </cell>
          <cell r="B12" t="str">
            <v>Pioneer</v>
          </cell>
          <cell r="C12">
            <v>13</v>
          </cell>
          <cell r="D12" t="str">
            <v>Mitigation</v>
          </cell>
        </row>
        <row r="13">
          <cell r="A13">
            <v>913</v>
          </cell>
          <cell r="B13" t="str">
            <v>Placerville</v>
          </cell>
          <cell r="C13">
            <v>16</v>
          </cell>
          <cell r="D13" t="str">
            <v>Developer Fees</v>
          </cell>
        </row>
        <row r="14">
          <cell r="A14">
            <v>914</v>
          </cell>
          <cell r="B14" t="str">
            <v>Pollock Pines</v>
          </cell>
          <cell r="C14">
            <v>26</v>
          </cell>
          <cell r="D14" t="str">
            <v>LP</v>
          </cell>
        </row>
        <row r="15">
          <cell r="A15">
            <v>915</v>
          </cell>
          <cell r="B15" t="str">
            <v>Rescue</v>
          </cell>
          <cell r="C15">
            <v>28</v>
          </cell>
          <cell r="D15" t="str">
            <v>LP/Bookstore</v>
          </cell>
        </row>
        <row r="16">
          <cell r="A16">
            <v>916</v>
          </cell>
          <cell r="B16" t="str">
            <v>Silver Fork</v>
          </cell>
          <cell r="C16">
            <v>29</v>
          </cell>
          <cell r="D16" t="str">
            <v>LP</v>
          </cell>
        </row>
        <row r="17">
          <cell r="A17">
            <v>918</v>
          </cell>
          <cell r="B17" t="str">
            <v>EDUHSD</v>
          </cell>
          <cell r="C17">
            <v>32</v>
          </cell>
          <cell r="D17" t="str">
            <v>LP</v>
          </cell>
        </row>
        <row r="18">
          <cell r="A18">
            <v>919</v>
          </cell>
          <cell r="B18" t="str">
            <v>County Service</v>
          </cell>
          <cell r="C18">
            <v>33</v>
          </cell>
          <cell r="D18" t="str">
            <v>LP</v>
          </cell>
        </row>
        <row r="19">
          <cell r="A19">
            <v>924</v>
          </cell>
          <cell r="B19" t="str">
            <v>LTCC</v>
          </cell>
          <cell r="C19">
            <v>34</v>
          </cell>
          <cell r="D19" t="str">
            <v>LP</v>
          </cell>
        </row>
        <row r="20">
          <cell r="A20">
            <v>925</v>
          </cell>
          <cell r="B20" t="str">
            <v>CSROP</v>
          </cell>
          <cell r="C20">
            <v>35</v>
          </cell>
          <cell r="D20" t="str">
            <v>LP</v>
          </cell>
        </row>
        <row r="21">
          <cell r="A21">
            <v>972</v>
          </cell>
          <cell r="B21" t="str">
            <v>Schools Trust</v>
          </cell>
          <cell r="C21">
            <v>36</v>
          </cell>
          <cell r="D21" t="str">
            <v>LP</v>
          </cell>
        </row>
        <row r="22">
          <cell r="A22">
            <v>978</v>
          </cell>
          <cell r="B22" t="str">
            <v>JPA Dental</v>
          </cell>
          <cell r="C22">
            <v>37</v>
          </cell>
          <cell r="D22" t="str">
            <v>LP</v>
          </cell>
        </row>
        <row r="23">
          <cell r="C23">
            <v>38</v>
          </cell>
          <cell r="D23" t="str">
            <v>LP</v>
          </cell>
        </row>
        <row r="24">
          <cell r="C24">
            <v>41</v>
          </cell>
          <cell r="D24" t="str">
            <v>Spec Res</v>
          </cell>
        </row>
        <row r="25">
          <cell r="C25">
            <v>42</v>
          </cell>
          <cell r="D25" t="str">
            <v>Financ Aid</v>
          </cell>
        </row>
        <row r="26">
          <cell r="C26">
            <v>43</v>
          </cell>
          <cell r="D26" t="str">
            <v>Spec Res</v>
          </cell>
        </row>
        <row r="27">
          <cell r="C27">
            <v>46</v>
          </cell>
          <cell r="D27" t="str">
            <v>Facil/Cap Outlay</v>
          </cell>
        </row>
        <row r="28">
          <cell r="C28">
            <v>51</v>
          </cell>
          <cell r="D28" t="str">
            <v>Self-Insur</v>
          </cell>
        </row>
        <row r="29">
          <cell r="C29">
            <v>61</v>
          </cell>
          <cell r="D29" t="str">
            <v>Sugarloaf</v>
          </cell>
        </row>
        <row r="30">
          <cell r="C30">
            <v>62</v>
          </cell>
          <cell r="D30" t="str">
            <v>Trust Fund</v>
          </cell>
        </row>
        <row r="31">
          <cell r="C31">
            <v>63</v>
          </cell>
          <cell r="D31" t="str">
            <v>Trust Fund</v>
          </cell>
        </row>
        <row r="32">
          <cell r="C32">
            <v>71</v>
          </cell>
          <cell r="D32" t="str">
            <v>Gen Child Care</v>
          </cell>
        </row>
        <row r="33">
          <cell r="C33">
            <v>72</v>
          </cell>
          <cell r="D33" t="str">
            <v>State Preschool</v>
          </cell>
        </row>
        <row r="34">
          <cell r="C34">
            <v>87</v>
          </cell>
          <cell r="D34" t="str">
            <v>LTUSD</v>
          </cell>
        </row>
        <row r="35">
          <cell r="C35">
            <v>88</v>
          </cell>
          <cell r="D35" t="str">
            <v>EDUHSD</v>
          </cell>
        </row>
        <row r="36">
          <cell r="C36">
            <v>89</v>
          </cell>
          <cell r="D36" t="str">
            <v>BOM</v>
          </cell>
        </row>
        <row r="37">
          <cell r="C37">
            <v>91</v>
          </cell>
          <cell r="D37" t="str">
            <v>TAX OVERRIDE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District Table"/>
    </sheetNames>
    <sheetDataSet>
      <sheetData sheetId="0" refreshError="1"/>
      <sheetData sheetId="1" refreshError="1">
        <row r="3">
          <cell r="A3">
            <v>901</v>
          </cell>
          <cell r="B3" t="str">
            <v>Buckeye</v>
          </cell>
          <cell r="C3">
            <v>0</v>
          </cell>
        </row>
        <row r="4">
          <cell r="A4">
            <v>902</v>
          </cell>
          <cell r="B4" t="str">
            <v>Camino</v>
          </cell>
          <cell r="C4">
            <v>1</v>
          </cell>
          <cell r="D4" t="str">
            <v>GF</v>
          </cell>
        </row>
        <row r="5">
          <cell r="A5">
            <v>904</v>
          </cell>
          <cell r="B5" t="str">
            <v>Gold Oak</v>
          </cell>
          <cell r="C5">
            <v>2</v>
          </cell>
          <cell r="D5" t="str">
            <v>Building Fund</v>
          </cell>
        </row>
        <row r="6">
          <cell r="A6">
            <v>905</v>
          </cell>
          <cell r="B6" t="str">
            <v>Gold Trail</v>
          </cell>
          <cell r="C6">
            <v>3</v>
          </cell>
          <cell r="D6" t="str">
            <v>SSBF</v>
          </cell>
        </row>
        <row r="7">
          <cell r="A7">
            <v>906</v>
          </cell>
          <cell r="B7" t="str">
            <v>Indian Diggings</v>
          </cell>
          <cell r="C7">
            <v>4</v>
          </cell>
          <cell r="D7" t="str">
            <v>Cafeteria</v>
          </cell>
        </row>
        <row r="8">
          <cell r="A8">
            <v>907</v>
          </cell>
          <cell r="B8" t="str">
            <v>LTUSD</v>
          </cell>
          <cell r="C8">
            <v>5</v>
          </cell>
          <cell r="D8" t="str">
            <v>ADULT ED</v>
          </cell>
        </row>
        <row r="9">
          <cell r="A9">
            <v>908</v>
          </cell>
          <cell r="B9" t="str">
            <v>Latrobe</v>
          </cell>
          <cell r="C9">
            <v>6</v>
          </cell>
          <cell r="D9" t="str">
            <v>Deferred Maint</v>
          </cell>
        </row>
        <row r="10">
          <cell r="A10">
            <v>909</v>
          </cell>
          <cell r="B10" t="str">
            <v>BOMUSD</v>
          </cell>
          <cell r="C10">
            <v>8</v>
          </cell>
          <cell r="D10" t="str">
            <v>Forest Res</v>
          </cell>
        </row>
        <row r="11">
          <cell r="A11">
            <v>910</v>
          </cell>
          <cell r="B11" t="str">
            <v>Mother Lode</v>
          </cell>
          <cell r="C11">
            <v>11</v>
          </cell>
          <cell r="D11" t="str">
            <v>Impact Fees</v>
          </cell>
        </row>
        <row r="12">
          <cell r="A12">
            <v>912</v>
          </cell>
          <cell r="B12" t="str">
            <v>Pioneer</v>
          </cell>
          <cell r="C12">
            <v>13</v>
          </cell>
          <cell r="D12" t="str">
            <v>Mitigation</v>
          </cell>
        </row>
        <row r="13">
          <cell r="A13">
            <v>913</v>
          </cell>
          <cell r="B13" t="str">
            <v>Placerville</v>
          </cell>
          <cell r="C13">
            <v>16</v>
          </cell>
          <cell r="D13" t="str">
            <v>Developer Fees</v>
          </cell>
        </row>
        <row r="14">
          <cell r="A14">
            <v>914</v>
          </cell>
          <cell r="B14" t="str">
            <v>Pollock Pines</v>
          </cell>
          <cell r="C14">
            <v>26</v>
          </cell>
          <cell r="D14" t="str">
            <v>LP</v>
          </cell>
        </row>
        <row r="15">
          <cell r="A15">
            <v>915</v>
          </cell>
          <cell r="B15" t="str">
            <v>Rescue</v>
          </cell>
          <cell r="C15">
            <v>28</v>
          </cell>
          <cell r="D15" t="str">
            <v>LP/Bookstore</v>
          </cell>
        </row>
        <row r="16">
          <cell r="A16">
            <v>916</v>
          </cell>
          <cell r="B16" t="str">
            <v>Silver Fork</v>
          </cell>
          <cell r="C16">
            <v>29</v>
          </cell>
          <cell r="D16" t="str">
            <v>LP</v>
          </cell>
        </row>
        <row r="17">
          <cell r="A17">
            <v>918</v>
          </cell>
          <cell r="B17" t="str">
            <v>EDUHSD</v>
          </cell>
          <cell r="C17">
            <v>32</v>
          </cell>
          <cell r="D17" t="str">
            <v>LP</v>
          </cell>
        </row>
        <row r="18">
          <cell r="A18">
            <v>919</v>
          </cell>
          <cell r="B18" t="str">
            <v>County Service</v>
          </cell>
          <cell r="C18">
            <v>33</v>
          </cell>
          <cell r="D18" t="str">
            <v>LP</v>
          </cell>
        </row>
        <row r="19">
          <cell r="A19">
            <v>924</v>
          </cell>
          <cell r="B19" t="str">
            <v>LTCC</v>
          </cell>
          <cell r="C19">
            <v>34</v>
          </cell>
          <cell r="D19" t="str">
            <v>LP</v>
          </cell>
        </row>
        <row r="20">
          <cell r="A20">
            <v>925</v>
          </cell>
          <cell r="B20" t="str">
            <v>CSROP</v>
          </cell>
          <cell r="C20">
            <v>35</v>
          </cell>
          <cell r="D20" t="str">
            <v>LP</v>
          </cell>
        </row>
        <row r="21">
          <cell r="A21">
            <v>972</v>
          </cell>
          <cell r="B21" t="str">
            <v>Schools Trust</v>
          </cell>
          <cell r="C21">
            <v>36</v>
          </cell>
          <cell r="D21" t="str">
            <v>LP</v>
          </cell>
        </row>
        <row r="22">
          <cell r="A22">
            <v>978</v>
          </cell>
          <cell r="B22" t="str">
            <v>JPA Dental</v>
          </cell>
          <cell r="C22">
            <v>37</v>
          </cell>
          <cell r="D22" t="str">
            <v>LP</v>
          </cell>
        </row>
        <row r="23">
          <cell r="C23">
            <v>38</v>
          </cell>
          <cell r="D23" t="str">
            <v>LP</v>
          </cell>
        </row>
        <row r="24">
          <cell r="C24">
            <v>41</v>
          </cell>
          <cell r="D24" t="str">
            <v>Spec Res</v>
          </cell>
        </row>
        <row r="25">
          <cell r="C25">
            <v>42</v>
          </cell>
          <cell r="D25" t="str">
            <v>Financ Aid</v>
          </cell>
        </row>
        <row r="26">
          <cell r="C26">
            <v>43</v>
          </cell>
          <cell r="D26" t="str">
            <v>Spec Res</v>
          </cell>
        </row>
        <row r="27">
          <cell r="C27">
            <v>46</v>
          </cell>
          <cell r="D27" t="str">
            <v>Facil/Cap Outlay</v>
          </cell>
        </row>
        <row r="28">
          <cell r="C28">
            <v>51</v>
          </cell>
          <cell r="D28" t="str">
            <v>Self-Insur</v>
          </cell>
        </row>
        <row r="29">
          <cell r="C29">
            <v>61</v>
          </cell>
          <cell r="D29" t="str">
            <v>Sugarloaf</v>
          </cell>
        </row>
        <row r="30">
          <cell r="C30">
            <v>62</v>
          </cell>
          <cell r="D30" t="str">
            <v>Trust Fund</v>
          </cell>
        </row>
        <row r="31">
          <cell r="C31">
            <v>63</v>
          </cell>
          <cell r="D31" t="str">
            <v>Trust Fund</v>
          </cell>
        </row>
        <row r="32">
          <cell r="C32">
            <v>71</v>
          </cell>
          <cell r="D32" t="str">
            <v>Gen Child Care</v>
          </cell>
        </row>
        <row r="33">
          <cell r="C33">
            <v>72</v>
          </cell>
          <cell r="D33" t="str">
            <v>State Preschool</v>
          </cell>
        </row>
        <row r="34">
          <cell r="C34">
            <v>87</v>
          </cell>
          <cell r="D34" t="str">
            <v>LTUSD</v>
          </cell>
        </row>
        <row r="35">
          <cell r="C35">
            <v>88</v>
          </cell>
          <cell r="D35" t="str">
            <v>EDUHSD</v>
          </cell>
        </row>
        <row r="36">
          <cell r="C36">
            <v>89</v>
          </cell>
          <cell r="D36" t="str">
            <v>BOM</v>
          </cell>
        </row>
        <row r="37">
          <cell r="C37">
            <v>91</v>
          </cell>
          <cell r="D37" t="str">
            <v>TAX OVERRIDE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Form"/>
      <sheetName val="District Table"/>
    </sheetNames>
    <sheetDataSet>
      <sheetData sheetId="0" refreshError="1"/>
      <sheetData sheetId="1" refreshError="1">
        <row r="3">
          <cell r="A3">
            <v>901</v>
          </cell>
          <cell r="B3" t="str">
            <v>Buckeye</v>
          </cell>
          <cell r="C3">
            <v>0</v>
          </cell>
        </row>
        <row r="4">
          <cell r="A4">
            <v>902</v>
          </cell>
          <cell r="B4" t="str">
            <v>Camino</v>
          </cell>
          <cell r="C4">
            <v>1</v>
          </cell>
          <cell r="D4" t="str">
            <v>GF</v>
          </cell>
        </row>
        <row r="5">
          <cell r="A5">
            <v>904</v>
          </cell>
          <cell r="B5" t="str">
            <v>Gold Oak</v>
          </cell>
          <cell r="C5">
            <v>2</v>
          </cell>
          <cell r="D5" t="str">
            <v>Building Fund</v>
          </cell>
        </row>
        <row r="6">
          <cell r="A6">
            <v>905</v>
          </cell>
          <cell r="B6" t="str">
            <v>Gold Trail</v>
          </cell>
          <cell r="C6">
            <v>3</v>
          </cell>
          <cell r="D6" t="str">
            <v>SSBF</v>
          </cell>
        </row>
        <row r="7">
          <cell r="A7">
            <v>906</v>
          </cell>
          <cell r="B7" t="str">
            <v>Indian Diggings</v>
          </cell>
          <cell r="C7">
            <v>4</v>
          </cell>
          <cell r="D7" t="str">
            <v>Cafeteria</v>
          </cell>
        </row>
        <row r="8">
          <cell r="A8">
            <v>907</v>
          </cell>
          <cell r="B8" t="str">
            <v>LTUSD</v>
          </cell>
          <cell r="C8">
            <v>5</v>
          </cell>
          <cell r="D8" t="str">
            <v>ADULT ED</v>
          </cell>
        </row>
        <row r="9">
          <cell r="A9">
            <v>908</v>
          </cell>
          <cell r="B9" t="str">
            <v>Latrobe</v>
          </cell>
          <cell r="C9">
            <v>6</v>
          </cell>
          <cell r="D9" t="str">
            <v>Deferred Maint</v>
          </cell>
        </row>
        <row r="10">
          <cell r="A10">
            <v>909</v>
          </cell>
          <cell r="B10" t="str">
            <v>BOMUSD</v>
          </cell>
          <cell r="C10">
            <v>8</v>
          </cell>
          <cell r="D10" t="str">
            <v>Forest Res</v>
          </cell>
        </row>
        <row r="11">
          <cell r="A11">
            <v>910</v>
          </cell>
          <cell r="B11" t="str">
            <v>Mother Lode</v>
          </cell>
          <cell r="C11">
            <v>11</v>
          </cell>
          <cell r="D11" t="str">
            <v>Impact Fees</v>
          </cell>
        </row>
        <row r="12">
          <cell r="A12">
            <v>912</v>
          </cell>
          <cell r="B12" t="str">
            <v>Pioneer</v>
          </cell>
          <cell r="C12">
            <v>13</v>
          </cell>
          <cell r="D12" t="str">
            <v>Mitigation</v>
          </cell>
        </row>
        <row r="13">
          <cell r="A13">
            <v>913</v>
          </cell>
          <cell r="B13" t="str">
            <v>Placerville</v>
          </cell>
          <cell r="C13">
            <v>16</v>
          </cell>
          <cell r="D13" t="str">
            <v>Developer Fees</v>
          </cell>
        </row>
        <row r="14">
          <cell r="A14">
            <v>914</v>
          </cell>
          <cell r="B14" t="str">
            <v>Pollock Pines</v>
          </cell>
          <cell r="C14">
            <v>26</v>
          </cell>
          <cell r="D14" t="str">
            <v>LP</v>
          </cell>
        </row>
        <row r="15">
          <cell r="A15">
            <v>915</v>
          </cell>
          <cell r="B15" t="str">
            <v>Rescue</v>
          </cell>
          <cell r="C15">
            <v>28</v>
          </cell>
          <cell r="D15" t="str">
            <v>LP/Bookstore</v>
          </cell>
        </row>
        <row r="16">
          <cell r="A16">
            <v>916</v>
          </cell>
          <cell r="B16" t="str">
            <v>Silver Fork</v>
          </cell>
          <cell r="C16">
            <v>29</v>
          </cell>
          <cell r="D16" t="str">
            <v>LP</v>
          </cell>
        </row>
        <row r="17">
          <cell r="A17">
            <v>918</v>
          </cell>
          <cell r="B17" t="str">
            <v>EDUHSD</v>
          </cell>
          <cell r="C17">
            <v>32</v>
          </cell>
          <cell r="D17" t="str">
            <v>LP</v>
          </cell>
        </row>
        <row r="18">
          <cell r="A18">
            <v>919</v>
          </cell>
          <cell r="B18" t="str">
            <v>County Service</v>
          </cell>
          <cell r="C18">
            <v>33</v>
          </cell>
          <cell r="D18" t="str">
            <v>LP</v>
          </cell>
        </row>
        <row r="19">
          <cell r="A19">
            <v>924</v>
          </cell>
          <cell r="B19" t="str">
            <v>LTCC</v>
          </cell>
          <cell r="C19">
            <v>34</v>
          </cell>
          <cell r="D19" t="str">
            <v>LP</v>
          </cell>
        </row>
        <row r="20">
          <cell r="A20">
            <v>925</v>
          </cell>
          <cell r="B20" t="str">
            <v>CSROP</v>
          </cell>
          <cell r="C20">
            <v>35</v>
          </cell>
          <cell r="D20" t="str">
            <v>LP</v>
          </cell>
        </row>
        <row r="21">
          <cell r="A21">
            <v>972</v>
          </cell>
          <cell r="B21" t="str">
            <v>Schools Trust</v>
          </cell>
          <cell r="C21">
            <v>36</v>
          </cell>
          <cell r="D21" t="str">
            <v>LP</v>
          </cell>
        </row>
        <row r="22">
          <cell r="A22">
            <v>978</v>
          </cell>
          <cell r="B22" t="str">
            <v>JPA Dental</v>
          </cell>
          <cell r="C22">
            <v>37</v>
          </cell>
          <cell r="D22" t="str">
            <v>LP</v>
          </cell>
        </row>
        <row r="23">
          <cell r="C23">
            <v>38</v>
          </cell>
          <cell r="D23" t="str">
            <v>LP</v>
          </cell>
        </row>
        <row r="24">
          <cell r="C24">
            <v>41</v>
          </cell>
          <cell r="D24" t="str">
            <v>Spec Res</v>
          </cell>
        </row>
        <row r="25">
          <cell r="C25">
            <v>42</v>
          </cell>
          <cell r="D25" t="str">
            <v>Financ Aid</v>
          </cell>
        </row>
        <row r="26">
          <cell r="C26">
            <v>43</v>
          </cell>
          <cell r="D26" t="str">
            <v>Spec Res</v>
          </cell>
        </row>
        <row r="27">
          <cell r="C27">
            <v>46</v>
          </cell>
          <cell r="D27" t="str">
            <v>Facil/Cap Outlay</v>
          </cell>
        </row>
        <row r="28">
          <cell r="C28">
            <v>51</v>
          </cell>
          <cell r="D28" t="str">
            <v>Self-Insur</v>
          </cell>
        </row>
        <row r="29">
          <cell r="C29">
            <v>61</v>
          </cell>
          <cell r="D29" t="str">
            <v>Sugarloaf</v>
          </cell>
        </row>
        <row r="30">
          <cell r="C30">
            <v>62</v>
          </cell>
          <cell r="D30" t="str">
            <v>Trust Fund</v>
          </cell>
        </row>
        <row r="31">
          <cell r="C31">
            <v>63</v>
          </cell>
          <cell r="D31" t="str">
            <v>Trust Fund</v>
          </cell>
        </row>
        <row r="32">
          <cell r="C32">
            <v>71</v>
          </cell>
          <cell r="D32" t="str">
            <v>Gen Child Care</v>
          </cell>
        </row>
        <row r="33">
          <cell r="C33">
            <v>72</v>
          </cell>
          <cell r="D33" t="str">
            <v>State Preschool</v>
          </cell>
        </row>
        <row r="34">
          <cell r="C34">
            <v>87</v>
          </cell>
          <cell r="D34" t="str">
            <v>LTUSD</v>
          </cell>
        </row>
        <row r="35">
          <cell r="C35">
            <v>88</v>
          </cell>
          <cell r="D35" t="str">
            <v>EDUHSD</v>
          </cell>
        </row>
        <row r="36">
          <cell r="C36">
            <v>89</v>
          </cell>
          <cell r="D36" t="str">
            <v>BOM</v>
          </cell>
        </row>
        <row r="37">
          <cell r="C37">
            <v>91</v>
          </cell>
          <cell r="D37" t="str">
            <v>TAX OVERRIDE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ed Budget"/>
      <sheetName val="Balance Sheet"/>
      <sheetName val="14-15 CF"/>
      <sheetName val="Monthly IS"/>
      <sheetName val="Dash Board"/>
      <sheetName val="Source Data"/>
      <sheetName val="Source Tables"/>
      <sheetName val="15-16 CF"/>
      <sheetName val="16-17 CF"/>
      <sheetName val="17-18 CF"/>
      <sheetName val="18-19 CF"/>
      <sheetName val="19-20 CF"/>
      <sheetName val="School Info"/>
      <sheetName val="School Enrollment &amp; ADA"/>
      <sheetName val="ADA Forecast"/>
      <sheetName val="Schedule A - LCFF"/>
      <sheetName val="Schedule A - Other"/>
      <sheetName val="MYP state-fed only"/>
      <sheetName val="Budget By Resource"/>
      <sheetName val="Schedule B - Development"/>
      <sheetName val="Schedule C - Salary"/>
      <sheetName val="Salary Forecast"/>
      <sheetName val="Schedule D - Expense"/>
      <sheetName val="Schedule E - Loans"/>
      <sheetName val="Schedule F - Depreciation"/>
      <sheetName val="Fixed Asset Ledger"/>
      <sheetName val="Nutrition Program"/>
      <sheetName val="After School Program"/>
      <sheetName val="Paychex Actuals "/>
      <sheetName val="Paychex Pivot Table"/>
      <sheetName val="Staffing Counts"/>
      <sheetName val="Cash Flow Assumptions"/>
      <sheetName val="Receivable Sales"/>
      <sheetName val="Historical Expenditure Data"/>
      <sheetName val="General Ledger"/>
      <sheetName val="Actual YTD v FC &amp; Budget"/>
      <sheetName val="4000 Series Chart"/>
      <sheetName val="5000 Series Chart"/>
      <sheetName val="Left to Spend Chart - 4000s"/>
      <sheetName val="Left to Spend Chart - 5000s"/>
      <sheetName val="Left to Spend Chart - 5000s 2"/>
      <sheetName val="Reference Tables"/>
      <sheetName val="Data Validation Tables"/>
      <sheetName val="Trial Balances &amp; CF Statements"/>
      <sheetName val="Narrative - Mail Merge Data"/>
      <sheetName val="Schedule B Print Version"/>
      <sheetName val="Schedule C - Print Version"/>
      <sheetName val="Schedule D Print Version"/>
      <sheetName val="FY12-13 P2 GP and CBG"/>
      <sheetName val="Frozen Categorical Data"/>
      <sheetName val="FY 12-13 P2 New School Suppl"/>
      <sheetName val="FY 12-13 P2 ADA and In Lieu"/>
      <sheetName val="DOF 12-13 LCFF Data"/>
      <sheetName val="Workbook Names"/>
      <sheetName val="Versions"/>
      <sheetName val="CY Budget"/>
      <sheetName val="2 PY Cash Flow"/>
      <sheetName val="Notes Data"/>
      <sheetName val="MIP Budget Upload"/>
      <sheetName val="LCFF 13-14 Exhibit 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K8" t="str">
            <v>Budgeting</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ow r="25">
          <cell r="F25" t="str">
            <v>School Year</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ed Budget"/>
      <sheetName val="Balance Sheet"/>
      <sheetName val="14-15 CF"/>
      <sheetName val="Monthly IS"/>
      <sheetName val="Dash Board"/>
      <sheetName val="Source Data"/>
      <sheetName val="Source Tables"/>
      <sheetName val="15-16 CF"/>
      <sheetName val="16-17 CF"/>
      <sheetName val="17-18 CF"/>
      <sheetName val="18-19 CF"/>
      <sheetName val="19-20 CF"/>
      <sheetName val="School Info"/>
      <sheetName val="School Enrollment &amp; ADA"/>
      <sheetName val="ADA Forecast"/>
      <sheetName val="Schedule A - LCFF"/>
      <sheetName val="Schedule A - Other"/>
      <sheetName val="MYP state-fed only"/>
      <sheetName val="Budget By Resource"/>
      <sheetName val="Schedule B - Development"/>
      <sheetName val="Schedule C - Salary"/>
      <sheetName val="Salary Forecast"/>
      <sheetName val="Schedule D - Expense"/>
      <sheetName val="Schedule E - Loans"/>
      <sheetName val="Schedule F - Depreciation"/>
      <sheetName val="Fixed Asset Ledger"/>
      <sheetName val="Nutrition Program"/>
      <sheetName val="After School Program"/>
      <sheetName val="Paychex Actuals "/>
      <sheetName val="Paychex Pivot Table"/>
      <sheetName val="Staffing Counts"/>
      <sheetName val="Cash Flow Assumptions"/>
      <sheetName val="Receivable Sales"/>
      <sheetName val="Historical Expenditure Data"/>
      <sheetName val="General Ledger"/>
      <sheetName val="Actual YTD v FC &amp; Budget"/>
      <sheetName val="4000 Series Chart"/>
      <sheetName val="5000 Series Chart"/>
      <sheetName val="Left to Spend Chart - 4000s"/>
      <sheetName val="Left to Spend Chart - 5000s"/>
      <sheetName val="Left to Spend Chart - 5000s 2"/>
      <sheetName val="Reference Tables"/>
      <sheetName val="Data Validation Tables"/>
      <sheetName val="Trial Balances &amp; CF Statements"/>
      <sheetName val="Narrative - Mail Merge Data"/>
      <sheetName val="Schedule B Print Version"/>
      <sheetName val="Schedule C - Print Version"/>
      <sheetName val="Schedule D Print Version"/>
      <sheetName val="FY12-13 P2 GP and CBG"/>
      <sheetName val="Frozen Categorical Data"/>
      <sheetName val="FY 12-13 P2 New School Suppl"/>
      <sheetName val="FY 12-13 P2 ADA and In Lieu"/>
      <sheetName val="DOF 12-13 LCFF Data"/>
      <sheetName val="Workbook Names"/>
      <sheetName val="Versions"/>
      <sheetName val="CY Budget"/>
      <sheetName val="2 PY Cash Flow"/>
      <sheetName val="Notes Data"/>
      <sheetName val="MIP Budget Upload"/>
      <sheetName val="LCFF 13-14 Exhibit 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K8" t="str">
            <v>Budgeting</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ow r="25">
          <cell r="F25" t="str">
            <v>School Year</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ed Budget"/>
      <sheetName val="Balance Sheet"/>
      <sheetName val="14-15 CF"/>
      <sheetName val="Monthly IS"/>
      <sheetName val="Dash Board"/>
      <sheetName val="Source Data"/>
      <sheetName val="Source Tables"/>
      <sheetName val="15-16 CF"/>
      <sheetName val="16-17 CF"/>
      <sheetName val="17-18 CF"/>
      <sheetName val="18-19 CF"/>
      <sheetName val="19-20 CF"/>
      <sheetName val="School Info"/>
      <sheetName val="School Enrollment &amp; ADA"/>
      <sheetName val="ADA Forecast"/>
      <sheetName val="Schedule A - LCFF"/>
      <sheetName val="Schedule A - Other"/>
      <sheetName val="MYP state-fed only"/>
      <sheetName val="Budget By Resource"/>
      <sheetName val="Schedule B - Development"/>
      <sheetName val="Schedule C - Salary"/>
      <sheetName val="Salary Forecast"/>
      <sheetName val="Schedule D - Expense"/>
      <sheetName val="Schedule E - Loans"/>
      <sheetName val="Schedule F - Depreciation"/>
      <sheetName val="Fixed Asset Ledger"/>
      <sheetName val="Nutrition Program"/>
      <sheetName val="After School Program"/>
      <sheetName val="Paychex Actuals "/>
      <sheetName val="Paychex Pivot Table"/>
      <sheetName val="Staffing Counts"/>
      <sheetName val="Cash Flow Assumptions"/>
      <sheetName val="Receivable Sales"/>
      <sheetName val="Historical Expenditure Data"/>
      <sheetName val="General Ledger"/>
      <sheetName val="Actual YTD v FC &amp; Budget"/>
      <sheetName val="4000 Series Chart"/>
      <sheetName val="5000 Series Chart"/>
      <sheetName val="Left to Spend Chart - 4000s"/>
      <sheetName val="Left to Spend Chart - 5000s"/>
      <sheetName val="Left to Spend Chart - 5000s 2"/>
      <sheetName val="Reference Tables"/>
      <sheetName val="Data Validation Tables"/>
      <sheetName val="Trial Balances &amp; CF Statements"/>
      <sheetName val="Narrative - Mail Merge Data"/>
      <sheetName val="Schedule B Print Version"/>
      <sheetName val="Schedule C - Print Version"/>
      <sheetName val="Schedule D Print Version"/>
      <sheetName val="FY12-13 P2 GP and CBG"/>
      <sheetName val="Frozen Categorical Data"/>
      <sheetName val="FY 12-13 P2 New School Suppl"/>
      <sheetName val="FY 12-13 P2 ADA and In Lieu"/>
      <sheetName val="DOF 12-13 LCFF Data"/>
      <sheetName val="Workbook Names"/>
      <sheetName val="Versions"/>
      <sheetName val="CY Budget"/>
      <sheetName val="2 PY Cash Flow"/>
      <sheetName val="Notes Data"/>
      <sheetName val="MIP Budget Upload"/>
      <sheetName val="LCFF 13-14 Exhibit 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K8" t="str">
            <v>Budgeting</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ow r="25">
          <cell r="F25" t="str">
            <v>School Year</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Auditors"/>
      <sheetName val="sped alloc"/>
      <sheetName val="sped tsf"/>
      <sheetName val="60% nps"/>
      <sheetName val="60% tsf"/>
      <sheetName val="100% nps"/>
      <sheetName val="100% tsf"/>
      <sheetName val="Con-Ap"/>
      <sheetName val="Con-Ap Trfr Form"/>
      <sheetName val="Payment Schedule"/>
      <sheetName val="District 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
      <sheetName val="Budget Summary"/>
      <sheetName val="Cash Flows (CY)"/>
      <sheetName val="Salaries Summary (Adopted)"/>
      <sheetName val="Salaries Summary (Revised)"/>
      <sheetName val="Salaries Summary - CY+1"/>
      <sheetName val="Salaries Summary - CY+2"/>
      <sheetName val="INPUTS"/>
      <sheetName val="Assumptions"/>
      <sheetName val="Student Info"/>
      <sheetName val="CLIENT NAME"/>
      <sheetName val="Restrictor Codes"/>
      <sheetName val="Revenue Input"/>
      <sheetName val="Expenses Input"/>
      <sheetName val="Restrictions (Adopted)"/>
      <sheetName val="Salaries (Adopted) - CY"/>
      <sheetName val="Restrictions (Revised)"/>
      <sheetName val="Nutrition Calculator"/>
      <sheetName val="Salaries (Revised) - CY"/>
      <sheetName val="Salaries - CY+1"/>
      <sheetName val="Salaries - CY+2"/>
      <sheetName val="DATA"/>
      <sheetName val="Cash Flow Upload"/>
      <sheetName val="Rest vs Unrestrict Upload"/>
      <sheetName val="Rest vs Unrestrict ALL"/>
      <sheetName val="CONSOLIDATED UPLOAD"/>
      <sheetName val="CV Actuals Export"/>
      <sheetName val="PRINT FILES"/>
      <sheetName val="Cover Sheet"/>
      <sheetName val="Budgets Summary (PRINT)"/>
      <sheetName val="Student Info (PRINT)"/>
      <sheetName val="Salaries Summary (PRINT)"/>
      <sheetName val="Revenue Input (PRINT)"/>
      <sheetName val="Expenses Input (PRINT)"/>
      <sheetName val="Distribution %"/>
      <sheetName val="Budget Summary - 3 YR"/>
      <sheetName val="Revenue Input Summary - 3YR"/>
      <sheetName val="Expense Input Summary - 3YR"/>
      <sheetName val="CY Cash Flows"/>
      <sheetName val="21-22 Cash flows"/>
      <sheetName val="22-23 Cash flows"/>
    </sheetNames>
    <sheetDataSet>
      <sheetData sheetId="0"/>
      <sheetData sheetId="1"/>
      <sheetData sheetId="2"/>
      <sheetData sheetId="3"/>
      <sheetData sheetId="4"/>
      <sheetData sheetId="5"/>
      <sheetData sheetId="6"/>
      <sheetData sheetId="7"/>
      <sheetData sheetId="8"/>
      <sheetData sheetId="9"/>
      <sheetData sheetId="10"/>
      <sheetData sheetId="11">
        <row r="1">
          <cell r="A1" t="str">
            <v>01</v>
          </cell>
        </row>
        <row r="2">
          <cell r="A2" t="str">
            <v>02</v>
          </cell>
        </row>
        <row r="3">
          <cell r="A3" t="str">
            <v>03</v>
          </cell>
        </row>
        <row r="4">
          <cell r="A4" t="str">
            <v>04</v>
          </cell>
        </row>
        <row r="5">
          <cell r="A5" t="str">
            <v>05</v>
          </cell>
        </row>
        <row r="6">
          <cell r="A6" t="str">
            <v>12</v>
          </cell>
        </row>
        <row r="7">
          <cell r="A7" t="str">
            <v>33</v>
          </cell>
        </row>
        <row r="8">
          <cell r="A8" t="str">
            <v>65</v>
          </cell>
        </row>
        <row r="9">
          <cell r="A9" t="str">
            <v>66</v>
          </cell>
        </row>
        <row r="10">
          <cell r="A10" t="str">
            <v>47</v>
          </cell>
        </row>
        <row r="11">
          <cell r="A11" t="str">
            <v>63</v>
          </cell>
        </row>
        <row r="12">
          <cell r="A12" t="str">
            <v>75</v>
          </cell>
        </row>
        <row r="13">
          <cell r="A13" t="str">
            <v>88</v>
          </cell>
        </row>
        <row r="14">
          <cell r="A14" t="str">
            <v>61</v>
          </cell>
        </row>
        <row r="15">
          <cell r="A15" t="str">
            <v>00</v>
          </cell>
        </row>
        <row r="16">
          <cell r="A16" t="str">
            <v>60</v>
          </cell>
        </row>
        <row r="17">
          <cell r="A17" t="str">
            <v>30</v>
          </cell>
        </row>
        <row r="18">
          <cell r="A18" t="str">
            <v>73</v>
          </cell>
        </row>
        <row r="19">
          <cell r="A19" t="str">
            <v>72</v>
          </cell>
        </row>
        <row r="20">
          <cell r="A20" t="str">
            <v>91</v>
          </cell>
        </row>
        <row r="21">
          <cell r="A21" t="str">
            <v>BLANK6</v>
          </cell>
        </row>
        <row r="22">
          <cell r="A22" t="str">
            <v>BLANK7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
      <sheetName val="Budget Summary"/>
      <sheetName val="Cash Flows (CY)"/>
      <sheetName val="Salaries Summary (Adopted)"/>
      <sheetName val="Salaries Summary (Revised)"/>
      <sheetName val="INPUTS"/>
      <sheetName val="Assumptions"/>
      <sheetName val="CLIENT NAME"/>
      <sheetName val="Restrictor Codes"/>
      <sheetName val="Student Info"/>
      <sheetName val="Revenue Input"/>
      <sheetName val="Expenses Input"/>
      <sheetName val="Restrictions (Adopted)"/>
      <sheetName val="Restrictions (Revised)"/>
      <sheetName val="Salaries (Adopted) - CY"/>
      <sheetName val="Salaries (Revised) - CY"/>
      <sheetName val="Salaries - CY+1"/>
      <sheetName val="Salaries - CY+2"/>
      <sheetName val="Nutrition Calculator"/>
      <sheetName val="DATA"/>
      <sheetName val="Cash Flow Upload"/>
      <sheetName val="Restr Budget Upload - Adopted"/>
      <sheetName val="Restr Budget Upload - Revised"/>
      <sheetName val="Rest vs Unrestrict ALL"/>
      <sheetName val="CONSOLIDATED UPLOAD"/>
      <sheetName val="CV Actuals Export"/>
      <sheetName val="PRINT FILES"/>
      <sheetName val="Cover Sheet"/>
      <sheetName val="Budgets Summary (PRINT)"/>
      <sheetName val="Student Info (PRINT)"/>
      <sheetName val="Salaries Summary (PRINT)"/>
      <sheetName val="Revenue Input (PRINT)"/>
      <sheetName val="Expenses Input (PRINT)"/>
      <sheetName val="Distribution %"/>
      <sheetName val="Budget Summary - 3 YR"/>
      <sheetName val="Revenue Input Summary - 3YR"/>
      <sheetName val="Expense Input Summary - 3YR"/>
      <sheetName val="CY Cash Flows"/>
      <sheetName val="21-22 Cash flows"/>
      <sheetName val="22-23 Cash Flows"/>
    </sheetNames>
    <sheetDataSet>
      <sheetData sheetId="0"/>
      <sheetData sheetId="1"/>
      <sheetData sheetId="2"/>
      <sheetData sheetId="3"/>
      <sheetData sheetId="4"/>
      <sheetData sheetId="5"/>
      <sheetData sheetId="6"/>
      <sheetData sheetId="7"/>
      <sheetData sheetId="8">
        <row r="1">
          <cell r="A1" t="str">
            <v>01</v>
          </cell>
        </row>
        <row r="2">
          <cell r="A2" t="str">
            <v>02</v>
          </cell>
        </row>
        <row r="3">
          <cell r="A3" t="str">
            <v>03</v>
          </cell>
        </row>
        <row r="4">
          <cell r="A4" t="str">
            <v>04</v>
          </cell>
        </row>
        <row r="5">
          <cell r="A5" t="str">
            <v>05</v>
          </cell>
        </row>
        <row r="6">
          <cell r="A6" t="str">
            <v>12</v>
          </cell>
        </row>
        <row r="7">
          <cell r="A7" t="str">
            <v>30</v>
          </cell>
        </row>
        <row r="8">
          <cell r="A8" t="str">
            <v>31</v>
          </cell>
        </row>
        <row r="9">
          <cell r="A9" t="str">
            <v>33</v>
          </cell>
        </row>
        <row r="10">
          <cell r="A10" t="str">
            <v>34</v>
          </cell>
        </row>
        <row r="11">
          <cell r="A11" t="str">
            <v>35</v>
          </cell>
        </row>
        <row r="12">
          <cell r="A12" t="str">
            <v>47</v>
          </cell>
        </row>
        <row r="13">
          <cell r="A13" t="str">
            <v>61</v>
          </cell>
        </row>
        <row r="14">
          <cell r="A14" t="str">
            <v>62</v>
          </cell>
        </row>
        <row r="15">
          <cell r="A15" t="str">
            <v>63</v>
          </cell>
        </row>
        <row r="16">
          <cell r="A16" t="str">
            <v>65</v>
          </cell>
        </row>
        <row r="17">
          <cell r="A17" t="str">
            <v>66</v>
          </cell>
        </row>
        <row r="18">
          <cell r="A18" t="str">
            <v>67</v>
          </cell>
        </row>
        <row r="19">
          <cell r="A19" t="str">
            <v>73</v>
          </cell>
        </row>
        <row r="20">
          <cell r="A20" t="str">
            <v>88</v>
          </cell>
        </row>
        <row r="21">
          <cell r="A21" t="str">
            <v>75</v>
          </cell>
        </row>
        <row r="22">
          <cell r="A22" t="str">
            <v>22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nce Commentary"/>
      <sheetName val="OUTPUTS"/>
      <sheetName val="CLIENT NAME"/>
      <sheetName val="Budget Summary"/>
      <sheetName val="Cash Flows (CY)"/>
      <sheetName val="Salaries Summary (Adopted)"/>
      <sheetName val="Salaries Summary (Revised)"/>
      <sheetName val="INPUTS"/>
      <sheetName val="Student Info"/>
      <sheetName val="Revenue Input"/>
      <sheetName val="Expenses Input"/>
      <sheetName val="Restrictions (Adopted)"/>
      <sheetName val="Restrictions (Revised)"/>
      <sheetName val="Salaries (Adopted)"/>
      <sheetName val="Salaries (Revised)"/>
      <sheetName val="Assumptions"/>
      <sheetName val="Restrictor Codes"/>
      <sheetName val="LCFF Calculator"/>
      <sheetName val="Nutrition Calculator"/>
      <sheetName val="DATA"/>
      <sheetName val="Cash Flow Upload"/>
      <sheetName val="Cash Flow Upload Backup"/>
      <sheetName val="CV Actuals Export"/>
      <sheetName val="Check Sheet"/>
      <sheetName val="PRINT FILES"/>
      <sheetName val="Cover Sheet"/>
      <sheetName val="Budgets Summary (PRINT)"/>
      <sheetName val="Student Info (PRINT)"/>
      <sheetName val="Salaries Summary (PRINT)"/>
      <sheetName val="Revenue Input (PRINT)"/>
      <sheetName val="Expenses Input (PRINT)"/>
    </sheetNames>
    <sheetDataSet>
      <sheetData sheetId="0"/>
      <sheetData sheetId="1"/>
      <sheetData sheetId="2">
        <row r="2">
          <cell r="C2" t="str">
            <v>PORT OF LOS ANGELES HIGH SCHOOL</v>
          </cell>
        </row>
      </sheetData>
      <sheetData sheetId="3">
        <row r="7">
          <cell r="G7" t="str">
            <v>REVISED 12/16/2019</v>
          </cell>
        </row>
      </sheetData>
      <sheetData sheetId="4"/>
      <sheetData sheetId="5"/>
      <sheetData sheetId="6"/>
      <sheetData sheetId="7"/>
      <sheetData sheetId="8"/>
      <sheetData sheetId="9">
        <row r="15">
          <cell r="G15">
            <v>10149000</v>
          </cell>
        </row>
      </sheetData>
      <sheetData sheetId="10">
        <row r="5">
          <cell r="D5">
            <v>20000</v>
          </cell>
        </row>
      </sheetData>
      <sheetData sheetId="11"/>
      <sheetData sheetId="12"/>
      <sheetData sheetId="13"/>
      <sheetData sheetId="14"/>
      <sheetData sheetId="15"/>
      <sheetData sheetId="16">
        <row r="1">
          <cell r="A1" t="str">
            <v>01</v>
          </cell>
        </row>
        <row r="2">
          <cell r="A2" t="str">
            <v>02</v>
          </cell>
        </row>
        <row r="3">
          <cell r="A3" t="str">
            <v>03</v>
          </cell>
        </row>
        <row r="4">
          <cell r="A4" t="str">
            <v>04</v>
          </cell>
        </row>
        <row r="5">
          <cell r="A5" t="str">
            <v>05</v>
          </cell>
        </row>
        <row r="6">
          <cell r="A6" t="str">
            <v>12</v>
          </cell>
        </row>
        <row r="7">
          <cell r="A7" t="str">
            <v>65FED</v>
          </cell>
        </row>
        <row r="8">
          <cell r="A8" t="str">
            <v>65STATE</v>
          </cell>
        </row>
        <row r="9">
          <cell r="A9" t="str">
            <v>34</v>
          </cell>
        </row>
        <row r="10">
          <cell r="A10" t="str">
            <v>47</v>
          </cell>
        </row>
        <row r="11">
          <cell r="A11" t="str">
            <v>63</v>
          </cell>
        </row>
        <row r="12">
          <cell r="A12" t="str">
            <v>73</v>
          </cell>
        </row>
        <row r="13">
          <cell r="A13" t="str">
            <v>88</v>
          </cell>
        </row>
        <row r="14">
          <cell r="A14" t="str">
            <v>35</v>
          </cell>
        </row>
        <row r="15">
          <cell r="A15" t="str">
            <v>BLANK1</v>
          </cell>
        </row>
        <row r="16">
          <cell r="A16" t="str">
            <v>BLANK2</v>
          </cell>
        </row>
        <row r="17">
          <cell r="A17" t="str">
            <v>BLANK3</v>
          </cell>
        </row>
        <row r="18">
          <cell r="A18" t="str">
            <v>BLANK4</v>
          </cell>
        </row>
        <row r="19">
          <cell r="A19" t="str">
            <v>BLANK5</v>
          </cell>
        </row>
        <row r="20">
          <cell r="A20" t="str">
            <v>BLANK6</v>
          </cell>
        </row>
        <row r="21">
          <cell r="A21" t="str">
            <v>BLANK7</v>
          </cell>
        </row>
      </sheetData>
      <sheetData sheetId="17"/>
      <sheetData sheetId="18">
        <row r="39">
          <cell r="O39">
            <v>36395.039999999986</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
      <sheetName val="Cover Sheet"/>
      <sheetName val="Budget Summary"/>
      <sheetName val="Cash Flows (CY)"/>
      <sheetName val="Salaries Summary (Adopted)"/>
      <sheetName val="Salaries Summary (Revised)"/>
      <sheetName val="INPUTS"/>
      <sheetName val="Assumptions"/>
      <sheetName val="CLIENT NAME"/>
      <sheetName val="Restrictor Codes"/>
      <sheetName val="Student Info"/>
      <sheetName val="Revenue Input"/>
      <sheetName val="Expenses Input"/>
      <sheetName val="Restrictions (Adopted)"/>
      <sheetName val="Restrictions (Revised)"/>
      <sheetName val="Salaries (Adopted) - CY"/>
      <sheetName val="Salaries (Revised) - CY"/>
      <sheetName val="Salaries - CY+1"/>
      <sheetName val="Salaries - CY+2"/>
      <sheetName val="Nutrition Calculator"/>
      <sheetName val="DATA"/>
      <sheetName val="Cash Flow Upload"/>
      <sheetName val="Restr Budget Upload - Adopted"/>
      <sheetName val="Restr Budget Upload - Revised"/>
      <sheetName val="Rest vs Unrestrict ALL"/>
      <sheetName val="CONSOLIDATED UPLOAD"/>
      <sheetName val="CV Actuals Export"/>
      <sheetName val="PRINT FILES"/>
      <sheetName val="Budgets Summary (PRINT)"/>
      <sheetName val="Student Info (PRINT)"/>
      <sheetName val="Salaries Summary (PRINT)"/>
      <sheetName val="Revenue Input (PRINT)"/>
      <sheetName val="Expenses Input (PRINT)"/>
      <sheetName val="Distribution %"/>
      <sheetName val="Budget Summary - 3 YR"/>
      <sheetName val="Revenue Input Summary - 3YR"/>
      <sheetName val="Expense Input Summary - 3YR"/>
      <sheetName val="CY Cash Flows"/>
      <sheetName val="21-22 Cash flows"/>
      <sheetName val="22-23 Cash Flows"/>
    </sheetNames>
    <sheetDataSet>
      <sheetData sheetId="0"/>
      <sheetData sheetId="1"/>
      <sheetData sheetId="2"/>
      <sheetData sheetId="3"/>
      <sheetData sheetId="4"/>
      <sheetData sheetId="5"/>
      <sheetData sheetId="6"/>
      <sheetData sheetId="7"/>
      <sheetData sheetId="8"/>
      <sheetData sheetId="9">
        <row r="1">
          <cell r="A1" t="str">
            <v>01</v>
          </cell>
        </row>
        <row r="2">
          <cell r="A2" t="str">
            <v>02</v>
          </cell>
        </row>
        <row r="3">
          <cell r="A3" t="str">
            <v>03</v>
          </cell>
        </row>
        <row r="4">
          <cell r="A4" t="str">
            <v>04</v>
          </cell>
        </row>
        <row r="5">
          <cell r="A5" t="str">
            <v>05</v>
          </cell>
        </row>
        <row r="6">
          <cell r="A6" t="str">
            <v>12</v>
          </cell>
        </row>
        <row r="7">
          <cell r="A7" t="str">
            <v>30</v>
          </cell>
        </row>
        <row r="8">
          <cell r="A8" t="str">
            <v>31</v>
          </cell>
        </row>
        <row r="9">
          <cell r="A9" t="str">
            <v>33</v>
          </cell>
        </row>
        <row r="10">
          <cell r="A10" t="str">
            <v>34</v>
          </cell>
        </row>
        <row r="11">
          <cell r="A11" t="str">
            <v>35</v>
          </cell>
        </row>
        <row r="12">
          <cell r="A12" t="str">
            <v>47</v>
          </cell>
        </row>
        <row r="13">
          <cell r="A13" t="str">
            <v>61</v>
          </cell>
        </row>
        <row r="14">
          <cell r="A14" t="str">
            <v>62</v>
          </cell>
        </row>
        <row r="15">
          <cell r="A15" t="str">
            <v>63</v>
          </cell>
        </row>
        <row r="16">
          <cell r="A16" t="str">
            <v>65</v>
          </cell>
        </row>
        <row r="17">
          <cell r="A17" t="str">
            <v>66</v>
          </cell>
        </row>
        <row r="18">
          <cell r="A18" t="str">
            <v>67</v>
          </cell>
        </row>
        <row r="19">
          <cell r="A19" t="str">
            <v>73</v>
          </cell>
        </row>
        <row r="20">
          <cell r="A20" t="str">
            <v>88</v>
          </cell>
        </row>
        <row r="21">
          <cell r="A21" t="str">
            <v>75</v>
          </cell>
        </row>
        <row r="22">
          <cell r="A22" t="str">
            <v>22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MYP Data"/>
      <sheetName val="UNDUP"/>
      <sheetName val="1213 P2 ADA"/>
      <sheetName val="1314 P2 ADA"/>
      <sheetName val="Charter MYP Data"/>
      <sheetName val="District NSS"/>
      <sheetName val="District In-Lieu Taxes"/>
      <sheetName val="Calculator"/>
    </sheetNames>
    <sheetDataSet>
      <sheetData sheetId="0"/>
      <sheetData sheetId="1"/>
      <sheetData sheetId="2"/>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MYP Data"/>
      <sheetName val="UNDUP"/>
      <sheetName val="1213 P2 ADA"/>
      <sheetName val="1314 P2 ADA"/>
      <sheetName val="Charter MYP Data"/>
      <sheetName val="District NSS"/>
      <sheetName val="District In-Lieu Taxes"/>
      <sheetName val="Calculator"/>
    </sheetNames>
    <sheetDataSet>
      <sheetData sheetId="0"/>
      <sheetData sheetId="1"/>
      <sheetData sheetId="2"/>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MYP Data"/>
      <sheetName val="UNDUP"/>
      <sheetName val="1213 P2 ADA"/>
      <sheetName val="1314 P2 ADA"/>
      <sheetName val="Charter MYP Data"/>
      <sheetName val="District NSS"/>
      <sheetName val="District In-Lieu Taxes"/>
      <sheetName val="Calculator"/>
    </sheetNames>
    <sheetDataSet>
      <sheetData sheetId="0"/>
      <sheetData sheetId="1"/>
      <sheetData sheetId="2"/>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List"/>
      <sheetName val="District MYP Data"/>
      <sheetName val="UNDUP"/>
      <sheetName val="1213 P2 ADA"/>
      <sheetName val="1314 P2 ADA"/>
      <sheetName val="Charter MYP Data"/>
      <sheetName val="District NSS"/>
      <sheetName val="District In-Lieu Taxes"/>
      <sheetName val="Calculator"/>
      <sheetName val="Transition Funding Summary"/>
    </sheetNames>
    <sheetDataSet>
      <sheetData sheetId="0" refreshError="1"/>
      <sheetData sheetId="1" refreshError="1"/>
      <sheetData sheetId="2" refreshError="1"/>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List"/>
      <sheetName val="District MYP Data"/>
      <sheetName val="UNDUP"/>
      <sheetName val="1213 P2 ADA"/>
      <sheetName val="1314 P2 ADA"/>
      <sheetName val="Charter MYP Data"/>
      <sheetName val="District NSS"/>
      <sheetName val="District In-Lieu Taxes"/>
      <sheetName val="Calculator"/>
      <sheetName val="Transition Funding Summary"/>
    </sheetNames>
    <sheetDataSet>
      <sheetData sheetId="0" refreshError="1"/>
      <sheetData sheetId="1" refreshError="1"/>
      <sheetData sheetId="2" refreshError="1"/>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2012-13 Awards"/>
      <sheetName val="Adj LCFF Cat State Aid SD"/>
      <sheetName val="RL Data"/>
      <sheetName val="District List"/>
      <sheetName val="District MYP Data"/>
      <sheetName val="UNDUP"/>
      <sheetName val="1213 P2 ADA"/>
      <sheetName val="1314 P2 ADA"/>
      <sheetName val="Charter MYP Data"/>
      <sheetName val="District NSS"/>
      <sheetName val="District In-Lieu Taxes"/>
      <sheetName val="Calculator"/>
      <sheetName val="Transition Funding Summary"/>
    </sheetNames>
    <sheetDataSet>
      <sheetData sheetId="0" refreshError="1"/>
      <sheetData sheetId="1" refreshError="1"/>
      <sheetData sheetId="2" refreshError="1"/>
      <sheetData sheetId="3">
        <row r="4">
          <cell r="B4" t="str">
            <v>Alpine Union Elementary</v>
          </cell>
          <cell r="C4">
            <v>6417.68</v>
          </cell>
          <cell r="D4">
            <v>29.62</v>
          </cell>
          <cell r="E4">
            <v>1937.9</v>
          </cell>
          <cell r="F4">
            <v>12494223</v>
          </cell>
          <cell r="G4">
            <v>113969</v>
          </cell>
          <cell r="H4">
            <v>0</v>
          </cell>
          <cell r="I4">
            <v>0</v>
          </cell>
          <cell r="J4">
            <v>14274</v>
          </cell>
          <cell r="K4">
            <v>0</v>
          </cell>
          <cell r="L4">
            <v>9811205</v>
          </cell>
          <cell r="M4">
            <v>3562242</v>
          </cell>
          <cell r="N4">
            <v>0</v>
          </cell>
          <cell r="O4">
            <v>0</v>
          </cell>
        </row>
        <row r="5">
          <cell r="B5" t="str">
            <v>Bonsall Union Elementary</v>
          </cell>
          <cell r="C5">
            <v>6417.6</v>
          </cell>
          <cell r="D5">
            <v>21.07</v>
          </cell>
          <cell r="E5">
            <v>1906.09</v>
          </cell>
          <cell r="F5">
            <v>12272684</v>
          </cell>
          <cell r="G5">
            <v>114837</v>
          </cell>
          <cell r="H5">
            <v>0</v>
          </cell>
          <cell r="I5">
            <v>0</v>
          </cell>
          <cell r="J5">
            <v>16530</v>
          </cell>
          <cell r="K5">
            <v>0</v>
          </cell>
          <cell r="L5">
            <v>9637619</v>
          </cell>
          <cell r="M5">
            <v>4266576</v>
          </cell>
          <cell r="N5">
            <v>0</v>
          </cell>
          <cell r="O5">
            <v>0</v>
          </cell>
        </row>
        <row r="6">
          <cell r="B6" t="str">
            <v>Cajon Valley Union</v>
          </cell>
          <cell r="C6">
            <v>6420.89</v>
          </cell>
          <cell r="D6">
            <v>38.119999999999997</v>
          </cell>
          <cell r="E6">
            <v>15108.35</v>
          </cell>
          <cell r="F6">
            <v>97584983</v>
          </cell>
          <cell r="G6">
            <v>972350</v>
          </cell>
          <cell r="H6">
            <v>0</v>
          </cell>
          <cell r="I6">
            <v>0</v>
          </cell>
          <cell r="J6">
            <v>202903</v>
          </cell>
          <cell r="K6">
            <v>0</v>
          </cell>
          <cell r="L6">
            <v>76620303</v>
          </cell>
          <cell r="M6">
            <v>22633211</v>
          </cell>
          <cell r="N6">
            <v>0</v>
          </cell>
          <cell r="O6">
            <v>0</v>
          </cell>
        </row>
        <row r="7">
          <cell r="B7" t="str">
            <v>Cardiff Elementary</v>
          </cell>
          <cell r="C7">
            <v>6398.54</v>
          </cell>
          <cell r="D7">
            <v>14.79</v>
          </cell>
          <cell r="E7">
            <v>735.34</v>
          </cell>
          <cell r="F7">
            <v>4715978</v>
          </cell>
          <cell r="G7">
            <v>53199</v>
          </cell>
          <cell r="H7">
            <v>0</v>
          </cell>
          <cell r="I7">
            <v>0</v>
          </cell>
          <cell r="J7">
            <v>12013</v>
          </cell>
          <cell r="K7">
            <v>0</v>
          </cell>
          <cell r="L7">
            <v>3706821</v>
          </cell>
          <cell r="M7">
            <v>5804556</v>
          </cell>
          <cell r="N7">
            <v>0</v>
          </cell>
          <cell r="O7">
            <v>0</v>
          </cell>
        </row>
        <row r="8">
          <cell r="B8" t="str">
            <v>Chula Vista Elementary</v>
          </cell>
          <cell r="C8">
            <v>6410.25</v>
          </cell>
          <cell r="D8">
            <v>47.3</v>
          </cell>
          <cell r="E8">
            <v>22714.240000000002</v>
          </cell>
          <cell r="F8">
            <v>146678341</v>
          </cell>
          <cell r="G8">
            <v>1422726</v>
          </cell>
          <cell r="H8">
            <v>0</v>
          </cell>
          <cell r="I8">
            <v>0</v>
          </cell>
          <cell r="J8">
            <v>355153</v>
          </cell>
          <cell r="K8">
            <v>0</v>
          </cell>
          <cell r="L8">
            <v>115077714</v>
          </cell>
          <cell r="M8">
            <v>55544145</v>
          </cell>
          <cell r="N8">
            <v>0</v>
          </cell>
          <cell r="O8">
            <v>0</v>
          </cell>
        </row>
        <row r="9">
          <cell r="B9" t="str">
            <v>Dehesa Elementary</v>
          </cell>
          <cell r="C9">
            <v>6521.73</v>
          </cell>
          <cell r="D9">
            <v>49.67</v>
          </cell>
          <cell r="E9">
            <v>215.05</v>
          </cell>
          <cell r="F9">
            <v>1413180</v>
          </cell>
          <cell r="G9">
            <v>15891</v>
          </cell>
          <cell r="H9">
            <v>0</v>
          </cell>
          <cell r="I9">
            <v>0</v>
          </cell>
          <cell r="J9">
            <v>3950</v>
          </cell>
          <cell r="K9">
            <v>0</v>
          </cell>
          <cell r="L9">
            <v>1110378</v>
          </cell>
          <cell r="M9">
            <v>64706</v>
          </cell>
          <cell r="N9">
            <v>0</v>
          </cell>
          <cell r="O9">
            <v>0</v>
          </cell>
        </row>
        <row r="10">
          <cell r="B10" t="str">
            <v>Del Mar Union Elementary</v>
          </cell>
          <cell r="C10">
            <v>6418.34</v>
          </cell>
          <cell r="D10">
            <v>0</v>
          </cell>
          <cell r="E10">
            <v>4273.03</v>
          </cell>
          <cell r="F10">
            <v>27425759</v>
          </cell>
          <cell r="G10">
            <v>353247</v>
          </cell>
          <cell r="H10">
            <v>0</v>
          </cell>
          <cell r="I10">
            <v>0</v>
          </cell>
          <cell r="J10">
            <v>73882</v>
          </cell>
          <cell r="K10">
            <v>0</v>
          </cell>
          <cell r="L10">
            <v>21596859</v>
          </cell>
          <cell r="M10">
            <v>32974536</v>
          </cell>
          <cell r="N10">
            <v>0</v>
          </cell>
          <cell r="O10">
            <v>0</v>
          </cell>
        </row>
        <row r="11">
          <cell r="B11" t="str">
            <v>Encinitas Union Elementary</v>
          </cell>
          <cell r="C11">
            <v>6421.7</v>
          </cell>
          <cell r="D11">
            <v>27.99</v>
          </cell>
          <cell r="E11">
            <v>5263.43</v>
          </cell>
          <cell r="F11">
            <v>33947491</v>
          </cell>
          <cell r="G11">
            <v>357606</v>
          </cell>
          <cell r="H11">
            <v>0</v>
          </cell>
          <cell r="I11">
            <v>0</v>
          </cell>
          <cell r="J11">
            <v>40969</v>
          </cell>
          <cell r="K11">
            <v>0</v>
          </cell>
          <cell r="L11">
            <v>26703343</v>
          </cell>
          <cell r="M11">
            <v>34323390</v>
          </cell>
          <cell r="N11">
            <v>0</v>
          </cell>
          <cell r="O11">
            <v>0</v>
          </cell>
        </row>
        <row r="12">
          <cell r="B12" t="str">
            <v>Escondido Union Elementary</v>
          </cell>
          <cell r="C12">
            <v>6414.6</v>
          </cell>
          <cell r="D12">
            <v>22.45</v>
          </cell>
          <cell r="E12">
            <v>16816.18</v>
          </cell>
          <cell r="F12">
            <v>108246591</v>
          </cell>
          <cell r="G12">
            <v>1009339</v>
          </cell>
          <cell r="H12">
            <v>0</v>
          </cell>
          <cell r="I12">
            <v>0</v>
          </cell>
          <cell r="J12">
            <v>178834</v>
          </cell>
          <cell r="K12">
            <v>0</v>
          </cell>
          <cell r="L12">
            <v>84968415</v>
          </cell>
          <cell r="M12">
            <v>31376139</v>
          </cell>
          <cell r="N12">
            <v>0</v>
          </cell>
          <cell r="O12">
            <v>0</v>
          </cell>
        </row>
        <row r="13">
          <cell r="B13" t="str">
            <v>Fallbrook Union Elementary</v>
          </cell>
          <cell r="C13">
            <v>6408.69</v>
          </cell>
          <cell r="D13">
            <v>22.18</v>
          </cell>
          <cell r="E13">
            <v>5520.5</v>
          </cell>
          <cell r="F13">
            <v>35501618</v>
          </cell>
          <cell r="G13">
            <v>346467</v>
          </cell>
          <cell r="H13">
            <v>0</v>
          </cell>
          <cell r="I13">
            <v>0</v>
          </cell>
          <cell r="J13">
            <v>51701</v>
          </cell>
          <cell r="K13">
            <v>0</v>
          </cell>
          <cell r="L13">
            <v>27889464</v>
          </cell>
          <cell r="M13">
            <v>14288722</v>
          </cell>
          <cell r="N13">
            <v>0</v>
          </cell>
          <cell r="O13">
            <v>0</v>
          </cell>
        </row>
        <row r="14">
          <cell r="B14" t="str">
            <v>Jamul-Dulzura Union Elementary</v>
          </cell>
          <cell r="C14">
            <v>6414.42</v>
          </cell>
          <cell r="D14">
            <v>114.26</v>
          </cell>
          <cell r="E14">
            <v>653.12</v>
          </cell>
          <cell r="F14">
            <v>4264011</v>
          </cell>
          <cell r="G14">
            <v>51187</v>
          </cell>
          <cell r="H14">
            <v>0</v>
          </cell>
          <cell r="I14">
            <v>0</v>
          </cell>
          <cell r="J14">
            <v>9233</v>
          </cell>
          <cell r="K14">
            <v>0</v>
          </cell>
          <cell r="L14">
            <v>3356284</v>
          </cell>
          <cell r="M14">
            <v>1341978</v>
          </cell>
          <cell r="N14">
            <v>0</v>
          </cell>
          <cell r="O14">
            <v>0</v>
          </cell>
        </row>
        <row r="15">
          <cell r="B15" t="str">
            <v>Julian Union Elementary</v>
          </cell>
          <cell r="C15">
            <v>6425.61</v>
          </cell>
          <cell r="D15">
            <v>22.42</v>
          </cell>
          <cell r="E15">
            <v>338.39</v>
          </cell>
          <cell r="F15">
            <v>2181949</v>
          </cell>
          <cell r="G15">
            <v>41214</v>
          </cell>
          <cell r="H15">
            <v>0</v>
          </cell>
          <cell r="I15">
            <v>0</v>
          </cell>
          <cell r="J15">
            <v>6201</v>
          </cell>
          <cell r="K15">
            <v>0</v>
          </cell>
          <cell r="L15">
            <v>1730998</v>
          </cell>
          <cell r="M15">
            <v>175098</v>
          </cell>
          <cell r="N15">
            <v>0</v>
          </cell>
          <cell r="O15">
            <v>0</v>
          </cell>
        </row>
        <row r="16">
          <cell r="B16" t="str">
            <v>La Mesa-Spring Valley</v>
          </cell>
          <cell r="C16">
            <v>6422.05</v>
          </cell>
          <cell r="D16">
            <v>8.6199999999999992</v>
          </cell>
          <cell r="E16">
            <v>11916.19</v>
          </cell>
          <cell r="F16">
            <v>76629086</v>
          </cell>
          <cell r="G16">
            <v>729640</v>
          </cell>
          <cell r="H16">
            <v>0</v>
          </cell>
          <cell r="I16">
            <v>0</v>
          </cell>
          <cell r="J16">
            <v>166755</v>
          </cell>
          <cell r="K16">
            <v>0</v>
          </cell>
          <cell r="L16">
            <v>60125141</v>
          </cell>
          <cell r="M16">
            <v>22026349</v>
          </cell>
          <cell r="N16">
            <v>0</v>
          </cell>
          <cell r="O16">
            <v>0</v>
          </cell>
        </row>
        <row r="17">
          <cell r="B17" t="str">
            <v>Lakeside Union Elementary</v>
          </cell>
          <cell r="C17">
            <v>6417.49</v>
          </cell>
          <cell r="D17">
            <v>22.18</v>
          </cell>
          <cell r="E17">
            <v>4268.24</v>
          </cell>
          <cell r="F17">
            <v>27486058</v>
          </cell>
          <cell r="G17">
            <v>283462</v>
          </cell>
          <cell r="H17">
            <v>0</v>
          </cell>
          <cell r="I17">
            <v>0</v>
          </cell>
          <cell r="J17">
            <v>44511</v>
          </cell>
          <cell r="K17">
            <v>0</v>
          </cell>
          <cell r="L17">
            <v>21603314</v>
          </cell>
          <cell r="M17">
            <v>5716774</v>
          </cell>
          <cell r="N17">
            <v>0</v>
          </cell>
          <cell r="O17">
            <v>0</v>
          </cell>
        </row>
        <row r="18">
          <cell r="B18" t="str">
            <v>Lemon Grove Elementary</v>
          </cell>
          <cell r="C18">
            <v>6432.52</v>
          </cell>
          <cell r="D18">
            <v>22.3</v>
          </cell>
          <cell r="E18">
            <v>3708</v>
          </cell>
          <cell r="F18">
            <v>23869924</v>
          </cell>
          <cell r="G18">
            <v>252565</v>
          </cell>
          <cell r="H18">
            <v>0</v>
          </cell>
          <cell r="I18">
            <v>0</v>
          </cell>
          <cell r="J18">
            <v>45035</v>
          </cell>
          <cell r="K18">
            <v>0</v>
          </cell>
          <cell r="L18">
            <v>18761145</v>
          </cell>
          <cell r="M18">
            <v>4450147</v>
          </cell>
          <cell r="N18">
            <v>0</v>
          </cell>
          <cell r="O18">
            <v>0</v>
          </cell>
        </row>
        <row r="19">
          <cell r="B19" t="str">
            <v>National Elementary</v>
          </cell>
          <cell r="C19">
            <v>6417.48</v>
          </cell>
          <cell r="D19">
            <v>81.48</v>
          </cell>
          <cell r="E19">
            <v>5543.62</v>
          </cell>
          <cell r="F19">
            <v>36027764</v>
          </cell>
          <cell r="G19">
            <v>316146</v>
          </cell>
          <cell r="H19">
            <v>0</v>
          </cell>
          <cell r="I19">
            <v>0</v>
          </cell>
          <cell r="J19">
            <v>49951</v>
          </cell>
          <cell r="K19">
            <v>0</v>
          </cell>
          <cell r="L19">
            <v>28269855</v>
          </cell>
          <cell r="M19">
            <v>5952795</v>
          </cell>
          <cell r="N19">
            <v>0</v>
          </cell>
          <cell r="O19">
            <v>0</v>
          </cell>
        </row>
        <row r="20">
          <cell r="B20" t="str">
            <v>Rancho Santa Fe Elementary</v>
          </cell>
          <cell r="C20">
            <v>6393.98</v>
          </cell>
          <cell r="D20">
            <v>8.5399999999999991</v>
          </cell>
          <cell r="E20">
            <v>647.26</v>
          </cell>
          <cell r="F20">
            <v>4144095</v>
          </cell>
          <cell r="G20">
            <v>69613</v>
          </cell>
          <cell r="H20">
            <v>0</v>
          </cell>
          <cell r="I20">
            <v>0</v>
          </cell>
          <cell r="J20">
            <v>13014</v>
          </cell>
          <cell r="K20">
            <v>0</v>
          </cell>
          <cell r="L20">
            <v>3277721</v>
          </cell>
          <cell r="M20">
            <v>7586390</v>
          </cell>
          <cell r="N20">
            <v>0</v>
          </cell>
          <cell r="O20">
            <v>0</v>
          </cell>
        </row>
        <row r="21">
          <cell r="B21" t="str">
            <v>San Pasqual Union Elementary</v>
          </cell>
          <cell r="C21">
            <v>6502.21</v>
          </cell>
          <cell r="D21">
            <v>118.24</v>
          </cell>
          <cell r="E21">
            <v>535.23</v>
          </cell>
          <cell r="F21">
            <v>3543464</v>
          </cell>
          <cell r="G21">
            <v>31692</v>
          </cell>
          <cell r="H21">
            <v>0</v>
          </cell>
          <cell r="I21">
            <v>0</v>
          </cell>
          <cell r="J21">
            <v>6667</v>
          </cell>
          <cell r="K21">
            <v>0</v>
          </cell>
          <cell r="L21">
            <v>2779289</v>
          </cell>
          <cell r="M21">
            <v>1064664</v>
          </cell>
          <cell r="N21">
            <v>0</v>
          </cell>
          <cell r="O21">
            <v>0</v>
          </cell>
        </row>
        <row r="22">
          <cell r="B22" t="str">
            <v>San Ysidro Elementary</v>
          </cell>
          <cell r="C22">
            <v>6442.46</v>
          </cell>
          <cell r="D22">
            <v>22.01</v>
          </cell>
          <cell r="E22">
            <v>5007.1400000000003</v>
          </cell>
          <cell r="F22">
            <v>32368506</v>
          </cell>
          <cell r="G22">
            <v>298458</v>
          </cell>
          <cell r="H22">
            <v>0</v>
          </cell>
          <cell r="I22">
            <v>0</v>
          </cell>
          <cell r="J22">
            <v>62636</v>
          </cell>
          <cell r="K22">
            <v>0</v>
          </cell>
          <cell r="L22">
            <v>25395214</v>
          </cell>
          <cell r="M22">
            <v>14179690</v>
          </cell>
          <cell r="N22">
            <v>0</v>
          </cell>
        </row>
        <row r="23">
          <cell r="B23" t="str">
            <v>Santee Elementary</v>
          </cell>
          <cell r="C23">
            <v>6428.11</v>
          </cell>
          <cell r="D23">
            <v>8.82</v>
          </cell>
          <cell r="E23">
            <v>6265.64</v>
          </cell>
          <cell r="F23">
            <v>40331486</v>
          </cell>
          <cell r="G23">
            <v>364785</v>
          </cell>
          <cell r="H23">
            <v>0</v>
          </cell>
          <cell r="I23">
            <v>0</v>
          </cell>
          <cell r="J23">
            <v>69950</v>
          </cell>
          <cell r="K23">
            <v>0</v>
          </cell>
          <cell r="L23">
            <v>31643692</v>
          </cell>
          <cell r="M23">
            <v>11957038</v>
          </cell>
          <cell r="N23">
            <v>0</v>
          </cell>
          <cell r="O23">
            <v>0</v>
          </cell>
        </row>
        <row r="24">
          <cell r="B24" t="str">
            <v>Solana Beach Elementary</v>
          </cell>
          <cell r="C24">
            <v>6396.57</v>
          </cell>
          <cell r="D24">
            <v>22.28</v>
          </cell>
          <cell r="E24">
            <v>3106.64</v>
          </cell>
          <cell r="F24">
            <v>19941056</v>
          </cell>
          <cell r="G24">
            <v>363788</v>
          </cell>
          <cell r="H24">
            <v>0</v>
          </cell>
          <cell r="I24">
            <v>0</v>
          </cell>
          <cell r="J24">
            <v>55259</v>
          </cell>
          <cell r="K24">
            <v>0</v>
          </cell>
          <cell r="L24">
            <v>15808313</v>
          </cell>
          <cell r="M24">
            <v>28646192</v>
          </cell>
          <cell r="N24">
            <v>0</v>
          </cell>
          <cell r="O24">
            <v>0</v>
          </cell>
        </row>
        <row r="25">
          <cell r="B25" t="str">
            <v>South Bay Union Elementary</v>
          </cell>
          <cell r="C25">
            <v>6421.31</v>
          </cell>
          <cell r="D25">
            <v>22.23</v>
          </cell>
          <cell r="E25">
            <v>5553.71</v>
          </cell>
          <cell r="F25">
            <v>35785553</v>
          </cell>
          <cell r="G25">
            <v>467374</v>
          </cell>
          <cell r="H25">
            <v>0</v>
          </cell>
          <cell r="I25">
            <v>0</v>
          </cell>
          <cell r="J25">
            <v>84437</v>
          </cell>
          <cell r="K25">
            <v>0</v>
          </cell>
          <cell r="L25">
            <v>28198332</v>
          </cell>
          <cell r="M25">
            <v>5978976</v>
          </cell>
          <cell r="N25">
            <v>0</v>
          </cell>
          <cell r="O25">
            <v>0</v>
          </cell>
        </row>
        <row r="26">
          <cell r="B26" t="str">
            <v>Spencer Valley Elementary</v>
          </cell>
          <cell r="C26">
            <v>7361.63</v>
          </cell>
          <cell r="D26">
            <v>877.14</v>
          </cell>
          <cell r="E26">
            <v>0</v>
          </cell>
          <cell r="F26">
            <v>326257</v>
          </cell>
          <cell r="G26">
            <v>5471</v>
          </cell>
          <cell r="H26">
            <v>0</v>
          </cell>
          <cell r="I26">
            <v>0</v>
          </cell>
          <cell r="J26">
            <v>714</v>
          </cell>
          <cell r="K26">
            <v>0</v>
          </cell>
          <cell r="L26">
            <v>258350</v>
          </cell>
          <cell r="M26">
            <v>2645</v>
          </cell>
          <cell r="N26">
            <v>0</v>
          </cell>
          <cell r="O26">
            <v>326257</v>
          </cell>
          <cell r="P26">
            <v>1121.8399999999999</v>
          </cell>
          <cell r="R26">
            <v>31.16</v>
          </cell>
        </row>
        <row r="27">
          <cell r="B27" t="str">
            <v>Vallecitos Elementary</v>
          </cell>
          <cell r="C27">
            <v>6410.6</v>
          </cell>
          <cell r="D27">
            <v>8.39</v>
          </cell>
          <cell r="E27">
            <v>209.02</v>
          </cell>
          <cell r="F27">
            <v>1341698</v>
          </cell>
          <cell r="G27">
            <v>11320</v>
          </cell>
          <cell r="H27">
            <v>0</v>
          </cell>
          <cell r="I27">
            <v>0</v>
          </cell>
          <cell r="J27">
            <v>3321</v>
          </cell>
          <cell r="K27">
            <v>0</v>
          </cell>
          <cell r="L27">
            <v>1050874</v>
          </cell>
          <cell r="M27">
            <v>348617</v>
          </cell>
          <cell r="N27">
            <v>0</v>
          </cell>
          <cell r="O27">
            <v>0</v>
          </cell>
        </row>
        <row r="28">
          <cell r="B28" t="str">
            <v>Escondido Union High</v>
          </cell>
          <cell r="C28">
            <v>7750.53</v>
          </cell>
          <cell r="D28">
            <v>22.19</v>
          </cell>
          <cell r="E28">
            <v>7405.95</v>
          </cell>
          <cell r="F28">
            <v>57564376</v>
          </cell>
          <cell r="G28">
            <v>485888</v>
          </cell>
          <cell r="H28">
            <v>0</v>
          </cell>
          <cell r="I28">
            <v>0</v>
          </cell>
          <cell r="J28">
            <v>116884</v>
          </cell>
          <cell r="K28">
            <v>0</v>
          </cell>
          <cell r="L28">
            <v>45112642</v>
          </cell>
          <cell r="M28">
            <v>23192475</v>
          </cell>
          <cell r="N28">
            <v>0</v>
          </cell>
          <cell r="O28">
            <v>0</v>
          </cell>
        </row>
        <row r="29">
          <cell r="B29" t="str">
            <v>Fallbrook Union High</v>
          </cell>
          <cell r="C29">
            <v>7743.1</v>
          </cell>
          <cell r="D29">
            <v>8.86</v>
          </cell>
          <cell r="E29">
            <v>2796.04</v>
          </cell>
          <cell r="F29">
            <v>21674790</v>
          </cell>
          <cell r="G29">
            <v>164242</v>
          </cell>
          <cell r="H29">
            <v>0</v>
          </cell>
          <cell r="I29">
            <v>0</v>
          </cell>
          <cell r="J29">
            <v>42349</v>
          </cell>
          <cell r="K29">
            <v>0</v>
          </cell>
          <cell r="L29">
            <v>16969274</v>
          </cell>
          <cell r="M29">
            <v>11425136</v>
          </cell>
          <cell r="N29">
            <v>0</v>
          </cell>
          <cell r="O29">
            <v>0</v>
          </cell>
        </row>
        <row r="30">
          <cell r="B30" t="str">
            <v>Grossmont Union High</v>
          </cell>
          <cell r="C30">
            <v>7746</v>
          </cell>
          <cell r="D30">
            <v>23.06</v>
          </cell>
          <cell r="E30">
            <v>17596.7</v>
          </cell>
          <cell r="F30">
            <v>136709818</v>
          </cell>
          <cell r="G30">
            <v>1335075</v>
          </cell>
          <cell r="H30">
            <v>0</v>
          </cell>
          <cell r="I30">
            <v>0</v>
          </cell>
          <cell r="J30">
            <v>339928</v>
          </cell>
          <cell r="K30">
            <v>0</v>
          </cell>
          <cell r="L30">
            <v>107256954</v>
          </cell>
          <cell r="M30">
            <v>62634293</v>
          </cell>
          <cell r="N30">
            <v>0</v>
          </cell>
          <cell r="O30">
            <v>0</v>
          </cell>
        </row>
        <row r="31">
          <cell r="B31" t="str">
            <v>Julian Union High</v>
          </cell>
          <cell r="C31">
            <v>8102.65</v>
          </cell>
          <cell r="D31">
            <v>46.3</v>
          </cell>
          <cell r="E31">
            <v>9.75</v>
          </cell>
          <cell r="F31">
            <v>1710028</v>
          </cell>
          <cell r="G31">
            <v>21504</v>
          </cell>
          <cell r="H31">
            <v>0</v>
          </cell>
          <cell r="I31">
            <v>0</v>
          </cell>
          <cell r="J31">
            <v>5110</v>
          </cell>
          <cell r="K31">
            <v>0</v>
          </cell>
          <cell r="L31">
            <v>1345565</v>
          </cell>
          <cell r="M31">
            <v>1423670</v>
          </cell>
          <cell r="N31">
            <v>0</v>
          </cell>
          <cell r="O31">
            <v>1630576</v>
          </cell>
          <cell r="Q31">
            <v>246.45</v>
          </cell>
          <cell r="R31">
            <v>167.44</v>
          </cell>
        </row>
        <row r="32">
          <cell r="B32" t="str">
            <v>San Dieguito Union High</v>
          </cell>
          <cell r="C32">
            <v>7697.08</v>
          </cell>
          <cell r="D32">
            <v>8.85</v>
          </cell>
          <cell r="E32">
            <v>12023.86</v>
          </cell>
          <cell r="F32">
            <v>92655023</v>
          </cell>
          <cell r="G32">
            <v>774214</v>
          </cell>
          <cell r="H32">
            <v>0</v>
          </cell>
          <cell r="I32">
            <v>0</v>
          </cell>
          <cell r="J32">
            <v>161861</v>
          </cell>
          <cell r="K32">
            <v>0</v>
          </cell>
          <cell r="L32">
            <v>72631249</v>
          </cell>
          <cell r="M32">
            <v>79391908</v>
          </cell>
          <cell r="N32">
            <v>0</v>
          </cell>
          <cell r="O32">
            <v>0</v>
          </cell>
        </row>
        <row r="33">
          <cell r="B33" t="str">
            <v>Sweetwater Union High</v>
          </cell>
          <cell r="C33">
            <v>7716.78</v>
          </cell>
          <cell r="D33">
            <v>38.28</v>
          </cell>
          <cell r="E33">
            <v>38291.64</v>
          </cell>
          <cell r="F33">
            <v>296953966</v>
          </cell>
          <cell r="G33">
            <v>2533456</v>
          </cell>
          <cell r="H33">
            <v>0</v>
          </cell>
          <cell r="I33">
            <v>0</v>
          </cell>
          <cell r="J33">
            <v>569203</v>
          </cell>
          <cell r="K33">
            <v>0</v>
          </cell>
          <cell r="L33">
            <v>232780632</v>
          </cell>
          <cell r="M33">
            <v>58992131</v>
          </cell>
          <cell r="N33">
            <v>0</v>
          </cell>
          <cell r="O33">
            <v>0</v>
          </cell>
        </row>
        <row r="34">
          <cell r="B34" t="str">
            <v>Borrego Springs Unified</v>
          </cell>
          <cell r="C34">
            <v>7338.14</v>
          </cell>
          <cell r="D34">
            <v>585.28</v>
          </cell>
          <cell r="E34">
            <v>308.60000000000002</v>
          </cell>
          <cell r="F34">
            <v>4040160</v>
          </cell>
          <cell r="G34">
            <v>66979</v>
          </cell>
          <cell r="H34">
            <v>0</v>
          </cell>
          <cell r="I34">
            <v>0</v>
          </cell>
          <cell r="J34">
            <v>7948</v>
          </cell>
          <cell r="K34">
            <v>0</v>
          </cell>
          <cell r="L34">
            <v>3199367</v>
          </cell>
          <cell r="M34">
            <v>1458816</v>
          </cell>
          <cell r="N34">
            <v>0</v>
          </cell>
          <cell r="O34">
            <v>1594993</v>
          </cell>
          <cell r="Q34">
            <v>882.07</v>
          </cell>
          <cell r="R34">
            <v>140.47999999999999</v>
          </cell>
        </row>
        <row r="35">
          <cell r="B35" t="str">
            <v>Carlsbad Unified</v>
          </cell>
          <cell r="C35">
            <v>6696.31</v>
          </cell>
          <cell r="D35">
            <v>8.85</v>
          </cell>
          <cell r="E35">
            <v>10619.05</v>
          </cell>
          <cell r="F35">
            <v>71202430</v>
          </cell>
          <cell r="G35">
            <v>526741</v>
          </cell>
          <cell r="H35">
            <v>0</v>
          </cell>
          <cell r="I35">
            <v>0</v>
          </cell>
          <cell r="J35">
            <v>101560</v>
          </cell>
          <cell r="K35">
            <v>0</v>
          </cell>
          <cell r="L35">
            <v>55769406</v>
          </cell>
          <cell r="M35">
            <v>63667774</v>
          </cell>
          <cell r="N35">
            <v>0</v>
          </cell>
          <cell r="O35">
            <v>0</v>
          </cell>
        </row>
        <row r="36">
          <cell r="B36" t="str">
            <v>Coronado Unified</v>
          </cell>
          <cell r="C36">
            <v>6694.72</v>
          </cell>
          <cell r="D36">
            <v>45.91</v>
          </cell>
          <cell r="E36">
            <v>3056.73</v>
          </cell>
          <cell r="F36">
            <v>20604285</v>
          </cell>
          <cell r="G36">
            <v>187634</v>
          </cell>
          <cell r="H36">
            <v>0</v>
          </cell>
          <cell r="I36">
            <v>0</v>
          </cell>
          <cell r="J36">
            <v>31800</v>
          </cell>
          <cell r="K36">
            <v>0</v>
          </cell>
          <cell r="L36">
            <v>16171133</v>
          </cell>
          <cell r="M36">
            <v>8507506</v>
          </cell>
          <cell r="N36">
            <v>0</v>
          </cell>
          <cell r="O36">
            <v>0</v>
          </cell>
        </row>
        <row r="37">
          <cell r="B37" t="str">
            <v>Mountain Empire Unified</v>
          </cell>
          <cell r="C37">
            <v>6720.35</v>
          </cell>
          <cell r="D37">
            <v>67.31</v>
          </cell>
          <cell r="E37">
            <v>1455.11</v>
          </cell>
          <cell r="F37">
            <v>10334453</v>
          </cell>
          <cell r="G37">
            <v>161981</v>
          </cell>
          <cell r="H37">
            <v>0</v>
          </cell>
          <cell r="I37">
            <v>0</v>
          </cell>
          <cell r="J37">
            <v>25082</v>
          </cell>
          <cell r="K37">
            <v>0</v>
          </cell>
          <cell r="L37">
            <v>8169663</v>
          </cell>
          <cell r="M37">
            <v>2479104</v>
          </cell>
          <cell r="N37">
            <v>0</v>
          </cell>
          <cell r="O37">
            <v>457662</v>
          </cell>
          <cell r="P37">
            <v>376.44</v>
          </cell>
          <cell r="R37">
            <v>55.02</v>
          </cell>
        </row>
        <row r="38">
          <cell r="B38" t="str">
            <v>Oceanside Unified</v>
          </cell>
          <cell r="C38">
            <v>6694.66</v>
          </cell>
          <cell r="D38">
            <v>30.49</v>
          </cell>
          <cell r="E38">
            <v>18718.830000000002</v>
          </cell>
          <cell r="F38">
            <v>125886939</v>
          </cell>
          <cell r="G38">
            <v>1356429</v>
          </cell>
          <cell r="H38">
            <v>0</v>
          </cell>
          <cell r="I38">
            <v>0</v>
          </cell>
          <cell r="J38">
            <v>240010</v>
          </cell>
          <cell r="K38">
            <v>0</v>
          </cell>
          <cell r="L38">
            <v>98965819</v>
          </cell>
          <cell r="M38">
            <v>40747888</v>
          </cell>
          <cell r="N38">
            <v>0</v>
          </cell>
          <cell r="O38">
            <v>0</v>
          </cell>
        </row>
        <row r="39">
          <cell r="B39" t="str">
            <v>Poway Unified</v>
          </cell>
          <cell r="C39">
            <v>6701.97</v>
          </cell>
          <cell r="D39">
            <v>22.34</v>
          </cell>
          <cell r="E39">
            <v>34038.31</v>
          </cell>
          <cell r="F39">
            <v>228884148</v>
          </cell>
          <cell r="G39">
            <v>2130138</v>
          </cell>
          <cell r="H39">
            <v>0</v>
          </cell>
          <cell r="I39">
            <v>0</v>
          </cell>
          <cell r="J39">
            <v>356641</v>
          </cell>
          <cell r="K39">
            <v>0</v>
          </cell>
          <cell r="L39">
            <v>179680568</v>
          </cell>
          <cell r="M39">
            <v>113443246</v>
          </cell>
          <cell r="N39">
            <v>0</v>
          </cell>
          <cell r="O39">
            <v>0</v>
          </cell>
        </row>
        <row r="40">
          <cell r="B40" t="str">
            <v>Ramona City Unified</v>
          </cell>
          <cell r="C40">
            <v>6708.41</v>
          </cell>
          <cell r="D40">
            <v>26.96</v>
          </cell>
          <cell r="E40">
            <v>5869.1</v>
          </cell>
          <cell r="F40">
            <v>39341970</v>
          </cell>
          <cell r="G40">
            <v>393276</v>
          </cell>
          <cell r="H40">
            <v>0</v>
          </cell>
          <cell r="I40">
            <v>0</v>
          </cell>
          <cell r="J40">
            <v>61146</v>
          </cell>
          <cell r="K40">
            <v>0</v>
          </cell>
          <cell r="L40">
            <v>30911856</v>
          </cell>
          <cell r="M40">
            <v>15439860</v>
          </cell>
          <cell r="N40">
            <v>0</v>
          </cell>
        </row>
        <row r="41">
          <cell r="B41" t="str">
            <v>San Diego Unified</v>
          </cell>
          <cell r="C41">
            <v>6707.66</v>
          </cell>
          <cell r="D41">
            <v>22.36</v>
          </cell>
          <cell r="E41">
            <v>107478.86</v>
          </cell>
          <cell r="F41">
            <v>723334877</v>
          </cell>
          <cell r="G41">
            <v>9804976</v>
          </cell>
          <cell r="H41">
            <v>0</v>
          </cell>
          <cell r="I41">
            <v>0</v>
          </cell>
          <cell r="J41">
            <v>2665041</v>
          </cell>
          <cell r="K41">
            <v>1017664</v>
          </cell>
          <cell r="L41">
            <v>570391332</v>
          </cell>
          <cell r="M41">
            <v>470188504</v>
          </cell>
          <cell r="N41">
            <v>0</v>
          </cell>
          <cell r="O41">
            <v>0</v>
          </cell>
        </row>
        <row r="42">
          <cell r="B42" t="str">
            <v>San Marcos Unified</v>
          </cell>
          <cell r="C42">
            <v>6691.78</v>
          </cell>
          <cell r="D42">
            <v>15.82</v>
          </cell>
          <cell r="E42">
            <v>18741.22</v>
          </cell>
          <cell r="F42">
            <v>125708607</v>
          </cell>
          <cell r="G42">
            <v>1059724</v>
          </cell>
          <cell r="H42">
            <v>0</v>
          </cell>
          <cell r="I42">
            <v>0</v>
          </cell>
          <cell r="J42">
            <v>172830</v>
          </cell>
          <cell r="K42">
            <v>0</v>
          </cell>
          <cell r="L42">
            <v>98597680</v>
          </cell>
          <cell r="M42">
            <v>42781121</v>
          </cell>
          <cell r="N42">
            <v>0</v>
          </cell>
          <cell r="O42">
            <v>0</v>
          </cell>
        </row>
        <row r="43">
          <cell r="B43" t="str">
            <v>Valley Center-Pauma Unified</v>
          </cell>
          <cell r="C43">
            <v>7144.09</v>
          </cell>
          <cell r="D43">
            <v>22.19</v>
          </cell>
          <cell r="E43">
            <v>3989.87</v>
          </cell>
          <cell r="F43">
            <v>28592525</v>
          </cell>
          <cell r="G43">
            <v>265932</v>
          </cell>
          <cell r="H43">
            <v>0</v>
          </cell>
          <cell r="I43">
            <v>0</v>
          </cell>
          <cell r="J43">
            <v>50439</v>
          </cell>
          <cell r="K43">
            <v>0</v>
          </cell>
          <cell r="L43">
            <v>22439891</v>
          </cell>
          <cell r="M43">
            <v>12952768</v>
          </cell>
          <cell r="N43">
            <v>0</v>
          </cell>
          <cell r="O43">
            <v>0</v>
          </cell>
        </row>
        <row r="44">
          <cell r="B44" t="str">
            <v>Vista Unified</v>
          </cell>
          <cell r="C44">
            <v>6697.61</v>
          </cell>
          <cell r="D44">
            <v>125.85</v>
          </cell>
          <cell r="E44">
            <v>21369.42</v>
          </cell>
          <cell r="F44">
            <v>145813383</v>
          </cell>
          <cell r="G44">
            <v>1416907</v>
          </cell>
          <cell r="H44">
            <v>0</v>
          </cell>
          <cell r="I44">
            <v>0</v>
          </cell>
          <cell r="J44">
            <v>253077</v>
          </cell>
          <cell r="K44">
            <v>0</v>
          </cell>
          <cell r="L44">
            <v>114501656</v>
          </cell>
          <cell r="M44">
            <v>42779782</v>
          </cell>
          <cell r="N44">
            <v>0</v>
          </cell>
          <cell r="O44">
            <v>0</v>
          </cell>
        </row>
        <row r="45">
          <cell r="B45" t="str">
            <v>Warner Unified</v>
          </cell>
          <cell r="C45">
            <v>7134.01</v>
          </cell>
          <cell r="D45">
            <v>22.01</v>
          </cell>
          <cell r="E45">
            <v>138.44</v>
          </cell>
          <cell r="F45">
            <v>1768745</v>
          </cell>
          <cell r="G45">
            <v>23925</v>
          </cell>
          <cell r="H45">
            <v>0</v>
          </cell>
          <cell r="I45">
            <v>0</v>
          </cell>
          <cell r="J45">
            <v>5261</v>
          </cell>
          <cell r="K45">
            <v>0</v>
          </cell>
          <cell r="L45">
            <v>1393474</v>
          </cell>
          <cell r="M45">
            <v>694652</v>
          </cell>
          <cell r="N45">
            <v>0</v>
          </cell>
          <cell r="O45">
            <v>778066</v>
          </cell>
          <cell r="Q45">
            <v>334.95</v>
          </cell>
          <cell r="R45">
            <v>48.86</v>
          </cell>
        </row>
        <row r="46">
          <cell r="O46">
            <v>4787554</v>
          </cell>
          <cell r="P46">
            <v>1498.28</v>
          </cell>
          <cell r="R46">
            <v>442.96</v>
          </cell>
          <cell r="S46">
            <v>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CDS"/>
      <sheetName val="MYP wreductions"/>
      <sheetName val="MYP"/>
      <sheetName val="CHANGE IN EXP FROM ADOPTED"/>
      <sheetName val="rev9_24_03"/>
      <sheetName val="p pines"/>
      <sheetName val="rl 2004"/>
      <sheetName val="rl2005"/>
      <sheetName val="rl2006"/>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ToBudgetForList"/>
      <sheetName val="Fiscal_Sets"/>
      <sheetName val="Sheet1"/>
      <sheetName val="Sheet2"/>
    </sheetNames>
    <sheetDataSet>
      <sheetData sheetId="0">
        <row r="4">
          <cell r="A4" t="str">
            <v>801102000</v>
          </cell>
          <cell r="B4" t="str">
            <v>8011-020-00</v>
          </cell>
          <cell r="C4" t="str">
            <v>LCFF</v>
          </cell>
          <cell r="D4">
            <v>324806.84836274071</v>
          </cell>
          <cell r="E4">
            <v>324806.84836274071</v>
          </cell>
          <cell r="F4">
            <v>584652.32705293316</v>
          </cell>
          <cell r="G4">
            <v>584652.32705293316</v>
          </cell>
          <cell r="H4">
            <v>584652.32705293316</v>
          </cell>
          <cell r="I4">
            <v>584652.32705293316</v>
          </cell>
          <cell r="J4">
            <v>584652.32705293316</v>
          </cell>
          <cell r="K4">
            <v>584652.32705293316</v>
          </cell>
          <cell r="L4">
            <v>584652.32705293316</v>
          </cell>
          <cell r="M4">
            <v>584652.32705293316</v>
          </cell>
          <cell r="N4">
            <v>584652.32705293316</v>
          </cell>
          <cell r="O4">
            <v>584652.32705293316</v>
          </cell>
        </row>
        <row r="5">
          <cell r="A5" t="str">
            <v>801202030</v>
          </cell>
          <cell r="B5" t="str">
            <v>8012-020-30</v>
          </cell>
          <cell r="C5" t="str">
            <v>Charter Schools General Purpose Entitlement - EPA</v>
          </cell>
          <cell r="F5">
            <v>411273.36474879656</v>
          </cell>
          <cell r="I5">
            <v>411273.36474879656</v>
          </cell>
          <cell r="L5">
            <v>411273.36474879656</v>
          </cell>
          <cell r="O5">
            <v>411273.36474879656</v>
          </cell>
        </row>
        <row r="6">
          <cell r="A6" t="str">
            <v>801902000</v>
          </cell>
          <cell r="B6" t="str">
            <v>8019-020-00</v>
          </cell>
          <cell r="C6" t="str">
            <v>Prior Year Adjusments</v>
          </cell>
        </row>
        <row r="7">
          <cell r="A7" t="str">
            <v>809602000</v>
          </cell>
          <cell r="B7" t="str">
            <v>8096-020-00</v>
          </cell>
          <cell r="C7" t="str">
            <v>Charter Schools Funding In-Lieu of Property Taxes</v>
          </cell>
          <cell r="D7">
            <v>0</v>
          </cell>
          <cell r="E7">
            <v>128763.274425</v>
          </cell>
          <cell r="F7">
            <v>257526.54884999999</v>
          </cell>
          <cell r="G7">
            <v>171684.3659</v>
          </cell>
          <cell r="H7">
            <v>171684.3659</v>
          </cell>
          <cell r="I7">
            <v>171684.3659</v>
          </cell>
          <cell r="J7">
            <v>171684.3659</v>
          </cell>
          <cell r="K7">
            <v>171684.3659</v>
          </cell>
          <cell r="L7">
            <v>300447.64032500004</v>
          </cell>
          <cell r="M7">
            <v>150223.82016250002</v>
          </cell>
          <cell r="N7">
            <v>150223.82016250002</v>
          </cell>
          <cell r="O7">
            <v>300447.64032500004</v>
          </cell>
        </row>
        <row r="8">
          <cell r="A8" t="str">
            <v/>
          </cell>
          <cell r="C8" t="str">
            <v>Total Revenue Limit</v>
          </cell>
          <cell r="D8">
            <v>324806.84836274071</v>
          </cell>
          <cell r="E8">
            <v>453570.12278774072</v>
          </cell>
          <cell r="F8">
            <v>1253452.2406517297</v>
          </cell>
          <cell r="G8">
            <v>756336.69295293314</v>
          </cell>
          <cell r="H8">
            <v>756336.69295293314</v>
          </cell>
          <cell r="I8">
            <v>1167610.0577017297</v>
          </cell>
          <cell r="J8">
            <v>756336.69295293314</v>
          </cell>
          <cell r="K8">
            <v>756336.69295293314</v>
          </cell>
          <cell r="L8">
            <v>1296373.3321267297</v>
          </cell>
          <cell r="M8">
            <v>734876.14721543319</v>
          </cell>
          <cell r="N8">
            <v>734876.14721543319</v>
          </cell>
          <cell r="O8">
            <v>1296373.3321267297</v>
          </cell>
          <cell r="P8">
            <v>0</v>
          </cell>
          <cell r="Q8">
            <v>0</v>
          </cell>
          <cell r="R8">
            <v>0</v>
          </cell>
        </row>
        <row r="9">
          <cell r="A9" t="str">
            <v>818102065</v>
          </cell>
          <cell r="B9" t="str">
            <v>8181-020-65</v>
          </cell>
          <cell r="C9" t="str">
            <v>Special Education - Entitlement</v>
          </cell>
          <cell r="K9">
            <v>37077.654599999994</v>
          </cell>
          <cell r="L9">
            <v>37077.654599999994</v>
          </cell>
          <cell r="M9">
            <v>37077.654599999994</v>
          </cell>
          <cell r="N9">
            <v>37077.654599999994</v>
          </cell>
          <cell r="O9">
            <v>37077.654599999994</v>
          </cell>
        </row>
        <row r="10">
          <cell r="A10" t="str">
            <v>822002000</v>
          </cell>
          <cell r="B10" t="str">
            <v>8220-020-00</v>
          </cell>
          <cell r="C10" t="str">
            <v>Federal Child Nutrition Programs</v>
          </cell>
          <cell r="E10">
            <v>18444.298999999999</v>
          </cell>
          <cell r="F10">
            <v>18444.298999999999</v>
          </cell>
          <cell r="G10">
            <v>18444.298999999999</v>
          </cell>
          <cell r="H10">
            <v>18444.298999999999</v>
          </cell>
          <cell r="I10">
            <v>18444.298999999999</v>
          </cell>
          <cell r="J10">
            <v>18444.298999999999</v>
          </cell>
          <cell r="K10">
            <v>18444.298999999999</v>
          </cell>
          <cell r="L10">
            <v>18444.298999999999</v>
          </cell>
          <cell r="M10">
            <v>18444.298999999999</v>
          </cell>
          <cell r="N10">
            <v>18444.298999999999</v>
          </cell>
        </row>
        <row r="11">
          <cell r="A11" t="str">
            <v>829002000</v>
          </cell>
          <cell r="B11" t="str">
            <v>8290-020-00</v>
          </cell>
          <cell r="C11" t="str">
            <v>Other Federal Revenue</v>
          </cell>
          <cell r="H11">
            <v>2899.95</v>
          </cell>
          <cell r="J11">
            <v>9666.5</v>
          </cell>
          <cell r="L11">
            <v>3866.6000000000004</v>
          </cell>
          <cell r="O11">
            <v>2899.95</v>
          </cell>
        </row>
        <row r="12">
          <cell r="A12" t="str">
            <v>829102001</v>
          </cell>
          <cell r="B12" t="str">
            <v>8291-020-01</v>
          </cell>
          <cell r="C12" t="str">
            <v>Title I Federal Revenue</v>
          </cell>
          <cell r="H12">
            <v>33161.680252087135</v>
          </cell>
          <cell r="J12">
            <v>110538.93417362378</v>
          </cell>
          <cell r="L12">
            <v>44215.573669449514</v>
          </cell>
          <cell r="O12">
            <v>33161.680252087135</v>
          </cell>
        </row>
        <row r="13">
          <cell r="A13" t="str">
            <v>829202002</v>
          </cell>
          <cell r="B13" t="str">
            <v>8292-020-02</v>
          </cell>
          <cell r="C13" t="str">
            <v>Title II Federal Revenue</v>
          </cell>
          <cell r="H13">
            <v>5016.6881030062495</v>
          </cell>
          <cell r="J13">
            <v>16722.293676687499</v>
          </cell>
          <cell r="L13">
            <v>6688.917470675</v>
          </cell>
          <cell r="O13">
            <v>5016.6881030062495</v>
          </cell>
        </row>
        <row r="14">
          <cell r="A14" t="str">
            <v>829402004</v>
          </cell>
          <cell r="B14" t="str">
            <v>8294-020-04</v>
          </cell>
          <cell r="C14" t="str">
            <v>Title IV Federal Revenue</v>
          </cell>
          <cell r="H14">
            <v>7763.5</v>
          </cell>
          <cell r="L14">
            <v>7763.5</v>
          </cell>
        </row>
        <row r="15">
          <cell r="A15" t="str">
            <v>829502005</v>
          </cell>
          <cell r="B15" t="str">
            <v>8295-020-05</v>
          </cell>
          <cell r="C15" t="str">
            <v>Title V Federal Revenue</v>
          </cell>
        </row>
        <row r="16">
          <cell r="A16" t="str">
            <v>829902000</v>
          </cell>
          <cell r="B16" t="str">
            <v>8299-020-00</v>
          </cell>
          <cell r="C16" t="str">
            <v>Prior Year Federal Revenue</v>
          </cell>
        </row>
        <row r="17">
          <cell r="A17" t="str">
            <v/>
          </cell>
          <cell r="C17" t="str">
            <v>Total Federal Revenues</v>
          </cell>
          <cell r="D17">
            <v>0</v>
          </cell>
          <cell r="E17">
            <v>18444.298999999999</v>
          </cell>
          <cell r="F17">
            <v>18444.298999999999</v>
          </cell>
          <cell r="G17">
            <v>18444.298999999999</v>
          </cell>
          <cell r="H17">
            <v>67286.117355093389</v>
          </cell>
          <cell r="I17">
            <v>18444.298999999999</v>
          </cell>
          <cell r="J17">
            <v>155372.02685031129</v>
          </cell>
          <cell r="K17">
            <v>55521.953599999993</v>
          </cell>
          <cell r="L17">
            <v>118056.5447401245</v>
          </cell>
          <cell r="M17">
            <v>55521.953599999993</v>
          </cell>
          <cell r="N17">
            <v>55521.953599999993</v>
          </cell>
          <cell r="O17">
            <v>78155.97295509337</v>
          </cell>
          <cell r="P17">
            <v>0</v>
          </cell>
          <cell r="Q17">
            <v>0</v>
          </cell>
          <cell r="R17">
            <v>0</v>
          </cell>
        </row>
        <row r="18">
          <cell r="A18" t="str">
            <v>852002000</v>
          </cell>
          <cell r="B18" t="str">
            <v>8520-020-00</v>
          </cell>
          <cell r="C18" t="str">
            <v>State Nutrition</v>
          </cell>
          <cell r="F18">
            <v>2049.3669999999997</v>
          </cell>
          <cell r="G18">
            <v>2049.3669999999997</v>
          </cell>
          <cell r="H18">
            <v>2049.3669999999997</v>
          </cell>
          <cell r="I18">
            <v>2049.3669999999997</v>
          </cell>
          <cell r="J18">
            <v>2049.3669999999997</v>
          </cell>
          <cell r="K18">
            <v>2049.3669999999997</v>
          </cell>
          <cell r="L18">
            <v>2049.3669999999997</v>
          </cell>
          <cell r="M18">
            <v>2049.3669999999997</v>
          </cell>
          <cell r="N18">
            <v>2049.3669999999997</v>
          </cell>
          <cell r="O18">
            <v>2049.3669999999997</v>
          </cell>
        </row>
        <row r="19">
          <cell r="A19" t="str">
            <v>855002000</v>
          </cell>
          <cell r="B19" t="str">
            <v>8550-020-00</v>
          </cell>
          <cell r="C19" t="str">
            <v>Mandate Block Grant</v>
          </cell>
          <cell r="I19">
            <v>10893.004437499998</v>
          </cell>
          <cell r="K19">
            <v>10893.004437499998</v>
          </cell>
          <cell r="O19">
            <v>21786.008874999996</v>
          </cell>
        </row>
        <row r="20">
          <cell r="A20" t="str">
            <v>856002022</v>
          </cell>
          <cell r="B20" t="str">
            <v>8560-020-22</v>
          </cell>
          <cell r="C20" t="str">
            <v>State Lottery Revenue</v>
          </cell>
          <cell r="I20">
            <v>94984.949999999983</v>
          </cell>
          <cell r="L20">
            <v>47492.474999999991</v>
          </cell>
          <cell r="O20">
            <v>47492.474999999991</v>
          </cell>
        </row>
        <row r="21">
          <cell r="A21" t="str">
            <v>859002000</v>
          </cell>
          <cell r="B21" t="str">
            <v>8590-020-00</v>
          </cell>
          <cell r="C21" t="str">
            <v>Other State Revenues</v>
          </cell>
          <cell r="D21">
            <v>154639.24249999999</v>
          </cell>
          <cell r="E21">
            <v>0</v>
          </cell>
          <cell r="F21">
            <v>0</v>
          </cell>
          <cell r="G21">
            <v>0</v>
          </cell>
          <cell r="H21">
            <v>154639.24249999999</v>
          </cell>
          <cell r="I21">
            <v>0</v>
          </cell>
          <cell r="J21">
            <v>0</v>
          </cell>
          <cell r="K21">
            <v>154639.24249999999</v>
          </cell>
          <cell r="L21">
            <v>0</v>
          </cell>
          <cell r="M21">
            <v>0</v>
          </cell>
          <cell r="N21">
            <v>154639.24249999999</v>
          </cell>
          <cell r="O21">
            <v>0</v>
          </cell>
          <cell r="P21">
            <v>0</v>
          </cell>
          <cell r="Q21">
            <v>0</v>
          </cell>
        </row>
        <row r="22">
          <cell r="A22" t="str">
            <v>859002000</v>
          </cell>
          <cell r="B22" t="str">
            <v>8590-020-00</v>
          </cell>
          <cell r="C22" t="str">
            <v>CTE Grants</v>
          </cell>
        </row>
        <row r="23">
          <cell r="A23" t="str">
            <v>859102000</v>
          </cell>
          <cell r="B23" t="str">
            <v>8591-020-00</v>
          </cell>
          <cell r="C23" t="str">
            <v>SB 740</v>
          </cell>
          <cell r="D23">
            <v>0</v>
          </cell>
          <cell r="E23">
            <v>0</v>
          </cell>
          <cell r="F23">
            <v>376666.04742187506</v>
          </cell>
          <cell r="G23">
            <v>0</v>
          </cell>
          <cell r="H23">
            <v>0</v>
          </cell>
          <cell r="I23">
            <v>0</v>
          </cell>
          <cell r="J23">
            <v>376666.04742187506</v>
          </cell>
          <cell r="K23">
            <v>0</v>
          </cell>
          <cell r="L23">
            <v>0</v>
          </cell>
          <cell r="M23">
            <v>0</v>
          </cell>
          <cell r="N23">
            <v>0</v>
          </cell>
          <cell r="O23">
            <v>0</v>
          </cell>
          <cell r="P23">
            <v>0</v>
          </cell>
          <cell r="Q23">
            <v>0</v>
          </cell>
        </row>
        <row r="24">
          <cell r="A24" t="str">
            <v>859902000</v>
          </cell>
          <cell r="B24" t="str">
            <v>8599-020-00</v>
          </cell>
          <cell r="C24" t="str">
            <v>Prior Year State Income</v>
          </cell>
        </row>
        <row r="25">
          <cell r="A25" t="str">
            <v>879202065</v>
          </cell>
          <cell r="B25" t="str">
            <v>8792-020-65</v>
          </cell>
          <cell r="C25" t="str">
            <v>SPED State/Other Transfers of Apportionments from County</v>
          </cell>
          <cell r="D25">
            <v>27504.661599999999</v>
          </cell>
          <cell r="E25">
            <v>27504.661599999999</v>
          </cell>
          <cell r="F25">
            <v>49508.390879999992</v>
          </cell>
          <cell r="G25">
            <v>49508.390879999992</v>
          </cell>
          <cell r="H25">
            <v>49508.390879999992</v>
          </cell>
          <cell r="I25">
            <v>49508.390879999992</v>
          </cell>
          <cell r="J25">
            <v>49508.390879999992</v>
          </cell>
          <cell r="K25">
            <v>49508.390879999992</v>
          </cell>
          <cell r="L25">
            <v>49508.390879999992</v>
          </cell>
          <cell r="M25">
            <v>49508.390879999992</v>
          </cell>
          <cell r="N25">
            <v>49508.390879999992</v>
          </cell>
          <cell r="O25">
            <v>49508.390879999992</v>
          </cell>
        </row>
        <row r="26">
          <cell r="A26" t="str">
            <v/>
          </cell>
          <cell r="C26" t="str">
            <v>Total Other State Revenue</v>
          </cell>
          <cell r="D26">
            <v>182143.90409999999</v>
          </cell>
          <cell r="E26">
            <v>27504.661599999999</v>
          </cell>
          <cell r="F26">
            <v>428223.80530187511</v>
          </cell>
          <cell r="G26">
            <v>51557.75787999999</v>
          </cell>
          <cell r="H26">
            <v>206197.00037999998</v>
          </cell>
          <cell r="I26">
            <v>157435.71231749997</v>
          </cell>
          <cell r="J26">
            <v>428223.80530187511</v>
          </cell>
          <cell r="K26">
            <v>217090.00481749998</v>
          </cell>
          <cell r="L26">
            <v>99050.232879999981</v>
          </cell>
          <cell r="M26">
            <v>51557.75787999999</v>
          </cell>
          <cell r="N26">
            <v>206197.00037999998</v>
          </cell>
          <cell r="O26">
            <v>120836.24175499998</v>
          </cell>
          <cell r="P26">
            <v>0</v>
          </cell>
          <cell r="Q26">
            <v>0</v>
          </cell>
          <cell r="R26">
            <v>0</v>
          </cell>
        </row>
        <row r="27">
          <cell r="A27" t="str">
            <v>865002000</v>
          </cell>
          <cell r="B27" t="str">
            <v>8650-020-00</v>
          </cell>
          <cell r="C27" t="str">
            <v>Rental Income</v>
          </cell>
          <cell r="D27">
            <v>0</v>
          </cell>
          <cell r="E27">
            <v>0</v>
          </cell>
          <cell r="F27">
            <v>120</v>
          </cell>
          <cell r="G27">
            <v>120</v>
          </cell>
          <cell r="H27">
            <v>120</v>
          </cell>
          <cell r="I27">
            <v>120</v>
          </cell>
          <cell r="J27">
            <v>120</v>
          </cell>
          <cell r="K27">
            <v>120</v>
          </cell>
          <cell r="L27">
            <v>120</v>
          </cell>
          <cell r="M27">
            <v>120</v>
          </cell>
          <cell r="N27">
            <v>120</v>
          </cell>
          <cell r="O27">
            <v>120</v>
          </cell>
        </row>
        <row r="28">
          <cell r="A28" t="str">
            <v>866002000</v>
          </cell>
          <cell r="B28" t="str">
            <v>8660-020-00</v>
          </cell>
          <cell r="C28" t="str">
            <v>Interest Income</v>
          </cell>
          <cell r="D28">
            <v>625</v>
          </cell>
          <cell r="E28">
            <v>625</v>
          </cell>
          <cell r="F28">
            <v>625</v>
          </cell>
          <cell r="G28">
            <v>625</v>
          </cell>
          <cell r="H28">
            <v>625</v>
          </cell>
          <cell r="I28">
            <v>625</v>
          </cell>
          <cell r="J28">
            <v>625</v>
          </cell>
          <cell r="K28">
            <v>625</v>
          </cell>
          <cell r="L28">
            <v>625</v>
          </cell>
          <cell r="M28">
            <v>625</v>
          </cell>
          <cell r="N28">
            <v>625</v>
          </cell>
          <cell r="O28">
            <v>625</v>
          </cell>
        </row>
        <row r="29">
          <cell r="A29" t="str">
            <v>868202000</v>
          </cell>
          <cell r="B29" t="str">
            <v>8682-020-00</v>
          </cell>
          <cell r="C29" t="str">
            <v>Foundation Grants/Donations</v>
          </cell>
          <cell r="O29">
            <v>135000</v>
          </cell>
        </row>
        <row r="30">
          <cell r="A30" t="str">
            <v>868302000</v>
          </cell>
          <cell r="B30" t="str">
            <v>8683-020-00</v>
          </cell>
          <cell r="C30" t="str">
            <v>All Other Local Revenue</v>
          </cell>
        </row>
        <row r="31">
          <cell r="A31" t="str">
            <v>868402000</v>
          </cell>
          <cell r="B31" t="str">
            <v>8684-020-00</v>
          </cell>
          <cell r="C31" t="str">
            <v>Student Body (ASB) Fundraising Revenue</v>
          </cell>
          <cell r="D31">
            <v>0</v>
          </cell>
          <cell r="E31">
            <v>0</v>
          </cell>
          <cell r="F31">
            <v>8500</v>
          </cell>
          <cell r="G31">
            <v>8500</v>
          </cell>
          <cell r="H31">
            <v>8500</v>
          </cell>
          <cell r="I31">
            <v>8500</v>
          </cell>
          <cell r="J31">
            <v>8500</v>
          </cell>
          <cell r="K31">
            <v>8500</v>
          </cell>
          <cell r="L31">
            <v>8500</v>
          </cell>
          <cell r="M31">
            <v>8500</v>
          </cell>
          <cell r="N31">
            <v>8500</v>
          </cell>
          <cell r="O31">
            <v>8500</v>
          </cell>
          <cell r="P31">
            <v>0</v>
          </cell>
          <cell r="Q31">
            <v>0</v>
          </cell>
        </row>
        <row r="32">
          <cell r="A32" t="str">
            <v>868502000</v>
          </cell>
          <cell r="B32" t="str">
            <v>8685-020-00</v>
          </cell>
          <cell r="C32" t="str">
            <v>School Site Fundraising</v>
          </cell>
          <cell r="D32">
            <v>0</v>
          </cell>
          <cell r="E32">
            <v>0</v>
          </cell>
          <cell r="F32">
            <v>0</v>
          </cell>
          <cell r="G32">
            <v>0</v>
          </cell>
          <cell r="H32">
            <v>0</v>
          </cell>
          <cell r="I32">
            <v>0</v>
          </cell>
          <cell r="J32">
            <v>0</v>
          </cell>
          <cell r="K32">
            <v>0</v>
          </cell>
          <cell r="L32">
            <v>0</v>
          </cell>
          <cell r="M32">
            <v>0</v>
          </cell>
          <cell r="N32">
            <v>0</v>
          </cell>
          <cell r="O32">
            <v>0</v>
          </cell>
        </row>
        <row r="33">
          <cell r="A33" t="str">
            <v>869802000</v>
          </cell>
          <cell r="B33" t="str">
            <v>8698-020-00</v>
          </cell>
          <cell r="C33" t="str">
            <v>Erate Revenues</v>
          </cell>
          <cell r="D33">
            <v>0</v>
          </cell>
          <cell r="E33">
            <v>0</v>
          </cell>
          <cell r="F33">
            <v>200</v>
          </cell>
          <cell r="G33">
            <v>200</v>
          </cell>
          <cell r="H33">
            <v>200</v>
          </cell>
          <cell r="I33">
            <v>200</v>
          </cell>
          <cell r="J33">
            <v>200</v>
          </cell>
          <cell r="K33">
            <v>200</v>
          </cell>
          <cell r="L33">
            <v>200</v>
          </cell>
          <cell r="M33">
            <v>200</v>
          </cell>
          <cell r="N33">
            <v>200</v>
          </cell>
          <cell r="O33">
            <v>200</v>
          </cell>
          <cell r="P33">
            <v>0</v>
          </cell>
          <cell r="Q33">
            <v>0</v>
          </cell>
        </row>
        <row r="34">
          <cell r="A34" t="str">
            <v>869902000</v>
          </cell>
          <cell r="B34" t="str">
            <v>8699-020-00</v>
          </cell>
          <cell r="C34" t="str">
            <v>All Other Local Revenue</v>
          </cell>
          <cell r="F34">
            <v>13000</v>
          </cell>
          <cell r="G34">
            <v>13000</v>
          </cell>
          <cell r="H34">
            <v>13000</v>
          </cell>
          <cell r="I34">
            <v>13000</v>
          </cell>
          <cell r="J34">
            <v>13000</v>
          </cell>
          <cell r="K34">
            <v>13000</v>
          </cell>
          <cell r="L34">
            <v>13000</v>
          </cell>
          <cell r="M34">
            <v>13000</v>
          </cell>
          <cell r="N34">
            <v>13000</v>
          </cell>
          <cell r="O34">
            <v>13000</v>
          </cell>
        </row>
        <row r="35">
          <cell r="A35" t="str">
            <v>891002000</v>
          </cell>
          <cell r="B35" t="str">
            <v>8910-020-00</v>
          </cell>
          <cell r="C35" t="str">
            <v>All Other Transfers In</v>
          </cell>
        </row>
        <row r="36">
          <cell r="A36" t="str">
            <v>898002000</v>
          </cell>
          <cell r="B36" t="str">
            <v>8980-020-00</v>
          </cell>
          <cell r="C36" t="str">
            <v>Student Lunch Revenue</v>
          </cell>
          <cell r="F36">
            <v>16483.32</v>
          </cell>
          <cell r="G36">
            <v>16483.32</v>
          </cell>
          <cell r="H36">
            <v>16483.32</v>
          </cell>
          <cell r="I36">
            <v>16483.32</v>
          </cell>
          <cell r="J36">
            <v>16483.32</v>
          </cell>
          <cell r="K36">
            <v>16483.32</v>
          </cell>
          <cell r="L36">
            <v>16483.32</v>
          </cell>
          <cell r="M36">
            <v>16483.32</v>
          </cell>
          <cell r="N36">
            <v>16483.32</v>
          </cell>
          <cell r="O36">
            <v>16483.32</v>
          </cell>
        </row>
        <row r="37">
          <cell r="A37" t="str">
            <v/>
          </cell>
          <cell r="C37" t="str">
            <v>Total Local Revenue</v>
          </cell>
          <cell r="D37">
            <v>625</v>
          </cell>
          <cell r="E37">
            <v>625</v>
          </cell>
          <cell r="F37">
            <v>38928.32</v>
          </cell>
          <cell r="G37">
            <v>38928.32</v>
          </cell>
          <cell r="H37">
            <v>38928.32</v>
          </cell>
          <cell r="I37">
            <v>38928.32</v>
          </cell>
          <cell r="J37">
            <v>38928.32</v>
          </cell>
          <cell r="K37">
            <v>38928.32</v>
          </cell>
          <cell r="L37">
            <v>38928.32</v>
          </cell>
          <cell r="M37">
            <v>38928.32</v>
          </cell>
          <cell r="N37">
            <v>38928.32</v>
          </cell>
          <cell r="O37">
            <v>173928.32000000001</v>
          </cell>
          <cell r="P37">
            <v>0</v>
          </cell>
          <cell r="Q37">
            <v>0</v>
          </cell>
          <cell r="R37">
            <v>0</v>
          </cell>
        </row>
        <row r="38">
          <cell r="A38" t="str">
            <v/>
          </cell>
          <cell r="C38" t="str">
            <v>Total Revenues</v>
          </cell>
          <cell r="D38">
            <v>507575.7524627407</v>
          </cell>
          <cell r="E38">
            <v>500144.08338774071</v>
          </cell>
          <cell r="F38">
            <v>1739048.6649536048</v>
          </cell>
          <cell r="G38">
            <v>865267.06983293314</v>
          </cell>
          <cell r="H38">
            <v>1068748.1306880265</v>
          </cell>
          <cell r="I38">
            <v>1382418.3890192297</v>
          </cell>
          <cell r="J38">
            <v>1378860.8451051195</v>
          </cell>
          <cell r="K38">
            <v>1067876.971370433</v>
          </cell>
          <cell r="L38">
            <v>1552408.4297468541</v>
          </cell>
          <cell r="M38">
            <v>880884.17869543319</v>
          </cell>
          <cell r="N38">
            <v>1035523.4211954332</v>
          </cell>
          <cell r="O38">
            <v>1669293.8668368231</v>
          </cell>
          <cell r="P38">
            <v>0</v>
          </cell>
          <cell r="Q38">
            <v>0</v>
          </cell>
          <cell r="R38">
            <v>0</v>
          </cell>
        </row>
        <row r="39">
          <cell r="A39" t="str">
            <v>110002000</v>
          </cell>
          <cell r="B39" t="str">
            <v>1100-020-00</v>
          </cell>
          <cell r="C39" t="str">
            <v>Teachers'  Salaries</v>
          </cell>
          <cell r="D39">
            <v>0</v>
          </cell>
          <cell r="E39">
            <v>345558.69372690911</v>
          </cell>
          <cell r="F39">
            <v>345558.69372690911</v>
          </cell>
          <cell r="G39">
            <v>345558.69372690911</v>
          </cell>
          <cell r="H39">
            <v>345558.69372690911</v>
          </cell>
          <cell r="I39">
            <v>345558.69372690911</v>
          </cell>
          <cell r="J39">
            <v>345558.69372690911</v>
          </cell>
          <cell r="K39">
            <v>345558.69372690911</v>
          </cell>
          <cell r="L39">
            <v>345558.69372690911</v>
          </cell>
          <cell r="M39">
            <v>345558.69372690911</v>
          </cell>
          <cell r="N39">
            <v>345558.69372690911</v>
          </cell>
          <cell r="O39">
            <v>345558.69372690911</v>
          </cell>
        </row>
        <row r="40">
          <cell r="A40" t="str">
            <v>110502000</v>
          </cell>
          <cell r="B40" t="str">
            <v>1105-020-00</v>
          </cell>
          <cell r="C40" t="str">
            <v>Teachers'  Stipends</v>
          </cell>
        </row>
        <row r="41">
          <cell r="A41" t="str">
            <v>112002000</v>
          </cell>
          <cell r="B41" t="str">
            <v>1120-020-00</v>
          </cell>
          <cell r="C41" t="str">
            <v>Substitute Expense</v>
          </cell>
          <cell r="E41">
            <v>10443.263636363636</v>
          </cell>
          <cell r="F41">
            <v>10443.263636363636</v>
          </cell>
          <cell r="G41">
            <v>10443.263636363636</v>
          </cell>
          <cell r="H41">
            <v>10443.263636363636</v>
          </cell>
          <cell r="I41">
            <v>10443.263636363636</v>
          </cell>
          <cell r="J41">
            <v>10443.263636363636</v>
          </cell>
          <cell r="K41">
            <v>10443.263636363636</v>
          </cell>
          <cell r="L41">
            <v>10443.263636363636</v>
          </cell>
          <cell r="M41">
            <v>10443.263636363636</v>
          </cell>
          <cell r="N41">
            <v>10443.263636363636</v>
          </cell>
          <cell r="O41">
            <v>10443.263636363636</v>
          </cell>
        </row>
        <row r="42">
          <cell r="A42" t="str">
            <v>120002000</v>
          </cell>
          <cell r="B42" t="str">
            <v>1200-020-00</v>
          </cell>
          <cell r="C42" t="str">
            <v>Certificated Pupil Support</v>
          </cell>
          <cell r="D42">
            <v>93915.108326499991</v>
          </cell>
          <cell r="E42">
            <v>93915.108326499991</v>
          </cell>
          <cell r="F42">
            <v>93915.108326499991</v>
          </cell>
          <cell r="G42">
            <v>93915.108326499991</v>
          </cell>
          <cell r="H42">
            <v>93915.108326499991</v>
          </cell>
          <cell r="I42">
            <v>93915.108326499991</v>
          </cell>
          <cell r="J42">
            <v>93915.108326499991</v>
          </cell>
          <cell r="K42">
            <v>93915.108326499991</v>
          </cell>
          <cell r="L42">
            <v>93915.108326499991</v>
          </cell>
          <cell r="M42">
            <v>93915.108326499991</v>
          </cell>
          <cell r="N42">
            <v>93915.108326499991</v>
          </cell>
          <cell r="O42">
            <v>93915.108326499991</v>
          </cell>
        </row>
        <row r="43">
          <cell r="A43" t="str">
            <v>130002000</v>
          </cell>
          <cell r="B43" t="str">
            <v>1300-020-00</v>
          </cell>
          <cell r="C43" t="str">
            <v>Certificated Supervisor and Administrator Salaries</v>
          </cell>
          <cell r="D43">
            <v>31276</v>
          </cell>
          <cell r="E43">
            <v>31276</v>
          </cell>
          <cell r="F43">
            <v>31276</v>
          </cell>
          <cell r="G43">
            <v>31276</v>
          </cell>
          <cell r="H43">
            <v>31276</v>
          </cell>
          <cell r="I43">
            <v>31276</v>
          </cell>
          <cell r="J43">
            <v>31276</v>
          </cell>
          <cell r="K43">
            <v>31276</v>
          </cell>
          <cell r="L43">
            <v>31276</v>
          </cell>
          <cell r="M43">
            <v>31276</v>
          </cell>
          <cell r="N43">
            <v>31276</v>
          </cell>
          <cell r="O43">
            <v>31276</v>
          </cell>
        </row>
        <row r="44">
          <cell r="A44" t="str">
            <v>190002000</v>
          </cell>
          <cell r="B44" t="str">
            <v>1900-020-00</v>
          </cell>
          <cell r="C44" t="str">
            <v>Other Certificated</v>
          </cell>
          <cell r="D44">
            <v>24254.666666666668</v>
          </cell>
          <cell r="E44">
            <v>24254.666666666668</v>
          </cell>
          <cell r="F44">
            <v>24254.666666666668</v>
          </cell>
          <cell r="G44">
            <v>24254.666666666668</v>
          </cell>
          <cell r="H44">
            <v>24254.666666666668</v>
          </cell>
          <cell r="I44">
            <v>24254.666666666668</v>
          </cell>
          <cell r="J44">
            <v>24254.666666666668</v>
          </cell>
          <cell r="K44">
            <v>24254.666666666668</v>
          </cell>
          <cell r="L44">
            <v>24254.666666666668</v>
          </cell>
          <cell r="M44">
            <v>24254.666666666668</v>
          </cell>
          <cell r="N44">
            <v>24254.666666666668</v>
          </cell>
          <cell r="O44">
            <v>24254.666666666668</v>
          </cell>
        </row>
        <row r="45">
          <cell r="A45" t="str">
            <v/>
          </cell>
          <cell r="C45" t="str">
            <v>Total Certificated Salaries</v>
          </cell>
          <cell r="D45">
            <v>149445.77499316665</v>
          </cell>
          <cell r="E45">
            <v>505447.7323564394</v>
          </cell>
          <cell r="F45">
            <v>505447.7323564394</v>
          </cell>
          <cell r="G45">
            <v>505447.7323564394</v>
          </cell>
          <cell r="H45">
            <v>505447.7323564394</v>
          </cell>
          <cell r="I45">
            <v>505447.7323564394</v>
          </cell>
          <cell r="J45">
            <v>505447.7323564394</v>
          </cell>
          <cell r="K45">
            <v>505447.7323564394</v>
          </cell>
          <cell r="L45">
            <v>505447.7323564394</v>
          </cell>
          <cell r="M45">
            <v>505447.7323564394</v>
          </cell>
          <cell r="N45">
            <v>505447.7323564394</v>
          </cell>
          <cell r="O45">
            <v>505447.7323564394</v>
          </cell>
          <cell r="P45">
            <v>0</v>
          </cell>
          <cell r="Q45">
            <v>0</v>
          </cell>
          <cell r="R45">
            <v>0</v>
          </cell>
        </row>
        <row r="46">
          <cell r="A46" t="str">
            <v>210002000</v>
          </cell>
          <cell r="B46" t="str">
            <v>2100-020-00</v>
          </cell>
          <cell r="C46" t="str">
            <v>Instructional Aide Salaries</v>
          </cell>
          <cell r="E46">
            <v>19376.073033636363</v>
          </cell>
          <cell r="F46">
            <v>19376.073033636363</v>
          </cell>
          <cell r="G46">
            <v>19376.073033636363</v>
          </cell>
          <cell r="H46">
            <v>19376.073033636363</v>
          </cell>
          <cell r="I46">
            <v>19376.073033636363</v>
          </cell>
          <cell r="J46">
            <v>19376.073033636363</v>
          </cell>
          <cell r="K46">
            <v>19376.073033636363</v>
          </cell>
          <cell r="L46">
            <v>19376.073033636363</v>
          </cell>
          <cell r="M46">
            <v>19376.073033636363</v>
          </cell>
          <cell r="N46">
            <v>19376.073033636363</v>
          </cell>
          <cell r="O46">
            <v>19376.073033636363</v>
          </cell>
        </row>
        <row r="47">
          <cell r="A47" t="str">
            <v>211002000</v>
          </cell>
          <cell r="B47" t="str">
            <v>2110-020-00</v>
          </cell>
          <cell r="C47" t="str">
            <v>Instructional Aide Stipends</v>
          </cell>
        </row>
        <row r="48">
          <cell r="A48" t="str">
            <v>220002000</v>
          </cell>
          <cell r="B48" t="str">
            <v>2200-020-00</v>
          </cell>
          <cell r="C48" t="str">
            <v>Classified Support Salaries (Maintenance, Food)</v>
          </cell>
          <cell r="E48">
            <v>0</v>
          </cell>
          <cell r="F48">
            <v>0</v>
          </cell>
          <cell r="G48">
            <v>0</v>
          </cell>
          <cell r="H48">
            <v>0</v>
          </cell>
          <cell r="I48">
            <v>0</v>
          </cell>
          <cell r="J48">
            <v>0</v>
          </cell>
          <cell r="K48">
            <v>0</v>
          </cell>
          <cell r="L48">
            <v>0</v>
          </cell>
          <cell r="M48">
            <v>0</v>
          </cell>
          <cell r="N48">
            <v>0</v>
          </cell>
          <cell r="O48">
            <v>0</v>
          </cell>
        </row>
        <row r="49">
          <cell r="A49" t="str">
            <v>230002000</v>
          </cell>
          <cell r="B49" t="str">
            <v>2300-020-00</v>
          </cell>
          <cell r="C49" t="str">
            <v>Classified Supervisor</v>
          </cell>
          <cell r="D49">
            <v>27027.75</v>
          </cell>
          <cell r="E49">
            <v>27027.75</v>
          </cell>
          <cell r="F49">
            <v>27027.75</v>
          </cell>
          <cell r="G49">
            <v>27027.75</v>
          </cell>
          <cell r="H49">
            <v>27027.75</v>
          </cell>
          <cell r="I49">
            <v>27027.75</v>
          </cell>
          <cell r="J49">
            <v>27027.75</v>
          </cell>
          <cell r="K49">
            <v>27027.75</v>
          </cell>
          <cell r="L49">
            <v>27027.75</v>
          </cell>
          <cell r="M49">
            <v>27027.75</v>
          </cell>
          <cell r="N49">
            <v>27027.75</v>
          </cell>
          <cell r="O49">
            <v>27027.75</v>
          </cell>
        </row>
        <row r="50">
          <cell r="A50" t="str">
            <v>240002000</v>
          </cell>
          <cell r="B50" t="str">
            <v>2400-020-00</v>
          </cell>
          <cell r="C50" t="str">
            <v>Clerical, Technical, and Office Staff Salaries</v>
          </cell>
          <cell r="D50">
            <v>33360.583333333336</v>
          </cell>
          <cell r="E50">
            <v>33360.583333333336</v>
          </cell>
          <cell r="F50">
            <v>33360.583333333336</v>
          </cell>
          <cell r="G50">
            <v>33360.583333333336</v>
          </cell>
          <cell r="H50">
            <v>33360.583333333336</v>
          </cell>
          <cell r="I50">
            <v>33360.583333333336</v>
          </cell>
          <cell r="J50">
            <v>33360.583333333336</v>
          </cell>
          <cell r="K50">
            <v>33360.583333333336</v>
          </cell>
          <cell r="L50">
            <v>33360.583333333336</v>
          </cell>
          <cell r="M50">
            <v>33360.583333333336</v>
          </cell>
          <cell r="N50">
            <v>33360.583333333336</v>
          </cell>
          <cell r="O50">
            <v>33360.583333333336</v>
          </cell>
        </row>
        <row r="51">
          <cell r="A51" t="str">
            <v>290002000</v>
          </cell>
          <cell r="B51" t="str">
            <v>2900-020-00</v>
          </cell>
          <cell r="C51" t="str">
            <v>Other Classified</v>
          </cell>
          <cell r="E51">
            <v>16437.81818181818</v>
          </cell>
          <cell r="F51">
            <v>16437.81818181818</v>
          </cell>
          <cell r="G51">
            <v>16437.81818181818</v>
          </cell>
          <cell r="H51">
            <v>16437.81818181818</v>
          </cell>
          <cell r="I51">
            <v>16437.81818181818</v>
          </cell>
          <cell r="J51">
            <v>16437.81818181818</v>
          </cell>
          <cell r="K51">
            <v>16437.81818181818</v>
          </cell>
          <cell r="L51">
            <v>16437.81818181818</v>
          </cell>
          <cell r="M51">
            <v>16437.81818181818</v>
          </cell>
          <cell r="N51">
            <v>16437.81818181818</v>
          </cell>
          <cell r="O51">
            <v>16437.81818181818</v>
          </cell>
        </row>
        <row r="52">
          <cell r="A52" t="str">
            <v/>
          </cell>
          <cell r="C52" t="str">
            <v>Total Classified Salaries</v>
          </cell>
          <cell r="D52">
            <v>60388.333333333336</v>
          </cell>
          <cell r="E52">
            <v>96202.224548787868</v>
          </cell>
          <cell r="F52">
            <v>96202.224548787868</v>
          </cell>
          <cell r="G52">
            <v>96202.224548787868</v>
          </cell>
          <cell r="H52">
            <v>96202.224548787868</v>
          </cell>
          <cell r="I52">
            <v>96202.224548787868</v>
          </cell>
          <cell r="J52">
            <v>96202.224548787868</v>
          </cell>
          <cell r="K52">
            <v>96202.224548787868</v>
          </cell>
          <cell r="L52">
            <v>96202.224548787868</v>
          </cell>
          <cell r="M52">
            <v>96202.224548787868</v>
          </cell>
          <cell r="N52">
            <v>96202.224548787868</v>
          </cell>
          <cell r="O52">
            <v>96202.224548787868</v>
          </cell>
          <cell r="P52">
            <v>0</v>
          </cell>
          <cell r="Q52">
            <v>0</v>
          </cell>
          <cell r="R52">
            <v>0</v>
          </cell>
        </row>
        <row r="53">
          <cell r="A53" t="str">
            <v>310102000</v>
          </cell>
          <cell r="B53" t="str">
            <v>3101-020-00</v>
          </cell>
          <cell r="C53" t="str">
            <v>State Teachers' Retirement System, certificated positions</v>
          </cell>
          <cell r="E53">
            <v>86678.62988751255</v>
          </cell>
          <cell r="F53">
            <v>86678.62988751255</v>
          </cell>
          <cell r="G53">
            <v>86678.62988751255</v>
          </cell>
          <cell r="H53">
            <v>86678.62988751255</v>
          </cell>
          <cell r="I53">
            <v>86678.62988751255</v>
          </cell>
          <cell r="J53">
            <v>86678.62988751255</v>
          </cell>
          <cell r="K53">
            <v>86678.62988751255</v>
          </cell>
          <cell r="L53">
            <v>86678.62988751255</v>
          </cell>
          <cell r="M53">
            <v>86678.62988751255</v>
          </cell>
          <cell r="N53">
            <v>86678.62988751255</v>
          </cell>
          <cell r="O53">
            <v>86678.62988751255</v>
          </cell>
        </row>
        <row r="54">
          <cell r="A54" t="str">
            <v>320202000</v>
          </cell>
          <cell r="B54" t="str">
            <v>3202-020-00</v>
          </cell>
          <cell r="C54" t="str">
            <v>Public Employees Retirement System</v>
          </cell>
          <cell r="D54">
            <v>4638.5069672222444</v>
          </cell>
          <cell r="E54">
            <v>11596.267418055611</v>
          </cell>
          <cell r="F54">
            <v>23192.534836111223</v>
          </cell>
          <cell r="G54">
            <v>23192.534836111223</v>
          </cell>
          <cell r="H54">
            <v>23192.534836111223</v>
          </cell>
          <cell r="I54">
            <v>23192.534836111223</v>
          </cell>
          <cell r="J54">
            <v>23192.534836111223</v>
          </cell>
          <cell r="K54">
            <v>23192.534836111223</v>
          </cell>
          <cell r="L54">
            <v>23192.534836111223</v>
          </cell>
          <cell r="M54">
            <v>23192.534836111223</v>
          </cell>
          <cell r="N54">
            <v>23192.534836111223</v>
          </cell>
          <cell r="O54">
            <v>6957.7604508333661</v>
          </cell>
          <cell r="P54">
            <v>0</v>
          </cell>
          <cell r="Q54">
            <v>0</v>
          </cell>
        </row>
        <row r="55">
          <cell r="A55" t="str">
            <v>331302000</v>
          </cell>
          <cell r="B55" t="str">
            <v>3313-020-00</v>
          </cell>
          <cell r="C55" t="str">
            <v>OASDI</v>
          </cell>
          <cell r="D55">
            <v>5779.4994840783338</v>
          </cell>
          <cell r="E55">
            <v>5779.4994840783338</v>
          </cell>
          <cell r="F55">
            <v>5779.4994840783338</v>
          </cell>
          <cell r="G55">
            <v>5779.4994840783338</v>
          </cell>
          <cell r="H55">
            <v>5779.4994840783338</v>
          </cell>
          <cell r="I55">
            <v>5779.4994840783338</v>
          </cell>
          <cell r="J55">
            <v>5779.4994840783338</v>
          </cell>
          <cell r="K55">
            <v>5779.4994840783338</v>
          </cell>
          <cell r="L55">
            <v>5779.4994840783338</v>
          </cell>
          <cell r="M55">
            <v>5779.4994840783338</v>
          </cell>
          <cell r="N55">
            <v>5779.4994840783338</v>
          </cell>
          <cell r="O55">
            <v>5779.4994840783338</v>
          </cell>
        </row>
        <row r="56">
          <cell r="A56" t="str">
            <v>332302000</v>
          </cell>
          <cell r="B56" t="str">
            <v>3323-020-00</v>
          </cell>
          <cell r="C56" t="str">
            <v>Medicare</v>
          </cell>
          <cell r="D56">
            <v>8250.4802247598345</v>
          </cell>
          <cell r="E56">
            <v>8250.4802247598345</v>
          </cell>
          <cell r="F56">
            <v>8250.4802247598345</v>
          </cell>
          <cell r="G56">
            <v>8250.4802247598345</v>
          </cell>
          <cell r="H56">
            <v>8250.4802247598345</v>
          </cell>
          <cell r="I56">
            <v>8250.4802247598345</v>
          </cell>
          <cell r="J56">
            <v>8250.4802247598345</v>
          </cell>
          <cell r="K56">
            <v>8250.4802247598345</v>
          </cell>
          <cell r="L56">
            <v>8250.4802247598345</v>
          </cell>
          <cell r="M56">
            <v>8250.4802247598345</v>
          </cell>
          <cell r="N56">
            <v>8250.4802247598345</v>
          </cell>
          <cell r="O56">
            <v>8250.4802247598345</v>
          </cell>
        </row>
        <row r="57">
          <cell r="A57" t="str">
            <v>340302000</v>
          </cell>
          <cell r="B57" t="str">
            <v>3403-020-00</v>
          </cell>
          <cell r="C57" t="str">
            <v>Health &amp; Welfare Benefits</v>
          </cell>
          <cell r="D57">
            <v>64801.80000000001</v>
          </cell>
          <cell r="E57">
            <v>64801.80000000001</v>
          </cell>
          <cell r="F57">
            <v>64801.80000000001</v>
          </cell>
          <cell r="G57">
            <v>64801.80000000001</v>
          </cell>
          <cell r="H57">
            <v>64801.80000000001</v>
          </cell>
          <cell r="I57">
            <v>64801.80000000001</v>
          </cell>
          <cell r="J57">
            <v>64801.80000000001</v>
          </cell>
          <cell r="K57">
            <v>64801.80000000001</v>
          </cell>
          <cell r="L57">
            <v>64801.80000000001</v>
          </cell>
          <cell r="M57">
            <v>64801.80000000001</v>
          </cell>
          <cell r="N57">
            <v>64801.80000000001</v>
          </cell>
          <cell r="O57">
            <v>64801.80000000001</v>
          </cell>
        </row>
        <row r="58">
          <cell r="A58" t="str">
            <v>350302000</v>
          </cell>
          <cell r="B58" t="str">
            <v>3503-020-00</v>
          </cell>
          <cell r="C58" t="str">
            <v>State Unemployment Insurance</v>
          </cell>
          <cell r="D58">
            <v>2015</v>
          </cell>
          <cell r="E58">
            <v>2015</v>
          </cell>
          <cell r="F58">
            <v>2015</v>
          </cell>
          <cell r="G58">
            <v>2015</v>
          </cell>
          <cell r="H58">
            <v>2015</v>
          </cell>
          <cell r="I58">
            <v>2015</v>
          </cell>
          <cell r="J58">
            <v>2015</v>
          </cell>
          <cell r="K58">
            <v>2015</v>
          </cell>
          <cell r="L58">
            <v>2015</v>
          </cell>
          <cell r="M58">
            <v>2015</v>
          </cell>
          <cell r="N58">
            <v>2015</v>
          </cell>
          <cell r="O58">
            <v>2015</v>
          </cell>
        </row>
        <row r="59">
          <cell r="A59" t="str">
            <v>360302000</v>
          </cell>
          <cell r="B59" t="str">
            <v>3603-020-00</v>
          </cell>
          <cell r="C59" t="str">
            <v>Worker Compensation Insurance</v>
          </cell>
          <cell r="D59">
            <v>5292.4383914600003</v>
          </cell>
          <cell r="E59">
            <v>5292.4383914600003</v>
          </cell>
          <cell r="F59">
            <v>5292.4383914600003</v>
          </cell>
          <cell r="G59">
            <v>5292.4383914600003</v>
          </cell>
          <cell r="H59">
            <v>5292.4383914600003</v>
          </cell>
          <cell r="I59">
            <v>5292.4383914600003</v>
          </cell>
          <cell r="J59">
            <v>5292.4383914600003</v>
          </cell>
          <cell r="K59">
            <v>5292.4383914600003</v>
          </cell>
          <cell r="L59">
            <v>5292.4383914600003</v>
          </cell>
          <cell r="M59">
            <v>5292.4383914600003</v>
          </cell>
          <cell r="N59">
            <v>5292.4383914600003</v>
          </cell>
          <cell r="O59">
            <v>5292.4383914600003</v>
          </cell>
        </row>
        <row r="60">
          <cell r="A60" t="str">
            <v>390302000</v>
          </cell>
          <cell r="B60" t="str">
            <v>3903-020-00</v>
          </cell>
          <cell r="C60" t="str">
            <v>Other Post Employment Benefits</v>
          </cell>
          <cell r="D60">
            <v>0</v>
          </cell>
          <cell r="E60">
            <v>0</v>
          </cell>
          <cell r="F60">
            <v>0</v>
          </cell>
          <cell r="G60">
            <v>0</v>
          </cell>
          <cell r="H60">
            <v>0</v>
          </cell>
          <cell r="I60">
            <v>0</v>
          </cell>
          <cell r="J60">
            <v>0</v>
          </cell>
          <cell r="K60">
            <v>0</v>
          </cell>
          <cell r="L60">
            <v>0</v>
          </cell>
          <cell r="M60">
            <v>0</v>
          </cell>
          <cell r="N60">
            <v>0</v>
          </cell>
          <cell r="O60">
            <v>0</v>
          </cell>
        </row>
        <row r="61">
          <cell r="A61" t="str">
            <v/>
          </cell>
          <cell r="C61" t="str">
            <v>Total Employee Benefits</v>
          </cell>
          <cell r="D61">
            <v>90777.725067520427</v>
          </cell>
          <cell r="E61">
            <v>184414.11540586632</v>
          </cell>
          <cell r="F61">
            <v>196010.38282392194</v>
          </cell>
          <cell r="G61">
            <v>196010.38282392194</v>
          </cell>
          <cell r="H61">
            <v>196010.38282392194</v>
          </cell>
          <cell r="I61">
            <v>196010.38282392194</v>
          </cell>
          <cell r="J61">
            <v>196010.38282392194</v>
          </cell>
          <cell r="K61">
            <v>196010.38282392194</v>
          </cell>
          <cell r="L61">
            <v>196010.38282392194</v>
          </cell>
          <cell r="M61">
            <v>196010.38282392194</v>
          </cell>
          <cell r="N61">
            <v>196010.38282392194</v>
          </cell>
          <cell r="O61">
            <v>179775.60843864409</v>
          </cell>
          <cell r="P61">
            <v>0</v>
          </cell>
          <cell r="Q61">
            <v>0</v>
          </cell>
          <cell r="R61">
            <v>0</v>
          </cell>
        </row>
        <row r="62">
          <cell r="A62" t="str">
            <v/>
          </cell>
          <cell r="C62" t="str">
            <v>Total Personnel Expenses</v>
          </cell>
          <cell r="D62">
            <v>300611.83339402045</v>
          </cell>
          <cell r="E62">
            <v>786064.07231109357</v>
          </cell>
          <cell r="F62">
            <v>797660.33972914913</v>
          </cell>
          <cell r="G62">
            <v>797660.33972914913</v>
          </cell>
          <cell r="H62">
            <v>797660.33972914913</v>
          </cell>
          <cell r="I62">
            <v>797660.33972914913</v>
          </cell>
          <cell r="J62">
            <v>797660.33972914913</v>
          </cell>
          <cell r="K62">
            <v>797660.33972914913</v>
          </cell>
          <cell r="L62">
            <v>797660.33972914913</v>
          </cell>
          <cell r="M62">
            <v>797660.33972914913</v>
          </cell>
          <cell r="N62">
            <v>797660.33972914913</v>
          </cell>
          <cell r="O62">
            <v>781425.56534387136</v>
          </cell>
          <cell r="P62">
            <v>0</v>
          </cell>
          <cell r="Q62">
            <v>0</v>
          </cell>
          <cell r="R62">
            <v>0</v>
          </cell>
        </row>
        <row r="63">
          <cell r="A63" t="str">
            <v>410002000</v>
          </cell>
          <cell r="B63" t="str">
            <v>4100-020-00</v>
          </cell>
          <cell r="C63" t="str">
            <v>Approved Textbooks and Core Curricula Materials</v>
          </cell>
          <cell r="D63">
            <v>5000</v>
          </cell>
          <cell r="E63">
            <v>4000</v>
          </cell>
          <cell r="F63">
            <v>2000</v>
          </cell>
          <cell r="G63">
            <v>2000</v>
          </cell>
          <cell r="H63">
            <v>2000</v>
          </cell>
          <cell r="I63">
            <v>2000</v>
          </cell>
          <cell r="J63">
            <v>500</v>
          </cell>
          <cell r="K63">
            <v>500</v>
          </cell>
          <cell r="L63">
            <v>500</v>
          </cell>
          <cell r="M63">
            <v>500</v>
          </cell>
          <cell r="N63">
            <v>500</v>
          </cell>
          <cell r="O63">
            <v>500</v>
          </cell>
        </row>
        <row r="64">
          <cell r="A64" t="str">
            <v>420002000</v>
          </cell>
          <cell r="B64" t="str">
            <v>4200-020-00</v>
          </cell>
          <cell r="C64" t="str">
            <v>Books and Other Reference Materials</v>
          </cell>
          <cell r="D64">
            <v>2625</v>
          </cell>
          <cell r="E64">
            <v>2100</v>
          </cell>
          <cell r="F64">
            <v>1050</v>
          </cell>
          <cell r="G64">
            <v>1050</v>
          </cell>
          <cell r="H64">
            <v>1050</v>
          </cell>
          <cell r="I64">
            <v>1050</v>
          </cell>
          <cell r="J64">
            <v>262.5</v>
          </cell>
          <cell r="K64">
            <v>262.5</v>
          </cell>
          <cell r="L64">
            <v>262.5</v>
          </cell>
          <cell r="M64">
            <v>262.5</v>
          </cell>
          <cell r="N64">
            <v>262.5</v>
          </cell>
          <cell r="O64">
            <v>262.5</v>
          </cell>
        </row>
        <row r="65">
          <cell r="A65" t="str">
            <v>421502031</v>
          </cell>
          <cell r="B65" t="str">
            <v>4215-020-31</v>
          </cell>
          <cell r="C65" t="str">
            <v>Books and Other Reference Materials-CSI ESSA</v>
          </cell>
          <cell r="D65">
            <v>0</v>
          </cell>
          <cell r="E65">
            <v>0</v>
          </cell>
          <cell r="F65">
            <v>0</v>
          </cell>
          <cell r="G65">
            <v>0</v>
          </cell>
          <cell r="H65">
            <v>0</v>
          </cell>
          <cell r="I65">
            <v>0</v>
          </cell>
          <cell r="J65">
            <v>0</v>
          </cell>
          <cell r="K65">
            <v>0</v>
          </cell>
          <cell r="L65">
            <v>0</v>
          </cell>
          <cell r="M65">
            <v>0</v>
          </cell>
          <cell r="N65">
            <v>0</v>
          </cell>
          <cell r="O65">
            <v>0</v>
          </cell>
        </row>
        <row r="66">
          <cell r="A66" t="str">
            <v>430002000</v>
          </cell>
          <cell r="B66" t="str">
            <v>4300-020-00</v>
          </cell>
          <cell r="C66" t="str">
            <v>Materials and Supplies</v>
          </cell>
          <cell r="D66">
            <v>9716.6666666666661</v>
          </cell>
          <cell r="E66">
            <v>9716.6666666666661</v>
          </cell>
          <cell r="F66">
            <v>9716.6666666666661</v>
          </cell>
          <cell r="G66">
            <v>9716.6666666666661</v>
          </cell>
          <cell r="H66">
            <v>9716.6666666666661</v>
          </cell>
          <cell r="I66">
            <v>9716.6666666666661</v>
          </cell>
          <cell r="J66">
            <v>9716.6666666666661</v>
          </cell>
          <cell r="K66">
            <v>9716.6666666666661</v>
          </cell>
          <cell r="L66">
            <v>9716.6666666666661</v>
          </cell>
          <cell r="M66">
            <v>9716.6666666666661</v>
          </cell>
          <cell r="N66">
            <v>9716.6666666666661</v>
          </cell>
          <cell r="O66">
            <v>9716.6666666666661</v>
          </cell>
        </row>
        <row r="67">
          <cell r="A67" t="str">
            <v>431502000</v>
          </cell>
          <cell r="B67" t="str">
            <v>4315-020-00</v>
          </cell>
          <cell r="C67" t="str">
            <v>Classroom Materials and Supplies</v>
          </cell>
          <cell r="D67">
            <v>8333.3333333333339</v>
          </cell>
          <cell r="E67">
            <v>8333.3333333333339</v>
          </cell>
          <cell r="F67">
            <v>8333.3333333333339</v>
          </cell>
          <cell r="G67">
            <v>8333.3333333333339</v>
          </cell>
          <cell r="H67">
            <v>8333.3333333333339</v>
          </cell>
          <cell r="I67">
            <v>8333.3333333333339</v>
          </cell>
          <cell r="J67">
            <v>8333.3333333333339</v>
          </cell>
          <cell r="K67">
            <v>8333.3333333333339</v>
          </cell>
          <cell r="L67">
            <v>8333.3333333333339</v>
          </cell>
          <cell r="M67">
            <v>8333.3333333333339</v>
          </cell>
          <cell r="N67">
            <v>8333.3333333333339</v>
          </cell>
          <cell r="O67">
            <v>8333.3333333333339</v>
          </cell>
        </row>
        <row r="68">
          <cell r="A68" t="str">
            <v>434202000</v>
          </cell>
          <cell r="B68" t="str">
            <v>4342-020-00</v>
          </cell>
          <cell r="C68" t="str">
            <v>Materials for Athletics</v>
          </cell>
          <cell r="D68">
            <v>2260.8797367000002</v>
          </cell>
          <cell r="E68">
            <v>2260.8797367000002</v>
          </cell>
          <cell r="F68">
            <v>2260.8797367000002</v>
          </cell>
          <cell r="G68">
            <v>2260.8797367000002</v>
          </cell>
          <cell r="H68">
            <v>2260.8797367000002</v>
          </cell>
          <cell r="I68">
            <v>2260.8797367000002</v>
          </cell>
          <cell r="J68">
            <v>2260.8797367000002</v>
          </cell>
          <cell r="K68">
            <v>2260.8797367000002</v>
          </cell>
          <cell r="L68">
            <v>2288.1192516000001</v>
          </cell>
          <cell r="M68">
            <v>2288.1192516000001</v>
          </cell>
          <cell r="N68">
            <v>2288.1192516000001</v>
          </cell>
          <cell r="O68">
            <v>2288.1192516000001</v>
          </cell>
        </row>
        <row r="69">
          <cell r="A69" t="str">
            <v>438102000</v>
          </cell>
          <cell r="B69" t="str">
            <v>4381-020-00</v>
          </cell>
          <cell r="C69" t="str">
            <v>Materials for Plant Maint</v>
          </cell>
          <cell r="D69">
            <v>2564.25</v>
          </cell>
          <cell r="E69">
            <v>2564.25</v>
          </cell>
          <cell r="F69">
            <v>2564.25</v>
          </cell>
          <cell r="G69">
            <v>2564.25</v>
          </cell>
          <cell r="H69">
            <v>2564.25</v>
          </cell>
          <cell r="I69">
            <v>2564.25</v>
          </cell>
          <cell r="J69">
            <v>2564.25</v>
          </cell>
          <cell r="K69">
            <v>2564.25</v>
          </cell>
          <cell r="L69">
            <v>2564.25</v>
          </cell>
          <cell r="M69">
            <v>2564.25</v>
          </cell>
          <cell r="N69">
            <v>2564.25</v>
          </cell>
          <cell r="O69">
            <v>2564.25</v>
          </cell>
        </row>
        <row r="70">
          <cell r="A70" t="str">
            <v>440002000</v>
          </cell>
          <cell r="B70" t="str">
            <v>4400-020-00</v>
          </cell>
          <cell r="C70" t="str">
            <v>Noncapitalized Equipment</v>
          </cell>
          <cell r="D70">
            <v>30500</v>
          </cell>
          <cell r="E70">
            <v>24400</v>
          </cell>
          <cell r="F70">
            <v>12200</v>
          </cell>
          <cell r="G70">
            <v>12200</v>
          </cell>
          <cell r="H70">
            <v>12200</v>
          </cell>
          <cell r="I70">
            <v>12200</v>
          </cell>
          <cell r="J70">
            <v>3050</v>
          </cell>
          <cell r="K70">
            <v>3050</v>
          </cell>
          <cell r="L70">
            <v>3050</v>
          </cell>
          <cell r="M70">
            <v>3050</v>
          </cell>
          <cell r="N70">
            <v>3050</v>
          </cell>
          <cell r="O70">
            <v>3050</v>
          </cell>
        </row>
        <row r="71">
          <cell r="A71" t="str">
            <v>441002000</v>
          </cell>
          <cell r="B71" t="str">
            <v>4410-020-00</v>
          </cell>
          <cell r="C71" t="str">
            <v>Software and Licensing</v>
          </cell>
          <cell r="D71">
            <v>16875</v>
          </cell>
          <cell r="E71">
            <v>13500</v>
          </cell>
          <cell r="F71">
            <v>6750</v>
          </cell>
          <cell r="G71">
            <v>6750</v>
          </cell>
          <cell r="H71">
            <v>6750</v>
          </cell>
          <cell r="I71">
            <v>6750</v>
          </cell>
          <cell r="J71">
            <v>1687.5</v>
          </cell>
          <cell r="K71">
            <v>1687.5</v>
          </cell>
          <cell r="L71">
            <v>1687.5</v>
          </cell>
          <cell r="M71">
            <v>1687.5</v>
          </cell>
          <cell r="N71">
            <v>1687.5</v>
          </cell>
          <cell r="O71">
            <v>1687.5</v>
          </cell>
        </row>
        <row r="72">
          <cell r="A72" t="str">
            <v>443002000</v>
          </cell>
          <cell r="B72" t="str">
            <v>4430-020-00</v>
          </cell>
          <cell r="C72" t="str">
            <v>Noncapitalized Student Equipment</v>
          </cell>
          <cell r="D72">
            <v>122810</v>
          </cell>
          <cell r="E72">
            <v>98248</v>
          </cell>
          <cell r="F72">
            <v>49124</v>
          </cell>
          <cell r="G72">
            <v>49124</v>
          </cell>
          <cell r="H72">
            <v>49124</v>
          </cell>
          <cell r="I72">
            <v>49124</v>
          </cell>
          <cell r="J72">
            <v>12281</v>
          </cell>
          <cell r="K72">
            <v>12281</v>
          </cell>
          <cell r="L72">
            <v>12281</v>
          </cell>
          <cell r="M72">
            <v>12281</v>
          </cell>
          <cell r="N72">
            <v>12281</v>
          </cell>
          <cell r="O72">
            <v>12281</v>
          </cell>
        </row>
        <row r="73">
          <cell r="A73" t="str">
            <v>470002000</v>
          </cell>
          <cell r="B73" t="str">
            <v>4700-020-00</v>
          </cell>
          <cell r="C73" t="str">
            <v>Food and Food Supplies</v>
          </cell>
          <cell r="E73">
            <v>29274.709090909091</v>
          </cell>
          <cell r="F73">
            <v>29274.709090909091</v>
          </cell>
          <cell r="G73">
            <v>29274.709090909091</v>
          </cell>
          <cell r="H73">
            <v>29274.709090909091</v>
          </cell>
          <cell r="I73">
            <v>29274.709090909091</v>
          </cell>
          <cell r="J73">
            <v>29274.709090909091</v>
          </cell>
          <cell r="K73">
            <v>29274.709090909091</v>
          </cell>
          <cell r="L73">
            <v>29274.709090909091</v>
          </cell>
          <cell r="M73">
            <v>29274.709090909091</v>
          </cell>
          <cell r="N73">
            <v>29274.709090909091</v>
          </cell>
          <cell r="O73">
            <v>29274.709090909091</v>
          </cell>
        </row>
        <row r="74">
          <cell r="A74" t="str">
            <v/>
          </cell>
          <cell r="C74" t="str">
            <v>Total Books and Supplies</v>
          </cell>
          <cell r="D74">
            <v>200685.12973670001</v>
          </cell>
          <cell r="E74">
            <v>194397.83882760908</v>
          </cell>
          <cell r="F74">
            <v>123273.8388276091</v>
          </cell>
          <cell r="G74">
            <v>123273.8388276091</v>
          </cell>
          <cell r="H74">
            <v>123273.8388276091</v>
          </cell>
          <cell r="I74">
            <v>123273.8388276091</v>
          </cell>
          <cell r="J74">
            <v>69930.838827609085</v>
          </cell>
          <cell r="K74">
            <v>69930.838827609085</v>
          </cell>
          <cell r="L74">
            <v>69958.078342509092</v>
          </cell>
          <cell r="M74">
            <v>69958.078342509092</v>
          </cell>
          <cell r="N74">
            <v>69958.078342509092</v>
          </cell>
          <cell r="O74">
            <v>69958.078342509092</v>
          </cell>
          <cell r="P74">
            <v>0</v>
          </cell>
          <cell r="Q74">
            <v>0</v>
          </cell>
          <cell r="R74">
            <v>0</v>
          </cell>
        </row>
        <row r="75">
          <cell r="A75" t="str">
            <v>520002000</v>
          </cell>
          <cell r="B75" t="str">
            <v>5200-020-00</v>
          </cell>
          <cell r="C75" t="str">
            <v>Travel and Conferences</v>
          </cell>
          <cell r="D75">
            <v>5000</v>
          </cell>
          <cell r="E75">
            <v>5000</v>
          </cell>
          <cell r="F75">
            <v>5000</v>
          </cell>
          <cell r="G75">
            <v>5000</v>
          </cell>
          <cell r="H75">
            <v>5000</v>
          </cell>
          <cell r="I75">
            <v>5000</v>
          </cell>
          <cell r="J75">
            <v>5000</v>
          </cell>
          <cell r="K75">
            <v>5000</v>
          </cell>
          <cell r="L75">
            <v>5000</v>
          </cell>
          <cell r="M75">
            <v>5000</v>
          </cell>
          <cell r="N75">
            <v>5000</v>
          </cell>
          <cell r="O75">
            <v>5000</v>
          </cell>
        </row>
        <row r="76">
          <cell r="A76" t="str">
            <v>521002000</v>
          </cell>
          <cell r="B76" t="str">
            <v>5210-020-00</v>
          </cell>
          <cell r="C76" t="str">
            <v>Training and Development</v>
          </cell>
          <cell r="D76">
            <v>4458.333333333333</v>
          </cell>
          <cell r="E76">
            <v>4458.333333333333</v>
          </cell>
          <cell r="F76">
            <v>4458.333333333333</v>
          </cell>
          <cell r="G76">
            <v>4458.333333333333</v>
          </cell>
          <cell r="H76">
            <v>4458.333333333333</v>
          </cell>
          <cell r="I76">
            <v>4458.333333333333</v>
          </cell>
          <cell r="J76">
            <v>4458.333333333333</v>
          </cell>
          <cell r="K76">
            <v>4458.333333333333</v>
          </cell>
          <cell r="L76">
            <v>4458.333333333333</v>
          </cell>
          <cell r="M76">
            <v>4458.333333333333</v>
          </cell>
          <cell r="N76">
            <v>4458.333333333333</v>
          </cell>
          <cell r="O76">
            <v>4458.333333333333</v>
          </cell>
        </row>
        <row r="77">
          <cell r="A77" t="str">
            <v>530002000</v>
          </cell>
          <cell r="B77" t="str">
            <v>5300-020-00</v>
          </cell>
          <cell r="C77" t="str">
            <v>Dues and Memberships</v>
          </cell>
          <cell r="D77">
            <v>7008.9500000000007</v>
          </cell>
          <cell r="E77">
            <v>7008.9500000000007</v>
          </cell>
          <cell r="F77">
            <v>7008.9500000000007</v>
          </cell>
          <cell r="G77">
            <v>7008.9500000000007</v>
          </cell>
          <cell r="H77">
            <v>7008.9500000000007</v>
          </cell>
          <cell r="I77">
            <v>7008.9500000000007</v>
          </cell>
          <cell r="J77">
            <v>7008.9500000000007</v>
          </cell>
          <cell r="K77">
            <v>7008.9500000000007</v>
          </cell>
          <cell r="L77">
            <v>7008.9500000000007</v>
          </cell>
          <cell r="M77">
            <v>7008.9500000000007</v>
          </cell>
          <cell r="N77">
            <v>7008.9500000000007</v>
          </cell>
          <cell r="O77">
            <v>7008.9500000000007</v>
          </cell>
        </row>
        <row r="78">
          <cell r="A78" t="str">
            <v>540002000</v>
          </cell>
          <cell r="B78" t="str">
            <v>5400-020-00</v>
          </cell>
          <cell r="C78" t="str">
            <v>Insurance</v>
          </cell>
          <cell r="D78">
            <v>7521.8</v>
          </cell>
          <cell r="E78">
            <v>7521.8</v>
          </cell>
          <cell r="F78">
            <v>7521.8</v>
          </cell>
          <cell r="G78">
            <v>7521.8</v>
          </cell>
          <cell r="H78">
            <v>7521.8</v>
          </cell>
          <cell r="I78">
            <v>7521.8</v>
          </cell>
          <cell r="J78">
            <v>7521.8</v>
          </cell>
          <cell r="K78">
            <v>7521.8</v>
          </cell>
          <cell r="L78">
            <v>7521.8</v>
          </cell>
          <cell r="M78">
            <v>7521.8</v>
          </cell>
          <cell r="N78">
            <v>7521.8</v>
          </cell>
          <cell r="O78">
            <v>7521.8</v>
          </cell>
        </row>
        <row r="79">
          <cell r="A79" t="str">
            <v>550002000</v>
          </cell>
          <cell r="B79" t="str">
            <v>5500-020-00</v>
          </cell>
          <cell r="C79" t="str">
            <v>Operation and Housekeeping Services</v>
          </cell>
          <cell r="D79">
            <v>940.22500000000002</v>
          </cell>
          <cell r="E79">
            <v>940.22500000000002</v>
          </cell>
          <cell r="F79">
            <v>940.22500000000002</v>
          </cell>
          <cell r="G79">
            <v>940.22500000000002</v>
          </cell>
          <cell r="H79">
            <v>940.22500000000002</v>
          </cell>
          <cell r="I79">
            <v>940.22500000000002</v>
          </cell>
          <cell r="J79">
            <v>940.22500000000002</v>
          </cell>
          <cell r="K79">
            <v>940.22500000000002</v>
          </cell>
          <cell r="L79">
            <v>940.22500000000002</v>
          </cell>
          <cell r="M79">
            <v>940.22500000000002</v>
          </cell>
          <cell r="N79">
            <v>940.22500000000002</v>
          </cell>
          <cell r="O79">
            <v>940.22500000000002</v>
          </cell>
        </row>
        <row r="80">
          <cell r="A80" t="str">
            <v>550102000</v>
          </cell>
          <cell r="B80" t="str">
            <v>5501-020-00</v>
          </cell>
          <cell r="C80" t="str">
            <v>Utilities</v>
          </cell>
          <cell r="D80">
            <v>19657.113125</v>
          </cell>
          <cell r="E80">
            <v>19657.113125</v>
          </cell>
          <cell r="F80">
            <v>19657.113125</v>
          </cell>
          <cell r="G80">
            <v>19657.113125</v>
          </cell>
          <cell r="H80">
            <v>19657.113125</v>
          </cell>
          <cell r="I80">
            <v>19657.113125</v>
          </cell>
          <cell r="J80">
            <v>19657.113125</v>
          </cell>
          <cell r="K80">
            <v>19657.113125</v>
          </cell>
          <cell r="L80">
            <v>19657.113125</v>
          </cell>
          <cell r="M80">
            <v>19657.113125</v>
          </cell>
          <cell r="N80">
            <v>19657.113125</v>
          </cell>
          <cell r="O80">
            <v>19657.113125</v>
          </cell>
        </row>
        <row r="81">
          <cell r="A81" t="str">
            <v>560002000</v>
          </cell>
          <cell r="B81" t="str">
            <v>5600-020-00</v>
          </cell>
          <cell r="C81" t="str">
            <v>Space Rental/Leases Expense</v>
          </cell>
          <cell r="D81">
            <v>55162.400000000001</v>
          </cell>
          <cell r="E81">
            <v>55162.400000000001</v>
          </cell>
          <cell r="F81">
            <v>55162.400000000001</v>
          </cell>
          <cell r="G81">
            <v>55162.400000000001</v>
          </cell>
          <cell r="H81">
            <v>55162.400000000001</v>
          </cell>
          <cell r="I81">
            <v>55162.400000000001</v>
          </cell>
          <cell r="J81">
            <v>55162.400000000001</v>
          </cell>
          <cell r="K81">
            <v>55162.400000000001</v>
          </cell>
          <cell r="L81">
            <v>55162.400000000001</v>
          </cell>
          <cell r="M81">
            <v>55162.400000000001</v>
          </cell>
          <cell r="N81">
            <v>55162.400000000001</v>
          </cell>
          <cell r="O81">
            <v>55162.400000000001</v>
          </cell>
        </row>
        <row r="82">
          <cell r="A82" t="str">
            <v>560102000</v>
          </cell>
          <cell r="B82" t="str">
            <v>5601-020-00</v>
          </cell>
          <cell r="C82" t="str">
            <v>Building Maintenance</v>
          </cell>
          <cell r="D82">
            <v>12500</v>
          </cell>
          <cell r="E82">
            <v>12500</v>
          </cell>
          <cell r="F82">
            <v>12500</v>
          </cell>
          <cell r="G82">
            <v>12500</v>
          </cell>
          <cell r="H82">
            <v>12500</v>
          </cell>
          <cell r="I82">
            <v>12500</v>
          </cell>
          <cell r="J82">
            <v>12500</v>
          </cell>
          <cell r="K82">
            <v>12500</v>
          </cell>
          <cell r="L82">
            <v>12500</v>
          </cell>
          <cell r="M82">
            <v>12500</v>
          </cell>
          <cell r="N82">
            <v>12500</v>
          </cell>
          <cell r="O82">
            <v>12500</v>
          </cell>
        </row>
        <row r="83">
          <cell r="A83" t="str">
            <v>560202000</v>
          </cell>
          <cell r="B83" t="str">
            <v>5602-020-00</v>
          </cell>
          <cell r="C83" t="str">
            <v>Other Space Rental</v>
          </cell>
          <cell r="D83">
            <v>5897.7750000000005</v>
          </cell>
          <cell r="E83">
            <v>5897.7750000000005</v>
          </cell>
          <cell r="F83">
            <v>5897.7750000000005</v>
          </cell>
          <cell r="G83">
            <v>5897.7750000000005</v>
          </cell>
          <cell r="H83">
            <v>5897.7750000000005</v>
          </cell>
          <cell r="I83">
            <v>5897.7750000000005</v>
          </cell>
          <cell r="J83">
            <v>5897.7750000000005</v>
          </cell>
          <cell r="K83">
            <v>5897.7750000000005</v>
          </cell>
          <cell r="L83">
            <v>5897.7750000000005</v>
          </cell>
          <cell r="M83">
            <v>5897.7750000000005</v>
          </cell>
          <cell r="N83">
            <v>5897.7750000000005</v>
          </cell>
          <cell r="O83">
            <v>5897.7750000000005</v>
          </cell>
        </row>
        <row r="84">
          <cell r="A84" t="str">
            <v>560502000</v>
          </cell>
          <cell r="B84" t="str">
            <v>5605-020-00</v>
          </cell>
          <cell r="C84" t="str">
            <v>Equipment Rental/Lease Expense</v>
          </cell>
          <cell r="D84">
            <v>6397.2054250000001</v>
          </cell>
          <cell r="E84">
            <v>6397.2054250000001</v>
          </cell>
          <cell r="F84">
            <v>6397.2054250000001</v>
          </cell>
          <cell r="G84">
            <v>6397.2054250000001</v>
          </cell>
          <cell r="H84">
            <v>6397.2054250000001</v>
          </cell>
          <cell r="I84">
            <v>6397.2054250000001</v>
          </cell>
          <cell r="J84">
            <v>6397.2054250000001</v>
          </cell>
          <cell r="K84">
            <v>6397.2054250000001</v>
          </cell>
          <cell r="L84">
            <v>6397.2054250000001</v>
          </cell>
          <cell r="M84">
            <v>6397.2054250000001</v>
          </cell>
          <cell r="N84">
            <v>6397.2054250000001</v>
          </cell>
          <cell r="O84">
            <v>6397.2054250000001</v>
          </cell>
        </row>
        <row r="85">
          <cell r="A85" t="str">
            <v>561002000</v>
          </cell>
          <cell r="B85" t="str">
            <v>5610-020-00</v>
          </cell>
          <cell r="C85" t="str">
            <v>Equipment Repair</v>
          </cell>
          <cell r="D85">
            <v>135.135975</v>
          </cell>
          <cell r="E85">
            <v>135.135975</v>
          </cell>
          <cell r="F85">
            <v>135.135975</v>
          </cell>
          <cell r="G85">
            <v>135.135975</v>
          </cell>
          <cell r="H85">
            <v>135.135975</v>
          </cell>
          <cell r="I85">
            <v>135.135975</v>
          </cell>
          <cell r="J85">
            <v>135.135975</v>
          </cell>
          <cell r="K85">
            <v>135.135975</v>
          </cell>
          <cell r="L85">
            <v>135.135975</v>
          </cell>
          <cell r="M85">
            <v>135.135975</v>
          </cell>
          <cell r="N85">
            <v>135.135975</v>
          </cell>
          <cell r="O85">
            <v>135.135975</v>
          </cell>
        </row>
        <row r="86">
          <cell r="A86" t="str">
            <v>580002000</v>
          </cell>
          <cell r="B86" t="str">
            <v>5800-020-00</v>
          </cell>
          <cell r="C86" t="str">
            <v>Professional/Consulting Services and Operating Expenditures</v>
          </cell>
          <cell r="D86">
            <v>9961.3419750000012</v>
          </cell>
          <cell r="E86">
            <v>9961.3419750000012</v>
          </cell>
          <cell r="F86">
            <v>9961.3419750000012</v>
          </cell>
          <cell r="G86">
            <v>9961.3419750000012</v>
          </cell>
          <cell r="H86">
            <v>9961.3419750000012</v>
          </cell>
          <cell r="I86">
            <v>9961.3419750000012</v>
          </cell>
          <cell r="J86">
            <v>9961.3419750000012</v>
          </cell>
          <cell r="K86">
            <v>9961.3419750000012</v>
          </cell>
          <cell r="L86">
            <v>9961.3419750000012</v>
          </cell>
          <cell r="M86">
            <v>9961.3419750000012</v>
          </cell>
          <cell r="N86">
            <v>9961.3419750000012</v>
          </cell>
          <cell r="O86">
            <v>9961.3419750000012</v>
          </cell>
        </row>
        <row r="87">
          <cell r="A87" t="str">
            <v>580302000</v>
          </cell>
          <cell r="B87" t="str">
            <v>5803-020-00</v>
          </cell>
          <cell r="C87" t="str">
            <v>Banking and Payroll Service Fees</v>
          </cell>
          <cell r="D87">
            <v>1660.8647250000001</v>
          </cell>
          <cell r="E87">
            <v>1660.8647250000001</v>
          </cell>
          <cell r="F87">
            <v>1660.8647250000001</v>
          </cell>
          <cell r="G87">
            <v>1660.8647250000001</v>
          </cell>
          <cell r="H87">
            <v>1660.8647250000001</v>
          </cell>
          <cell r="I87">
            <v>1660.8647250000001</v>
          </cell>
          <cell r="J87">
            <v>1660.8647250000001</v>
          </cell>
          <cell r="K87">
            <v>1660.8647250000001</v>
          </cell>
          <cell r="L87">
            <v>1660.8647250000001</v>
          </cell>
          <cell r="M87">
            <v>1660.8647250000001</v>
          </cell>
          <cell r="N87">
            <v>1660.8647250000001</v>
          </cell>
          <cell r="O87">
            <v>1660.8647250000001</v>
          </cell>
        </row>
        <row r="88">
          <cell r="A88" t="str">
            <v>580502000</v>
          </cell>
          <cell r="B88" t="str">
            <v>5805-020-00</v>
          </cell>
          <cell r="C88" t="str">
            <v>Legal Services and Audit</v>
          </cell>
          <cell r="D88">
            <v>2916.6666666666665</v>
          </cell>
          <cell r="E88">
            <v>2916.6666666666665</v>
          </cell>
          <cell r="F88">
            <v>2916.6666666666665</v>
          </cell>
          <cell r="G88">
            <v>2916.6666666666665</v>
          </cell>
          <cell r="H88">
            <v>2916.6666666666665</v>
          </cell>
          <cell r="I88">
            <v>2916.6666666666665</v>
          </cell>
          <cell r="J88">
            <v>2916.6666666666665</v>
          </cell>
          <cell r="K88">
            <v>2916.6666666666665</v>
          </cell>
          <cell r="L88">
            <v>2916.6666666666665</v>
          </cell>
          <cell r="M88">
            <v>2916.6666666666665</v>
          </cell>
          <cell r="N88">
            <v>2916.6666666666665</v>
          </cell>
          <cell r="O88">
            <v>2916.6666666666665</v>
          </cell>
        </row>
        <row r="89">
          <cell r="A89" t="str">
            <v>580602000</v>
          </cell>
          <cell r="B89" t="str">
            <v>5806-020-00</v>
          </cell>
          <cell r="C89" t="str">
            <v>Audit Services</v>
          </cell>
          <cell r="D89">
            <v>916.66666666666663</v>
          </cell>
          <cell r="E89">
            <v>916.66666666666663</v>
          </cell>
          <cell r="F89">
            <v>916.66666666666663</v>
          </cell>
          <cell r="G89">
            <v>916.66666666666663</v>
          </cell>
          <cell r="H89">
            <v>916.66666666666663</v>
          </cell>
          <cell r="I89">
            <v>916.66666666666663</v>
          </cell>
          <cell r="J89">
            <v>916.66666666666663</v>
          </cell>
          <cell r="K89">
            <v>916.66666666666663</v>
          </cell>
          <cell r="L89">
            <v>916.66666666666663</v>
          </cell>
          <cell r="M89">
            <v>916.66666666666663</v>
          </cell>
          <cell r="N89">
            <v>916.66666666666663</v>
          </cell>
          <cell r="O89">
            <v>916.66666666666663</v>
          </cell>
        </row>
        <row r="90">
          <cell r="A90" t="str">
            <v>580702000</v>
          </cell>
          <cell r="B90" t="str">
            <v>5807-020-00</v>
          </cell>
          <cell r="C90" t="str">
            <v>Legal Settlements</v>
          </cell>
          <cell r="D90">
            <v>0</v>
          </cell>
          <cell r="E90">
            <v>0</v>
          </cell>
          <cell r="F90">
            <v>0</v>
          </cell>
          <cell r="G90">
            <v>0</v>
          </cell>
          <cell r="H90">
            <v>0</v>
          </cell>
          <cell r="I90">
            <v>0</v>
          </cell>
          <cell r="J90">
            <v>0</v>
          </cell>
          <cell r="K90">
            <v>0</v>
          </cell>
          <cell r="L90">
            <v>0</v>
          </cell>
          <cell r="M90">
            <v>0</v>
          </cell>
          <cell r="N90">
            <v>0</v>
          </cell>
          <cell r="O90">
            <v>0</v>
          </cell>
        </row>
        <row r="91">
          <cell r="A91" t="str">
            <v>580902000</v>
          </cell>
          <cell r="B91" t="str">
            <v>5809-020-00</v>
          </cell>
          <cell r="C91" t="str">
            <v>Employee Tuition</v>
          </cell>
          <cell r="D91">
            <v>0</v>
          </cell>
          <cell r="E91">
            <v>0</v>
          </cell>
          <cell r="F91">
            <v>0</v>
          </cell>
          <cell r="G91">
            <v>0</v>
          </cell>
          <cell r="H91">
            <v>0</v>
          </cell>
          <cell r="I91">
            <v>0</v>
          </cell>
          <cell r="J91">
            <v>0</v>
          </cell>
          <cell r="K91">
            <v>0</v>
          </cell>
          <cell r="L91">
            <v>0</v>
          </cell>
          <cell r="M91">
            <v>0</v>
          </cell>
          <cell r="N91">
            <v>0</v>
          </cell>
          <cell r="O91">
            <v>0</v>
          </cell>
        </row>
        <row r="92">
          <cell r="A92" t="str">
            <v>581002000</v>
          </cell>
          <cell r="B92" t="str">
            <v>5810-020-00</v>
          </cell>
          <cell r="C92" t="str">
            <v>Educational Consultants</v>
          </cell>
          <cell r="E92">
            <v>30318.18181818182</v>
          </cell>
          <cell r="F92">
            <v>30318.18181818182</v>
          </cell>
          <cell r="G92">
            <v>30318.18181818182</v>
          </cell>
          <cell r="H92">
            <v>30318.18181818182</v>
          </cell>
          <cell r="I92">
            <v>30318.18181818182</v>
          </cell>
          <cell r="J92">
            <v>30318.18181818182</v>
          </cell>
          <cell r="K92">
            <v>30318.18181818182</v>
          </cell>
          <cell r="L92">
            <v>30318.18181818182</v>
          </cell>
          <cell r="M92">
            <v>30318.18181818182</v>
          </cell>
          <cell r="N92">
            <v>30318.18181818182</v>
          </cell>
          <cell r="O92">
            <v>30318.18181818182</v>
          </cell>
        </row>
        <row r="93">
          <cell r="A93" t="str">
            <v>581102000</v>
          </cell>
          <cell r="B93" t="str">
            <v>5811-020-00</v>
          </cell>
          <cell r="C93" t="str">
            <v>Student Transportation</v>
          </cell>
          <cell r="D93">
            <v>21666.666666666668</v>
          </cell>
          <cell r="E93">
            <v>21666.666666666668</v>
          </cell>
          <cell r="F93">
            <v>21666.666666666668</v>
          </cell>
          <cell r="G93">
            <v>21666.666666666668</v>
          </cell>
          <cell r="H93">
            <v>21666.666666666668</v>
          </cell>
          <cell r="I93">
            <v>21666.666666666668</v>
          </cell>
          <cell r="J93">
            <v>21666.666666666668</v>
          </cell>
          <cell r="K93">
            <v>21666.666666666668</v>
          </cell>
          <cell r="L93">
            <v>21666.666666666668</v>
          </cell>
          <cell r="M93">
            <v>21666.666666666668</v>
          </cell>
          <cell r="N93">
            <v>21666.666666666668</v>
          </cell>
          <cell r="O93">
            <v>21666.666666666668</v>
          </cell>
        </row>
        <row r="94">
          <cell r="A94" t="str">
            <v>581202000</v>
          </cell>
          <cell r="B94" t="str">
            <v>5812-020-00</v>
          </cell>
          <cell r="C94" t="str">
            <v>Other Student Activities/Events</v>
          </cell>
          <cell r="D94">
            <v>0</v>
          </cell>
          <cell r="E94">
            <v>0</v>
          </cell>
          <cell r="F94">
            <v>0</v>
          </cell>
          <cell r="G94">
            <v>0</v>
          </cell>
          <cell r="H94">
            <v>0</v>
          </cell>
          <cell r="I94">
            <v>0</v>
          </cell>
          <cell r="J94">
            <v>0</v>
          </cell>
          <cell r="K94">
            <v>0</v>
          </cell>
          <cell r="L94">
            <v>0</v>
          </cell>
          <cell r="M94">
            <v>0</v>
          </cell>
          <cell r="N94">
            <v>0</v>
          </cell>
          <cell r="O94">
            <v>0</v>
          </cell>
        </row>
        <row r="95">
          <cell r="A95" t="str">
            <v>581502000</v>
          </cell>
          <cell r="B95" t="str">
            <v>5815-020-00</v>
          </cell>
          <cell r="C95" t="str">
            <v>Advertising/Recruiting</v>
          </cell>
          <cell r="D95">
            <v>3419</v>
          </cell>
          <cell r="E95">
            <v>3419</v>
          </cell>
          <cell r="F95">
            <v>3419</v>
          </cell>
          <cell r="G95">
            <v>3419</v>
          </cell>
          <cell r="H95">
            <v>3419</v>
          </cell>
          <cell r="I95">
            <v>3419</v>
          </cell>
          <cell r="J95">
            <v>3419</v>
          </cell>
          <cell r="K95">
            <v>3419</v>
          </cell>
          <cell r="L95">
            <v>3419</v>
          </cell>
          <cell r="M95">
            <v>3419</v>
          </cell>
          <cell r="N95">
            <v>3419</v>
          </cell>
          <cell r="O95">
            <v>3419</v>
          </cell>
        </row>
        <row r="96">
          <cell r="A96" t="str">
            <v>582002000</v>
          </cell>
          <cell r="B96" t="str">
            <v>5820-020-00</v>
          </cell>
          <cell r="C96" t="str">
            <v>Fundraising Expense</v>
          </cell>
          <cell r="D96">
            <v>3017.6145285000002</v>
          </cell>
          <cell r="E96">
            <v>3017.6145285000002</v>
          </cell>
          <cell r="F96">
            <v>3017.6145285000002</v>
          </cell>
          <cell r="G96">
            <v>3017.6145285000002</v>
          </cell>
          <cell r="H96">
            <v>3017.6145285000002</v>
          </cell>
          <cell r="I96">
            <v>3017.6145285000002</v>
          </cell>
          <cell r="J96">
            <v>3017.6145285000002</v>
          </cell>
          <cell r="K96">
            <v>3017.6145285000002</v>
          </cell>
          <cell r="L96">
            <v>3017.6145285000002</v>
          </cell>
          <cell r="M96">
            <v>3017.6145285000002</v>
          </cell>
          <cell r="N96">
            <v>3017.6145285000002</v>
          </cell>
          <cell r="O96">
            <v>3017.6145285000002</v>
          </cell>
        </row>
        <row r="97">
          <cell r="A97" t="str">
            <v>583002090</v>
          </cell>
          <cell r="B97" t="str">
            <v>5830-020-90</v>
          </cell>
          <cell r="C97" t="str">
            <v>Field Trips</v>
          </cell>
          <cell r="D97">
            <v>0</v>
          </cell>
          <cell r="E97">
            <v>0</v>
          </cell>
          <cell r="F97">
            <v>0</v>
          </cell>
          <cell r="G97">
            <v>0</v>
          </cell>
          <cell r="H97">
            <v>0</v>
          </cell>
          <cell r="I97">
            <v>0</v>
          </cell>
          <cell r="J97">
            <v>0</v>
          </cell>
          <cell r="K97">
            <v>0</v>
          </cell>
          <cell r="L97">
            <v>0</v>
          </cell>
          <cell r="M97">
            <v>0</v>
          </cell>
          <cell r="N97">
            <v>0</v>
          </cell>
          <cell r="O97">
            <v>0</v>
          </cell>
        </row>
        <row r="98">
          <cell r="A98" t="str">
            <v>583602000</v>
          </cell>
          <cell r="B98" t="str">
            <v>5836-020-00</v>
          </cell>
          <cell r="C98" t="str">
            <v>Transportation Services</v>
          </cell>
          <cell r="D98">
            <v>1626.161875</v>
          </cell>
          <cell r="E98">
            <v>1626.161875</v>
          </cell>
          <cell r="F98">
            <v>1626.161875</v>
          </cell>
          <cell r="G98">
            <v>1626.161875</v>
          </cell>
          <cell r="H98">
            <v>1626.161875</v>
          </cell>
          <cell r="I98">
            <v>1626.161875</v>
          </cell>
          <cell r="J98">
            <v>1626.161875</v>
          </cell>
          <cell r="K98">
            <v>1626.161875</v>
          </cell>
          <cell r="L98">
            <v>1626.161875</v>
          </cell>
          <cell r="M98">
            <v>1626.161875</v>
          </cell>
          <cell r="N98">
            <v>1626.161875</v>
          </cell>
          <cell r="O98">
            <v>1626.161875</v>
          </cell>
        </row>
        <row r="99">
          <cell r="A99" t="str">
            <v>584202000</v>
          </cell>
          <cell r="B99" t="str">
            <v>5842-020-00</v>
          </cell>
          <cell r="C99" t="str">
            <v>Student Athletics Services</v>
          </cell>
          <cell r="D99">
            <v>5289.1930000000002</v>
          </cell>
          <cell r="E99">
            <v>5289.1930000000002</v>
          </cell>
          <cell r="F99">
            <v>5289.1930000000002</v>
          </cell>
          <cell r="G99">
            <v>5289.1930000000002</v>
          </cell>
          <cell r="H99">
            <v>5289.1930000000002</v>
          </cell>
          <cell r="I99">
            <v>5289.1930000000002</v>
          </cell>
          <cell r="J99">
            <v>5289.1930000000002</v>
          </cell>
          <cell r="K99">
            <v>5289.1930000000002</v>
          </cell>
          <cell r="L99">
            <v>5289.1930000000002</v>
          </cell>
          <cell r="M99">
            <v>5289.1930000000002</v>
          </cell>
          <cell r="N99">
            <v>5289.1930000000002</v>
          </cell>
          <cell r="O99">
            <v>5289.1930000000002</v>
          </cell>
        </row>
        <row r="100">
          <cell r="A100" t="str">
            <v>585002000</v>
          </cell>
          <cell r="B100" t="str">
            <v>5850-020-00</v>
          </cell>
          <cell r="C100" t="str">
            <v>Scholorships Awarded</v>
          </cell>
          <cell r="D100">
            <v>4166.666666666667</v>
          </cell>
          <cell r="E100">
            <v>4166.666666666667</v>
          </cell>
          <cell r="F100">
            <v>4166.666666666667</v>
          </cell>
          <cell r="G100">
            <v>4166.666666666667</v>
          </cell>
          <cell r="H100">
            <v>4166.666666666667</v>
          </cell>
          <cell r="I100">
            <v>4166.666666666667</v>
          </cell>
          <cell r="J100">
            <v>4166.666666666667</v>
          </cell>
          <cell r="K100">
            <v>4166.666666666667</v>
          </cell>
          <cell r="L100">
            <v>4166.666666666667</v>
          </cell>
          <cell r="M100">
            <v>4166.666666666667</v>
          </cell>
          <cell r="N100">
            <v>4166.666666666667</v>
          </cell>
          <cell r="O100">
            <v>4166.666666666667</v>
          </cell>
        </row>
        <row r="101">
          <cell r="A101" t="str">
            <v>587302000</v>
          </cell>
          <cell r="B101" t="str">
            <v>5873-020-00</v>
          </cell>
          <cell r="C101" t="str">
            <v>Financial Services</v>
          </cell>
          <cell r="D101">
            <v>13915</v>
          </cell>
          <cell r="E101">
            <v>13915</v>
          </cell>
          <cell r="F101">
            <v>13915</v>
          </cell>
          <cell r="G101">
            <v>13915</v>
          </cell>
          <cell r="H101">
            <v>13915</v>
          </cell>
          <cell r="I101">
            <v>13915</v>
          </cell>
          <cell r="J101">
            <v>13915</v>
          </cell>
          <cell r="K101">
            <v>13915</v>
          </cell>
          <cell r="L101">
            <v>13915</v>
          </cell>
          <cell r="M101">
            <v>13915</v>
          </cell>
          <cell r="N101">
            <v>13915</v>
          </cell>
          <cell r="O101">
            <v>13915</v>
          </cell>
        </row>
        <row r="102">
          <cell r="A102" t="str">
            <v>587402000</v>
          </cell>
          <cell r="B102" t="str">
            <v>5874-020-00</v>
          </cell>
          <cell r="C102" t="str">
            <v>Personnel Services</v>
          </cell>
          <cell r="D102">
            <v>0</v>
          </cell>
          <cell r="E102">
            <v>0</v>
          </cell>
          <cell r="F102">
            <v>0</v>
          </cell>
          <cell r="G102">
            <v>0</v>
          </cell>
          <cell r="H102">
            <v>0</v>
          </cell>
          <cell r="I102">
            <v>0</v>
          </cell>
          <cell r="J102">
            <v>0</v>
          </cell>
          <cell r="K102">
            <v>0</v>
          </cell>
          <cell r="L102">
            <v>0</v>
          </cell>
          <cell r="M102">
            <v>0</v>
          </cell>
          <cell r="N102">
            <v>0</v>
          </cell>
          <cell r="O102">
            <v>0</v>
          </cell>
        </row>
        <row r="103">
          <cell r="A103" t="str">
            <v>587502000</v>
          </cell>
          <cell r="B103" t="str">
            <v>5875-020-00</v>
          </cell>
          <cell r="C103" t="str">
            <v>District Oversight Fee</v>
          </cell>
          <cell r="O103">
            <v>102872.85</v>
          </cell>
        </row>
        <row r="104">
          <cell r="A104" t="str">
            <v>587702000</v>
          </cell>
          <cell r="B104" t="str">
            <v>5877-020-00</v>
          </cell>
          <cell r="C104" t="str">
            <v>IT Services</v>
          </cell>
          <cell r="D104">
            <v>4400</v>
          </cell>
          <cell r="E104">
            <v>4400</v>
          </cell>
          <cell r="F104">
            <v>4400</v>
          </cell>
          <cell r="G104">
            <v>4400</v>
          </cell>
          <cell r="H104">
            <v>4400</v>
          </cell>
          <cell r="I104">
            <v>4400</v>
          </cell>
          <cell r="J104">
            <v>4400</v>
          </cell>
          <cell r="K104">
            <v>4400</v>
          </cell>
          <cell r="L104">
            <v>4400</v>
          </cell>
          <cell r="M104">
            <v>4400</v>
          </cell>
          <cell r="N104">
            <v>4400</v>
          </cell>
          <cell r="O104">
            <v>4400</v>
          </cell>
        </row>
        <row r="105">
          <cell r="A105" t="str">
            <v>588502000</v>
          </cell>
          <cell r="B105" t="str">
            <v>5885-020-00</v>
          </cell>
          <cell r="C105" t="str">
            <v>Summer School Expenses</v>
          </cell>
          <cell r="D105">
            <v>0</v>
          </cell>
          <cell r="E105">
            <v>0</v>
          </cell>
          <cell r="F105">
            <v>0</v>
          </cell>
          <cell r="G105">
            <v>0</v>
          </cell>
          <cell r="H105">
            <v>0</v>
          </cell>
          <cell r="I105">
            <v>0</v>
          </cell>
          <cell r="J105">
            <v>0</v>
          </cell>
          <cell r="K105">
            <v>0</v>
          </cell>
          <cell r="L105">
            <v>0</v>
          </cell>
          <cell r="M105">
            <v>0</v>
          </cell>
          <cell r="N105">
            <v>0</v>
          </cell>
          <cell r="O105">
            <v>0</v>
          </cell>
        </row>
        <row r="106">
          <cell r="A106" t="str">
            <v>589002000</v>
          </cell>
          <cell r="B106" t="str">
            <v>5890-020-00</v>
          </cell>
          <cell r="C106" t="str">
            <v>Interest Expense</v>
          </cell>
          <cell r="D106">
            <v>812.15398333333326</v>
          </cell>
          <cell r="E106">
            <v>812.15398333333326</v>
          </cell>
          <cell r="F106">
            <v>812.15398333333326</v>
          </cell>
          <cell r="G106">
            <v>812.15398333333326</v>
          </cell>
          <cell r="H106">
            <v>812.15398333333326</v>
          </cell>
          <cell r="I106">
            <v>812.15398333333326</v>
          </cell>
          <cell r="J106">
            <v>812.15398333333326</v>
          </cell>
          <cell r="K106">
            <v>812.15398333333326</v>
          </cell>
          <cell r="L106">
            <v>812.15398333333326</v>
          </cell>
          <cell r="M106">
            <v>812.15398333333326</v>
          </cell>
          <cell r="N106">
            <v>812.15398333333326</v>
          </cell>
          <cell r="O106">
            <v>812.15398333333326</v>
          </cell>
        </row>
        <row r="107">
          <cell r="A107" t="str">
            <v>589102000</v>
          </cell>
          <cell r="B107" t="str">
            <v>5891-020-00</v>
          </cell>
          <cell r="C107" t="str">
            <v>Charter School Capital Fees</v>
          </cell>
          <cell r="D107">
            <v>0</v>
          </cell>
          <cell r="E107">
            <v>0</v>
          </cell>
          <cell r="F107">
            <v>0</v>
          </cell>
          <cell r="G107">
            <v>0</v>
          </cell>
          <cell r="H107">
            <v>0</v>
          </cell>
          <cell r="I107">
            <v>0</v>
          </cell>
          <cell r="J107">
            <v>0</v>
          </cell>
          <cell r="K107">
            <v>0</v>
          </cell>
          <cell r="L107">
            <v>0</v>
          </cell>
          <cell r="M107">
            <v>0</v>
          </cell>
          <cell r="N107">
            <v>0</v>
          </cell>
          <cell r="O107">
            <v>0</v>
          </cell>
        </row>
        <row r="108">
          <cell r="A108" t="str">
            <v>590002000</v>
          </cell>
          <cell r="B108" t="str">
            <v>5900-020-00</v>
          </cell>
          <cell r="C108" t="str">
            <v>Communications (Tele., Internet, Copies,Postage,Messenger)</v>
          </cell>
          <cell r="D108">
            <v>5833.333333333333</v>
          </cell>
          <cell r="E108">
            <v>5833.333333333333</v>
          </cell>
          <cell r="F108">
            <v>5833.333333333333</v>
          </cell>
          <cell r="G108">
            <v>5833.333333333333</v>
          </cell>
          <cell r="H108">
            <v>5833.333333333333</v>
          </cell>
          <cell r="I108">
            <v>5833.333333333333</v>
          </cell>
          <cell r="J108">
            <v>5833.333333333333</v>
          </cell>
          <cell r="K108">
            <v>5833.333333333333</v>
          </cell>
          <cell r="L108">
            <v>5833.333333333333</v>
          </cell>
          <cell r="M108">
            <v>5833.333333333333</v>
          </cell>
          <cell r="N108">
            <v>5833.333333333333</v>
          </cell>
          <cell r="O108">
            <v>5833.333333333333</v>
          </cell>
        </row>
        <row r="109">
          <cell r="A109" t="str">
            <v>701002000</v>
          </cell>
          <cell r="B109" t="str">
            <v>7010-020-00</v>
          </cell>
          <cell r="C109" t="str">
            <v>SPED Encroachment</v>
          </cell>
          <cell r="D109">
            <v>0</v>
          </cell>
          <cell r="E109">
            <v>0</v>
          </cell>
          <cell r="F109">
            <v>14709.630099999998</v>
          </cell>
          <cell r="G109">
            <v>14709.630099999998</v>
          </cell>
          <cell r="H109">
            <v>14709.630099999998</v>
          </cell>
          <cell r="I109">
            <v>14709.630099999998</v>
          </cell>
          <cell r="J109">
            <v>14709.630099999998</v>
          </cell>
          <cell r="K109">
            <v>14709.630099999998</v>
          </cell>
          <cell r="L109">
            <v>14709.630099999998</v>
          </cell>
          <cell r="M109">
            <v>14709.630099999998</v>
          </cell>
          <cell r="N109">
            <v>14709.630099999998</v>
          </cell>
          <cell r="O109">
            <v>14709.630099999998</v>
          </cell>
        </row>
        <row r="110">
          <cell r="A110" t="str">
            <v/>
          </cell>
          <cell r="C110" t="str">
            <v>Total Services and Other Operating Expenses</v>
          </cell>
          <cell r="D110">
            <v>204280.26794516662</v>
          </cell>
          <cell r="E110">
            <v>234598.44976334844</v>
          </cell>
          <cell r="F110">
            <v>249308.07986334845</v>
          </cell>
          <cell r="G110">
            <v>249308.07986334845</v>
          </cell>
          <cell r="H110">
            <v>249308.07986334845</v>
          </cell>
          <cell r="I110">
            <v>249308.07986334845</v>
          </cell>
          <cell r="J110">
            <v>249308.07986334845</v>
          </cell>
          <cell r="K110">
            <v>249308.07986334845</v>
          </cell>
          <cell r="L110">
            <v>249308.07986334845</v>
          </cell>
          <cell r="M110">
            <v>249308.07986334845</v>
          </cell>
          <cell r="N110">
            <v>249308.07986334845</v>
          </cell>
          <cell r="O110">
            <v>352180.92986334843</v>
          </cell>
          <cell r="P110">
            <v>0</v>
          </cell>
          <cell r="Q110">
            <v>0</v>
          </cell>
          <cell r="R110">
            <v>0</v>
          </cell>
        </row>
        <row r="111">
          <cell r="A111" t="str">
            <v>690002000</v>
          </cell>
          <cell r="B111" t="str">
            <v>6900-020-00</v>
          </cell>
          <cell r="C111" t="str">
            <v xml:space="preserve">Total Capital Outlay                              </v>
          </cell>
          <cell r="O111">
            <v>137754.35999999999</v>
          </cell>
        </row>
        <row r="112">
          <cell r="A112" t="str">
            <v>743802000</v>
          </cell>
          <cell r="B112" t="str">
            <v>7438-020-00</v>
          </cell>
          <cell r="C112" t="str">
            <v>Debt Service - Interest</v>
          </cell>
          <cell r="O112">
            <v>0</v>
          </cell>
        </row>
      </sheetData>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ERT ADA DETAIL"/>
      <sheetName val="2000-01 restated for ADA (jun)"/>
      <sheetName val="pyrec01 (june2002)"/>
      <sheetName val="99-00 rec"/>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ERT ADA DETAIL"/>
      <sheetName val="2000-01 restated for ADA (jun)"/>
      <sheetName val="pyrec01 (june2002)"/>
      <sheetName val="99-00 rec"/>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ERT ADA DETAIL"/>
      <sheetName val="2000-01 restated for ADA (jun)"/>
      <sheetName val="pyrec01 (june2002)"/>
      <sheetName val="99-00 rec"/>
      <sheetName val="pyrec01"/>
      <sheetName val="2000-01 ADA REVISE (2)"/>
      <sheetName val="2000-01 exhibits"/>
      <sheetName val="feb may"/>
      <sheetName val="federal"/>
      <sheetName val="2001-02 (jan2002)"/>
      <sheetName val="pl 94142"/>
      <sheetName val="july jan"/>
      <sheetName val="reconcile-exhibits"/>
      <sheetName val="nps lci"/>
      <sheetName val="Sheet3"/>
      <sheetName val="Transfer Form"/>
      <sheetName val="District Tab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D7">
            <v>402</v>
          </cell>
          <cell r="E7">
            <v>34018</v>
          </cell>
        </row>
        <row r="8">
          <cell r="D8">
            <v>402</v>
          </cell>
          <cell r="E8">
            <v>69862</v>
          </cell>
        </row>
        <row r="9">
          <cell r="D9">
            <v>402</v>
          </cell>
          <cell r="E9">
            <v>8760</v>
          </cell>
        </row>
        <row r="10">
          <cell r="D10">
            <v>402</v>
          </cell>
          <cell r="E10">
            <v>107968</v>
          </cell>
        </row>
        <row r="11">
          <cell r="D11">
            <v>402</v>
          </cell>
          <cell r="E11">
            <v>12848</v>
          </cell>
        </row>
        <row r="12">
          <cell r="D12">
            <v>402</v>
          </cell>
          <cell r="E12">
            <v>10439</v>
          </cell>
        </row>
        <row r="13">
          <cell r="D13">
            <v>402</v>
          </cell>
          <cell r="E13">
            <v>657</v>
          </cell>
        </row>
        <row r="14">
          <cell r="D14">
            <v>402</v>
          </cell>
          <cell r="E14">
            <v>3577</v>
          </cell>
        </row>
        <row r="15">
          <cell r="D15">
            <v>402</v>
          </cell>
          <cell r="E15">
            <v>25331</v>
          </cell>
        </row>
        <row r="16">
          <cell r="D16">
            <v>402</v>
          </cell>
          <cell r="E16">
            <v>9125</v>
          </cell>
        </row>
        <row r="17">
          <cell r="D17">
            <v>402</v>
          </cell>
          <cell r="E17">
            <v>22265</v>
          </cell>
        </row>
        <row r="18">
          <cell r="D18">
            <v>402</v>
          </cell>
          <cell r="E18">
            <v>18542</v>
          </cell>
        </row>
        <row r="19">
          <cell r="D19">
            <v>402</v>
          </cell>
          <cell r="E19">
            <v>53729</v>
          </cell>
        </row>
        <row r="20">
          <cell r="D20">
            <v>402</v>
          </cell>
          <cell r="E20">
            <v>876</v>
          </cell>
        </row>
        <row r="21">
          <cell r="D21">
            <v>401</v>
          </cell>
          <cell r="E21">
            <v>377997</v>
          </cell>
        </row>
      </sheetData>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2000-01 restated for ADA (jun)"/>
      <sheetName val="02-03mayrevise (old)"/>
      <sheetName val="charter"/>
      <sheetName val="02-03mayrevise"/>
      <sheetName val="growth"/>
      <sheetName val="Sheet4"/>
      <sheetName val="01-02mayrevise"/>
      <sheetName val="2001-02 (jan2002)"/>
      <sheetName val="federal"/>
      <sheetName val="00-01 amended ada"/>
      <sheetName val="2000-01 restated for ADA"/>
      <sheetName val="ratio"/>
      <sheetName val="01-02ADA update"/>
      <sheetName val="01-02 p2 detail"/>
      <sheetName val="02-03"/>
      <sheetName val="p-1sum (2)"/>
      <sheetName val="cashflow"/>
      <sheetName val="p-2sum(rev)"/>
      <sheetName val="2001-02 (sept)"/>
      <sheetName val="2001-02"/>
      <sheetName val="2000-01 (may) "/>
      <sheetName val="ada00 (2)"/>
      <sheetName val="july bottom line (99-00)march01"/>
      <sheetName val="p-2sum"/>
      <sheetName val="summary"/>
      <sheetName val="Sheet5"/>
      <sheetName val="p-1sum"/>
      <sheetName val="datafor mtg"/>
      <sheetName val="2000-01cashflow (jan)"/>
      <sheetName val="2000-01 fullfund"/>
      <sheetName val="2000-01cashflow"/>
      <sheetName val="coerec99"/>
      <sheetName val="july bottom line (99-00)"/>
      <sheetName val="june bottom (old)"/>
      <sheetName val="coerev (2)"/>
      <sheetName val="ada99"/>
      <sheetName val="Sheet3"/>
      <sheetName val="2000-01 (sept)"/>
      <sheetName val="2000-01 cash (sept)"/>
      <sheetName val="2000-01 cash"/>
      <sheetName val="2000-01"/>
      <sheetName val="marchcash"/>
      <sheetName val="marchbottomline"/>
      <sheetName val="94142 alloc"/>
      <sheetName val="1999-00 - aug00 update"/>
      <sheetName val="reconcile to cde mar00"/>
      <sheetName val="npsinfant"/>
      <sheetName val="Sheet2"/>
      <sheetName val="00-01"/>
      <sheetName val="Sheet1"/>
      <sheetName val="cashflow00"/>
      <sheetName val="5 year-1 (janupdate)"/>
      <sheetName val="5 year-1"/>
      <sheetName val="cashflow 99"/>
      <sheetName val="coerev"/>
      <sheetName val="neg"/>
      <sheetName val="spedper ada"/>
      <sheetName val="2000-01 (jan)  (2)"/>
      <sheetName val="indian"/>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
          <cell r="A1" t="str">
            <v>1999-00 Formula Distribution</v>
          </cell>
        </row>
        <row r="2">
          <cell r="A2" t="str">
            <v>1) Calculation of   TARGET &amp; District Average COLA &amp; split between base &amp; growth/under ave districts</v>
          </cell>
        </row>
        <row r="3">
          <cell r="A3" t="str">
            <v>1998-99 Rate</v>
          </cell>
          <cell r="C3">
            <v>239.68</v>
          </cell>
        </row>
        <row r="4">
          <cell r="A4" t="str">
            <v>1998-99 COLA</v>
          </cell>
          <cell r="C4">
            <v>5.23</v>
          </cell>
          <cell r="D4">
            <v>2.18E-2</v>
          </cell>
        </row>
        <row r="5">
          <cell r="A5" t="str">
            <v>COLA</v>
          </cell>
          <cell r="B5">
            <v>244.91</v>
          </cell>
          <cell r="C5">
            <v>3.45</v>
          </cell>
          <cell r="D5">
            <v>1.41E-2</v>
          </cell>
        </row>
        <row r="6">
          <cell r="A6" t="str">
            <v>target = average + cola</v>
          </cell>
          <cell r="C6">
            <v>248.35999999999999</v>
          </cell>
        </row>
        <row r="7">
          <cell r="A7" t="str">
            <v>Split</v>
          </cell>
          <cell r="B7">
            <v>0.15</v>
          </cell>
          <cell r="C7">
            <v>0.52</v>
          </cell>
          <cell r="D7" t="str">
            <v>(50/50 split 98-99, 85/15 split 99-00</v>
          </cell>
        </row>
        <row r="9">
          <cell r="A9" t="str">
            <v>2) COLA calculation   for SELPA</v>
          </cell>
        </row>
        <row r="10">
          <cell r="A10" t="str">
            <v xml:space="preserve">1998-99 est. SELPA K-12 ADA  </v>
          </cell>
          <cell r="C10">
            <v>21891</v>
          </cell>
          <cell r="D10" t="str">
            <v>(includes coe &amp; sfork ada)</v>
          </cell>
        </row>
        <row r="11">
          <cell r="A11" t="str">
            <v>State Average</v>
          </cell>
          <cell r="B11">
            <v>443.08</v>
          </cell>
        </row>
        <row r="12">
          <cell r="A12" t="str">
            <v>COLA x St Ave</v>
          </cell>
          <cell r="B12">
            <v>1.41E-2</v>
          </cell>
          <cell r="C12">
            <v>6.25</v>
          </cell>
        </row>
        <row r="13">
          <cell r="A13" t="str">
            <v>ADA x COLA</v>
          </cell>
          <cell r="B13">
            <v>21891</v>
          </cell>
          <cell r="C13">
            <v>6.25</v>
          </cell>
          <cell r="D13">
            <v>136819</v>
          </cell>
        </row>
        <row r="14">
          <cell r="A14" t="str">
            <v>EDCOE</v>
          </cell>
          <cell r="B14">
            <v>2.0000000000000001E-4</v>
          </cell>
          <cell r="C14">
            <v>3999986</v>
          </cell>
          <cell r="D14">
            <v>0.42049999999999998</v>
          </cell>
          <cell r="E14">
            <v>57533</v>
          </cell>
        </row>
        <row r="15">
          <cell r="A15" t="str">
            <v>EDUHS</v>
          </cell>
          <cell r="C15">
            <v>164120</v>
          </cell>
          <cell r="D15">
            <v>1.72E-2</v>
          </cell>
          <cell r="E15">
            <v>2353</v>
          </cell>
        </row>
        <row r="16">
          <cell r="A16" t="str">
            <v>Ppines</v>
          </cell>
          <cell r="C16">
            <v>50888</v>
          </cell>
          <cell r="D16">
            <v>5.3E-3</v>
          </cell>
          <cell r="E16">
            <v>725</v>
          </cell>
        </row>
        <row r="17">
          <cell r="A17" t="str">
            <v>District Base amount</v>
          </cell>
          <cell r="C17">
            <v>5066493</v>
          </cell>
          <cell r="D17">
            <v>0.53239999999999998</v>
          </cell>
          <cell r="E17">
            <v>72842</v>
          </cell>
        </row>
        <row r="18">
          <cell r="A18" t="str">
            <v>NPS POOL</v>
          </cell>
          <cell r="C18">
            <v>234559</v>
          </cell>
          <cell r="D18">
            <v>2.46E-2</v>
          </cell>
          <cell r="E18">
            <v>3366</v>
          </cell>
        </row>
        <row r="19">
          <cell r="A19" t="str">
            <v>Total</v>
          </cell>
          <cell r="B19">
            <v>9893186</v>
          </cell>
          <cell r="C19">
            <v>9516046</v>
          </cell>
          <cell r="D19">
            <v>1</v>
          </cell>
          <cell r="E19">
            <v>136819</v>
          </cell>
        </row>
        <row r="20">
          <cell r="A20" t="str">
            <v>Amount for "Base"</v>
          </cell>
          <cell r="B20">
            <v>0.15</v>
          </cell>
          <cell r="C20">
            <v>5066493</v>
          </cell>
          <cell r="D20">
            <v>5081297</v>
          </cell>
          <cell r="E20">
            <v>14804</v>
          </cell>
        </row>
        <row r="21">
          <cell r="A21" t="str">
            <v>Balance for Growth/under Ave. District</v>
          </cell>
          <cell r="E21">
            <v>58038</v>
          </cell>
          <cell r="F21" t="str">
            <v>(85% share of cola to below target)</v>
          </cell>
        </row>
        <row r="22">
          <cell r="A22" t="str">
            <v xml:space="preserve">  </v>
          </cell>
          <cell r="B22" t="str">
            <v>Total District COLA $</v>
          </cell>
          <cell r="E22">
            <v>72842</v>
          </cell>
        </row>
        <row r="24">
          <cell r="A24" t="str">
            <v>3) GROWTH Calculation (NPS/Special Needs/Growth)</v>
          </cell>
        </row>
        <row r="25">
          <cell r="D25" t="str">
            <v>Variance</v>
          </cell>
        </row>
        <row r="26">
          <cell r="A26" t="str">
            <v>Growth ADA</v>
          </cell>
          <cell r="D26">
            <v>0</v>
          </cell>
        </row>
        <row r="27">
          <cell r="A27" t="str">
            <v>State Average</v>
          </cell>
          <cell r="B27">
            <v>443.08</v>
          </cell>
          <cell r="C27">
            <v>6.25</v>
          </cell>
          <cell r="D27">
            <v>449.33</v>
          </cell>
        </row>
        <row r="28">
          <cell r="A28" t="str">
            <v>Pro-ration (e.g. if statewide deficit &amp; not fully funded)</v>
          </cell>
          <cell r="D28">
            <v>1</v>
          </cell>
        </row>
        <row r="29">
          <cell r="A29" t="str">
            <v>ADA x state average x pro ration</v>
          </cell>
          <cell r="D29">
            <v>0</v>
          </cell>
          <cell r="E29" t="str">
            <v>ESTIMATED</v>
          </cell>
        </row>
        <row r="30">
          <cell r="A30" t="str">
            <v>Regional requests funded first</v>
          </cell>
          <cell r="E30" t="str">
            <v>No requests for 1999-00</v>
          </cell>
        </row>
        <row r="31">
          <cell r="A31" t="str">
            <v>NPS Pool Increase</v>
          </cell>
          <cell r="B31">
            <v>0.1</v>
          </cell>
          <cell r="C31">
            <v>23456</v>
          </cell>
          <cell r="D31">
            <v>20090</v>
          </cell>
          <cell r="E31" t="str">
            <v>(less COLA applied)</v>
          </cell>
        </row>
        <row r="32">
          <cell r="A32" t="str">
            <v>NPS pool not Allocated</v>
          </cell>
          <cell r="D32">
            <v>20090</v>
          </cell>
        </row>
        <row r="33">
          <cell r="A33" t="str">
            <v>Balance to NPS Pool</v>
          </cell>
          <cell r="D33">
            <v>0</v>
          </cell>
        </row>
        <row r="34">
          <cell r="A34" t="str">
            <v>Balance for Growth/under Ave. District &amp; special need</v>
          </cell>
          <cell r="D34">
            <v>0</v>
          </cell>
        </row>
        <row r="35">
          <cell r="A35" t="str">
            <v>Growth/Under Ave.</v>
          </cell>
          <cell r="C35">
            <v>0.8</v>
          </cell>
          <cell r="D35">
            <v>0</v>
          </cell>
        </row>
        <row r="36">
          <cell r="A36" t="str">
            <v>Special Need</v>
          </cell>
          <cell r="C36">
            <v>0.19999999999999996</v>
          </cell>
          <cell r="D36">
            <v>0</v>
          </cell>
        </row>
        <row r="37">
          <cell r="D37">
            <v>0</v>
          </cell>
        </row>
      </sheetData>
      <sheetData sheetId="53"/>
      <sheetData sheetId="54"/>
      <sheetData sheetId="55"/>
      <sheetData sheetId="56"/>
      <sheetData sheetId="57"/>
      <sheetData sheetId="58"/>
      <sheetData sheetId="5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2000-01 restated for ADA (jun)"/>
      <sheetName val="02-03mayrevise (old)"/>
      <sheetName val="charter"/>
      <sheetName val="02-03mayrevise"/>
      <sheetName val="growth"/>
      <sheetName val="Sheet4"/>
      <sheetName val="01-02mayrevise"/>
      <sheetName val="2001-02 (jan2002)"/>
      <sheetName val="federal"/>
      <sheetName val="00-01 amended ada"/>
      <sheetName val="2000-01 restated for ADA"/>
      <sheetName val="ratio"/>
      <sheetName val="01-02ADA update"/>
      <sheetName val="01-02 p2 detail"/>
      <sheetName val="02-03"/>
      <sheetName val="p-1sum (2)"/>
      <sheetName val="cashflow"/>
      <sheetName val="p-2sum(rev)"/>
      <sheetName val="2001-02 (sept)"/>
      <sheetName val="2001-02"/>
      <sheetName val="2000-01 (may) "/>
      <sheetName val="ada00 (2)"/>
      <sheetName val="july bottom line (99-00)march01"/>
      <sheetName val="p-2sum"/>
      <sheetName val="summary"/>
      <sheetName val="Sheet5"/>
      <sheetName val="p-1sum"/>
      <sheetName val="datafor mtg"/>
      <sheetName val="2000-01cashflow (jan)"/>
      <sheetName val="2000-01 fullfund"/>
      <sheetName val="2000-01cashflow"/>
      <sheetName val="coerec99"/>
      <sheetName val="july bottom line (99-00)"/>
      <sheetName val="june bottom (old)"/>
      <sheetName val="coerev (2)"/>
      <sheetName val="ada99"/>
      <sheetName val="Sheet3"/>
      <sheetName val="2000-01 (sept)"/>
      <sheetName val="2000-01 cash (sept)"/>
      <sheetName val="2000-01 cash"/>
      <sheetName val="2000-01"/>
      <sheetName val="marchcash"/>
      <sheetName val="marchbottomline"/>
      <sheetName val="94142 alloc"/>
      <sheetName val="1999-00 - aug00 update"/>
      <sheetName val="reconcile to cde mar00"/>
      <sheetName val="npsinfant"/>
      <sheetName val="Sheet2"/>
      <sheetName val="00-01"/>
      <sheetName val="Sheet1"/>
      <sheetName val="cashflow00"/>
      <sheetName val="5 year-1 (janupdate)"/>
      <sheetName val="5 year-1"/>
      <sheetName val="cashflow 99"/>
      <sheetName val="coerev"/>
      <sheetName val="neg"/>
      <sheetName val="spedper ada"/>
      <sheetName val="2000-01 (jan)  (2)"/>
      <sheetName val="indian"/>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
          <cell r="A1" t="str">
            <v>1999-00 Formula Distribution</v>
          </cell>
        </row>
        <row r="2">
          <cell r="A2" t="str">
            <v>1) Calculation of   TARGET &amp; District Average COLA &amp; split between base &amp; growth/under ave districts</v>
          </cell>
        </row>
        <row r="3">
          <cell r="A3" t="str">
            <v>1998-99 Rate</v>
          </cell>
          <cell r="C3">
            <v>239.68</v>
          </cell>
        </row>
        <row r="4">
          <cell r="A4" t="str">
            <v>1998-99 COLA</v>
          </cell>
          <cell r="C4">
            <v>5.23</v>
          </cell>
          <cell r="D4">
            <v>2.18E-2</v>
          </cell>
        </row>
        <row r="5">
          <cell r="A5" t="str">
            <v>COLA</v>
          </cell>
          <cell r="B5">
            <v>244.91</v>
          </cell>
          <cell r="C5">
            <v>3.45</v>
          </cell>
          <cell r="D5">
            <v>1.41E-2</v>
          </cell>
        </row>
        <row r="6">
          <cell r="A6" t="str">
            <v>target = average + cola</v>
          </cell>
          <cell r="C6">
            <v>248.35999999999999</v>
          </cell>
        </row>
        <row r="7">
          <cell r="A7" t="str">
            <v>Split</v>
          </cell>
          <cell r="B7">
            <v>0.15</v>
          </cell>
          <cell r="C7">
            <v>0.52</v>
          </cell>
          <cell r="D7" t="str">
            <v>(50/50 split 98-99, 85/15 split 99-00</v>
          </cell>
        </row>
        <row r="9">
          <cell r="A9" t="str">
            <v>2) COLA calculation   for SELPA</v>
          </cell>
        </row>
        <row r="10">
          <cell r="A10" t="str">
            <v xml:space="preserve">1998-99 est. SELPA K-12 ADA  </v>
          </cell>
          <cell r="C10">
            <v>21891</v>
          </cell>
          <cell r="D10" t="str">
            <v>(includes coe &amp; sfork ada)</v>
          </cell>
        </row>
        <row r="11">
          <cell r="A11" t="str">
            <v>State Average</v>
          </cell>
          <cell r="B11">
            <v>443.08</v>
          </cell>
        </row>
        <row r="12">
          <cell r="A12" t="str">
            <v>COLA x St Ave</v>
          </cell>
          <cell r="B12">
            <v>1.41E-2</v>
          </cell>
          <cell r="C12">
            <v>6.25</v>
          </cell>
        </row>
        <row r="13">
          <cell r="A13" t="str">
            <v>ADA x COLA</v>
          </cell>
          <cell r="B13">
            <v>21891</v>
          </cell>
          <cell r="C13">
            <v>6.25</v>
          </cell>
          <cell r="D13">
            <v>136819</v>
          </cell>
        </row>
        <row r="14">
          <cell r="A14" t="str">
            <v>EDCOE</v>
          </cell>
          <cell r="B14">
            <v>2.0000000000000001E-4</v>
          </cell>
          <cell r="C14">
            <v>3999986</v>
          </cell>
          <cell r="D14">
            <v>0.42049999999999998</v>
          </cell>
          <cell r="E14">
            <v>57533</v>
          </cell>
        </row>
        <row r="15">
          <cell r="A15" t="str">
            <v>EDUHS</v>
          </cell>
          <cell r="C15">
            <v>164120</v>
          </cell>
          <cell r="D15">
            <v>1.72E-2</v>
          </cell>
          <cell r="E15">
            <v>2353</v>
          </cell>
        </row>
        <row r="16">
          <cell r="A16" t="str">
            <v>Ppines</v>
          </cell>
          <cell r="C16">
            <v>50888</v>
          </cell>
          <cell r="D16">
            <v>5.3E-3</v>
          </cell>
          <cell r="E16">
            <v>725</v>
          </cell>
        </row>
        <row r="17">
          <cell r="A17" t="str">
            <v>District Base amount</v>
          </cell>
          <cell r="C17">
            <v>5066493</v>
          </cell>
          <cell r="D17">
            <v>0.53239999999999998</v>
          </cell>
          <cell r="E17">
            <v>72842</v>
          </cell>
        </row>
        <row r="18">
          <cell r="A18" t="str">
            <v>NPS POOL</v>
          </cell>
          <cell r="C18">
            <v>234559</v>
          </cell>
          <cell r="D18">
            <v>2.46E-2</v>
          </cell>
          <cell r="E18">
            <v>3366</v>
          </cell>
        </row>
        <row r="19">
          <cell r="A19" t="str">
            <v>Total</v>
          </cell>
          <cell r="B19">
            <v>9893186</v>
          </cell>
          <cell r="C19">
            <v>9516046</v>
          </cell>
          <cell r="D19">
            <v>1</v>
          </cell>
          <cell r="E19">
            <v>136819</v>
          </cell>
        </row>
        <row r="20">
          <cell r="A20" t="str">
            <v>Amount for "Base"</v>
          </cell>
          <cell r="B20">
            <v>0.15</v>
          </cell>
          <cell r="C20">
            <v>5066493</v>
          </cell>
          <cell r="D20">
            <v>5081297</v>
          </cell>
          <cell r="E20">
            <v>14804</v>
          </cell>
        </row>
        <row r="21">
          <cell r="A21" t="str">
            <v>Balance for Growth/under Ave. District</v>
          </cell>
          <cell r="E21">
            <v>58038</v>
          </cell>
          <cell r="F21" t="str">
            <v>(85% share of cola to below target)</v>
          </cell>
        </row>
        <row r="22">
          <cell r="A22" t="str">
            <v xml:space="preserve">  </v>
          </cell>
          <cell r="B22" t="str">
            <v>Total District COLA $</v>
          </cell>
          <cell r="E22">
            <v>72842</v>
          </cell>
        </row>
        <row r="24">
          <cell r="A24" t="str">
            <v>3) GROWTH Calculation (NPS/Special Needs/Growth)</v>
          </cell>
        </row>
        <row r="25">
          <cell r="D25" t="str">
            <v>Variance</v>
          </cell>
        </row>
        <row r="26">
          <cell r="A26" t="str">
            <v>Growth ADA</v>
          </cell>
          <cell r="D26">
            <v>0</v>
          </cell>
        </row>
        <row r="27">
          <cell r="A27" t="str">
            <v>State Average</v>
          </cell>
          <cell r="B27">
            <v>443.08</v>
          </cell>
          <cell r="C27">
            <v>6.25</v>
          </cell>
          <cell r="D27">
            <v>449.33</v>
          </cell>
        </row>
        <row r="28">
          <cell r="A28" t="str">
            <v>Pro-ration (e.g. if statewide deficit &amp; not fully funded)</v>
          </cell>
          <cell r="D28">
            <v>1</v>
          </cell>
        </row>
        <row r="29">
          <cell r="A29" t="str">
            <v>ADA x state average x pro ration</v>
          </cell>
          <cell r="D29">
            <v>0</v>
          </cell>
          <cell r="E29" t="str">
            <v>ESTIMATED</v>
          </cell>
        </row>
        <row r="30">
          <cell r="A30" t="str">
            <v>Regional requests funded first</v>
          </cell>
          <cell r="E30" t="str">
            <v>No requests for 1999-00</v>
          </cell>
        </row>
        <row r="31">
          <cell r="A31" t="str">
            <v>NPS Pool Increase</v>
          </cell>
          <cell r="B31">
            <v>0.1</v>
          </cell>
          <cell r="C31">
            <v>23456</v>
          </cell>
          <cell r="D31">
            <v>20090</v>
          </cell>
          <cell r="E31" t="str">
            <v>(less COLA applied)</v>
          </cell>
        </row>
        <row r="32">
          <cell r="A32" t="str">
            <v>NPS pool not Allocated</v>
          </cell>
          <cell r="D32">
            <v>20090</v>
          </cell>
        </row>
        <row r="33">
          <cell r="A33" t="str">
            <v>Balance to NPS Pool</v>
          </cell>
          <cell r="D33">
            <v>0</v>
          </cell>
        </row>
        <row r="34">
          <cell r="A34" t="str">
            <v>Balance for Growth/under Ave. District &amp; special need</v>
          </cell>
          <cell r="D34">
            <v>0</v>
          </cell>
        </row>
        <row r="35">
          <cell r="A35" t="str">
            <v>Growth/Under Ave.</v>
          </cell>
          <cell r="C35">
            <v>0.8</v>
          </cell>
          <cell r="D35">
            <v>0</v>
          </cell>
        </row>
        <row r="36">
          <cell r="A36" t="str">
            <v>Special Need</v>
          </cell>
          <cell r="C36">
            <v>0.19999999999999996</v>
          </cell>
          <cell r="D36">
            <v>0</v>
          </cell>
        </row>
        <row r="37">
          <cell r="D37">
            <v>0</v>
          </cell>
        </row>
      </sheetData>
      <sheetData sheetId="53"/>
      <sheetData sheetId="54"/>
      <sheetData sheetId="55"/>
      <sheetData sheetId="56"/>
      <sheetData sheetId="57"/>
      <sheetData sheetId="58"/>
      <sheetData sheetId="5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2000-01 restated for ADA (jun)"/>
      <sheetName val="02-03mayrevise (old)"/>
      <sheetName val="charter"/>
      <sheetName val="02-03mayrevise"/>
      <sheetName val="growth"/>
      <sheetName val="Sheet4"/>
      <sheetName val="01-02mayrevise"/>
      <sheetName val="2001-02 (jan2002)"/>
      <sheetName val="federal"/>
      <sheetName val="00-01 amended ada"/>
      <sheetName val="2000-01 restated for ADA"/>
      <sheetName val="ratio"/>
      <sheetName val="01-02ADA update"/>
      <sheetName val="01-02 p2 detail"/>
      <sheetName val="02-03"/>
      <sheetName val="p-1sum (2)"/>
      <sheetName val="cashflow"/>
      <sheetName val="p-2sum(rev)"/>
      <sheetName val="2001-02 (sept)"/>
      <sheetName val="2001-02"/>
      <sheetName val="2000-01 (may) "/>
      <sheetName val="ada00 (2)"/>
      <sheetName val="july bottom line (99-00)march01"/>
      <sheetName val="p-2sum"/>
      <sheetName val="summary"/>
      <sheetName val="Sheet5"/>
      <sheetName val="p-1sum"/>
      <sheetName val="datafor mtg"/>
      <sheetName val="2000-01cashflow (jan)"/>
      <sheetName val="2000-01 fullfund"/>
      <sheetName val="2000-01cashflow"/>
      <sheetName val="coerec99"/>
      <sheetName val="july bottom line (99-00)"/>
      <sheetName val="june bottom (old)"/>
      <sheetName val="coerev (2)"/>
      <sheetName val="ada99"/>
      <sheetName val="Sheet3"/>
      <sheetName val="2000-01 (sept)"/>
      <sheetName val="2000-01 cash (sept)"/>
      <sheetName val="2000-01 cash"/>
      <sheetName val="2000-01"/>
      <sheetName val="marchcash"/>
      <sheetName val="marchbottomline"/>
      <sheetName val="94142 alloc"/>
      <sheetName val="1999-00 - aug00 update"/>
      <sheetName val="reconcile to cde mar00"/>
      <sheetName val="npsinfant"/>
      <sheetName val="Sheet2"/>
      <sheetName val="00-01"/>
      <sheetName val="Sheet1"/>
      <sheetName val="cashflow00"/>
      <sheetName val="5 year-1 (janupdate)"/>
      <sheetName val="5 year-1"/>
      <sheetName val="cashflow 99"/>
      <sheetName val="coerev"/>
      <sheetName val="neg"/>
      <sheetName val="spedper ada"/>
      <sheetName val="2000-01 (jan)  (2)"/>
      <sheetName val="indian"/>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
          <cell r="A1" t="str">
            <v>1999-00 Formula Distribution</v>
          </cell>
        </row>
        <row r="2">
          <cell r="A2" t="str">
            <v>1) Calculation of   TARGET &amp; District Average COLA &amp; split between base &amp; growth/under ave districts</v>
          </cell>
        </row>
        <row r="3">
          <cell r="A3" t="str">
            <v>1998-99 Rate</v>
          </cell>
          <cell r="C3">
            <v>239.68</v>
          </cell>
        </row>
        <row r="4">
          <cell r="A4" t="str">
            <v>1998-99 COLA</v>
          </cell>
          <cell r="C4">
            <v>5.23</v>
          </cell>
          <cell r="D4">
            <v>2.18E-2</v>
          </cell>
        </row>
        <row r="5">
          <cell r="A5" t="str">
            <v>COLA</v>
          </cell>
          <cell r="B5">
            <v>244.91</v>
          </cell>
          <cell r="C5">
            <v>3.45</v>
          </cell>
          <cell r="D5">
            <v>1.41E-2</v>
          </cell>
        </row>
        <row r="6">
          <cell r="A6" t="str">
            <v>target = average + cola</v>
          </cell>
          <cell r="C6">
            <v>248.35999999999999</v>
          </cell>
        </row>
        <row r="7">
          <cell r="A7" t="str">
            <v>Split</v>
          </cell>
          <cell r="B7">
            <v>0.15</v>
          </cell>
          <cell r="C7">
            <v>0.52</v>
          </cell>
          <cell r="D7" t="str">
            <v>(50/50 split 98-99, 85/15 split 99-00</v>
          </cell>
        </row>
        <row r="9">
          <cell r="A9" t="str">
            <v>2) COLA calculation   for SELPA</v>
          </cell>
        </row>
        <row r="10">
          <cell r="A10" t="str">
            <v xml:space="preserve">1998-99 est. SELPA K-12 ADA  </v>
          </cell>
          <cell r="C10">
            <v>21891</v>
          </cell>
          <cell r="D10" t="str">
            <v>(includes coe &amp; sfork ada)</v>
          </cell>
        </row>
        <row r="11">
          <cell r="A11" t="str">
            <v>State Average</v>
          </cell>
          <cell r="B11">
            <v>443.08</v>
          </cell>
        </row>
        <row r="12">
          <cell r="A12" t="str">
            <v>COLA x St Ave</v>
          </cell>
          <cell r="B12">
            <v>1.41E-2</v>
          </cell>
          <cell r="C12">
            <v>6.25</v>
          </cell>
        </row>
        <row r="13">
          <cell r="A13" t="str">
            <v>ADA x COLA</v>
          </cell>
          <cell r="B13">
            <v>21891</v>
          </cell>
          <cell r="C13">
            <v>6.25</v>
          </cell>
          <cell r="D13">
            <v>136819</v>
          </cell>
        </row>
        <row r="14">
          <cell r="A14" t="str">
            <v>EDCOE</v>
          </cell>
          <cell r="B14">
            <v>2.0000000000000001E-4</v>
          </cell>
          <cell r="C14">
            <v>3999986</v>
          </cell>
          <cell r="D14">
            <v>0.42049999999999998</v>
          </cell>
          <cell r="E14">
            <v>57533</v>
          </cell>
        </row>
        <row r="15">
          <cell r="A15" t="str">
            <v>EDUHS</v>
          </cell>
          <cell r="C15">
            <v>164120</v>
          </cell>
          <cell r="D15">
            <v>1.72E-2</v>
          </cell>
          <cell r="E15">
            <v>2353</v>
          </cell>
        </row>
        <row r="16">
          <cell r="A16" t="str">
            <v>Ppines</v>
          </cell>
          <cell r="C16">
            <v>50888</v>
          </cell>
          <cell r="D16">
            <v>5.3E-3</v>
          </cell>
          <cell r="E16">
            <v>725</v>
          </cell>
        </row>
        <row r="17">
          <cell r="A17" t="str">
            <v>District Base amount</v>
          </cell>
          <cell r="C17">
            <v>5066493</v>
          </cell>
          <cell r="D17">
            <v>0.53239999999999998</v>
          </cell>
          <cell r="E17">
            <v>72842</v>
          </cell>
        </row>
        <row r="18">
          <cell r="A18" t="str">
            <v>NPS POOL</v>
          </cell>
          <cell r="C18">
            <v>234559</v>
          </cell>
          <cell r="D18">
            <v>2.46E-2</v>
          </cell>
          <cell r="E18">
            <v>3366</v>
          </cell>
        </row>
        <row r="19">
          <cell r="A19" t="str">
            <v>Total</v>
          </cell>
          <cell r="B19">
            <v>9893186</v>
          </cell>
          <cell r="C19">
            <v>9516046</v>
          </cell>
          <cell r="D19">
            <v>1</v>
          </cell>
          <cell r="E19">
            <v>136819</v>
          </cell>
        </row>
        <row r="20">
          <cell r="A20" t="str">
            <v>Amount for "Base"</v>
          </cell>
          <cell r="B20">
            <v>0.15</v>
          </cell>
          <cell r="C20">
            <v>5066493</v>
          </cell>
          <cell r="D20">
            <v>5081297</v>
          </cell>
          <cell r="E20">
            <v>14804</v>
          </cell>
        </row>
        <row r="21">
          <cell r="A21" t="str">
            <v>Balance for Growth/under Ave. District</v>
          </cell>
          <cell r="E21">
            <v>58038</v>
          </cell>
          <cell r="F21" t="str">
            <v>(85% share of cola to below target)</v>
          </cell>
        </row>
        <row r="22">
          <cell r="A22" t="str">
            <v xml:space="preserve">  </v>
          </cell>
          <cell r="B22" t="str">
            <v>Total District COLA $</v>
          </cell>
          <cell r="E22">
            <v>72842</v>
          </cell>
        </row>
        <row r="24">
          <cell r="A24" t="str">
            <v>3) GROWTH Calculation (NPS/Special Needs/Growth)</v>
          </cell>
        </row>
        <row r="25">
          <cell r="D25" t="str">
            <v>Variance</v>
          </cell>
        </row>
        <row r="26">
          <cell r="A26" t="str">
            <v>Growth ADA</v>
          </cell>
          <cell r="D26">
            <v>0</v>
          </cell>
        </row>
        <row r="27">
          <cell r="A27" t="str">
            <v>State Average</v>
          </cell>
          <cell r="B27">
            <v>443.08</v>
          </cell>
          <cell r="C27">
            <v>6.25</v>
          </cell>
          <cell r="D27">
            <v>449.33</v>
          </cell>
        </row>
        <row r="28">
          <cell r="A28" t="str">
            <v>Pro-ration (e.g. if statewide deficit &amp; not fully funded)</v>
          </cell>
          <cell r="D28">
            <v>1</v>
          </cell>
        </row>
        <row r="29">
          <cell r="A29" t="str">
            <v>ADA x state average x pro ration</v>
          </cell>
          <cell r="D29">
            <v>0</v>
          </cell>
          <cell r="E29" t="str">
            <v>ESTIMATED</v>
          </cell>
        </row>
        <row r="30">
          <cell r="A30" t="str">
            <v>Regional requests funded first</v>
          </cell>
          <cell r="E30" t="str">
            <v>No requests for 1999-00</v>
          </cell>
        </row>
        <row r="31">
          <cell r="A31" t="str">
            <v>NPS Pool Increase</v>
          </cell>
          <cell r="B31">
            <v>0.1</v>
          </cell>
          <cell r="C31">
            <v>23456</v>
          </cell>
          <cell r="D31">
            <v>20090</v>
          </cell>
          <cell r="E31" t="str">
            <v>(less COLA applied)</v>
          </cell>
        </row>
        <row r="32">
          <cell r="A32" t="str">
            <v>NPS pool not Allocated</v>
          </cell>
          <cell r="D32">
            <v>20090</v>
          </cell>
        </row>
        <row r="33">
          <cell r="A33" t="str">
            <v>Balance to NPS Pool</v>
          </cell>
          <cell r="D33">
            <v>0</v>
          </cell>
        </row>
        <row r="34">
          <cell r="A34" t="str">
            <v>Balance for Growth/under Ave. District &amp; special need</v>
          </cell>
          <cell r="D34">
            <v>0</v>
          </cell>
        </row>
        <row r="35">
          <cell r="A35" t="str">
            <v>Growth/Under Ave.</v>
          </cell>
          <cell r="C35">
            <v>0.8</v>
          </cell>
          <cell r="D35">
            <v>0</v>
          </cell>
        </row>
        <row r="36">
          <cell r="A36" t="str">
            <v>Special Need</v>
          </cell>
          <cell r="C36">
            <v>0.19999999999999996</v>
          </cell>
          <cell r="D36">
            <v>0</v>
          </cell>
        </row>
        <row r="37">
          <cell r="D37">
            <v>0</v>
          </cell>
        </row>
      </sheetData>
      <sheetData sheetId="53"/>
      <sheetData sheetId="54"/>
      <sheetData sheetId="55"/>
      <sheetData sheetId="56"/>
      <sheetData sheetId="57"/>
      <sheetData sheetId="58"/>
      <sheetData sheetId="5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Con-Ap"/>
      <sheetName val="Con-Ap Transfer"/>
      <sheetName val="Auditors"/>
      <sheetName val="District Name"/>
      <sheetName val="Payment Schedule"/>
    </sheetNames>
    <sheetDataSet>
      <sheetData sheetId="0"/>
      <sheetData sheetId="1"/>
      <sheetData sheetId="2"/>
      <sheetData sheetId="3">
        <row r="1">
          <cell r="A1"/>
        </row>
      </sheetData>
      <sheetData sheetId="4">
        <row r="1">
          <cell r="A1"/>
        </row>
      </sheetData>
      <sheetData sheetId="5">
        <row r="1">
          <cell r="A1"/>
          <cell r="B1" t="str">
            <v>MONTH</v>
          </cell>
          <cell r="C1" t="str">
            <v>BLANK</v>
          </cell>
          <cell r="D1" t="str">
            <v>*</v>
          </cell>
          <cell r="E1" t="str">
            <v>**</v>
          </cell>
          <cell r="F1" t="str">
            <v>Apportion</v>
          </cell>
          <cell r="G1" t="str">
            <v>Spec Pur</v>
          </cell>
          <cell r="H1" t="str">
            <v>Other</v>
          </cell>
        </row>
        <row r="2">
          <cell r="A2">
            <v>1</v>
          </cell>
          <cell r="B2" t="str">
            <v>JANUARY, 2002</v>
          </cell>
          <cell r="C2">
            <v>0.08</v>
          </cell>
          <cell r="D2">
            <v>0.06</v>
          </cell>
          <cell r="E2">
            <v>0.06</v>
          </cell>
        </row>
        <row r="3">
          <cell r="A3">
            <v>2</v>
          </cell>
          <cell r="B3" t="str">
            <v>FEBRUARY RE-APPORTIONMENT</v>
          </cell>
          <cell r="C3">
            <v>0.33333333333333331</v>
          </cell>
          <cell r="D3">
            <v>0.33333333333333331</v>
          </cell>
          <cell r="E3">
            <v>0</v>
          </cell>
        </row>
        <row r="4">
          <cell r="A4">
            <v>3</v>
          </cell>
          <cell r="B4" t="str">
            <v>MARCH, 2002</v>
          </cell>
          <cell r="C4">
            <v>0.16666666666666666</v>
          </cell>
          <cell r="D4">
            <v>0.16666666666666666</v>
          </cell>
          <cell r="E4">
            <v>0</v>
          </cell>
        </row>
        <row r="5">
          <cell r="A5">
            <v>4</v>
          </cell>
          <cell r="B5" t="str">
            <v>APRIL, 2002</v>
          </cell>
          <cell r="C5">
            <v>0.16666666666666666</v>
          </cell>
          <cell r="D5">
            <v>0.16666666666666666</v>
          </cell>
          <cell r="E5">
            <v>0</v>
          </cell>
        </row>
        <row r="6">
          <cell r="A6">
            <v>5</v>
          </cell>
          <cell r="B6" t="str">
            <v>MAY, 2002</v>
          </cell>
          <cell r="C6">
            <v>0.16666666666666666</v>
          </cell>
          <cell r="D6">
            <v>0.16666666666666666</v>
          </cell>
          <cell r="E6">
            <v>0</v>
          </cell>
        </row>
        <row r="7">
          <cell r="A7">
            <v>6</v>
          </cell>
          <cell r="B7" t="str">
            <v>JUNE, 2002</v>
          </cell>
          <cell r="C7" t="str">
            <v>BALANCE</v>
          </cell>
          <cell r="D7" t="str">
            <v>BALANCE</v>
          </cell>
          <cell r="E7" t="str">
            <v>BALANCE</v>
          </cell>
        </row>
        <row r="8">
          <cell r="A8">
            <v>7</v>
          </cell>
          <cell r="B8" t="str">
            <v>JULY, 2001</v>
          </cell>
          <cell r="C8">
            <v>0.06</v>
          </cell>
          <cell r="D8">
            <v>0.15</v>
          </cell>
          <cell r="E8">
            <v>0.15</v>
          </cell>
          <cell r="F8">
            <v>7195260</v>
          </cell>
          <cell r="G8">
            <v>0</v>
          </cell>
          <cell r="H8">
            <v>0</v>
          </cell>
        </row>
        <row r="9">
          <cell r="A9">
            <v>8</v>
          </cell>
          <cell r="B9" t="str">
            <v>AUGUST, 2001</v>
          </cell>
          <cell r="C9">
            <v>0.12</v>
          </cell>
          <cell r="D9">
            <v>0.15</v>
          </cell>
          <cell r="E9">
            <v>0.3</v>
          </cell>
          <cell r="F9">
            <v>11565835</v>
          </cell>
        </row>
        <row r="10">
          <cell r="A10">
            <v>9</v>
          </cell>
          <cell r="B10" t="str">
            <v>SEPTEMBER, 2001</v>
          </cell>
          <cell r="C10">
            <v>0.08</v>
          </cell>
          <cell r="D10">
            <v>0.15</v>
          </cell>
          <cell r="E10">
            <v>0.3</v>
          </cell>
        </row>
        <row r="11">
          <cell r="A11">
            <v>10</v>
          </cell>
          <cell r="B11" t="str">
            <v>OCTOBER, 2001</v>
          </cell>
          <cell r="C11">
            <v>0.08</v>
          </cell>
          <cell r="D11">
            <v>0.15</v>
          </cell>
          <cell r="E11">
            <v>0.15</v>
          </cell>
        </row>
        <row r="12">
          <cell r="A12">
            <v>11</v>
          </cell>
          <cell r="B12" t="str">
            <v>NOVEMBER, 2001</v>
          </cell>
          <cell r="C12">
            <v>0.08</v>
          </cell>
          <cell r="D12">
            <v>0</v>
          </cell>
          <cell r="E12">
            <v>0</v>
          </cell>
        </row>
        <row r="13">
          <cell r="A13">
            <v>12</v>
          </cell>
          <cell r="B13" t="str">
            <v>DECEMBER, 2001</v>
          </cell>
          <cell r="C13">
            <v>0.08</v>
          </cell>
          <cell r="D13">
            <v>0</v>
          </cell>
          <cell r="E13">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Con-Ap"/>
      <sheetName val="Con-Ap Transfer"/>
      <sheetName val="Auditors"/>
      <sheetName val="District Name"/>
      <sheetName val="Payment Schedule"/>
    </sheetNames>
    <sheetDataSet>
      <sheetData sheetId="0"/>
      <sheetData sheetId="1"/>
      <sheetData sheetId="2"/>
      <sheetData sheetId="3">
        <row r="1">
          <cell r="A1"/>
        </row>
      </sheetData>
      <sheetData sheetId="4">
        <row r="1">
          <cell r="A1"/>
        </row>
      </sheetData>
      <sheetData sheetId="5">
        <row r="1">
          <cell r="A1"/>
          <cell r="B1" t="str">
            <v>MONTH</v>
          </cell>
          <cell r="C1" t="str">
            <v>BLANK</v>
          </cell>
          <cell r="D1" t="str">
            <v>*</v>
          </cell>
          <cell r="E1" t="str">
            <v>**</v>
          </cell>
          <cell r="F1" t="str">
            <v>Apportion</v>
          </cell>
          <cell r="G1" t="str">
            <v>Spec Pur</v>
          </cell>
          <cell r="H1" t="str">
            <v>Other</v>
          </cell>
        </row>
        <row r="2">
          <cell r="A2">
            <v>1</v>
          </cell>
          <cell r="B2" t="str">
            <v>JANUARY, 2002</v>
          </cell>
          <cell r="C2">
            <v>0.08</v>
          </cell>
          <cell r="D2">
            <v>0.06</v>
          </cell>
          <cell r="E2">
            <v>0.06</v>
          </cell>
        </row>
        <row r="3">
          <cell r="A3">
            <v>2</v>
          </cell>
          <cell r="B3" t="str">
            <v>FEBRUARY RE-APPORTIONMENT</v>
          </cell>
          <cell r="C3">
            <v>0.33333333333333331</v>
          </cell>
          <cell r="D3">
            <v>0.33333333333333331</v>
          </cell>
          <cell r="E3">
            <v>0</v>
          </cell>
        </row>
        <row r="4">
          <cell r="A4">
            <v>3</v>
          </cell>
          <cell r="B4" t="str">
            <v>MARCH, 2002</v>
          </cell>
          <cell r="C4">
            <v>0.16666666666666666</v>
          </cell>
          <cell r="D4">
            <v>0.16666666666666666</v>
          </cell>
          <cell r="E4">
            <v>0</v>
          </cell>
        </row>
        <row r="5">
          <cell r="A5">
            <v>4</v>
          </cell>
          <cell r="B5" t="str">
            <v>APRIL, 2002</v>
          </cell>
          <cell r="C5">
            <v>0.16666666666666666</v>
          </cell>
          <cell r="D5">
            <v>0.16666666666666666</v>
          </cell>
          <cell r="E5">
            <v>0</v>
          </cell>
        </row>
        <row r="6">
          <cell r="A6">
            <v>5</v>
          </cell>
          <cell r="B6" t="str">
            <v>MAY, 2002</v>
          </cell>
          <cell r="C6">
            <v>0.16666666666666666</v>
          </cell>
          <cell r="D6">
            <v>0.16666666666666666</v>
          </cell>
          <cell r="E6">
            <v>0</v>
          </cell>
        </row>
        <row r="7">
          <cell r="A7">
            <v>6</v>
          </cell>
          <cell r="B7" t="str">
            <v>JUNE, 2002</v>
          </cell>
          <cell r="C7" t="str">
            <v>BALANCE</v>
          </cell>
          <cell r="D7" t="str">
            <v>BALANCE</v>
          </cell>
          <cell r="E7" t="str">
            <v>BALANCE</v>
          </cell>
        </row>
        <row r="8">
          <cell r="A8">
            <v>7</v>
          </cell>
          <cell r="B8" t="str">
            <v>JULY, 2001</v>
          </cell>
          <cell r="C8">
            <v>0.06</v>
          </cell>
          <cell r="D8">
            <v>0.15</v>
          </cell>
          <cell r="E8">
            <v>0.15</v>
          </cell>
          <cell r="F8">
            <v>7195260</v>
          </cell>
          <cell r="G8">
            <v>0</v>
          </cell>
          <cell r="H8">
            <v>0</v>
          </cell>
        </row>
        <row r="9">
          <cell r="A9">
            <v>8</v>
          </cell>
          <cell r="B9" t="str">
            <v>AUGUST, 2001</v>
          </cell>
          <cell r="C9">
            <v>0.12</v>
          </cell>
          <cell r="D9">
            <v>0.15</v>
          </cell>
          <cell r="E9">
            <v>0.3</v>
          </cell>
          <cell r="F9">
            <v>11565835</v>
          </cell>
        </row>
        <row r="10">
          <cell r="A10">
            <v>9</v>
          </cell>
          <cell r="B10" t="str">
            <v>SEPTEMBER, 2001</v>
          </cell>
          <cell r="C10">
            <v>0.08</v>
          </cell>
          <cell r="D10">
            <v>0.15</v>
          </cell>
          <cell r="E10">
            <v>0.3</v>
          </cell>
        </row>
        <row r="11">
          <cell r="A11">
            <v>10</v>
          </cell>
          <cell r="B11" t="str">
            <v>OCTOBER, 2001</v>
          </cell>
          <cell r="C11">
            <v>0.08</v>
          </cell>
          <cell r="D11">
            <v>0.15</v>
          </cell>
          <cell r="E11">
            <v>0.15</v>
          </cell>
        </row>
        <row r="12">
          <cell r="A12">
            <v>11</v>
          </cell>
          <cell r="B12" t="str">
            <v>NOVEMBER, 2001</v>
          </cell>
          <cell r="C12">
            <v>0.08</v>
          </cell>
          <cell r="D12">
            <v>0</v>
          </cell>
          <cell r="E12">
            <v>0</v>
          </cell>
        </row>
        <row r="13">
          <cell r="A13">
            <v>12</v>
          </cell>
          <cell r="B13" t="str">
            <v>DECEMBER, 2001</v>
          </cell>
          <cell r="C13">
            <v>0.08</v>
          </cell>
          <cell r="D13">
            <v>0</v>
          </cell>
          <cell r="E13">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Con-Ap"/>
      <sheetName val="Con-Ap Transfer"/>
      <sheetName val="Auditors"/>
      <sheetName val="District Name"/>
      <sheetName val="Payment Schedule"/>
    </sheetNames>
    <sheetDataSet>
      <sheetData sheetId="0"/>
      <sheetData sheetId="1"/>
      <sheetData sheetId="2"/>
      <sheetData sheetId="3">
        <row r="1">
          <cell r="A1" t="str">
            <v/>
          </cell>
        </row>
      </sheetData>
      <sheetData sheetId="4">
        <row r="1">
          <cell r="A1" t="str">
            <v/>
          </cell>
        </row>
      </sheetData>
      <sheetData sheetId="5">
        <row r="1">
          <cell r="A1" t="str">
            <v/>
          </cell>
          <cell r="B1" t="str">
            <v>MONTH</v>
          </cell>
          <cell r="C1" t="str">
            <v>BLANK</v>
          </cell>
          <cell r="D1" t="str">
            <v>*</v>
          </cell>
          <cell r="E1" t="str">
            <v>**</v>
          </cell>
          <cell r="F1" t="str">
            <v>Apportion</v>
          </cell>
          <cell r="G1" t="str">
            <v>Spec Pur</v>
          </cell>
          <cell r="H1" t="str">
            <v>Other</v>
          </cell>
        </row>
        <row r="2">
          <cell r="A2">
            <v>1</v>
          </cell>
          <cell r="B2" t="str">
            <v>JANUARY, 2002</v>
          </cell>
          <cell r="C2">
            <v>0.08</v>
          </cell>
          <cell r="D2">
            <v>0.06</v>
          </cell>
          <cell r="E2">
            <v>0.06</v>
          </cell>
        </row>
        <row r="3">
          <cell r="A3">
            <v>2</v>
          </cell>
          <cell r="B3" t="str">
            <v>FEBRUARY RE-APPORTIONMENT</v>
          </cell>
          <cell r="C3">
            <v>0.33333333333333331</v>
          </cell>
          <cell r="D3">
            <v>0.33333333333333331</v>
          </cell>
          <cell r="E3">
            <v>0</v>
          </cell>
        </row>
        <row r="4">
          <cell r="A4">
            <v>3</v>
          </cell>
          <cell r="B4" t="str">
            <v>MARCH, 2002</v>
          </cell>
          <cell r="C4">
            <v>0.16666666666666666</v>
          </cell>
          <cell r="D4">
            <v>0.16666666666666666</v>
          </cell>
          <cell r="E4">
            <v>0</v>
          </cell>
        </row>
        <row r="5">
          <cell r="A5">
            <v>4</v>
          </cell>
          <cell r="B5" t="str">
            <v>APRIL, 2002</v>
          </cell>
          <cell r="C5">
            <v>0.16666666666666666</v>
          </cell>
          <cell r="D5">
            <v>0.16666666666666666</v>
          </cell>
          <cell r="E5">
            <v>0</v>
          </cell>
        </row>
        <row r="6">
          <cell r="A6">
            <v>5</v>
          </cell>
          <cell r="B6" t="str">
            <v>MAY, 2002</v>
          </cell>
          <cell r="C6">
            <v>0.16666666666666666</v>
          </cell>
          <cell r="D6">
            <v>0.16666666666666666</v>
          </cell>
          <cell r="E6">
            <v>0</v>
          </cell>
        </row>
        <row r="7">
          <cell r="A7">
            <v>6</v>
          </cell>
          <cell r="B7" t="str">
            <v>JUNE, 2002</v>
          </cell>
          <cell r="C7" t="str">
            <v>BALANCE</v>
          </cell>
          <cell r="D7" t="str">
            <v>BALANCE</v>
          </cell>
          <cell r="E7" t="str">
            <v>BALANCE</v>
          </cell>
        </row>
        <row r="8">
          <cell r="A8">
            <v>7</v>
          </cell>
          <cell r="B8" t="str">
            <v>JULY, 2001</v>
          </cell>
          <cell r="C8">
            <v>0.06</v>
          </cell>
          <cell r="D8">
            <v>0.15</v>
          </cell>
          <cell r="E8">
            <v>0.15</v>
          </cell>
          <cell r="F8">
            <v>7195260</v>
          </cell>
          <cell r="G8">
            <v>0</v>
          </cell>
          <cell r="H8">
            <v>0</v>
          </cell>
        </row>
        <row r="9">
          <cell r="A9">
            <v>8</v>
          </cell>
          <cell r="B9" t="str">
            <v>AUGUST, 2001</v>
          </cell>
          <cell r="C9">
            <v>0.12</v>
          </cell>
          <cell r="D9">
            <v>0.15</v>
          </cell>
          <cell r="E9">
            <v>0.3</v>
          </cell>
          <cell r="F9">
            <v>11565835</v>
          </cell>
        </row>
        <row r="10">
          <cell r="A10">
            <v>9</v>
          </cell>
          <cell r="B10" t="str">
            <v>SEPTEMBER, 2001</v>
          </cell>
          <cell r="C10">
            <v>0.08</v>
          </cell>
          <cell r="D10">
            <v>0.15</v>
          </cell>
          <cell r="E10">
            <v>0.3</v>
          </cell>
        </row>
        <row r="11">
          <cell r="A11">
            <v>10</v>
          </cell>
          <cell r="B11" t="str">
            <v>OCTOBER, 2001</v>
          </cell>
          <cell r="C11">
            <v>0.08</v>
          </cell>
          <cell r="D11">
            <v>0.15</v>
          </cell>
          <cell r="E11">
            <v>0.15</v>
          </cell>
        </row>
        <row r="12">
          <cell r="A12">
            <v>11</v>
          </cell>
          <cell r="B12" t="str">
            <v>NOVEMBER, 2001</v>
          </cell>
          <cell r="C12">
            <v>0.08</v>
          </cell>
          <cell r="D12">
            <v>0</v>
          </cell>
          <cell r="E12">
            <v>0</v>
          </cell>
        </row>
        <row r="13">
          <cell r="A13">
            <v>12</v>
          </cell>
          <cell r="B13" t="str">
            <v>DECEMBER, 2001</v>
          </cell>
          <cell r="C13">
            <v>0.08</v>
          </cell>
          <cell r="D13">
            <v>0</v>
          </cell>
          <cell r="E1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CDS"/>
      <sheetName val="MYP wreductions"/>
      <sheetName val="MYP"/>
      <sheetName val="CHANGE IN EXP FROM ADOPTED"/>
      <sheetName val="rev9_24_03"/>
      <sheetName val="p pines"/>
      <sheetName val="rl 2004"/>
      <sheetName val="rl2005"/>
      <sheetName val="rl2006"/>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CDS"/>
      <sheetName val="MYP wreductions"/>
      <sheetName val="MYP"/>
      <sheetName val="CHANGE IN EXP FROM ADOPTED"/>
      <sheetName val="rev9_24_03"/>
      <sheetName val="p pines"/>
      <sheetName val="rl 2004"/>
      <sheetName val="rl2005"/>
      <sheetName val="rl2006"/>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Transfer Form "/>
      <sheetName val="spec ed cashflow"/>
      <sheetName val="Auditors"/>
      <sheetName val="SHELLY"/>
      <sheetName val="District Name"/>
      <sheetName val="Payment Schedule"/>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sheetName val="Transfer Form "/>
      <sheetName val="spec ed cashflow"/>
      <sheetName val="Auditors"/>
      <sheetName val="SHELLY"/>
      <sheetName val="District Name"/>
      <sheetName val="Payment Schedule"/>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sheetName val="SHELLY"/>
      <sheetName val="ADV TOTALS jul_jan"/>
      <sheetName val="PRIN_ RECON"/>
      <sheetName val="mastersum"/>
      <sheetName val="spec ed cashflow"/>
      <sheetName val="Auditors"/>
      <sheetName val="Payment Schedule"/>
      <sheetName val="sp pur sum"/>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nnis Nguyen" refreshedDate="44560.728662152775" createdVersion="7" refreshedVersion="7" minRefreshableVersion="3" recordCount="105" xr:uid="{14FA5A6C-0603-41FC-93E5-BEC29E634CC3}">
  <cacheSource type="worksheet">
    <worksheetSource ref="B4:D76" sheet="SAGE BREAKDOWN"/>
  </cacheSource>
  <cacheFields count="3">
    <cacheField name="RESOURCE" numFmtId="0">
      <sharedItems count="15">
        <s v="0000"/>
        <s v="3182"/>
        <s v="1400"/>
        <s v="1100"/>
        <s v="6300"/>
        <s v="7425"/>
        <s v="3310"/>
        <s v="3010"/>
        <s v="4035"/>
        <s v="4127"/>
        <s v="3212" u="1"/>
        <s v="6500" u="1"/>
        <s v="4203" u="1"/>
        <s v="5310" u="1"/>
        <s v="4610" u="1"/>
      </sharedItems>
    </cacheField>
    <cacheField name="FULL" numFmtId="0">
      <sharedItems/>
    </cacheField>
    <cacheField name="AMOUNT" numFmtId="43">
      <sharedItems containsSemiMixedTypes="0" containsString="0" containsNumber="1" minValue="-4780643" maxValue="2148272.576993096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nnis Nguyen" refreshedDate="44560.728686111113" createdVersion="7" refreshedVersion="7" minRefreshableVersion="3" recordCount="105" xr:uid="{5CCB4AEA-E48B-4071-A708-F5240445B8CC}">
  <cacheSource type="worksheet">
    <worksheetSource ref="H4:J76" sheet="SAGE BREAKDOWN"/>
  </cacheSource>
  <cacheFields count="3">
    <cacheField name="RESOURCE" numFmtId="0">
      <sharedItems count="15">
        <s v="0000"/>
        <s v="3182"/>
        <s v="1400"/>
        <s v="1100"/>
        <s v="6300"/>
        <s v="7425"/>
        <s v="3310"/>
        <s v="3010"/>
        <s v="4035"/>
        <s v="4127"/>
        <s v="3212" u="1"/>
        <s v="6500" u="1"/>
        <s v="4203" u="1"/>
        <s v="5310" u="1"/>
        <s v="4610" u="1"/>
      </sharedItems>
    </cacheField>
    <cacheField name="FULL" numFmtId="0">
      <sharedItems/>
    </cacheField>
    <cacheField name="AMOUNT" numFmtId="43">
      <sharedItems containsSemiMixedTypes="0" containsString="0" containsNumber="1" minValue="-3264228.6072999984" maxValue="3566576.273847316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nnis Nguyen" refreshedDate="44560.728727430556" createdVersion="7" refreshedVersion="7" minRefreshableVersion="3" recordCount="105" xr:uid="{49F21244-9512-470D-945B-3ADE246B7A38}">
  <cacheSource type="worksheet">
    <worksheetSource ref="N4:P76" sheet="SAGE BREAKDOWN"/>
  </cacheSource>
  <cacheFields count="3">
    <cacheField name="RESOURCE" numFmtId="0">
      <sharedItems count="17">
        <s v="0000"/>
        <s v="3182"/>
        <s v="1400"/>
        <s v="1100"/>
        <s v="6300"/>
        <s v="7425"/>
        <s v="3310"/>
        <s v="3010"/>
        <s v="4035"/>
        <s v="4127"/>
        <s v="6310" u="1"/>
        <s v="3212" u="1"/>
        <s v="6500" u="1"/>
        <s v="4203" u="1"/>
        <s v="7311" u="1"/>
        <s v="5310" u="1"/>
        <s v="4610" u="1"/>
      </sharedItems>
    </cacheField>
    <cacheField name="FULL" numFmtId="0">
      <sharedItems/>
    </cacheField>
    <cacheField name="AMOUNT" numFmtId="43">
      <sharedItems containsSemiMixedTypes="0" containsString="0" containsNumber="1" minValue="-7413836" maxValue="3016160.159159586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x v="0"/>
    <s v="11000700000"/>
    <n v="2148272.5769930966"/>
  </r>
  <r>
    <x v="0"/>
    <s v="11050700000"/>
    <n v="0"/>
  </r>
  <r>
    <x v="0"/>
    <s v="11200700000"/>
    <n v="0"/>
  </r>
  <r>
    <x v="0"/>
    <s v="12000700000"/>
    <n v="264697.51488106063"/>
  </r>
  <r>
    <x v="0"/>
    <s v="13000700000"/>
    <n v="378484.15392727288"/>
  </r>
  <r>
    <x v="0"/>
    <s v="13050700000"/>
    <n v="0"/>
  </r>
  <r>
    <x v="0"/>
    <s v="19000700000"/>
    <n v="0"/>
  </r>
  <r>
    <x v="0"/>
    <s v="19100700000"/>
    <n v="0"/>
  </r>
  <r>
    <x v="0"/>
    <s v="21000700000"/>
    <n v="47525.001820853853"/>
  </r>
  <r>
    <x v="0"/>
    <s v="21100700000"/>
    <n v="0"/>
  </r>
  <r>
    <x v="0"/>
    <s v="22000700000"/>
    <n v="391142.51388619782"/>
  </r>
  <r>
    <x v="0"/>
    <s v="22100700000"/>
    <n v="0"/>
  </r>
  <r>
    <x v="0"/>
    <s v="23000700000"/>
    <n v="181054.89936182433"/>
  </r>
  <r>
    <x v="0"/>
    <s v="24000700000"/>
    <n v="156757.7513958886"/>
  </r>
  <r>
    <x v="0"/>
    <s v="24100700000"/>
    <n v="0"/>
  </r>
  <r>
    <x v="0"/>
    <s v="29000700000"/>
    <n v="0"/>
  </r>
  <r>
    <x v="0"/>
    <s v="29050700000"/>
    <n v="0"/>
  </r>
  <r>
    <x v="0"/>
    <s v="29100700000"/>
    <n v="0"/>
  </r>
  <r>
    <x v="0"/>
    <s v="31010700000"/>
    <n v="472314.05838960194"/>
  </r>
  <r>
    <x v="0"/>
    <s v="32020700000"/>
    <n v="0"/>
  </r>
  <r>
    <x v="0"/>
    <s v="33010700000"/>
    <n v="0"/>
  </r>
  <r>
    <x v="0"/>
    <s v="33020700000"/>
    <n v="0"/>
  </r>
  <r>
    <x v="0"/>
    <s v="33130700000"/>
    <n v="49658.834808329484"/>
  </r>
  <r>
    <x v="0"/>
    <s v="33230700000"/>
    <n v="54164.885914709113"/>
  </r>
  <r>
    <x v="0"/>
    <s v="34010700000"/>
    <n v="0"/>
  </r>
  <r>
    <x v="0"/>
    <s v="34020700000"/>
    <n v="0"/>
  </r>
  <r>
    <x v="0"/>
    <s v="34030700000"/>
    <n v="488532.14378191665"/>
  </r>
  <r>
    <x v="0"/>
    <s v="35010700000"/>
    <n v="0"/>
  </r>
  <r>
    <x v="0"/>
    <s v="35020700000"/>
    <n v="0"/>
  </r>
  <r>
    <x v="0"/>
    <s v="35030700000"/>
    <n v="27763.012222957121"/>
  </r>
  <r>
    <x v="0"/>
    <s v="36010700000"/>
    <n v="0"/>
  </r>
  <r>
    <x v="0"/>
    <s v="36020700000"/>
    <n v="0"/>
  </r>
  <r>
    <x v="0"/>
    <s v="36030700000"/>
    <n v="40717.052170367533"/>
  </r>
  <r>
    <x v="0"/>
    <s v="37030700000"/>
    <n v="0"/>
  </r>
  <r>
    <x v="0"/>
    <s v="39010700000"/>
    <n v="0"/>
  </r>
  <r>
    <x v="0"/>
    <s v="39020700000"/>
    <n v="0"/>
  </r>
  <r>
    <x v="0"/>
    <s v="39030700000"/>
    <n v="20700.133295136904"/>
  </r>
  <r>
    <x v="0"/>
    <s v="41000700000"/>
    <n v="934291.59932918649"/>
  </r>
  <r>
    <x v="0"/>
    <s v="41010700000"/>
    <n v="14981.208330367213"/>
  </r>
  <r>
    <x v="0"/>
    <s v="41020700000"/>
    <n v="26244.146048572653"/>
  </r>
  <r>
    <x v="0"/>
    <s v="42000700000"/>
    <n v="7873.2438145717961"/>
  </r>
  <r>
    <x v="1"/>
    <s v="42150703182"/>
    <n v="0"/>
  </r>
  <r>
    <x v="0"/>
    <s v="43000700000"/>
    <n v="5248.8292097145304"/>
  </r>
  <r>
    <x v="0"/>
    <s v="43150700000"/>
    <n v="0"/>
  </r>
  <r>
    <x v="0"/>
    <s v="43810700000"/>
    <n v="0"/>
  </r>
  <r>
    <x v="0"/>
    <s v="44000700000"/>
    <n v="6561.0365121431632"/>
  </r>
  <r>
    <x v="0"/>
    <s v="44100700000"/>
    <n v="41692.985695306357"/>
  </r>
  <r>
    <x v="0"/>
    <s v="44300700000"/>
    <n v="2624.4146048572652"/>
  </r>
  <r>
    <x v="0"/>
    <s v="47000700000"/>
    <n v="0"/>
  </r>
  <r>
    <x v="0"/>
    <s v="52000700000"/>
    <n v="26244.146048572653"/>
  </r>
  <r>
    <x v="0"/>
    <s v="52100700000"/>
    <n v="91854.511170004291"/>
  </r>
  <r>
    <x v="0"/>
    <s v="53000700000"/>
    <n v="18370.902234000856"/>
  </r>
  <r>
    <x v="0"/>
    <s v="54000700000"/>
    <n v="19683.109536429489"/>
  </r>
  <r>
    <x v="0"/>
    <s v="55000700000"/>
    <n v="1574.6487629143592"/>
  </r>
  <r>
    <x v="0"/>
    <s v="55010700000"/>
    <n v="656.1036512143163"/>
  </r>
  <r>
    <x v="0"/>
    <s v="55050700000"/>
    <n v="0"/>
  </r>
  <r>
    <x v="0"/>
    <s v="56000700000"/>
    <n v="22999.293586981079"/>
  </r>
  <r>
    <x v="0"/>
    <s v="56010700000"/>
    <n v="0"/>
  </r>
  <r>
    <x v="0"/>
    <s v="56020700000"/>
    <n v="13122.073024286326"/>
  </r>
  <r>
    <x v="0"/>
    <s v="56030700000"/>
    <n v="1312.2073024286326"/>
  </r>
  <r>
    <x v="0"/>
    <s v="56100700000"/>
    <n v="0"/>
  </r>
  <r>
    <x v="0"/>
    <s v="58000700000"/>
    <n v="45927.255585002145"/>
  </r>
  <r>
    <x v="0"/>
    <s v="58030700000"/>
    <n v="3149.2975258287183"/>
  </r>
  <r>
    <x v="0"/>
    <s v="58050700000"/>
    <n v="52488.292097145306"/>
  </r>
  <r>
    <x v="0"/>
    <s v="58060700000"/>
    <n v="5248.8292097145304"/>
  </r>
  <r>
    <x v="0"/>
    <s v="58070700000"/>
    <n v="0"/>
  </r>
  <r>
    <x v="0"/>
    <s v="58090700000"/>
    <n v="13122.073024286326"/>
  </r>
  <r>
    <x v="0"/>
    <s v="58100700000"/>
    <n v="288685.60653429921"/>
  </r>
  <r>
    <x v="0"/>
    <s v="58110700000"/>
    <n v="0"/>
  </r>
  <r>
    <x v="0"/>
    <s v="58120700000"/>
    <n v="0"/>
  </r>
  <r>
    <x v="0"/>
    <s v="58150700000"/>
    <n v="39366.219072858978"/>
  </r>
  <r>
    <x v="0"/>
    <s v="58200700000"/>
    <n v="0"/>
  </r>
  <r>
    <x v="0"/>
    <s v="58300700000"/>
    <n v="39366.219072858978"/>
  </r>
  <r>
    <x v="0"/>
    <s v="58730700000"/>
    <n v="129438.22784324421"/>
  </r>
  <r>
    <x v="0"/>
    <s v="58740700000"/>
    <n v="393.66219072858979"/>
  </r>
  <r>
    <x v="0"/>
    <s v="58750700000"/>
    <n v="59979.592839000004"/>
  </r>
  <r>
    <x v="0"/>
    <s v="58770700000"/>
    <n v="62329.84686536005"/>
  </r>
  <r>
    <x v="0"/>
    <s v="58900700000"/>
    <n v="78.732438145717964"/>
  </r>
  <r>
    <x v="0"/>
    <s v="58910700000"/>
    <n v="0"/>
  </r>
  <r>
    <x v="0"/>
    <s v="59000700000"/>
    <n v="26244.146048572653"/>
  </r>
  <r>
    <x v="0"/>
    <s v="59010700000"/>
    <n v="262.44146048572651"/>
  </r>
  <r>
    <x v="0"/>
    <s v="69000700000"/>
    <n v="0"/>
  </r>
  <r>
    <x v="0"/>
    <s v="70100700000"/>
    <n v="0"/>
  </r>
  <r>
    <x v="0"/>
    <s v="74380700000"/>
    <n v="0"/>
  </r>
  <r>
    <x v="0"/>
    <s v="80110700000"/>
    <n v="-4780643"/>
  </r>
  <r>
    <x v="2"/>
    <s v="80120701400"/>
    <n v="-127185.99999999999"/>
  </r>
  <r>
    <x v="0"/>
    <s v="80960700000"/>
    <n v="-1090130.2838999999"/>
  </r>
  <r>
    <x v="0"/>
    <s v="80190700000"/>
    <n v="0"/>
  </r>
  <r>
    <x v="0"/>
    <s v="85200700000"/>
    <n v="0"/>
  </r>
  <r>
    <x v="3"/>
    <s v="85610701100"/>
    <n v="-95389.499999999985"/>
  </r>
  <r>
    <x v="4"/>
    <s v="85620706300"/>
    <n v="-31160.569999999996"/>
  </r>
  <r>
    <x v="0"/>
    <s v="85500700000"/>
    <n v="-13398.281299999999"/>
  </r>
  <r>
    <x v="5"/>
    <s v="85900707425"/>
    <n v="-61530.299999999996"/>
  </r>
  <r>
    <x v="0"/>
    <s v="85990700000"/>
    <n v="0"/>
  </r>
  <r>
    <x v="6"/>
    <s v="81810703310"/>
    <n v="-77106.512499999997"/>
  </r>
  <r>
    <x v="0"/>
    <s v="82200700000"/>
    <n v="0"/>
  </r>
  <r>
    <x v="0"/>
    <s v="82900700000"/>
    <n v="-301735.81"/>
  </r>
  <r>
    <x v="7"/>
    <s v="82910703010"/>
    <n v="-57295"/>
  </r>
  <r>
    <x v="8"/>
    <s v="82920704035"/>
    <n v="-14417"/>
  </r>
  <r>
    <x v="0"/>
    <s v="82930700000"/>
    <n v="0"/>
  </r>
  <r>
    <x v="9"/>
    <s v="82940704127"/>
    <n v="-10000"/>
  </r>
  <r>
    <x v="0"/>
    <s v="82950700000"/>
    <n v="0"/>
  </r>
  <r>
    <x v="0"/>
    <s v="82990700000"/>
    <n v="0"/>
  </r>
  <r>
    <x v="0"/>
    <s v="86600700000"/>
    <n v="-254"/>
  </r>
  <r>
    <x v="0"/>
    <s v="86820700000"/>
    <n v="-45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x v="0"/>
    <s v="11000200000"/>
    <n v="3566576.2738473169"/>
  </r>
  <r>
    <x v="0"/>
    <s v="11050200000"/>
    <n v="0"/>
  </r>
  <r>
    <x v="0"/>
    <s v="11200200000"/>
    <n v="0"/>
  </r>
  <r>
    <x v="0"/>
    <s v="12000200000"/>
    <n v="372265.37562846899"/>
  </r>
  <r>
    <x v="0"/>
    <s v="13000200000"/>
    <n v="532292.66543915262"/>
  </r>
  <r>
    <x v="0"/>
    <s v="13050200000"/>
    <n v="0"/>
  </r>
  <r>
    <x v="0"/>
    <s v="19000200000"/>
    <n v="0"/>
  </r>
  <r>
    <x v="0"/>
    <s v="19100200000"/>
    <n v="0"/>
  </r>
  <r>
    <x v="0"/>
    <s v="21000200000"/>
    <n v="134038.22725926811"/>
  </r>
  <r>
    <x v="0"/>
    <s v="21100200000"/>
    <n v="0"/>
  </r>
  <r>
    <x v="0"/>
    <s v="22000200000"/>
    <n v="550095.13376631832"/>
  </r>
  <r>
    <x v="0"/>
    <s v="22100200000"/>
    <n v="0"/>
  </r>
  <r>
    <x v="0"/>
    <s v="23000200000"/>
    <n v="254632.04726568726"/>
  </r>
  <r>
    <x v="0"/>
    <s v="24000200000"/>
    <n v="220461.01653914704"/>
  </r>
  <r>
    <x v="0"/>
    <s v="24100200000"/>
    <n v="0"/>
  </r>
  <r>
    <x v="0"/>
    <s v="29000200000"/>
    <n v="26035.200000000001"/>
  </r>
  <r>
    <x v="0"/>
    <s v="29050200000"/>
    <n v="0"/>
  </r>
  <r>
    <x v="0"/>
    <s v="29100200000"/>
    <n v="0"/>
  </r>
  <r>
    <x v="0"/>
    <s v="31010200000"/>
    <n v="756515.92608360748"/>
  </r>
  <r>
    <x v="0"/>
    <s v="32020200000"/>
    <n v="0"/>
  </r>
  <r>
    <x v="0"/>
    <s v="33010200000"/>
    <n v="0"/>
  </r>
  <r>
    <x v="0"/>
    <s v="33020200000"/>
    <n v="0"/>
  </r>
  <r>
    <x v="0"/>
    <s v="33130200000"/>
    <n v="69839.207978592094"/>
  </r>
  <r>
    <x v="0"/>
    <s v="33230200000"/>
    <n v="76176.429574613619"/>
  </r>
  <r>
    <x v="0"/>
    <s v="34010200000"/>
    <n v="0"/>
  </r>
  <r>
    <x v="0"/>
    <s v="34020200000"/>
    <n v="0"/>
  </r>
  <r>
    <x v="0"/>
    <s v="34030200000"/>
    <n v="687061.99260418129"/>
  </r>
  <r>
    <x v="0"/>
    <s v="35010200000"/>
    <n v="0"/>
  </r>
  <r>
    <x v="0"/>
    <s v="35020200000"/>
    <n v="0"/>
  </r>
  <r>
    <x v="0"/>
    <s v="35030200000"/>
    <n v="39045.354008710434"/>
  </r>
  <r>
    <x v="0"/>
    <s v="36010200000"/>
    <n v="0"/>
  </r>
  <r>
    <x v="0"/>
    <s v="36020200000"/>
    <n v="0"/>
  </r>
  <r>
    <x v="0"/>
    <s v="36030200000"/>
    <n v="57263.660852640576"/>
  </r>
  <r>
    <x v="0"/>
    <s v="37030200000"/>
    <n v="0"/>
  </r>
  <r>
    <x v="0"/>
    <s v="39010200000"/>
    <n v="0"/>
  </r>
  <r>
    <x v="0"/>
    <s v="39020200000"/>
    <n v="0"/>
  </r>
  <r>
    <x v="0"/>
    <s v="39030200000"/>
    <n v="29112.260083499885"/>
  </r>
  <r>
    <x v="0"/>
    <s v="41000200000"/>
    <n v="1178969.3182502501"/>
  </r>
  <r>
    <x v="0"/>
    <s v="41010200000"/>
    <n v="21069.276562639683"/>
  </r>
  <r>
    <x v="0"/>
    <s v="41020200000"/>
    <n v="36909.250512647472"/>
  </r>
  <r>
    <x v="0"/>
    <s v="42000200000"/>
    <n v="11072.775153794242"/>
  </r>
  <r>
    <x v="1"/>
    <s v="42150203182"/>
    <n v="177547"/>
  </r>
  <r>
    <x v="0"/>
    <s v="43000200000"/>
    <n v="7381.8501025294945"/>
  </r>
  <r>
    <x v="0"/>
    <s v="43150200000"/>
    <n v="2000"/>
  </r>
  <r>
    <x v="0"/>
    <s v="43810200000"/>
    <n v="0"/>
  </r>
  <r>
    <x v="0"/>
    <s v="44000200000"/>
    <n v="9227.3126281618679"/>
  </r>
  <r>
    <x v="0"/>
    <s v="44100200000"/>
    <n v="58636.194555546768"/>
  </r>
  <r>
    <x v="0"/>
    <s v="44300200000"/>
    <n v="3690.9250512647473"/>
  </r>
  <r>
    <x v="0"/>
    <s v="47000200000"/>
    <n v="500"/>
  </r>
  <r>
    <x v="0"/>
    <s v="52000200000"/>
    <n v="36909.250512647472"/>
  </r>
  <r>
    <x v="0"/>
    <s v="52100200000"/>
    <n v="129182.37679426615"/>
  </r>
  <r>
    <x v="0"/>
    <s v="53000200000"/>
    <n v="25836.475358853233"/>
  </r>
  <r>
    <x v="0"/>
    <s v="54000200000"/>
    <n v="27681.937884485604"/>
  </r>
  <r>
    <x v="0"/>
    <s v="55000200000"/>
    <n v="2214.5550307588483"/>
  </r>
  <r>
    <x v="0"/>
    <s v="55010200000"/>
    <n v="922.73126281618681"/>
  </r>
  <r>
    <x v="0"/>
    <s v="55050200000"/>
    <n v="0"/>
  </r>
  <r>
    <x v="0"/>
    <s v="56000200000"/>
    <n v="76220.753870013228"/>
  </r>
  <r>
    <x v="0"/>
    <s v="56010200000"/>
    <n v="0"/>
  </r>
  <r>
    <x v="0"/>
    <s v="56020200000"/>
    <n v="18454.625256323736"/>
  </r>
  <r>
    <x v="0"/>
    <s v="56030200000"/>
    <n v="1845.4625256323736"/>
  </r>
  <r>
    <x v="0"/>
    <s v="56100200000"/>
    <n v="0"/>
  </r>
  <r>
    <x v="0"/>
    <s v="58000200000"/>
    <n v="64591.188397133075"/>
  </r>
  <r>
    <x v="0"/>
    <s v="58030200000"/>
    <n v="4429.1100615176965"/>
  </r>
  <r>
    <x v="0"/>
    <s v="58050200000"/>
    <n v="73818.501025294943"/>
  </r>
  <r>
    <x v="0"/>
    <s v="58060200000"/>
    <n v="7381.8501025294945"/>
  </r>
  <r>
    <x v="0"/>
    <s v="58070200000"/>
    <n v="0"/>
  </r>
  <r>
    <x v="0"/>
    <s v="58090200000"/>
    <n v="18454.625256323736"/>
  </r>
  <r>
    <x v="0"/>
    <s v="58100200000"/>
    <n v="406001.75563912222"/>
  </r>
  <r>
    <x v="0"/>
    <s v="58110200000"/>
    <n v="0"/>
  </r>
  <r>
    <x v="0"/>
    <s v="58120200000"/>
    <n v="0"/>
  </r>
  <r>
    <x v="0"/>
    <s v="58150200000"/>
    <n v="55363.875768971207"/>
  </r>
  <r>
    <x v="0"/>
    <s v="58200200000"/>
    <n v="0"/>
  </r>
  <r>
    <x v="0"/>
    <s v="58300200000"/>
    <n v="55363.875768971207"/>
  </r>
  <r>
    <x v="0"/>
    <s v="58730200000"/>
    <n v="182039.37626841836"/>
  </r>
  <r>
    <x v="0"/>
    <s v="58740200000"/>
    <n v="553.63875768971207"/>
  </r>
  <r>
    <x v="0"/>
    <s v="58750200000"/>
    <n v="80120.185297000004"/>
  </r>
  <r>
    <x v="0"/>
    <s v="58770200000"/>
    <n v="87659.469967537749"/>
  </r>
  <r>
    <x v="0"/>
    <s v="58900200000"/>
    <n v="110.72775153794242"/>
  </r>
  <r>
    <x v="0"/>
    <s v="58910200000"/>
    <n v="0"/>
  </r>
  <r>
    <x v="0"/>
    <s v="59000200000"/>
    <n v="36909.250512647472"/>
  </r>
  <r>
    <x v="0"/>
    <s v="59010200000"/>
    <n v="369.09250512647475"/>
  </r>
  <r>
    <x v="0"/>
    <s v="69000200000"/>
    <n v="0"/>
  </r>
  <r>
    <x v="0"/>
    <s v="70100200000"/>
    <n v="0"/>
  </r>
  <r>
    <x v="0"/>
    <s v="74380200000"/>
    <n v="0"/>
  </r>
  <r>
    <x v="0"/>
    <s v="80110200000"/>
    <n v="-3264228.6072999984"/>
  </r>
  <r>
    <x v="2"/>
    <s v="80120201400"/>
    <n v="-3155397.3927000016"/>
  </r>
  <r>
    <x v="0"/>
    <s v="80960200000"/>
    <n v="-1592392.5297000001"/>
  </r>
  <r>
    <x v="0"/>
    <s v="80190200000"/>
    <n v="0"/>
  </r>
  <r>
    <x v="0"/>
    <s v="85200200000"/>
    <n v="0"/>
  </r>
  <r>
    <x v="3"/>
    <s v="85610201100"/>
    <n v="-122755.50000000001"/>
  </r>
  <r>
    <x v="4"/>
    <s v="85620206300"/>
    <n v="-40100.130000000005"/>
  </r>
  <r>
    <x v="0"/>
    <s v="85500200000"/>
    <n v="-20108.0177"/>
  </r>
  <r>
    <x v="5"/>
    <s v="85900207425"/>
    <n v="-141354.75"/>
  </r>
  <r>
    <x v="0"/>
    <s v="85990200000"/>
    <n v="0"/>
  </r>
  <r>
    <x v="6"/>
    <s v="81810203310"/>
    <n v="-99227.362500000017"/>
  </r>
  <r>
    <x v="0"/>
    <s v="82200200000"/>
    <n v="0"/>
  </r>
  <r>
    <x v="0"/>
    <s v="82900200000"/>
    <n v="-775247.99"/>
  </r>
  <r>
    <x v="7"/>
    <s v="82910203010"/>
    <n v="-102859"/>
  </r>
  <r>
    <x v="8"/>
    <s v="82920204035"/>
    <n v="-26653"/>
  </r>
  <r>
    <x v="0"/>
    <s v="82930200000"/>
    <n v="0"/>
  </r>
  <r>
    <x v="9"/>
    <s v="82940204127"/>
    <n v="-10000"/>
  </r>
  <r>
    <x v="0"/>
    <s v="82950200000"/>
    <n v="0"/>
  </r>
  <r>
    <x v="0"/>
    <s v="82990200000"/>
    <n v="0"/>
  </r>
  <r>
    <x v="0"/>
    <s v="86600200000"/>
    <n v="-51588"/>
  </r>
  <r>
    <x v="0"/>
    <s v="86820200000"/>
    <n v="-189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x v="0"/>
    <s v="11000400000"/>
    <n v="3016160.1591595868"/>
  </r>
  <r>
    <x v="0"/>
    <s v="11050400000"/>
    <n v="0"/>
  </r>
  <r>
    <x v="0"/>
    <s v="11200400000"/>
    <n v="0"/>
  </r>
  <r>
    <x v="0"/>
    <s v="12000400000"/>
    <n v="371633.51949047035"/>
  </r>
  <r>
    <x v="0"/>
    <s v="13000400000"/>
    <n v="531389.19063357462"/>
  </r>
  <r>
    <x v="0"/>
    <s v="13050400000"/>
    <n v="0"/>
  </r>
  <r>
    <x v="0"/>
    <s v="19000400000"/>
    <n v="0"/>
  </r>
  <r>
    <x v="0"/>
    <s v="19100400000"/>
    <n v="0"/>
  </r>
  <r>
    <x v="0"/>
    <s v="21000400000"/>
    <n v="66724.78091987806"/>
  </r>
  <r>
    <x v="0"/>
    <s v="21100400000"/>
    <n v="0"/>
  </r>
  <r>
    <x v="0"/>
    <s v="22000400000"/>
    <n v="549161.44234748406"/>
  </r>
  <r>
    <x v="0"/>
    <s v="22100400000"/>
    <n v="0"/>
  </r>
  <r>
    <x v="0"/>
    <s v="23000400000"/>
    <n v="254199.85337248849"/>
  </r>
  <r>
    <x v="0"/>
    <s v="24000400000"/>
    <n v="220086.82206496448"/>
  </r>
  <r>
    <x v="0"/>
    <s v="24100400000"/>
    <n v="0"/>
  </r>
  <r>
    <x v="0"/>
    <s v="29000400000"/>
    <n v="0"/>
  </r>
  <r>
    <x v="0"/>
    <s v="29050400000"/>
    <n v="0"/>
  </r>
  <r>
    <x v="0"/>
    <s v="29100400000"/>
    <n v="0"/>
  </r>
  <r>
    <x v="0"/>
    <s v="31010400000"/>
    <n v="663125.74148279044"/>
  </r>
  <r>
    <x v="0"/>
    <s v="32020400000"/>
    <n v="0"/>
  </r>
  <r>
    <x v="0"/>
    <s v="33010400000"/>
    <n v="0"/>
  </r>
  <r>
    <x v="0"/>
    <s v="33020400000"/>
    <n v="0"/>
  </r>
  <r>
    <x v="0"/>
    <s v="33130400000"/>
    <n v="69720.66799307843"/>
  </r>
  <r>
    <x v="0"/>
    <s v="33230400000"/>
    <n v="76047.133250677289"/>
  </r>
  <r>
    <x v="0"/>
    <s v="34010400000"/>
    <n v="0"/>
  </r>
  <r>
    <x v="0"/>
    <s v="34020400000"/>
    <n v="0"/>
  </r>
  <r>
    <x v="0"/>
    <s v="34030400000"/>
    <n v="685895.8236139022"/>
  </r>
  <r>
    <x v="0"/>
    <s v="35010400000"/>
    <n v="0"/>
  </r>
  <r>
    <x v="0"/>
    <s v="35020400000"/>
    <n v="0"/>
  </r>
  <r>
    <x v="0"/>
    <s v="35030400000"/>
    <n v="38979.081268332462"/>
  </r>
  <r>
    <x v="0"/>
    <s v="36010400000"/>
    <n v="0"/>
  </r>
  <r>
    <x v="0"/>
    <s v="36020400000"/>
    <n v="0"/>
  </r>
  <r>
    <x v="0"/>
    <s v="36030400000"/>
    <n v="57166.46568499189"/>
  </r>
  <r>
    <x v="0"/>
    <s v="37030400000"/>
    <n v="0"/>
  </r>
  <r>
    <x v="0"/>
    <s v="39010400000"/>
    <n v="0"/>
  </r>
  <r>
    <x v="0"/>
    <s v="39020400000"/>
    <n v="0"/>
  </r>
  <r>
    <x v="0"/>
    <s v="39030400000"/>
    <n v="29062.847053363206"/>
  </r>
  <r>
    <x v="0"/>
    <s v="41000400000"/>
    <n v="1311739.0824205638"/>
  </r>
  <r>
    <x v="0"/>
    <s v="41010400000"/>
    <n v="21033.515106993105"/>
  </r>
  <r>
    <x v="0"/>
    <s v="41020400000"/>
    <n v="36846.603438779879"/>
  </r>
  <r>
    <x v="0"/>
    <s v="42000400000"/>
    <n v="11053.981031633964"/>
  </r>
  <r>
    <x v="1"/>
    <s v="42150403182"/>
    <n v="177547"/>
  </r>
  <r>
    <x v="0"/>
    <s v="43000400000"/>
    <n v="7369.320687755976"/>
  </r>
  <r>
    <x v="0"/>
    <s v="43150400000"/>
    <n v="0"/>
  </r>
  <r>
    <x v="0"/>
    <s v="43810400000"/>
    <n v="0"/>
  </r>
  <r>
    <x v="0"/>
    <s v="44000400000"/>
    <n v="9211.6508596949698"/>
  </r>
  <r>
    <x v="0"/>
    <s v="44100400000"/>
    <n v="58536.669749146888"/>
  </r>
  <r>
    <x v="0"/>
    <s v="44300400000"/>
    <n v="3684.660343877988"/>
  </r>
  <r>
    <x v="0"/>
    <s v="47000400000"/>
    <n v="0"/>
  </r>
  <r>
    <x v="0"/>
    <s v="52000400000"/>
    <n v="36846.603438779879"/>
  </r>
  <r>
    <x v="0"/>
    <s v="52100400000"/>
    <n v="128963.11203572957"/>
  </r>
  <r>
    <x v="0"/>
    <s v="53000400000"/>
    <n v="25792.622407145915"/>
  </r>
  <r>
    <x v="0"/>
    <s v="54000400000"/>
    <n v="27634.952579084911"/>
  </r>
  <r>
    <x v="0"/>
    <s v="55000400000"/>
    <n v="2210.7962063267928"/>
  </r>
  <r>
    <x v="0"/>
    <s v="55010400000"/>
    <n v="921.165085969497"/>
  </r>
  <r>
    <x v="0"/>
    <s v="55050400000"/>
    <n v="0"/>
  </r>
  <r>
    <x v="0"/>
    <s v="56000400000"/>
    <n v="32290.852543005694"/>
  </r>
  <r>
    <x v="0"/>
    <s v="56010400000"/>
    <n v="0"/>
  </r>
  <r>
    <x v="0"/>
    <s v="56020400000"/>
    <n v="18423.30171938994"/>
  </r>
  <r>
    <x v="0"/>
    <s v="56030400000"/>
    <n v="1842.330171938994"/>
  </r>
  <r>
    <x v="0"/>
    <s v="56100400000"/>
    <n v="0"/>
  </r>
  <r>
    <x v="0"/>
    <s v="58000400000"/>
    <n v="64481.556017864787"/>
  </r>
  <r>
    <x v="0"/>
    <s v="58030400000"/>
    <n v="4421.5924126535856"/>
  </r>
  <r>
    <x v="0"/>
    <s v="58050400000"/>
    <n v="73693.206877559758"/>
  </r>
  <r>
    <x v="0"/>
    <s v="58060400000"/>
    <n v="7369.320687755976"/>
  </r>
  <r>
    <x v="0"/>
    <s v="58070400000"/>
    <n v="11307"/>
  </r>
  <r>
    <x v="0"/>
    <s v="58090400000"/>
    <n v="18423.30171938994"/>
  </r>
  <r>
    <x v="0"/>
    <s v="58100400000"/>
    <n v="405312.63782657869"/>
  </r>
  <r>
    <x v="0"/>
    <s v="58110400000"/>
    <n v="0"/>
  </r>
  <r>
    <x v="0"/>
    <s v="58120400000"/>
    <n v="0"/>
  </r>
  <r>
    <x v="0"/>
    <s v="58150400000"/>
    <n v="55269.905158169822"/>
  </r>
  <r>
    <x v="0"/>
    <s v="58200400000"/>
    <n v="0"/>
  </r>
  <r>
    <x v="0"/>
    <s v="58300400000"/>
    <n v="55269.905158169822"/>
  </r>
  <r>
    <x v="0"/>
    <s v="58730400000"/>
    <n v="181730.39588833746"/>
  </r>
  <r>
    <x v="0"/>
    <s v="58740400000"/>
    <n v="552.6990515816982"/>
  </r>
  <r>
    <x v="0"/>
    <s v="58750400000"/>
    <n v="79103.743247999999"/>
  </r>
  <r>
    <x v="0"/>
    <s v="58770400000"/>
    <n v="87510.683167102208"/>
  </r>
  <r>
    <x v="0"/>
    <s v="58900400000"/>
    <n v="110.53981031633964"/>
  </r>
  <r>
    <x v="0"/>
    <s v="58910400000"/>
    <n v="0"/>
  </r>
  <r>
    <x v="0"/>
    <s v="59000400000"/>
    <n v="36846.603438779879"/>
  </r>
  <r>
    <x v="0"/>
    <s v="59010400000"/>
    <n v="368.4660343877988"/>
  </r>
  <r>
    <x v="0"/>
    <s v="69000400000"/>
    <n v="0"/>
  </r>
  <r>
    <x v="0"/>
    <s v="70100400000"/>
    <n v="0"/>
  </r>
  <r>
    <x v="0"/>
    <s v="74380400000"/>
    <n v="0"/>
  </r>
  <r>
    <x v="0"/>
    <s v="80110400000"/>
    <n v="-7413836"/>
  </r>
  <r>
    <x v="2"/>
    <s v="80120401400"/>
    <n v="-159152"/>
  </r>
  <r>
    <x v="0"/>
    <s v="80960400000"/>
    <n v="-337386.3248"/>
  </r>
  <r>
    <x v="0"/>
    <s v="80190400000"/>
    <n v="0"/>
  </r>
  <r>
    <x v="0"/>
    <s v="85200400000"/>
    <n v="0"/>
  </r>
  <r>
    <x v="3"/>
    <s v="85610401100"/>
    <n v="-119364"/>
  </r>
  <r>
    <x v="4"/>
    <s v="85620406300"/>
    <n v="-38992.239999999998"/>
  </r>
  <r>
    <x v="0"/>
    <s v="85500400000"/>
    <n v="-19981.5936"/>
  </r>
  <r>
    <x v="5"/>
    <s v="85900407425"/>
    <n v="-96166.5"/>
  </r>
  <r>
    <x v="0"/>
    <s v="85990400000"/>
    <n v="0"/>
  </r>
  <r>
    <x v="6"/>
    <s v="81810403310"/>
    <n v="-96485.9"/>
  </r>
  <r>
    <x v="0"/>
    <s v="82200400000"/>
    <n v="0"/>
  </r>
  <r>
    <x v="0"/>
    <s v="82900400000"/>
    <n v="-965946.02"/>
  </r>
  <r>
    <x v="7"/>
    <s v="82910403010"/>
    <n v="-129369"/>
  </r>
  <r>
    <x v="8"/>
    <s v="82920404035"/>
    <n v="-24484"/>
  </r>
  <r>
    <x v="0"/>
    <s v="82930400000"/>
    <n v="0"/>
  </r>
  <r>
    <x v="9"/>
    <s v="82940404127"/>
    <n v="-10000"/>
  </r>
  <r>
    <x v="0"/>
    <s v="82950400000"/>
    <n v="0"/>
  </r>
  <r>
    <x v="0"/>
    <s v="82990400000"/>
    <n v="0"/>
  </r>
  <r>
    <x v="0"/>
    <s v="86600400000"/>
    <n v="-384"/>
  </r>
  <r>
    <x v="0"/>
    <s v="86820400000"/>
    <n v="-6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4469B1B-4EB3-445E-924E-83E547B02910}" name="PivotTable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2:B13" firstHeaderRow="1" firstDataRow="1" firstDataCol="1"/>
  <pivotFields count="3">
    <pivotField axis="axisRow" showAll="0">
      <items count="16">
        <item x="0"/>
        <item x="3"/>
        <item x="2"/>
        <item x="7"/>
        <item m="1" x="10"/>
        <item x="6"/>
        <item x="8"/>
        <item x="9"/>
        <item m="1" x="12"/>
        <item m="1" x="14"/>
        <item m="1" x="13"/>
        <item x="4"/>
        <item m="1" x="11"/>
        <item x="5"/>
        <item x="1"/>
        <item t="default"/>
      </items>
    </pivotField>
    <pivotField showAll="0"/>
    <pivotField dataField="1" showAll="0"/>
  </pivotFields>
  <rowFields count="1">
    <field x="0"/>
  </rowFields>
  <rowItems count="11">
    <i>
      <x/>
    </i>
    <i>
      <x v="1"/>
    </i>
    <i>
      <x v="2"/>
    </i>
    <i>
      <x v="3"/>
    </i>
    <i>
      <x v="5"/>
    </i>
    <i>
      <x v="6"/>
    </i>
    <i>
      <x v="7"/>
    </i>
    <i>
      <x v="11"/>
    </i>
    <i>
      <x v="13"/>
    </i>
    <i>
      <x v="14"/>
    </i>
    <i t="grand">
      <x/>
    </i>
  </rowItems>
  <colItems count="1">
    <i/>
  </colItems>
  <dataFields count="1">
    <dataField name="Sum of AMOUN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3A8831B-F424-4753-A2EE-F35A2E7A241C}" name="PivotTable7"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42:B53" firstHeaderRow="1" firstDataRow="1" firstDataCol="1"/>
  <pivotFields count="3">
    <pivotField axis="axisRow" showAll="0">
      <items count="18">
        <item x="0"/>
        <item x="3"/>
        <item x="2"/>
        <item x="7"/>
        <item m="1" x="11"/>
        <item x="6"/>
        <item x="8"/>
        <item x="9"/>
        <item m="1" x="13"/>
        <item m="1" x="16"/>
        <item m="1" x="15"/>
        <item x="4"/>
        <item m="1" x="12"/>
        <item x="5"/>
        <item m="1" x="14"/>
        <item m="1" x="10"/>
        <item x="1"/>
        <item t="default"/>
      </items>
    </pivotField>
    <pivotField showAll="0"/>
    <pivotField dataField="1" showAll="0"/>
  </pivotFields>
  <rowFields count="1">
    <field x="0"/>
  </rowFields>
  <rowItems count="11">
    <i>
      <x/>
    </i>
    <i>
      <x v="1"/>
    </i>
    <i>
      <x v="2"/>
    </i>
    <i>
      <x v="3"/>
    </i>
    <i>
      <x v="5"/>
    </i>
    <i>
      <x v="6"/>
    </i>
    <i>
      <x v="7"/>
    </i>
    <i>
      <x v="11"/>
    </i>
    <i>
      <x v="13"/>
    </i>
    <i>
      <x v="16"/>
    </i>
    <i t="grand">
      <x/>
    </i>
  </rowItems>
  <colItems count="1">
    <i/>
  </colItems>
  <dataFields count="1">
    <dataField name="Sum of AMOUN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DD437A5-9EF0-4D8D-A495-1CC6711B7EFA}" name="PivotTable6"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22:B33" firstHeaderRow="1" firstDataRow="1" firstDataCol="1"/>
  <pivotFields count="3">
    <pivotField axis="axisRow" showAll="0">
      <items count="16">
        <item x="0"/>
        <item x="3"/>
        <item x="2"/>
        <item x="7"/>
        <item m="1" x="10"/>
        <item x="6"/>
        <item x="8"/>
        <item x="9"/>
        <item m="1" x="12"/>
        <item m="1" x="14"/>
        <item m="1" x="13"/>
        <item x="4"/>
        <item m="1" x="11"/>
        <item x="5"/>
        <item x="1"/>
        <item t="default"/>
      </items>
    </pivotField>
    <pivotField showAll="0"/>
    <pivotField dataField="1" showAll="0"/>
  </pivotFields>
  <rowFields count="1">
    <field x="0"/>
  </rowFields>
  <rowItems count="11">
    <i>
      <x/>
    </i>
    <i>
      <x v="1"/>
    </i>
    <i>
      <x v="2"/>
    </i>
    <i>
      <x v="3"/>
    </i>
    <i>
      <x v="5"/>
    </i>
    <i>
      <x v="6"/>
    </i>
    <i>
      <x v="7"/>
    </i>
    <i>
      <x v="11"/>
    </i>
    <i>
      <x v="13"/>
    </i>
    <i>
      <x v="14"/>
    </i>
    <i t="grand">
      <x/>
    </i>
  </rowItems>
  <colItems count="1">
    <i/>
  </colItems>
  <dataFields count="1">
    <dataField name="Sum of AMOUN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F43A7-4447-4B09-9D9F-127481703A7E}">
  <sheetPr>
    <tabColor rgb="FFFFFF00"/>
    <pageSetUpPr fitToPage="1"/>
  </sheetPr>
  <dimension ref="D3:O43"/>
  <sheetViews>
    <sheetView topLeftCell="A20" workbookViewId="0">
      <selection activeCell="B23" sqref="B23"/>
    </sheetView>
  </sheetViews>
  <sheetFormatPr defaultColWidth="9.08984375" defaultRowHeight="14.75" x14ac:dyDescent="0.75"/>
  <cols>
    <col min="1" max="7" width="9.08984375" style="320"/>
    <col min="8" max="10" width="9.08984375" style="320" customWidth="1"/>
    <col min="11" max="11" width="9.08984375" style="320"/>
    <col min="12" max="15" width="9.08984375" style="320" customWidth="1"/>
    <col min="16" max="16384" width="9.08984375" style="320"/>
  </cols>
  <sheetData>
    <row r="3" spans="4:15" ht="15.5" thickBot="1" x14ac:dyDescent="0.9"/>
    <row r="4" spans="4:15" x14ac:dyDescent="0.75">
      <c r="D4" s="321"/>
      <c r="E4" s="322"/>
      <c r="F4" s="322"/>
      <c r="G4" s="322"/>
      <c r="H4" s="322"/>
      <c r="I4" s="322"/>
      <c r="J4" s="322"/>
      <c r="K4" s="322"/>
      <c r="L4" s="322"/>
      <c r="M4" s="322"/>
      <c r="N4" s="322"/>
      <c r="O4" s="323"/>
    </row>
    <row r="5" spans="4:15" x14ac:dyDescent="0.75">
      <c r="D5" s="324"/>
      <c r="E5" s="798"/>
      <c r="F5" s="798"/>
      <c r="G5" s="798"/>
      <c r="H5" s="798"/>
      <c r="I5" s="798"/>
      <c r="J5" s="798"/>
      <c r="K5" s="798"/>
      <c r="L5" s="798"/>
      <c r="M5" s="798"/>
      <c r="N5" s="798"/>
      <c r="O5" s="325"/>
    </row>
    <row r="6" spans="4:15" x14ac:dyDescent="0.75">
      <c r="D6" s="324"/>
      <c r="E6" s="798"/>
      <c r="F6" s="798"/>
      <c r="G6" s="798"/>
      <c r="H6" s="798"/>
      <c r="I6" s="798"/>
      <c r="J6" s="798"/>
      <c r="K6" s="798"/>
      <c r="L6" s="798"/>
      <c r="M6" s="798"/>
      <c r="N6" s="798"/>
      <c r="O6" s="325"/>
    </row>
    <row r="7" spans="4:15" x14ac:dyDescent="0.75">
      <c r="D7" s="324"/>
      <c r="E7" s="798"/>
      <c r="F7" s="798"/>
      <c r="G7" s="798"/>
      <c r="H7" s="798"/>
      <c r="I7" s="798"/>
      <c r="J7" s="798"/>
      <c r="K7" s="798"/>
      <c r="L7" s="798"/>
      <c r="M7" s="798"/>
      <c r="N7" s="798"/>
      <c r="O7" s="325"/>
    </row>
    <row r="8" spans="4:15" x14ac:dyDescent="0.75">
      <c r="D8" s="324"/>
      <c r="E8" s="798"/>
      <c r="F8" s="798"/>
      <c r="G8" s="798"/>
      <c r="H8" s="798"/>
      <c r="I8" s="798"/>
      <c r="J8" s="798"/>
      <c r="K8" s="798"/>
      <c r="L8" s="798"/>
      <c r="M8" s="798"/>
      <c r="N8" s="798"/>
      <c r="O8" s="325"/>
    </row>
    <row r="9" spans="4:15" x14ac:dyDescent="0.75">
      <c r="D9" s="324"/>
      <c r="E9" s="798"/>
      <c r="F9" s="798"/>
      <c r="G9" s="798"/>
      <c r="H9" s="798"/>
      <c r="I9" s="798"/>
      <c r="J9" s="798"/>
      <c r="K9" s="798"/>
      <c r="L9" s="798"/>
      <c r="M9" s="798"/>
      <c r="N9" s="798"/>
      <c r="O9" s="325"/>
    </row>
    <row r="10" spans="4:15" x14ac:dyDescent="0.75">
      <c r="D10" s="324"/>
      <c r="E10" s="798"/>
      <c r="F10" s="798"/>
      <c r="G10" s="798"/>
      <c r="H10" s="798"/>
      <c r="I10" s="798"/>
      <c r="J10" s="798"/>
      <c r="K10" s="798"/>
      <c r="L10" s="798"/>
      <c r="M10" s="798"/>
      <c r="N10" s="798"/>
      <c r="O10" s="325"/>
    </row>
    <row r="11" spans="4:15" x14ac:dyDescent="0.75">
      <c r="D11" s="324"/>
      <c r="E11" s="798"/>
      <c r="F11" s="798"/>
      <c r="G11" s="798"/>
      <c r="H11" s="798"/>
      <c r="I11" s="798"/>
      <c r="J11" s="798"/>
      <c r="K11" s="798"/>
      <c r="L11" s="798"/>
      <c r="M11" s="798"/>
      <c r="N11" s="798"/>
      <c r="O11" s="325"/>
    </row>
    <row r="12" spans="4:15" x14ac:dyDescent="0.75">
      <c r="D12" s="324"/>
      <c r="E12" s="798"/>
      <c r="F12" s="798"/>
      <c r="G12" s="798"/>
      <c r="H12" s="798"/>
      <c r="I12" s="798"/>
      <c r="J12" s="798"/>
      <c r="K12" s="798"/>
      <c r="L12" s="798"/>
      <c r="M12" s="798"/>
      <c r="N12" s="798"/>
      <c r="O12" s="325"/>
    </row>
    <row r="13" spans="4:15" x14ac:dyDescent="0.75">
      <c r="D13" s="324"/>
      <c r="E13" s="798"/>
      <c r="F13" s="798"/>
      <c r="G13" s="798"/>
      <c r="H13" s="798"/>
      <c r="I13" s="798"/>
      <c r="J13" s="798"/>
      <c r="K13" s="798"/>
      <c r="L13" s="798"/>
      <c r="M13" s="798"/>
      <c r="N13" s="798"/>
      <c r="O13" s="325"/>
    </row>
    <row r="14" spans="4:15" x14ac:dyDescent="0.75">
      <c r="D14" s="324"/>
      <c r="O14" s="325"/>
    </row>
    <row r="15" spans="4:15" x14ac:dyDescent="0.75">
      <c r="D15" s="324"/>
      <c r="I15"/>
      <c r="O15" s="325"/>
    </row>
    <row r="16" spans="4:15" x14ac:dyDescent="0.75">
      <c r="D16" s="324"/>
      <c r="H16"/>
      <c r="O16" s="325"/>
    </row>
    <row r="17" spans="4:15" x14ac:dyDescent="0.75">
      <c r="D17" s="324"/>
      <c r="O17" s="325"/>
    </row>
    <row r="18" spans="4:15" x14ac:dyDescent="0.75">
      <c r="D18" s="324"/>
      <c r="O18" s="325"/>
    </row>
    <row r="19" spans="4:15" x14ac:dyDescent="0.75">
      <c r="D19" s="324"/>
      <c r="O19" s="325"/>
    </row>
    <row r="20" spans="4:15" x14ac:dyDescent="0.75">
      <c r="D20" s="324"/>
      <c r="O20" s="325"/>
    </row>
    <row r="21" spans="4:15" x14ac:dyDescent="0.75">
      <c r="D21" s="324"/>
      <c r="O21" s="325"/>
    </row>
    <row r="22" spans="4:15" x14ac:dyDescent="0.75">
      <c r="D22" s="324"/>
      <c r="O22" s="325"/>
    </row>
    <row r="23" spans="4:15" x14ac:dyDescent="0.75">
      <c r="D23" s="324"/>
      <c r="O23" s="325"/>
    </row>
    <row r="24" spans="4:15" x14ac:dyDescent="0.75">
      <c r="D24" s="324"/>
      <c r="O24" s="325"/>
    </row>
    <row r="25" spans="4:15" x14ac:dyDescent="0.75">
      <c r="D25" s="324"/>
      <c r="O25" s="325"/>
    </row>
    <row r="26" spans="4:15" x14ac:dyDescent="0.75">
      <c r="D26" s="324"/>
      <c r="O26" s="325"/>
    </row>
    <row r="27" spans="4:15" x14ac:dyDescent="0.75">
      <c r="D27" s="324"/>
      <c r="O27" s="325"/>
    </row>
    <row r="28" spans="4:15" x14ac:dyDescent="0.75">
      <c r="D28" s="324"/>
      <c r="O28" s="325"/>
    </row>
    <row r="29" spans="4:15" x14ac:dyDescent="0.75">
      <c r="D29" s="324"/>
      <c r="O29" s="325"/>
    </row>
    <row r="30" spans="4:15" ht="46.5" customHeight="1" x14ac:dyDescent="0.75">
      <c r="D30" s="324"/>
      <c r="E30" s="799" t="s">
        <v>2173</v>
      </c>
      <c r="F30" s="799"/>
      <c r="G30" s="799"/>
      <c r="H30" s="799"/>
      <c r="I30" s="799"/>
      <c r="J30" s="799"/>
      <c r="K30" s="799"/>
      <c r="L30" s="799"/>
      <c r="M30" s="799"/>
      <c r="N30" s="799"/>
      <c r="O30" s="325"/>
    </row>
    <row r="31" spans="4:15" ht="15" customHeight="1" x14ac:dyDescent="0.75">
      <c r="D31" s="324"/>
      <c r="E31" s="534"/>
      <c r="F31" s="534"/>
      <c r="G31" s="534"/>
      <c r="H31" s="534"/>
      <c r="I31" s="534"/>
      <c r="J31" s="534"/>
      <c r="K31" s="534"/>
      <c r="L31" s="534"/>
      <c r="M31" s="534"/>
      <c r="N31" s="534"/>
      <c r="O31" s="325"/>
    </row>
    <row r="32" spans="4:15" ht="41.25" customHeight="1" x14ac:dyDescent="0.75">
      <c r="D32" s="324"/>
      <c r="E32" s="799" t="s">
        <v>2049</v>
      </c>
      <c r="F32" s="799"/>
      <c r="G32" s="799"/>
      <c r="H32" s="799"/>
      <c r="I32" s="799"/>
      <c r="J32" s="799"/>
      <c r="K32" s="799"/>
      <c r="L32" s="799"/>
      <c r="M32" s="799"/>
      <c r="N32" s="799"/>
      <c r="O32" s="325"/>
    </row>
    <row r="33" spans="4:15" ht="15" customHeight="1" x14ac:dyDescent="0.75">
      <c r="D33" s="324"/>
      <c r="E33" s="534"/>
      <c r="F33" s="534"/>
      <c r="G33" s="534"/>
      <c r="H33" s="534"/>
      <c r="I33" s="534"/>
      <c r="J33" s="534"/>
      <c r="K33" s="534"/>
      <c r="L33" s="534"/>
      <c r="M33" s="534"/>
      <c r="N33" s="534"/>
      <c r="O33" s="325"/>
    </row>
    <row r="34" spans="4:15" ht="15" customHeight="1" x14ac:dyDescent="0.75">
      <c r="D34" s="324"/>
      <c r="E34" s="534"/>
      <c r="F34" s="534"/>
      <c r="G34" s="534"/>
      <c r="H34" s="534"/>
      <c r="I34" s="534"/>
      <c r="J34" s="534"/>
      <c r="K34" s="534"/>
      <c r="L34" s="534"/>
      <c r="M34" s="534"/>
      <c r="N34" s="534"/>
      <c r="O34" s="325"/>
    </row>
    <row r="35" spans="4:15" ht="15" customHeight="1" x14ac:dyDescent="0.75">
      <c r="D35" s="324"/>
      <c r="E35" s="534"/>
      <c r="F35" s="534"/>
      <c r="G35" s="534"/>
      <c r="H35" s="534"/>
      <c r="I35" s="534"/>
      <c r="J35" s="534"/>
      <c r="K35" s="534"/>
      <c r="L35" s="534"/>
      <c r="M35" s="534"/>
      <c r="N35" s="534"/>
      <c r="O35" s="325"/>
    </row>
    <row r="36" spans="4:15" ht="15" customHeight="1" x14ac:dyDescent="0.75">
      <c r="D36" s="324"/>
      <c r="E36" s="534"/>
      <c r="F36" s="534"/>
      <c r="G36" s="534"/>
      <c r="H36" s="534"/>
      <c r="I36" s="534"/>
      <c r="J36" s="534"/>
      <c r="K36" s="534"/>
      <c r="L36" s="534"/>
      <c r="M36" s="534"/>
      <c r="N36" s="534"/>
      <c r="O36" s="325"/>
    </row>
    <row r="37" spans="4:15" ht="15" customHeight="1" x14ac:dyDescent="0.75">
      <c r="D37" s="324"/>
      <c r="E37" s="534"/>
      <c r="F37" s="534"/>
      <c r="G37" s="534"/>
      <c r="H37" s="534"/>
      <c r="I37" s="534"/>
      <c r="J37" s="534"/>
      <c r="K37" s="534"/>
      <c r="L37" s="534"/>
      <c r="M37" s="534"/>
      <c r="N37" s="534"/>
      <c r="O37" s="325"/>
    </row>
    <row r="38" spans="4:15" ht="15" customHeight="1" x14ac:dyDescent="0.75">
      <c r="D38" s="324"/>
      <c r="E38" s="329"/>
      <c r="F38" s="329"/>
      <c r="G38" s="329"/>
      <c r="H38" s="329"/>
      <c r="I38" s="329"/>
      <c r="J38" s="329"/>
      <c r="K38" s="329"/>
      <c r="L38" s="329"/>
      <c r="M38" s="329"/>
      <c r="N38" s="329"/>
      <c r="O38" s="325"/>
    </row>
    <row r="39" spans="4:15" ht="15" customHeight="1" x14ac:dyDescent="0.75">
      <c r="D39" s="324"/>
      <c r="E39" s="329"/>
      <c r="F39" s="329"/>
      <c r="G39" s="329"/>
      <c r="H39" s="329"/>
      <c r="I39" s="329"/>
      <c r="J39" s="329"/>
      <c r="K39" s="329"/>
      <c r="L39" s="329"/>
      <c r="M39" s="329"/>
      <c r="N39" s="329"/>
      <c r="O39" s="325"/>
    </row>
    <row r="40" spans="4:15" ht="15" customHeight="1" x14ac:dyDescent="0.75">
      <c r="D40" s="324"/>
      <c r="E40" s="329"/>
      <c r="F40" s="329"/>
      <c r="G40" s="329"/>
      <c r="H40" s="329"/>
      <c r="I40" s="329"/>
      <c r="J40" s="329"/>
      <c r="K40" s="329"/>
      <c r="L40" s="329"/>
      <c r="M40" s="329"/>
      <c r="N40" s="329"/>
      <c r="O40" s="325"/>
    </row>
    <row r="41" spans="4:15" ht="15" customHeight="1" x14ac:dyDescent="0.75">
      <c r="D41" s="324"/>
      <c r="E41" s="329"/>
      <c r="F41" s="329"/>
      <c r="G41" s="329"/>
      <c r="H41" s="329"/>
      <c r="I41" s="329"/>
      <c r="J41" s="329"/>
      <c r="K41" s="329"/>
      <c r="L41" s="329"/>
      <c r="M41" s="329"/>
      <c r="N41" s="329"/>
      <c r="O41" s="325"/>
    </row>
    <row r="42" spans="4:15" ht="15" customHeight="1" x14ac:dyDescent="0.75">
      <c r="D42" s="324"/>
      <c r="E42" s="329"/>
      <c r="F42" s="329"/>
      <c r="G42" s="329"/>
      <c r="H42" s="329"/>
      <c r="I42" s="329"/>
      <c r="J42" s="329"/>
      <c r="K42" s="329"/>
      <c r="L42" s="329"/>
      <c r="M42" s="329"/>
      <c r="N42" s="329"/>
      <c r="O42" s="325"/>
    </row>
    <row r="43" spans="4:15" ht="15.5" thickBot="1" x14ac:dyDescent="0.9">
      <c r="D43" s="326"/>
      <c r="E43" s="327"/>
      <c r="F43" s="327"/>
      <c r="G43" s="327"/>
      <c r="H43" s="327"/>
      <c r="I43" s="327"/>
      <c r="J43" s="327"/>
      <c r="K43" s="327"/>
      <c r="L43" s="327"/>
      <c r="M43" s="327"/>
      <c r="N43" s="327"/>
      <c r="O43" s="328"/>
    </row>
  </sheetData>
  <mergeCells count="3">
    <mergeCell ref="E5:N13"/>
    <mergeCell ref="E30:N30"/>
    <mergeCell ref="E32:N32"/>
  </mergeCells>
  <printOptions horizontalCentered="1" verticalCentered="1"/>
  <pageMargins left="0.25" right="0.25" top="0.75" bottom="0.75" header="0.3" footer="0.3"/>
  <pageSetup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35191-F954-4384-ADED-95858A3819B8}">
  <dimension ref="A1:D16"/>
  <sheetViews>
    <sheetView showGridLines="0" workbookViewId="0">
      <selection activeCell="C1" sqref="C1"/>
    </sheetView>
  </sheetViews>
  <sheetFormatPr defaultRowHeight="14.75" x14ac:dyDescent="0.75"/>
  <cols>
    <col min="1" max="1" width="23.2265625" customWidth="1"/>
    <col min="3" max="3" width="11.6796875" customWidth="1"/>
    <col min="4" max="4" width="12.54296875" bestFit="1" customWidth="1"/>
  </cols>
  <sheetData>
    <row r="1" spans="1:4" ht="15.5" thickBot="1" x14ac:dyDescent="0.9"/>
    <row r="2" spans="1:4" ht="15.5" thickBot="1" x14ac:dyDescent="0.9">
      <c r="A2" s="519" t="s">
        <v>2062</v>
      </c>
      <c r="B2" s="658">
        <v>410</v>
      </c>
    </row>
    <row r="3" spans="1:4" x14ac:dyDescent="0.75">
      <c r="A3" t="s">
        <v>2063</v>
      </c>
      <c r="B3" s="273">
        <f>+B2-B13</f>
        <v>0</v>
      </c>
    </row>
    <row r="4" spans="1:4" ht="29.5" x14ac:dyDescent="0.75">
      <c r="A4" s="519" t="s">
        <v>2064</v>
      </c>
      <c r="B4" s="295" t="s">
        <v>2067</v>
      </c>
      <c r="C4" s="295" t="s">
        <v>2065</v>
      </c>
      <c r="D4" s="295" t="s">
        <v>2066</v>
      </c>
    </row>
    <row r="5" spans="1:4" x14ac:dyDescent="0.75">
      <c r="A5" t="s">
        <v>2074</v>
      </c>
      <c r="B5">
        <v>90</v>
      </c>
      <c r="C5" s="517">
        <v>0</v>
      </c>
      <c r="D5" s="517">
        <f>+B5*C5</f>
        <v>0</v>
      </c>
    </row>
    <row r="6" spans="1:4" x14ac:dyDescent="0.75">
      <c r="A6" t="s">
        <v>2068</v>
      </c>
      <c r="B6">
        <v>170</v>
      </c>
      <c r="C6" s="657">
        <v>2500</v>
      </c>
      <c r="D6" s="657">
        <f t="shared" ref="D6:D11" si="0">+B6*C6</f>
        <v>425000</v>
      </c>
    </row>
    <row r="7" spans="1:4" x14ac:dyDescent="0.75">
      <c r="A7" t="s">
        <v>2069</v>
      </c>
      <c r="B7">
        <v>70</v>
      </c>
      <c r="C7" s="657">
        <v>5000</v>
      </c>
      <c r="D7" s="657">
        <f t="shared" si="0"/>
        <v>350000</v>
      </c>
    </row>
    <row r="8" spans="1:4" x14ac:dyDescent="0.75">
      <c r="A8" t="s">
        <v>2072</v>
      </c>
      <c r="B8">
        <v>40</v>
      </c>
      <c r="C8" s="657">
        <v>6250</v>
      </c>
      <c r="D8" s="657">
        <f t="shared" si="0"/>
        <v>250000</v>
      </c>
    </row>
    <row r="9" spans="1:4" x14ac:dyDescent="0.75">
      <c r="A9" t="s">
        <v>2073</v>
      </c>
      <c r="B9">
        <v>40</v>
      </c>
      <c r="C9" s="657">
        <v>7500</v>
      </c>
      <c r="D9" s="657">
        <f t="shared" ref="D9" si="1">+B9*C9</f>
        <v>300000</v>
      </c>
    </row>
    <row r="10" spans="1:4" x14ac:dyDescent="0.75">
      <c r="C10" s="657"/>
      <c r="D10" s="657"/>
    </row>
    <row r="11" spans="1:4" x14ac:dyDescent="0.75">
      <c r="A11" t="s">
        <v>2070</v>
      </c>
      <c r="B11">
        <v>140</v>
      </c>
      <c r="C11" s="657">
        <v>4500</v>
      </c>
      <c r="D11" s="657">
        <f t="shared" si="0"/>
        <v>630000</v>
      </c>
    </row>
    <row r="12" spans="1:4" ht="15.5" thickBot="1" x14ac:dyDescent="0.9">
      <c r="C12" s="657"/>
      <c r="D12" s="657"/>
    </row>
    <row r="13" spans="1:4" s="519" customFormat="1" ht="15.5" thickBot="1" x14ac:dyDescent="0.9">
      <c r="A13" s="519" t="s">
        <v>2071</v>
      </c>
      <c r="B13" s="659">
        <f>+SUM(B5:B9)</f>
        <v>410</v>
      </c>
      <c r="C13" s="659"/>
      <c r="D13" s="660">
        <f>+SUM(D5:D11)</f>
        <v>1955000</v>
      </c>
    </row>
    <row r="16" spans="1:4" x14ac:dyDescent="0.75">
      <c r="A16" s="646" t="s">
        <v>2075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3"/>
    <pageSetUpPr fitToPage="1"/>
  </sheetPr>
  <dimension ref="A1:L167"/>
  <sheetViews>
    <sheetView workbookViewId="0">
      <selection activeCell="C4" sqref="C4"/>
    </sheetView>
  </sheetViews>
  <sheetFormatPr defaultRowHeight="15.75" outlineLevelRow="1" outlineLevelCol="1" x14ac:dyDescent="0.75"/>
  <cols>
    <col min="1" max="1" width="5.6796875" style="34" customWidth="1"/>
    <col min="2" max="2" width="9" style="1" customWidth="1"/>
    <col min="3" max="3" width="42.54296875" style="1" customWidth="1"/>
    <col min="4" max="9" width="16.31640625" style="31" customWidth="1"/>
    <col min="10" max="10" width="16.08984375" style="31" customWidth="1" outlineLevel="1"/>
    <col min="11" max="11" width="15.6796875" style="31" customWidth="1" outlineLevel="1"/>
    <col min="12" max="12" width="9.08984375" style="31"/>
    <col min="13" max="258" width="9.08984375" style="1"/>
    <col min="259" max="259" width="22.86328125" style="1" customWidth="1"/>
    <col min="260" max="514" width="9.08984375" style="1"/>
    <col min="515" max="515" width="22.86328125" style="1" customWidth="1"/>
    <col min="516" max="770" width="9.08984375" style="1"/>
    <col min="771" max="771" width="22.86328125" style="1" customWidth="1"/>
    <col min="772" max="1026" width="9.08984375" style="1"/>
    <col min="1027" max="1027" width="22.86328125" style="1" customWidth="1"/>
    <col min="1028" max="1282" width="9.08984375" style="1"/>
    <col min="1283" max="1283" width="22.86328125" style="1" customWidth="1"/>
    <col min="1284" max="1538" width="9.08984375" style="1"/>
    <col min="1539" max="1539" width="22.86328125" style="1" customWidth="1"/>
    <col min="1540" max="1794" width="9.08984375" style="1"/>
    <col min="1795" max="1795" width="22.86328125" style="1" customWidth="1"/>
    <col min="1796" max="2050" width="9.08984375" style="1"/>
    <col min="2051" max="2051" width="22.86328125" style="1" customWidth="1"/>
    <col min="2052" max="2306" width="9.08984375" style="1"/>
    <col min="2307" max="2307" width="22.86328125" style="1" customWidth="1"/>
    <col min="2308" max="2562" width="9.08984375" style="1"/>
    <col min="2563" max="2563" width="22.86328125" style="1" customWidth="1"/>
    <col min="2564" max="2818" width="9.08984375" style="1"/>
    <col min="2819" max="2819" width="22.86328125" style="1" customWidth="1"/>
    <col min="2820" max="3074" width="9.08984375" style="1"/>
    <col min="3075" max="3075" width="22.86328125" style="1" customWidth="1"/>
    <col min="3076" max="3330" width="9.08984375" style="1"/>
    <col min="3331" max="3331" width="22.86328125" style="1" customWidth="1"/>
    <col min="3332" max="3586" width="9.08984375" style="1"/>
    <col min="3587" max="3587" width="22.86328125" style="1" customWidth="1"/>
    <col min="3588" max="3842" width="9.08984375" style="1"/>
    <col min="3843" max="3843" width="22.86328125" style="1" customWidth="1"/>
    <col min="3844" max="4098" width="9.08984375" style="1"/>
    <col min="4099" max="4099" width="22.86328125" style="1" customWidth="1"/>
    <col min="4100" max="4354" width="9.08984375" style="1"/>
    <col min="4355" max="4355" width="22.86328125" style="1" customWidth="1"/>
    <col min="4356" max="4610" width="9.08984375" style="1"/>
    <col min="4611" max="4611" width="22.86328125" style="1" customWidth="1"/>
    <col min="4612" max="4866" width="9.08984375" style="1"/>
    <col min="4867" max="4867" width="22.86328125" style="1" customWidth="1"/>
    <col min="4868" max="5122" width="9.08984375" style="1"/>
    <col min="5123" max="5123" width="22.86328125" style="1" customWidth="1"/>
    <col min="5124" max="5378" width="9.08984375" style="1"/>
    <col min="5379" max="5379" width="22.86328125" style="1" customWidth="1"/>
    <col min="5380" max="5634" width="9.08984375" style="1"/>
    <col min="5635" max="5635" width="22.86328125" style="1" customWidth="1"/>
    <col min="5636" max="5890" width="9.08984375" style="1"/>
    <col min="5891" max="5891" width="22.86328125" style="1" customWidth="1"/>
    <col min="5892" max="6146" width="9.08984375" style="1"/>
    <col min="6147" max="6147" width="22.86328125" style="1" customWidth="1"/>
    <col min="6148" max="6402" width="9.08984375" style="1"/>
    <col min="6403" max="6403" width="22.86328125" style="1" customWidth="1"/>
    <col min="6404" max="6658" width="9.08984375" style="1"/>
    <col min="6659" max="6659" width="22.86328125" style="1" customWidth="1"/>
    <col min="6660" max="6914" width="9.08984375" style="1"/>
    <col min="6915" max="6915" width="22.86328125" style="1" customWidth="1"/>
    <col min="6916" max="7170" width="9.08984375" style="1"/>
    <col min="7171" max="7171" width="22.86328125" style="1" customWidth="1"/>
    <col min="7172" max="7426" width="9.08984375" style="1"/>
    <col min="7427" max="7427" width="22.86328125" style="1" customWidth="1"/>
    <col min="7428" max="7682" width="9.08984375" style="1"/>
    <col min="7683" max="7683" width="22.86328125" style="1" customWidth="1"/>
    <col min="7684" max="7938" width="9.08984375" style="1"/>
    <col min="7939" max="7939" width="22.86328125" style="1" customWidth="1"/>
    <col min="7940" max="8194" width="9.08984375" style="1"/>
    <col min="8195" max="8195" width="22.86328125" style="1" customWidth="1"/>
    <col min="8196" max="8450" width="9.08984375" style="1"/>
    <col min="8451" max="8451" width="22.86328125" style="1" customWidth="1"/>
    <col min="8452" max="8706" width="9.08984375" style="1"/>
    <col min="8707" max="8707" width="22.86328125" style="1" customWidth="1"/>
    <col min="8708" max="8962" width="9.08984375" style="1"/>
    <col min="8963" max="8963" width="22.86328125" style="1" customWidth="1"/>
    <col min="8964" max="9218" width="9.08984375" style="1"/>
    <col min="9219" max="9219" width="22.86328125" style="1" customWidth="1"/>
    <col min="9220" max="9474" width="9.08984375" style="1"/>
    <col min="9475" max="9475" width="22.86328125" style="1" customWidth="1"/>
    <col min="9476" max="9730" width="9.08984375" style="1"/>
    <col min="9731" max="9731" width="22.86328125" style="1" customWidth="1"/>
    <col min="9732" max="9986" width="9.08984375" style="1"/>
    <col min="9987" max="9987" width="22.86328125" style="1" customWidth="1"/>
    <col min="9988" max="10242" width="9.08984375" style="1"/>
    <col min="10243" max="10243" width="22.86328125" style="1" customWidth="1"/>
    <col min="10244" max="10498" width="9.08984375" style="1"/>
    <col min="10499" max="10499" width="22.86328125" style="1" customWidth="1"/>
    <col min="10500" max="10754" width="9.08984375" style="1"/>
    <col min="10755" max="10755" width="22.86328125" style="1" customWidth="1"/>
    <col min="10756" max="11010" width="9.08984375" style="1"/>
    <col min="11011" max="11011" width="22.86328125" style="1" customWidth="1"/>
    <col min="11012" max="11266" width="9.08984375" style="1"/>
    <col min="11267" max="11267" width="22.86328125" style="1" customWidth="1"/>
    <col min="11268" max="11522" width="9.08984375" style="1"/>
    <col min="11523" max="11523" width="22.86328125" style="1" customWidth="1"/>
    <col min="11524" max="11778" width="9.08984375" style="1"/>
    <col min="11779" max="11779" width="22.86328125" style="1" customWidth="1"/>
    <col min="11780" max="12034" width="9.08984375" style="1"/>
    <col min="12035" max="12035" width="22.86328125" style="1" customWidth="1"/>
    <col min="12036" max="12290" width="9.08984375" style="1"/>
    <col min="12291" max="12291" width="22.86328125" style="1" customWidth="1"/>
    <col min="12292" max="12546" width="9.08984375" style="1"/>
    <col min="12547" max="12547" width="22.86328125" style="1" customWidth="1"/>
    <col min="12548" max="12802" width="9.08984375" style="1"/>
    <col min="12803" max="12803" width="22.86328125" style="1" customWidth="1"/>
    <col min="12804" max="13058" width="9.08984375" style="1"/>
    <col min="13059" max="13059" width="22.86328125" style="1" customWidth="1"/>
    <col min="13060" max="13314" width="9.08984375" style="1"/>
    <col min="13315" max="13315" width="22.86328125" style="1" customWidth="1"/>
    <col min="13316" max="13570" width="9.08984375" style="1"/>
    <col min="13571" max="13571" width="22.86328125" style="1" customWidth="1"/>
    <col min="13572" max="13826" width="9.08984375" style="1"/>
    <col min="13827" max="13827" width="22.86328125" style="1" customWidth="1"/>
    <col min="13828" max="14082" width="9.08984375" style="1"/>
    <col min="14083" max="14083" width="22.86328125" style="1" customWidth="1"/>
    <col min="14084" max="14338" width="9.08984375" style="1"/>
    <col min="14339" max="14339" width="22.86328125" style="1" customWidth="1"/>
    <col min="14340" max="14594" width="9.08984375" style="1"/>
    <col min="14595" max="14595" width="22.86328125" style="1" customWidth="1"/>
    <col min="14596" max="14850" width="9.08984375" style="1"/>
    <col min="14851" max="14851" width="22.86328125" style="1" customWidth="1"/>
    <col min="14852" max="15106" width="9.08984375" style="1"/>
    <col min="15107" max="15107" width="22.86328125" style="1" customWidth="1"/>
    <col min="15108" max="15362" width="9.08984375" style="1"/>
    <col min="15363" max="15363" width="22.86328125" style="1" customWidth="1"/>
    <col min="15364" max="15618" width="9.08984375" style="1"/>
    <col min="15619" max="15619" width="22.86328125" style="1" customWidth="1"/>
    <col min="15620" max="15874" width="9.08984375" style="1"/>
    <col min="15875" max="15875" width="22.86328125" style="1" customWidth="1"/>
    <col min="15876" max="16130" width="9.08984375" style="1"/>
    <col min="16131" max="16131" width="22.86328125" style="1" customWidth="1"/>
    <col min="16132" max="16384" width="9.08984375" style="1"/>
  </cols>
  <sheetData>
    <row r="1" spans="1:11" ht="20.25" x14ac:dyDescent="0.85">
      <c r="A1" s="22" t="str">
        <f>'Student Info w MYP'!$A$1</f>
        <v>Compass Charter Schools</v>
      </c>
    </row>
    <row r="2" spans="1:11" ht="17.75" x14ac:dyDescent="0.75">
      <c r="A2" s="21" t="s">
        <v>748</v>
      </c>
      <c r="E2" s="156" t="s">
        <v>1237</v>
      </c>
      <c r="F2" s="151"/>
      <c r="G2" s="151"/>
      <c r="H2" s="151"/>
    </row>
    <row r="3" spans="1:11" ht="17.75" x14ac:dyDescent="0.75">
      <c r="A3" s="21" t="str">
        <f>'Student Info w MYP'!$A$3</f>
        <v>2023-24 Budget- Adopted 5.38% COLA</v>
      </c>
      <c r="E3" s="108">
        <v>2.5000000000000001E-2</v>
      </c>
      <c r="F3" s="108"/>
      <c r="G3" s="108"/>
      <c r="H3" s="108"/>
      <c r="I3" s="108"/>
    </row>
    <row r="4" spans="1:11" ht="29.25" customHeight="1" x14ac:dyDescent="0.75"/>
    <row r="5" spans="1:11" ht="17.75" x14ac:dyDescent="0.75">
      <c r="A5" s="29"/>
      <c r="B5" s="29"/>
      <c r="C5" s="29"/>
      <c r="J5" s="31">
        <v>1516</v>
      </c>
      <c r="K5" s="31" t="s">
        <v>1261</v>
      </c>
    </row>
    <row r="6" spans="1:11" ht="18.5" thickBot="1" x14ac:dyDescent="0.9">
      <c r="A6" s="30" t="s">
        <v>725</v>
      </c>
      <c r="B6" s="30" t="s">
        <v>726</v>
      </c>
      <c r="C6" s="30" t="s">
        <v>727</v>
      </c>
      <c r="D6" s="32">
        <f>'Student Info w MYP'!D$6</f>
        <v>0</v>
      </c>
      <c r="E6" s="32">
        <f>'Student Info w MYP'!E$6</f>
        <v>0</v>
      </c>
      <c r="F6" s="32" t="str">
        <f>'Student Info w MYP'!F$6</f>
        <v>Yolo</v>
      </c>
      <c r="G6" s="32" t="str">
        <f>'Student Info w MYP'!G$6</f>
        <v>San Diego</v>
      </c>
      <c r="H6" s="32" t="str">
        <f>'Student Info w MYP'!H$6</f>
        <v>Los Angeles</v>
      </c>
      <c r="I6" s="32" t="str">
        <f>'Student Info w MYP'!I$6</f>
        <v>Total</v>
      </c>
      <c r="J6" s="31" t="s">
        <v>1263</v>
      </c>
      <c r="K6" s="31" t="s">
        <v>1262</v>
      </c>
    </row>
    <row r="7" spans="1:11" x14ac:dyDescent="0.75">
      <c r="A7" s="34" t="s">
        <v>676</v>
      </c>
      <c r="C7" s="2"/>
    </row>
    <row r="8" spans="1:11" x14ac:dyDescent="0.75">
      <c r="A8" s="35"/>
      <c r="B8" s="117" t="s">
        <v>86</v>
      </c>
      <c r="C8" s="118" t="s">
        <v>592</v>
      </c>
      <c r="D8" s="62" t="e">
        <f>($J8*(1+$E$3))*('Student Info w MYP'!D$56/'Student Info w MYP'!$I$56)</f>
        <v>#VALUE!</v>
      </c>
      <c r="E8" s="62" t="e">
        <f>($J8*(1+$E$3))*('Student Info w MYP'!E$56/'Student Info w MYP'!$I$56)</f>
        <v>#VALUE!</v>
      </c>
      <c r="F8" s="62">
        <f>($J8*(1+$E$3))*('Student Info w MYP'!F$56/'Student Info w MYP'!$I$56)</f>
        <v>38.935396464723688</v>
      </c>
      <c r="G8" s="62">
        <f>($J8*(1+$E$3))*('Student Info w MYP'!G$56/'Student Info w MYP'!$I$56)</f>
        <v>46.824438008874978</v>
      </c>
      <c r="H8" s="62">
        <f>($J8*(1+$E$3))*('Student Info w MYP'!H$56/'Student Info w MYP'!$I$56)</f>
        <v>50.906832193067963</v>
      </c>
      <c r="I8" s="62" t="e">
        <f>SUM(D8:H8)</f>
        <v>#VALUE!</v>
      </c>
      <c r="J8" s="31">
        <f t="shared" ref="J8:J27" si="0">(K8/9)*12</f>
        <v>133.33333333333331</v>
      </c>
      <c r="K8" s="31">
        <v>100</v>
      </c>
    </row>
    <row r="9" spans="1:11" x14ac:dyDescent="0.75">
      <c r="A9" s="35"/>
      <c r="B9" s="539" t="s">
        <v>1642</v>
      </c>
      <c r="C9" s="508" t="s">
        <v>1640</v>
      </c>
      <c r="D9" s="62" t="e">
        <f>($J9*(1+$E$3))*('Student Info w MYP'!D$56/'Student Info w MYP'!$I$56)</f>
        <v>#VALUE!</v>
      </c>
      <c r="E9" s="62" t="e">
        <f>($J9*(1+$E$3))*('Student Info w MYP'!E$56/'Student Info w MYP'!$I$56)</f>
        <v>#VALUE!</v>
      </c>
      <c r="F9" s="62">
        <f>($J9*(1+$E$3))*('Student Info w MYP'!F$56/'Student Info w MYP'!$I$56)</f>
        <v>0</v>
      </c>
      <c r="G9" s="62">
        <f>($J9*(1+$E$3))*('Student Info w MYP'!G$56/'Student Info w MYP'!$I$56)</f>
        <v>0</v>
      </c>
      <c r="H9" s="62">
        <f>($J9*(1+$E$3))*('Student Info w MYP'!H$56/'Student Info w MYP'!$I$56)</f>
        <v>0</v>
      </c>
      <c r="I9" s="62" t="e">
        <f t="shared" ref="I9:I10" si="1">SUM(D9:H9)</f>
        <v>#VALUE!</v>
      </c>
    </row>
    <row r="10" spans="1:11" x14ac:dyDescent="0.75">
      <c r="A10" s="35"/>
      <c r="B10" s="139" t="s">
        <v>1643</v>
      </c>
      <c r="C10" s="508" t="s">
        <v>1641</v>
      </c>
      <c r="D10" s="62" t="e">
        <f>($J10*(1+$E$3))*('Student Info w MYP'!D$56/'Student Info w MYP'!$I$56)</f>
        <v>#VALUE!</v>
      </c>
      <c r="E10" s="62" t="e">
        <f>($J10*(1+$E$3))*('Student Info w MYP'!E$56/'Student Info w MYP'!$I$56)</f>
        <v>#VALUE!</v>
      </c>
      <c r="F10" s="62">
        <f>($J10*(1+$E$3))*('Student Info w MYP'!F$56/'Student Info w MYP'!$I$56)</f>
        <v>0</v>
      </c>
      <c r="G10" s="62">
        <f>($J10*(1+$E$3))*('Student Info w MYP'!G$56/'Student Info w MYP'!$I$56)</f>
        <v>0</v>
      </c>
      <c r="H10" s="62">
        <f>($J10*(1+$E$3))*('Student Info w MYP'!H$56/'Student Info w MYP'!$I$56)</f>
        <v>0</v>
      </c>
      <c r="I10" s="62" t="e">
        <f t="shared" si="1"/>
        <v>#VALUE!</v>
      </c>
    </row>
    <row r="11" spans="1:11" x14ac:dyDescent="0.75">
      <c r="A11" s="35"/>
      <c r="B11" s="117" t="s">
        <v>88</v>
      </c>
      <c r="C11" s="118" t="s">
        <v>593</v>
      </c>
      <c r="D11" s="62" t="e">
        <f>($J11*(1+$E$3))*('Student Info w MYP'!D$56/'Student Info w MYP'!$I$56)</f>
        <v>#VALUE!</v>
      </c>
      <c r="E11" s="62" t="e">
        <f>($J11*(1+$E$3))*('Student Info w MYP'!E$56/'Student Info w MYP'!$I$56)</f>
        <v>#VALUE!</v>
      </c>
      <c r="F11" s="62">
        <f>($J11*(1+$E$3))*('Student Info w MYP'!F$56/'Student Info w MYP'!$I$56)</f>
        <v>0</v>
      </c>
      <c r="G11" s="62">
        <f>($J11*(1+$E$3))*('Student Info w MYP'!G$56/'Student Info w MYP'!$I$56)</f>
        <v>0</v>
      </c>
      <c r="H11" s="62">
        <f>($J11*(1+$E$3))*('Student Info w MYP'!H$56/'Student Info w MYP'!$I$56)</f>
        <v>0</v>
      </c>
      <c r="I11" s="62" t="e">
        <f t="shared" ref="I11:I27" si="2">SUM(D11:H11)</f>
        <v>#VALUE!</v>
      </c>
      <c r="J11" s="31">
        <f t="shared" si="0"/>
        <v>0</v>
      </c>
    </row>
    <row r="12" spans="1:11" x14ac:dyDescent="0.75">
      <c r="A12" s="35"/>
      <c r="B12" s="540" t="s">
        <v>1645</v>
      </c>
      <c r="C12" s="508" t="s">
        <v>1942</v>
      </c>
      <c r="D12" s="62" t="e">
        <f>($J12*(1+$E$3))*('Student Info w MYP'!D$56/'Student Info w MYP'!$I$56)</f>
        <v>#VALUE!</v>
      </c>
      <c r="E12" s="62" t="e">
        <f>($J12*(1+$E$3))*('Student Info w MYP'!E$56/'Student Info w MYP'!$I$56)</f>
        <v>#VALUE!</v>
      </c>
      <c r="F12" s="62">
        <f>($J12*(1+$E$3))*('Student Info w MYP'!F$56/'Student Info w MYP'!$I$56)</f>
        <v>0</v>
      </c>
      <c r="G12" s="62">
        <f>($J12*(1+$E$3))*('Student Info w MYP'!G$56/'Student Info w MYP'!$I$56)</f>
        <v>0</v>
      </c>
      <c r="H12" s="62">
        <f>($J12*(1+$E$3))*('Student Info w MYP'!H$56/'Student Info w MYP'!$I$56)</f>
        <v>0</v>
      </c>
      <c r="I12" s="62" t="e">
        <f t="shared" ref="I12" si="3">SUM(D12:H12)</f>
        <v>#VALUE!</v>
      </c>
    </row>
    <row r="13" spans="1:11" x14ac:dyDescent="0.75">
      <c r="A13" s="35"/>
      <c r="B13" s="117" t="s">
        <v>90</v>
      </c>
      <c r="C13" s="118" t="s">
        <v>595</v>
      </c>
      <c r="D13" s="62" t="e">
        <f>($J13*(1+$E$3))*('Student Info w MYP'!D$56/'Student Info w MYP'!$I$56)</f>
        <v>#VALUE!</v>
      </c>
      <c r="E13" s="62" t="e">
        <f>($J13*(1+$E$3))*('Student Info w MYP'!E$56/'Student Info w MYP'!$I$56)</f>
        <v>#VALUE!</v>
      </c>
      <c r="F13" s="62">
        <f>($J13*(1+$E$3))*('Student Info w MYP'!F$56/'Student Info w MYP'!$I$56)</f>
        <v>0</v>
      </c>
      <c r="G13" s="62">
        <f>($J13*(1+$E$3))*('Student Info w MYP'!G$56/'Student Info w MYP'!$I$56)</f>
        <v>0</v>
      </c>
      <c r="H13" s="62">
        <f>($J13*(1+$E$3))*('Student Info w MYP'!H$56/'Student Info w MYP'!$I$56)</f>
        <v>0</v>
      </c>
      <c r="I13" s="62" t="e">
        <f t="shared" si="2"/>
        <v>#VALUE!</v>
      </c>
      <c r="J13" s="31">
        <f t="shared" si="0"/>
        <v>0</v>
      </c>
    </row>
    <row r="14" spans="1:11" x14ac:dyDescent="0.75">
      <c r="A14" s="35"/>
      <c r="B14" s="139" t="s">
        <v>833</v>
      </c>
      <c r="C14" s="118" t="s">
        <v>594</v>
      </c>
      <c r="D14" s="62" t="e">
        <f>($J14*(1+$E$3))*('Student Info w MYP'!D$56/'Student Info w MYP'!$I$56)</f>
        <v>#VALUE!</v>
      </c>
      <c r="E14" s="62" t="e">
        <f>($J14*(1+$E$3))*('Student Info w MYP'!E$56/'Student Info w MYP'!$I$56)</f>
        <v>#VALUE!</v>
      </c>
      <c r="F14" s="62">
        <f>($J14*(1+$E$3))*('Student Info w MYP'!F$56/'Student Info w MYP'!$I$56)</f>
        <v>0</v>
      </c>
      <c r="G14" s="62">
        <f>($J14*(1+$E$3))*('Student Info w MYP'!G$56/'Student Info w MYP'!$I$56)</f>
        <v>0</v>
      </c>
      <c r="H14" s="62">
        <f>($J14*(1+$E$3))*('Student Info w MYP'!H$56/'Student Info w MYP'!$I$56)</f>
        <v>0</v>
      </c>
      <c r="I14" s="62" t="e">
        <f t="shared" si="2"/>
        <v>#VALUE!</v>
      </c>
      <c r="J14" s="31">
        <f t="shared" si="0"/>
        <v>0</v>
      </c>
    </row>
    <row r="15" spans="1:11" x14ac:dyDescent="0.75">
      <c r="A15" s="35"/>
      <c r="B15" s="117" t="s">
        <v>92</v>
      </c>
      <c r="C15" s="118" t="s">
        <v>596</v>
      </c>
      <c r="D15" s="62" t="e">
        <f>($J15*(1+$E$3))*('Student Info w MYP'!D$56/'Student Info w MYP'!$I$56)</f>
        <v>#VALUE!</v>
      </c>
      <c r="E15" s="62" t="e">
        <f>($J15*(1+$E$3))*('Student Info w MYP'!E$56/'Student Info w MYP'!$I$56)</f>
        <v>#VALUE!</v>
      </c>
      <c r="F15" s="62">
        <f>($J15*(1+$E$3))*('Student Info w MYP'!F$56/'Student Info w MYP'!$I$56)</f>
        <v>0</v>
      </c>
      <c r="G15" s="62">
        <f>($J15*(1+$E$3))*('Student Info w MYP'!G$56/'Student Info w MYP'!$I$56)</f>
        <v>0</v>
      </c>
      <c r="H15" s="62">
        <f>($J15*(1+$E$3))*('Student Info w MYP'!H$56/'Student Info w MYP'!$I$56)</f>
        <v>0</v>
      </c>
      <c r="I15" s="62" t="e">
        <f t="shared" si="2"/>
        <v>#VALUE!</v>
      </c>
      <c r="J15" s="31">
        <f t="shared" si="0"/>
        <v>0</v>
      </c>
    </row>
    <row r="16" spans="1:11" x14ac:dyDescent="0.75">
      <c r="A16" s="35"/>
      <c r="B16" s="117" t="s">
        <v>677</v>
      </c>
      <c r="C16" s="118" t="s">
        <v>834</v>
      </c>
      <c r="D16" s="62" t="e">
        <f>($J16*(1+$E$3))*('Student Info w MYP'!D$56/'Student Info w MYP'!$I$56)</f>
        <v>#VALUE!</v>
      </c>
      <c r="E16" s="62" t="e">
        <f>($J16*(1+$E$3))*('Student Info w MYP'!E$56/'Student Info w MYP'!$I$56)</f>
        <v>#VALUE!</v>
      </c>
      <c r="F16" s="62">
        <f>($J16*(1+$E$3))*('Student Info w MYP'!F$56/'Student Info w MYP'!$I$56)</f>
        <v>0</v>
      </c>
      <c r="G16" s="62">
        <f>($J16*(1+$E$3))*('Student Info w MYP'!G$56/'Student Info w MYP'!$I$56)</f>
        <v>0</v>
      </c>
      <c r="H16" s="62">
        <f>($J16*(1+$E$3))*('Student Info w MYP'!H$56/'Student Info w MYP'!$I$56)</f>
        <v>0</v>
      </c>
      <c r="I16" s="62" t="e">
        <f t="shared" si="2"/>
        <v>#VALUE!</v>
      </c>
      <c r="J16" s="31">
        <f t="shared" si="0"/>
        <v>0</v>
      </c>
    </row>
    <row r="17" spans="1:10" hidden="1" outlineLevel="1" x14ac:dyDescent="0.75">
      <c r="A17" s="35"/>
      <c r="B17" s="117"/>
      <c r="C17" s="118"/>
      <c r="D17" s="62" t="e">
        <f>($J17*(1+$E$3))*('Student Info w MYP'!D$56/'Student Info w MYP'!$I$56)</f>
        <v>#VALUE!</v>
      </c>
      <c r="E17" s="62" t="e">
        <f>($J17*(1+$E$3))*('Student Info w MYP'!E$56/'Student Info w MYP'!$I$56)</f>
        <v>#VALUE!</v>
      </c>
      <c r="F17" s="62">
        <f>($J17*(1+$E$3))*('Student Info w MYP'!F$56/'Student Info w MYP'!$I$56)</f>
        <v>0</v>
      </c>
      <c r="G17" s="62">
        <f>($J17*(1+$E$3))*('Student Info w MYP'!G$56/'Student Info w MYP'!$I$56)</f>
        <v>0</v>
      </c>
      <c r="H17" s="62">
        <f>($J17*(1+$E$3))*('Student Info w MYP'!H$56/'Student Info w MYP'!$I$56)</f>
        <v>0</v>
      </c>
      <c r="I17" s="62" t="e">
        <f t="shared" si="2"/>
        <v>#VALUE!</v>
      </c>
      <c r="J17" s="31">
        <f t="shared" si="0"/>
        <v>0</v>
      </c>
    </row>
    <row r="18" spans="1:10" hidden="1" outlineLevel="1" x14ac:dyDescent="0.75">
      <c r="A18" s="35"/>
      <c r="B18" s="117"/>
      <c r="C18" s="118"/>
      <c r="D18" s="62" t="e">
        <f>($J18*(1+$E$3))*('Student Info w MYP'!D$56/'Student Info w MYP'!$I$56)</f>
        <v>#VALUE!</v>
      </c>
      <c r="E18" s="62" t="e">
        <f>($J18*(1+$E$3))*('Student Info w MYP'!E$56/'Student Info w MYP'!$I$56)</f>
        <v>#VALUE!</v>
      </c>
      <c r="F18" s="62">
        <f>($J18*(1+$E$3))*('Student Info w MYP'!F$56/'Student Info w MYP'!$I$56)</f>
        <v>0</v>
      </c>
      <c r="G18" s="62">
        <f>($J18*(1+$E$3))*('Student Info w MYP'!G$56/'Student Info w MYP'!$I$56)</f>
        <v>0</v>
      </c>
      <c r="H18" s="62">
        <f>($J18*(1+$E$3))*('Student Info w MYP'!H$56/'Student Info w MYP'!$I$56)</f>
        <v>0</v>
      </c>
      <c r="I18" s="62" t="e">
        <f t="shared" si="2"/>
        <v>#VALUE!</v>
      </c>
      <c r="J18" s="31">
        <f t="shared" si="0"/>
        <v>0</v>
      </c>
    </row>
    <row r="19" spans="1:10" hidden="1" outlineLevel="1" x14ac:dyDescent="0.75">
      <c r="A19" s="35"/>
      <c r="B19" s="117"/>
      <c r="C19" s="118"/>
      <c r="D19" s="62" t="e">
        <f>($J19*(1+$E$3))*('Student Info w MYP'!D$56/'Student Info w MYP'!$I$56)</f>
        <v>#VALUE!</v>
      </c>
      <c r="E19" s="62" t="e">
        <f>($J19*(1+$E$3))*('Student Info w MYP'!E$56/'Student Info w MYP'!$I$56)</f>
        <v>#VALUE!</v>
      </c>
      <c r="F19" s="62">
        <f>($J19*(1+$E$3))*('Student Info w MYP'!F$56/'Student Info w MYP'!$I$56)</f>
        <v>0</v>
      </c>
      <c r="G19" s="62">
        <f>($J19*(1+$E$3))*('Student Info w MYP'!G$56/'Student Info w MYP'!$I$56)</f>
        <v>0</v>
      </c>
      <c r="H19" s="62">
        <f>($J19*(1+$E$3))*('Student Info w MYP'!H$56/'Student Info w MYP'!$I$56)</f>
        <v>0</v>
      </c>
      <c r="I19" s="62" t="e">
        <f t="shared" si="2"/>
        <v>#VALUE!</v>
      </c>
      <c r="J19" s="31">
        <f t="shared" si="0"/>
        <v>0</v>
      </c>
    </row>
    <row r="20" spans="1:10" hidden="1" outlineLevel="1" x14ac:dyDescent="0.75">
      <c r="A20" s="35"/>
      <c r="B20" s="117"/>
      <c r="C20" s="118"/>
      <c r="D20" s="62" t="e">
        <f>($J20*(1+$E$3))*('Student Info w MYP'!D$56/'Student Info w MYP'!$I$56)</f>
        <v>#VALUE!</v>
      </c>
      <c r="E20" s="62" t="e">
        <f>($J20*(1+$E$3))*('Student Info w MYP'!E$56/'Student Info w MYP'!$I$56)</f>
        <v>#VALUE!</v>
      </c>
      <c r="F20" s="62">
        <f>($J20*(1+$E$3))*('Student Info w MYP'!F$56/'Student Info w MYP'!$I$56)</f>
        <v>0</v>
      </c>
      <c r="G20" s="62">
        <f>($J20*(1+$E$3))*('Student Info w MYP'!G$56/'Student Info w MYP'!$I$56)</f>
        <v>0</v>
      </c>
      <c r="H20" s="62">
        <f>($J20*(1+$E$3))*('Student Info w MYP'!H$56/'Student Info w MYP'!$I$56)</f>
        <v>0</v>
      </c>
      <c r="I20" s="62" t="e">
        <f t="shared" si="2"/>
        <v>#VALUE!</v>
      </c>
      <c r="J20" s="31">
        <f t="shared" si="0"/>
        <v>0</v>
      </c>
    </row>
    <row r="21" spans="1:10" hidden="1" outlineLevel="1" x14ac:dyDescent="0.75">
      <c r="A21" s="35"/>
      <c r="B21" s="117"/>
      <c r="C21" s="118"/>
      <c r="D21" s="62" t="e">
        <f>($J21*(1+$E$3))*('Student Info w MYP'!D$56/'Student Info w MYP'!$I$56)</f>
        <v>#VALUE!</v>
      </c>
      <c r="E21" s="62" t="e">
        <f>($J21*(1+$E$3))*('Student Info w MYP'!E$56/'Student Info w MYP'!$I$56)</f>
        <v>#VALUE!</v>
      </c>
      <c r="F21" s="62">
        <f>($J21*(1+$E$3))*('Student Info w MYP'!F$56/'Student Info w MYP'!$I$56)</f>
        <v>0</v>
      </c>
      <c r="G21" s="62">
        <f>($J21*(1+$E$3))*('Student Info w MYP'!G$56/'Student Info w MYP'!$I$56)</f>
        <v>0</v>
      </c>
      <c r="H21" s="62">
        <f>($J21*(1+$E$3))*('Student Info w MYP'!H$56/'Student Info w MYP'!$I$56)</f>
        <v>0</v>
      </c>
      <c r="I21" s="62" t="e">
        <f t="shared" si="2"/>
        <v>#VALUE!</v>
      </c>
      <c r="J21" s="31">
        <f t="shared" si="0"/>
        <v>0</v>
      </c>
    </row>
    <row r="22" spans="1:10" hidden="1" outlineLevel="1" x14ac:dyDescent="0.75">
      <c r="A22" s="35"/>
      <c r="B22" s="117"/>
      <c r="C22" s="118"/>
      <c r="D22" s="62" t="e">
        <f>($J22*(1+$E$3))*('Student Info w MYP'!D$56/'Student Info w MYP'!$I$56)</f>
        <v>#VALUE!</v>
      </c>
      <c r="E22" s="62" t="e">
        <f>($J22*(1+$E$3))*('Student Info w MYP'!E$56/'Student Info w MYP'!$I$56)</f>
        <v>#VALUE!</v>
      </c>
      <c r="F22" s="62">
        <f>($J22*(1+$E$3))*('Student Info w MYP'!F$56/'Student Info w MYP'!$I$56)</f>
        <v>0</v>
      </c>
      <c r="G22" s="62">
        <f>($J22*(1+$E$3))*('Student Info w MYP'!G$56/'Student Info w MYP'!$I$56)</f>
        <v>0</v>
      </c>
      <c r="H22" s="62">
        <f>($J22*(1+$E$3))*('Student Info w MYP'!H$56/'Student Info w MYP'!$I$56)</f>
        <v>0</v>
      </c>
      <c r="I22" s="62" t="e">
        <f t="shared" si="2"/>
        <v>#VALUE!</v>
      </c>
      <c r="J22" s="31">
        <f t="shared" si="0"/>
        <v>0</v>
      </c>
    </row>
    <row r="23" spans="1:10" hidden="1" outlineLevel="1" x14ac:dyDescent="0.75">
      <c r="A23" s="35"/>
      <c r="B23" s="117"/>
      <c r="C23" s="118"/>
      <c r="D23" s="62" t="e">
        <f>($J23*(1+$E$3))*('Student Info w MYP'!D$56/'Student Info w MYP'!$I$56)</f>
        <v>#VALUE!</v>
      </c>
      <c r="E23" s="62" t="e">
        <f>($J23*(1+$E$3))*('Student Info w MYP'!E$56/'Student Info w MYP'!$I$56)</f>
        <v>#VALUE!</v>
      </c>
      <c r="F23" s="62">
        <f>($J23*(1+$E$3))*('Student Info w MYP'!F$56/'Student Info w MYP'!$I$56)</f>
        <v>0</v>
      </c>
      <c r="G23" s="62">
        <f>($J23*(1+$E$3))*('Student Info w MYP'!G$56/'Student Info w MYP'!$I$56)</f>
        <v>0</v>
      </c>
      <c r="H23" s="62">
        <f>($J23*(1+$E$3))*('Student Info w MYP'!H$56/'Student Info w MYP'!$I$56)</f>
        <v>0</v>
      </c>
      <c r="I23" s="62" t="e">
        <f t="shared" si="2"/>
        <v>#VALUE!</v>
      </c>
      <c r="J23" s="31">
        <f t="shared" si="0"/>
        <v>0</v>
      </c>
    </row>
    <row r="24" spans="1:10" hidden="1" outlineLevel="1" x14ac:dyDescent="0.75">
      <c r="A24" s="35"/>
      <c r="B24" s="117"/>
      <c r="C24" s="118"/>
      <c r="D24" s="62" t="e">
        <f>($J24*(1+$E$3))*('Student Info w MYP'!D$56/'Student Info w MYP'!$I$56)</f>
        <v>#VALUE!</v>
      </c>
      <c r="E24" s="62" t="e">
        <f>($J24*(1+$E$3))*('Student Info w MYP'!E$56/'Student Info w MYP'!$I$56)</f>
        <v>#VALUE!</v>
      </c>
      <c r="F24" s="62">
        <f>($J24*(1+$E$3))*('Student Info w MYP'!F$56/'Student Info w MYP'!$I$56)</f>
        <v>0</v>
      </c>
      <c r="G24" s="62">
        <f>($J24*(1+$E$3))*('Student Info w MYP'!G$56/'Student Info w MYP'!$I$56)</f>
        <v>0</v>
      </c>
      <c r="H24" s="62">
        <f>($J24*(1+$E$3))*('Student Info w MYP'!H$56/'Student Info w MYP'!$I$56)</f>
        <v>0</v>
      </c>
      <c r="I24" s="62" t="e">
        <f t="shared" si="2"/>
        <v>#VALUE!</v>
      </c>
      <c r="J24" s="31">
        <f t="shared" si="0"/>
        <v>0</v>
      </c>
    </row>
    <row r="25" spans="1:10" hidden="1" outlineLevel="1" x14ac:dyDescent="0.75">
      <c r="A25" s="35"/>
      <c r="B25" s="117"/>
      <c r="C25" s="118"/>
      <c r="D25" s="62" t="e">
        <f>($J25*(1+$E$3))*('Student Info w MYP'!D$56/'Student Info w MYP'!$I$56)</f>
        <v>#VALUE!</v>
      </c>
      <c r="E25" s="62" t="e">
        <f>($J25*(1+$E$3))*('Student Info w MYP'!E$56/'Student Info w MYP'!$I$56)</f>
        <v>#VALUE!</v>
      </c>
      <c r="F25" s="62">
        <f>($J25*(1+$E$3))*('Student Info w MYP'!F$56/'Student Info w MYP'!$I$56)</f>
        <v>0</v>
      </c>
      <c r="G25" s="62">
        <f>($J25*(1+$E$3))*('Student Info w MYP'!G$56/'Student Info w MYP'!$I$56)</f>
        <v>0</v>
      </c>
      <c r="H25" s="62">
        <f>($J25*(1+$E$3))*('Student Info w MYP'!H$56/'Student Info w MYP'!$I$56)</f>
        <v>0</v>
      </c>
      <c r="I25" s="62" t="e">
        <f t="shared" si="2"/>
        <v>#VALUE!</v>
      </c>
      <c r="J25" s="31">
        <f t="shared" si="0"/>
        <v>0</v>
      </c>
    </row>
    <row r="26" spans="1:10" hidden="1" outlineLevel="1" x14ac:dyDescent="0.75">
      <c r="A26" s="35"/>
      <c r="B26" s="117"/>
      <c r="C26" s="118"/>
      <c r="D26" s="62" t="e">
        <f>($J26*(1+$E$3))*('Student Info w MYP'!D$56/'Student Info w MYP'!$I$56)</f>
        <v>#VALUE!</v>
      </c>
      <c r="E26" s="62" t="e">
        <f>($J26*(1+$E$3))*('Student Info w MYP'!E$56/'Student Info w MYP'!$I$56)</f>
        <v>#VALUE!</v>
      </c>
      <c r="F26" s="62">
        <f>($J26*(1+$E$3))*('Student Info w MYP'!F$56/'Student Info w MYP'!$I$56)</f>
        <v>0</v>
      </c>
      <c r="G26" s="62">
        <f>($J26*(1+$E$3))*('Student Info w MYP'!G$56/'Student Info w MYP'!$I$56)</f>
        <v>0</v>
      </c>
      <c r="H26" s="62">
        <f>($J26*(1+$E$3))*('Student Info w MYP'!H$56/'Student Info w MYP'!$I$56)</f>
        <v>0</v>
      </c>
      <c r="I26" s="62" t="e">
        <f t="shared" si="2"/>
        <v>#VALUE!</v>
      </c>
      <c r="J26" s="31">
        <f t="shared" si="0"/>
        <v>0</v>
      </c>
    </row>
    <row r="27" spans="1:10" collapsed="1" x14ac:dyDescent="0.75">
      <c r="A27" s="35"/>
      <c r="B27" s="117" t="s">
        <v>94</v>
      </c>
      <c r="C27" s="119" t="s">
        <v>1078</v>
      </c>
      <c r="D27" s="62" t="e">
        <f>($J27*(1+$E$3))*('Student Info w MYP'!D$56/'Student Info w MYP'!$I$56)</f>
        <v>#VALUE!</v>
      </c>
      <c r="E27" s="62" t="e">
        <f>($J27*(1+$E$3))*('Student Info w MYP'!E$56/'Student Info w MYP'!$I$56)</f>
        <v>#VALUE!</v>
      </c>
      <c r="F27" s="62">
        <f>($J27*(1+$E$3))*('Student Info w MYP'!F$56/'Student Info w MYP'!$I$56)</f>
        <v>0</v>
      </c>
      <c r="G27" s="62">
        <f>($J27*(1+$E$3))*('Student Info w MYP'!G$56/'Student Info w MYP'!$I$56)</f>
        <v>0</v>
      </c>
      <c r="H27" s="62">
        <f>($J27*(1+$E$3))*('Student Info w MYP'!H$56/'Student Info w MYP'!$I$56)</f>
        <v>0</v>
      </c>
      <c r="I27" s="62" t="e">
        <f t="shared" si="2"/>
        <v>#VALUE!</v>
      </c>
      <c r="J27" s="31">
        <f t="shared" si="0"/>
        <v>0</v>
      </c>
    </row>
    <row r="28" spans="1:10" x14ac:dyDescent="0.75">
      <c r="A28" s="35"/>
      <c r="B28" s="33" t="s">
        <v>558</v>
      </c>
      <c r="C28" s="34" t="s">
        <v>719</v>
      </c>
      <c r="D28" s="153" t="e">
        <f t="shared" ref="D28:I28" si="4">IF(SUM(D7:D27)&gt;0,SUM(D7:D27),"")</f>
        <v>#VALUE!</v>
      </c>
      <c r="E28" s="153" t="e">
        <f t="shared" si="4"/>
        <v>#VALUE!</v>
      </c>
      <c r="F28" s="153">
        <f t="shared" si="4"/>
        <v>38.935396464723688</v>
      </c>
      <c r="G28" s="153">
        <f t="shared" si="4"/>
        <v>46.824438008874978</v>
      </c>
      <c r="H28" s="153">
        <f t="shared" si="4"/>
        <v>50.906832193067963</v>
      </c>
      <c r="I28" s="153" t="e">
        <f t="shared" si="4"/>
        <v>#VALUE!</v>
      </c>
    </row>
    <row r="29" spans="1:10" x14ac:dyDescent="0.75">
      <c r="A29" s="35"/>
      <c r="B29" s="3"/>
      <c r="C29" s="2"/>
      <c r="D29" s="157"/>
      <c r="E29" s="157"/>
      <c r="F29" s="157"/>
      <c r="G29" s="157"/>
      <c r="H29" s="157"/>
      <c r="I29" s="157"/>
    </row>
    <row r="30" spans="1:10" x14ac:dyDescent="0.75">
      <c r="A30" s="4" t="s">
        <v>720</v>
      </c>
      <c r="B30" s="3"/>
      <c r="C30" s="2"/>
      <c r="D30" s="157"/>
      <c r="E30" s="157"/>
      <c r="F30" s="157"/>
      <c r="G30" s="157"/>
      <c r="H30" s="157"/>
      <c r="I30" s="157"/>
    </row>
    <row r="31" spans="1:10" x14ac:dyDescent="0.75">
      <c r="A31" s="35"/>
      <c r="B31" s="117" t="s">
        <v>98</v>
      </c>
      <c r="C31" s="118" t="s">
        <v>597</v>
      </c>
      <c r="D31" s="62" t="e">
        <f>($J31*(1+$E$3))*('Student Info w MYP'!D$56/'Student Info w MYP'!$I$56)</f>
        <v>#VALUE!</v>
      </c>
      <c r="E31" s="62" t="e">
        <f>($J31*(1+$E$3))*('Student Info w MYP'!E$56/'Student Info w MYP'!$I$56)</f>
        <v>#VALUE!</v>
      </c>
      <c r="F31" s="62">
        <f>($J31*(1+$E$3))*('Student Info w MYP'!F$56/'Student Info w MYP'!$I$56)</f>
        <v>0</v>
      </c>
      <c r="G31" s="62">
        <f>($J31*(1+$E$3))*('Student Info w MYP'!G$56/'Student Info w MYP'!$I$56)</f>
        <v>0</v>
      </c>
      <c r="H31" s="62">
        <f>($J31*(1+$E$3))*('Student Info w MYP'!H$56/'Student Info w MYP'!$I$56)</f>
        <v>0</v>
      </c>
      <c r="I31" s="62" t="e">
        <f t="shared" ref="I31:I66" si="5">SUM(D31:H31)</f>
        <v>#VALUE!</v>
      </c>
      <c r="J31" s="31">
        <f t="shared" ref="J31:J66" si="6">(K31/9)*12</f>
        <v>0</v>
      </c>
    </row>
    <row r="32" spans="1:10" x14ac:dyDescent="0.75">
      <c r="A32" s="35"/>
      <c r="B32" s="117" t="s">
        <v>550</v>
      </c>
      <c r="C32" s="118" t="s">
        <v>598</v>
      </c>
      <c r="D32" s="62" t="e">
        <f>($J32*(1+$E$3))*('Student Info w MYP'!D$56/'Student Info w MYP'!$I$56)</f>
        <v>#VALUE!</v>
      </c>
      <c r="E32" s="62" t="e">
        <f>($J32*(1+$E$3))*('Student Info w MYP'!E$56/'Student Info w MYP'!$I$56)</f>
        <v>#VALUE!</v>
      </c>
      <c r="F32" s="62">
        <f>($J32*(1+$E$3))*('Student Info w MYP'!F$56/'Student Info w MYP'!$I$56)</f>
        <v>0</v>
      </c>
      <c r="G32" s="62">
        <f>($J32*(1+$E$3))*('Student Info w MYP'!G$56/'Student Info w MYP'!$I$56)</f>
        <v>0</v>
      </c>
      <c r="H32" s="62">
        <f>($J32*(1+$E$3))*('Student Info w MYP'!H$56/'Student Info w MYP'!$I$56)</f>
        <v>0</v>
      </c>
      <c r="I32" s="62" t="e">
        <f t="shared" si="5"/>
        <v>#VALUE!</v>
      </c>
      <c r="J32" s="31">
        <f t="shared" si="6"/>
        <v>0</v>
      </c>
    </row>
    <row r="33" spans="1:10" x14ac:dyDescent="0.75">
      <c r="A33" s="35"/>
      <c r="B33" s="117" t="s">
        <v>100</v>
      </c>
      <c r="C33" s="118" t="s">
        <v>599</v>
      </c>
      <c r="D33" s="62" t="e">
        <f>($J33*(1+$E$3))*('Student Info w MYP'!D$56/'Student Info w MYP'!$I$56)</f>
        <v>#VALUE!</v>
      </c>
      <c r="E33" s="62" t="e">
        <f>($J33*(1+$E$3))*('Student Info w MYP'!E$56/'Student Info w MYP'!$I$56)</f>
        <v>#VALUE!</v>
      </c>
      <c r="F33" s="62">
        <f>($J33*(1+$E$3))*('Student Info w MYP'!F$56/'Student Info w MYP'!$I$56)</f>
        <v>0</v>
      </c>
      <c r="G33" s="62">
        <f>($J33*(1+$E$3))*('Student Info w MYP'!G$56/'Student Info w MYP'!$I$56)</f>
        <v>0</v>
      </c>
      <c r="H33" s="62">
        <f>($J33*(1+$E$3))*('Student Info w MYP'!H$56/'Student Info w MYP'!$I$56)</f>
        <v>0</v>
      </c>
      <c r="I33" s="62" t="e">
        <f t="shared" si="5"/>
        <v>#VALUE!</v>
      </c>
      <c r="J33" s="31">
        <f t="shared" si="6"/>
        <v>0</v>
      </c>
    </row>
    <row r="34" spans="1:10" x14ac:dyDescent="0.75">
      <c r="A34" s="35"/>
      <c r="B34" s="117" t="s">
        <v>102</v>
      </c>
      <c r="C34" s="118" t="s">
        <v>600</v>
      </c>
      <c r="D34" s="62" t="e">
        <f>($J34*(1+$E$3))*('Student Info w MYP'!D$56/'Student Info w MYP'!$I$56)</f>
        <v>#VALUE!</v>
      </c>
      <c r="E34" s="62" t="e">
        <f>($J34*(1+$E$3))*('Student Info w MYP'!E$56/'Student Info w MYP'!$I$56)</f>
        <v>#VALUE!</v>
      </c>
      <c r="F34" s="62">
        <f>($J34*(1+$E$3))*('Student Info w MYP'!F$56/'Student Info w MYP'!$I$56)</f>
        <v>0</v>
      </c>
      <c r="G34" s="62">
        <f>($J34*(1+$E$3))*('Student Info w MYP'!G$56/'Student Info w MYP'!$I$56)</f>
        <v>0</v>
      </c>
      <c r="H34" s="62">
        <f>($J34*(1+$E$3))*('Student Info w MYP'!H$56/'Student Info w MYP'!$I$56)</f>
        <v>0</v>
      </c>
      <c r="I34" s="62" t="e">
        <f t="shared" si="5"/>
        <v>#VALUE!</v>
      </c>
      <c r="J34" s="31">
        <f t="shared" si="6"/>
        <v>0</v>
      </c>
    </row>
    <row r="35" spans="1:10" x14ac:dyDescent="0.75">
      <c r="A35" s="35"/>
      <c r="B35" s="117" t="s">
        <v>108</v>
      </c>
      <c r="C35" s="118" t="s">
        <v>601</v>
      </c>
      <c r="D35" s="62" t="e">
        <f>($J35*(1+$E$3))*('Student Info w MYP'!D$56/'Student Info w MYP'!$I$56)</f>
        <v>#VALUE!</v>
      </c>
      <c r="E35" s="62" t="e">
        <f>($J35*(1+$E$3))*('Student Info w MYP'!E$56/'Student Info w MYP'!$I$56)</f>
        <v>#VALUE!</v>
      </c>
      <c r="F35" s="62">
        <f>($J35*(1+$E$3))*('Student Info w MYP'!F$56/'Student Info w MYP'!$I$56)</f>
        <v>0</v>
      </c>
      <c r="G35" s="62">
        <f>($J35*(1+$E$3))*('Student Info w MYP'!G$56/'Student Info w MYP'!$I$56)</f>
        <v>0</v>
      </c>
      <c r="H35" s="62">
        <f>($J35*(1+$E$3))*('Student Info w MYP'!H$56/'Student Info w MYP'!$I$56)</f>
        <v>0</v>
      </c>
      <c r="I35" s="62" t="e">
        <f t="shared" si="5"/>
        <v>#VALUE!</v>
      </c>
      <c r="J35" s="31">
        <f t="shared" si="6"/>
        <v>0</v>
      </c>
    </row>
    <row r="36" spans="1:10" x14ac:dyDescent="0.75">
      <c r="A36" s="35"/>
      <c r="B36" s="117" t="s">
        <v>678</v>
      </c>
      <c r="C36" s="118" t="s">
        <v>602</v>
      </c>
      <c r="D36" s="62" t="e">
        <f>($J36*(1+$E$3))*('Student Info w MYP'!D$56/'Student Info w MYP'!$I$56)</f>
        <v>#VALUE!</v>
      </c>
      <c r="E36" s="62" t="e">
        <f>($J36*(1+$E$3))*('Student Info w MYP'!E$56/'Student Info w MYP'!$I$56)</f>
        <v>#VALUE!</v>
      </c>
      <c r="F36" s="62">
        <f>($J36*(1+$E$3))*('Student Info w MYP'!F$56/'Student Info w MYP'!$I$56)</f>
        <v>0</v>
      </c>
      <c r="G36" s="62">
        <f>($J36*(1+$E$3))*('Student Info w MYP'!G$56/'Student Info w MYP'!$I$56)</f>
        <v>0</v>
      </c>
      <c r="H36" s="62">
        <f>($J36*(1+$E$3))*('Student Info w MYP'!H$56/'Student Info w MYP'!$I$56)</f>
        <v>0</v>
      </c>
      <c r="I36" s="62" t="e">
        <f t="shared" si="5"/>
        <v>#VALUE!</v>
      </c>
      <c r="J36" s="31">
        <f t="shared" si="6"/>
        <v>0</v>
      </c>
    </row>
    <row r="37" spans="1:10" x14ac:dyDescent="0.75">
      <c r="A37" s="35"/>
      <c r="B37" s="117" t="s">
        <v>679</v>
      </c>
      <c r="C37" s="118" t="s">
        <v>1079</v>
      </c>
      <c r="D37" s="62" t="e">
        <f>($J37*(1+$E$3))*('Student Info w MYP'!D$56/'Student Info w MYP'!$I$56)</f>
        <v>#VALUE!</v>
      </c>
      <c r="E37" s="62" t="e">
        <f>($J37*(1+$E$3))*('Student Info w MYP'!E$56/'Student Info w MYP'!$I$56)</f>
        <v>#VALUE!</v>
      </c>
      <c r="F37" s="62">
        <f>($J37*(1+$E$3))*('Student Info w MYP'!F$56/'Student Info w MYP'!$I$56)</f>
        <v>0</v>
      </c>
      <c r="G37" s="62">
        <f>($J37*(1+$E$3))*('Student Info w MYP'!G$56/'Student Info w MYP'!$I$56)</f>
        <v>0</v>
      </c>
      <c r="H37" s="62">
        <f>($J37*(1+$E$3))*('Student Info w MYP'!H$56/'Student Info w MYP'!$I$56)</f>
        <v>0</v>
      </c>
      <c r="I37" s="62" t="e">
        <f t="shared" si="5"/>
        <v>#VALUE!</v>
      </c>
      <c r="J37" s="31">
        <f t="shared" si="6"/>
        <v>0</v>
      </c>
    </row>
    <row r="38" spans="1:10" x14ac:dyDescent="0.75">
      <c r="A38" s="35"/>
      <c r="B38" s="117" t="s">
        <v>110</v>
      </c>
      <c r="C38" s="118" t="s">
        <v>603</v>
      </c>
      <c r="D38" s="62" t="e">
        <f>($J38*(1+$E$3))*('Student Info w MYP'!D$56/'Student Info w MYP'!$I$56)</f>
        <v>#VALUE!</v>
      </c>
      <c r="E38" s="62" t="e">
        <f>($J38*(1+$E$3))*('Student Info w MYP'!E$56/'Student Info w MYP'!$I$56)</f>
        <v>#VALUE!</v>
      </c>
      <c r="F38" s="62">
        <f>($J38*(1+$E$3))*('Student Info w MYP'!F$56/'Student Info w MYP'!$I$56)</f>
        <v>0</v>
      </c>
      <c r="G38" s="62">
        <f>($J38*(1+$E$3))*('Student Info w MYP'!G$56/'Student Info w MYP'!$I$56)</f>
        <v>0</v>
      </c>
      <c r="H38" s="62">
        <f>($J38*(1+$E$3))*('Student Info w MYP'!H$56/'Student Info w MYP'!$I$56)</f>
        <v>0</v>
      </c>
      <c r="I38" s="62" t="e">
        <f t="shared" si="5"/>
        <v>#VALUE!</v>
      </c>
      <c r="J38" s="31">
        <f t="shared" si="6"/>
        <v>0</v>
      </c>
    </row>
    <row r="39" spans="1:10" x14ac:dyDescent="0.75">
      <c r="A39" s="35"/>
      <c r="B39" s="117" t="s">
        <v>680</v>
      </c>
      <c r="C39" s="118" t="s">
        <v>604</v>
      </c>
      <c r="D39" s="62" t="e">
        <f>($J39*(1+$E$3))*('Student Info w MYP'!D$56/'Student Info w MYP'!$I$56)</f>
        <v>#VALUE!</v>
      </c>
      <c r="E39" s="62" t="e">
        <f>($J39*(1+$E$3))*('Student Info w MYP'!E$56/'Student Info w MYP'!$I$56)</f>
        <v>#VALUE!</v>
      </c>
      <c r="F39" s="62">
        <f>($J39*(1+$E$3))*('Student Info w MYP'!F$56/'Student Info w MYP'!$I$56)</f>
        <v>0</v>
      </c>
      <c r="G39" s="62">
        <f>($J39*(1+$E$3))*('Student Info w MYP'!G$56/'Student Info w MYP'!$I$56)</f>
        <v>0</v>
      </c>
      <c r="H39" s="62">
        <f>($J39*(1+$E$3))*('Student Info w MYP'!H$56/'Student Info w MYP'!$I$56)</f>
        <v>0</v>
      </c>
      <c r="I39" s="62" t="e">
        <f t="shared" si="5"/>
        <v>#VALUE!</v>
      </c>
      <c r="J39" s="31">
        <f t="shared" si="6"/>
        <v>0</v>
      </c>
    </row>
    <row r="40" spans="1:10" x14ac:dyDescent="0.75">
      <c r="A40" s="35"/>
      <c r="B40" s="139" t="s">
        <v>1080</v>
      </c>
      <c r="C40" s="119" t="s">
        <v>1081</v>
      </c>
      <c r="D40" s="62" t="e">
        <f>($J40*(1+$E$3))*('Student Info w MYP'!D$56/'Student Info w MYP'!$I$56)</f>
        <v>#VALUE!</v>
      </c>
      <c r="E40" s="62" t="e">
        <f>($J40*(1+$E$3))*('Student Info w MYP'!E$56/'Student Info w MYP'!$I$56)</f>
        <v>#VALUE!</v>
      </c>
      <c r="F40" s="62">
        <f>($J40*(1+$E$3))*('Student Info w MYP'!F$56/'Student Info w MYP'!$I$56)</f>
        <v>0</v>
      </c>
      <c r="G40" s="62">
        <f>($J40*(1+$E$3))*('Student Info w MYP'!G$56/'Student Info w MYP'!$I$56)</f>
        <v>0</v>
      </c>
      <c r="H40" s="62">
        <f>($J40*(1+$E$3))*('Student Info w MYP'!H$56/'Student Info w MYP'!$I$56)</f>
        <v>0</v>
      </c>
      <c r="I40" s="62" t="e">
        <f t="shared" si="5"/>
        <v>#VALUE!</v>
      </c>
      <c r="J40" s="31">
        <f t="shared" si="6"/>
        <v>0</v>
      </c>
    </row>
    <row r="41" spans="1:10" x14ac:dyDescent="0.75">
      <c r="A41" s="35"/>
      <c r="B41" s="139" t="s">
        <v>1648</v>
      </c>
      <c r="C41" s="118" t="s">
        <v>1649</v>
      </c>
      <c r="D41" s="62" t="e">
        <f>($J41*(1+$E$3))*('Student Info w MYP'!D$56/'Student Info w MYP'!$I$56)</f>
        <v>#VALUE!</v>
      </c>
      <c r="E41" s="62" t="e">
        <f>($J41*(1+$E$3))*('Student Info w MYP'!E$56/'Student Info w MYP'!$I$56)</f>
        <v>#VALUE!</v>
      </c>
      <c r="F41" s="62">
        <f>($J41*(1+$E$3))*('Student Info w MYP'!F$56/'Student Info w MYP'!$I$56)</f>
        <v>0</v>
      </c>
      <c r="G41" s="62">
        <f>($J41*(1+$E$3))*('Student Info w MYP'!G$56/'Student Info w MYP'!$I$56)</f>
        <v>0</v>
      </c>
      <c r="H41" s="62">
        <f>($J41*(1+$E$3))*('Student Info w MYP'!H$56/'Student Info w MYP'!$I$56)</f>
        <v>0</v>
      </c>
      <c r="I41" s="62" t="e">
        <f t="shared" si="5"/>
        <v>#VALUE!</v>
      </c>
      <c r="J41" s="31">
        <f t="shared" si="6"/>
        <v>0</v>
      </c>
    </row>
    <row r="42" spans="1:10" x14ac:dyDescent="0.75">
      <c r="A42" s="35"/>
      <c r="B42" s="139" t="s">
        <v>552</v>
      </c>
      <c r="C42" s="119" t="s">
        <v>606</v>
      </c>
      <c r="D42" s="62" t="e">
        <f>($J42*(1+$E$3))*('Student Info w MYP'!D$56/'Student Info w MYP'!$I$56)</f>
        <v>#VALUE!</v>
      </c>
      <c r="E42" s="62" t="e">
        <f>($J42*(1+$E$3))*('Student Info w MYP'!E$56/'Student Info w MYP'!$I$56)</f>
        <v>#VALUE!</v>
      </c>
      <c r="F42" s="62">
        <f>($J42*(1+$E$3))*('Student Info w MYP'!F$56/'Student Info w MYP'!$I$56)</f>
        <v>0</v>
      </c>
      <c r="G42" s="62">
        <f>($J42*(1+$E$3))*('Student Info w MYP'!G$56/'Student Info w MYP'!$I$56)</f>
        <v>0</v>
      </c>
      <c r="H42" s="62">
        <f>($J42*(1+$E$3))*('Student Info w MYP'!H$56/'Student Info w MYP'!$I$56)</f>
        <v>0</v>
      </c>
      <c r="I42" s="62" t="e">
        <f t="shared" si="5"/>
        <v>#VALUE!</v>
      </c>
      <c r="J42" s="31">
        <f t="shared" si="6"/>
        <v>0</v>
      </c>
    </row>
    <row r="43" spans="1:10" x14ac:dyDescent="0.75">
      <c r="A43" s="35"/>
      <c r="B43" s="117" t="s">
        <v>116</v>
      </c>
      <c r="C43" s="118" t="s">
        <v>607</v>
      </c>
      <c r="D43" s="62" t="e">
        <f>($J43*(1+$E$3))*('Student Info w MYP'!D$56/'Student Info w MYP'!$I$56)</f>
        <v>#VALUE!</v>
      </c>
      <c r="E43" s="62" t="e">
        <f>($J43*(1+$E$3))*('Student Info w MYP'!E$56/'Student Info w MYP'!$I$56)</f>
        <v>#VALUE!</v>
      </c>
      <c r="F43" s="62">
        <f>($J43*(1+$E$3))*('Student Info w MYP'!F$56/'Student Info w MYP'!$I$56)</f>
        <v>0</v>
      </c>
      <c r="G43" s="62">
        <f>($J43*(1+$E$3))*('Student Info w MYP'!G$56/'Student Info w MYP'!$I$56)</f>
        <v>0</v>
      </c>
      <c r="H43" s="62">
        <f>($J43*(1+$E$3))*('Student Info w MYP'!H$56/'Student Info w MYP'!$I$56)</f>
        <v>0</v>
      </c>
      <c r="I43" s="62" t="e">
        <f t="shared" si="5"/>
        <v>#VALUE!</v>
      </c>
      <c r="J43" s="31">
        <f t="shared" si="6"/>
        <v>0</v>
      </c>
    </row>
    <row r="44" spans="1:10" x14ac:dyDescent="0.75">
      <c r="A44" s="35"/>
      <c r="B44" s="117" t="s">
        <v>681</v>
      </c>
      <c r="C44" s="118" t="s">
        <v>608</v>
      </c>
      <c r="D44" s="62" t="e">
        <f>($J44*(1+$E$3))*('Student Info w MYP'!D$56/'Student Info w MYP'!$I$56)</f>
        <v>#VALUE!</v>
      </c>
      <c r="E44" s="62" t="e">
        <f>($J44*(1+$E$3))*('Student Info w MYP'!E$56/'Student Info w MYP'!$I$56)</f>
        <v>#VALUE!</v>
      </c>
      <c r="F44" s="62">
        <f>($J44*(1+$E$3))*('Student Info w MYP'!F$56/'Student Info w MYP'!$I$56)</f>
        <v>0</v>
      </c>
      <c r="G44" s="62">
        <f>($J44*(1+$E$3))*('Student Info w MYP'!G$56/'Student Info w MYP'!$I$56)</f>
        <v>0</v>
      </c>
      <c r="H44" s="62">
        <f>($J44*(1+$E$3))*('Student Info w MYP'!H$56/'Student Info w MYP'!$I$56)</f>
        <v>0</v>
      </c>
      <c r="I44" s="62" t="e">
        <f t="shared" si="5"/>
        <v>#VALUE!</v>
      </c>
      <c r="J44" s="31">
        <f t="shared" si="6"/>
        <v>0</v>
      </c>
    </row>
    <row r="45" spans="1:10" x14ac:dyDescent="0.75">
      <c r="A45" s="35"/>
      <c r="B45" s="117" t="s">
        <v>682</v>
      </c>
      <c r="C45" s="118" t="s">
        <v>1651</v>
      </c>
      <c r="D45" s="62" t="e">
        <f>($J45*(1+$E$3))*('Student Info w MYP'!D$56/'Student Info w MYP'!$I$56)</f>
        <v>#VALUE!</v>
      </c>
      <c r="E45" s="62" t="e">
        <f>($J45*(1+$E$3))*('Student Info w MYP'!E$56/'Student Info w MYP'!$I$56)</f>
        <v>#VALUE!</v>
      </c>
      <c r="F45" s="62">
        <f>($J45*(1+$E$3))*('Student Info w MYP'!F$56/'Student Info w MYP'!$I$56)</f>
        <v>0</v>
      </c>
      <c r="G45" s="62">
        <f>($J45*(1+$E$3))*('Student Info w MYP'!G$56/'Student Info w MYP'!$I$56)</f>
        <v>0</v>
      </c>
      <c r="H45" s="62">
        <f>($J45*(1+$E$3))*('Student Info w MYP'!H$56/'Student Info w MYP'!$I$56)</f>
        <v>0</v>
      </c>
      <c r="I45" s="62" t="e">
        <f t="shared" si="5"/>
        <v>#VALUE!</v>
      </c>
      <c r="J45" s="31">
        <f t="shared" si="6"/>
        <v>0</v>
      </c>
    </row>
    <row r="46" spans="1:10" x14ac:dyDescent="0.75">
      <c r="A46" s="35"/>
      <c r="B46" s="540" t="s">
        <v>1282</v>
      </c>
      <c r="C46" s="508" t="s">
        <v>1283</v>
      </c>
      <c r="D46" s="62" t="e">
        <f>($J46*(1+$E$3))*('Student Info w MYP'!D$56/'Student Info w MYP'!$I$56)</f>
        <v>#VALUE!</v>
      </c>
      <c r="E46" s="62" t="e">
        <f>($J46*(1+$E$3))*('Student Info w MYP'!E$56/'Student Info w MYP'!$I$56)</f>
        <v>#VALUE!</v>
      </c>
      <c r="F46" s="62">
        <f>($J46*(1+$E$3))*('Student Info w MYP'!F$56/'Student Info w MYP'!$I$56)</f>
        <v>0</v>
      </c>
      <c r="G46" s="62">
        <f>($J46*(1+$E$3))*('Student Info w MYP'!G$56/'Student Info w MYP'!$I$56)</f>
        <v>0</v>
      </c>
      <c r="H46" s="62">
        <f>($J46*(1+$E$3))*('Student Info w MYP'!H$56/'Student Info w MYP'!$I$56)</f>
        <v>0</v>
      </c>
      <c r="I46" s="62" t="e">
        <f t="shared" ref="I46:I48" si="7">SUM(D46:H46)</f>
        <v>#VALUE!</v>
      </c>
    </row>
    <row r="47" spans="1:10" x14ac:dyDescent="0.75">
      <c r="A47" s="35"/>
      <c r="B47" s="540" t="s">
        <v>1650</v>
      </c>
      <c r="C47" s="508" t="s">
        <v>1439</v>
      </c>
      <c r="D47" s="62" t="e">
        <f>($J47*(1+$E$3))*('Student Info w MYP'!D$56/'Student Info w MYP'!$I$56)</f>
        <v>#VALUE!</v>
      </c>
      <c r="E47" s="62" t="e">
        <f>($J47*(1+$E$3))*('Student Info w MYP'!E$56/'Student Info w MYP'!$I$56)</f>
        <v>#VALUE!</v>
      </c>
      <c r="F47" s="62">
        <f>($J47*(1+$E$3))*('Student Info w MYP'!F$56/'Student Info w MYP'!$I$56)</f>
        <v>0</v>
      </c>
      <c r="G47" s="62">
        <f>($J47*(1+$E$3))*('Student Info w MYP'!G$56/'Student Info w MYP'!$I$56)</f>
        <v>0</v>
      </c>
      <c r="H47" s="62">
        <f>($J47*(1+$E$3))*('Student Info w MYP'!H$56/'Student Info w MYP'!$I$56)</f>
        <v>0</v>
      </c>
      <c r="I47" s="62" t="e">
        <f t="shared" si="7"/>
        <v>#VALUE!</v>
      </c>
    </row>
    <row r="48" spans="1:10" x14ac:dyDescent="0.75">
      <c r="A48" s="35"/>
      <c r="B48" s="540" t="s">
        <v>1652</v>
      </c>
      <c r="C48" s="508" t="s">
        <v>1653</v>
      </c>
      <c r="D48" s="62" t="e">
        <f>($J48*(1+$E$3))*('Student Info w MYP'!D$56/'Student Info w MYP'!$I$56)</f>
        <v>#VALUE!</v>
      </c>
      <c r="E48" s="62" t="e">
        <f>($J48*(1+$E$3))*('Student Info w MYP'!E$56/'Student Info w MYP'!$I$56)</f>
        <v>#VALUE!</v>
      </c>
      <c r="F48" s="62">
        <f>($J48*(1+$E$3))*('Student Info w MYP'!F$56/'Student Info w MYP'!$I$56)</f>
        <v>0</v>
      </c>
      <c r="G48" s="62">
        <f>($J48*(1+$E$3))*('Student Info w MYP'!G$56/'Student Info w MYP'!$I$56)</f>
        <v>0</v>
      </c>
      <c r="H48" s="62">
        <f>($J48*(1+$E$3))*('Student Info w MYP'!H$56/'Student Info w MYP'!$I$56)</f>
        <v>0</v>
      </c>
      <c r="I48" s="62" t="e">
        <f t="shared" si="7"/>
        <v>#VALUE!</v>
      </c>
    </row>
    <row r="49" spans="1:10" x14ac:dyDescent="0.75">
      <c r="A49" s="35"/>
      <c r="B49" s="117" t="s">
        <v>553</v>
      </c>
      <c r="C49" s="118" t="s">
        <v>609</v>
      </c>
      <c r="D49" s="62" t="e">
        <f>($J49*(1+$E$3))*('Student Info w MYP'!D$56/'Student Info w MYP'!$I$56)</f>
        <v>#VALUE!</v>
      </c>
      <c r="E49" s="62" t="e">
        <f>($J49*(1+$E$3))*('Student Info w MYP'!E$56/'Student Info w MYP'!$I$56)</f>
        <v>#VALUE!</v>
      </c>
      <c r="F49" s="62">
        <f>($J49*(1+$E$3))*('Student Info w MYP'!F$56/'Student Info w MYP'!$I$56)</f>
        <v>0</v>
      </c>
      <c r="G49" s="62">
        <f>($J49*(1+$E$3))*('Student Info w MYP'!G$56/'Student Info w MYP'!$I$56)</f>
        <v>0</v>
      </c>
      <c r="H49" s="62">
        <f>($J49*(1+$E$3))*('Student Info w MYP'!H$56/'Student Info w MYP'!$I$56)</f>
        <v>0</v>
      </c>
      <c r="I49" s="62" t="e">
        <f t="shared" si="5"/>
        <v>#VALUE!</v>
      </c>
      <c r="J49" s="31">
        <f t="shared" si="6"/>
        <v>0</v>
      </c>
    </row>
    <row r="50" spans="1:10" x14ac:dyDescent="0.75">
      <c r="A50" s="35"/>
      <c r="B50" s="139" t="s">
        <v>835</v>
      </c>
      <c r="C50" s="119" t="s">
        <v>836</v>
      </c>
      <c r="D50" s="62" t="e">
        <f>($J50*(1+$E$3))*('Student Info w MYP'!D$56/'Student Info w MYP'!$I$56)</f>
        <v>#VALUE!</v>
      </c>
      <c r="E50" s="62" t="e">
        <f>($J50*(1+$E$3))*('Student Info w MYP'!E$56/'Student Info w MYP'!$I$56)</f>
        <v>#VALUE!</v>
      </c>
      <c r="F50" s="62">
        <f>($J50*(1+$E$3))*('Student Info w MYP'!F$56/'Student Info w MYP'!$I$56)</f>
        <v>0</v>
      </c>
      <c r="G50" s="62">
        <f>($J50*(1+$E$3))*('Student Info w MYP'!G$56/'Student Info w MYP'!$I$56)</f>
        <v>0</v>
      </c>
      <c r="H50" s="62">
        <f>($J50*(1+$E$3))*('Student Info w MYP'!H$56/'Student Info w MYP'!$I$56)</f>
        <v>0</v>
      </c>
      <c r="I50" s="62" t="e">
        <f t="shared" si="5"/>
        <v>#VALUE!</v>
      </c>
      <c r="J50" s="31">
        <f t="shared" si="6"/>
        <v>0</v>
      </c>
    </row>
    <row r="51" spans="1:10" x14ac:dyDescent="0.75">
      <c r="A51" s="35"/>
      <c r="B51" s="139" t="s">
        <v>837</v>
      </c>
      <c r="C51" s="119" t="s">
        <v>614</v>
      </c>
      <c r="D51" s="62" t="e">
        <f>($J51*(1+$E$3))*('Student Info w MYP'!D$56/'Student Info w MYP'!$I$56)</f>
        <v>#VALUE!</v>
      </c>
      <c r="E51" s="62" t="e">
        <f>($J51*(1+$E$3))*('Student Info w MYP'!E$56/'Student Info w MYP'!$I$56)</f>
        <v>#VALUE!</v>
      </c>
      <c r="F51" s="62">
        <f>($J51*(1+$E$3))*('Student Info w MYP'!F$56/'Student Info w MYP'!$I$56)</f>
        <v>0</v>
      </c>
      <c r="G51" s="62">
        <f>($J51*(1+$E$3))*('Student Info w MYP'!G$56/'Student Info w MYP'!$I$56)</f>
        <v>0</v>
      </c>
      <c r="H51" s="62">
        <f>($J51*(1+$E$3))*('Student Info w MYP'!H$56/'Student Info w MYP'!$I$56)</f>
        <v>0</v>
      </c>
      <c r="I51" s="62" t="e">
        <f t="shared" si="5"/>
        <v>#VALUE!</v>
      </c>
      <c r="J51" s="31">
        <f t="shared" si="6"/>
        <v>0</v>
      </c>
    </row>
    <row r="52" spans="1:10" x14ac:dyDescent="0.75">
      <c r="A52" s="35"/>
      <c r="B52" s="139" t="s">
        <v>1250</v>
      </c>
      <c r="C52" s="118" t="s">
        <v>616</v>
      </c>
      <c r="D52" s="62" t="e">
        <f>($J52*(1+$E$3))*('Student Info w MYP'!D$56/'Student Info w MYP'!$I$56)</f>
        <v>#VALUE!</v>
      </c>
      <c r="E52" s="62" t="e">
        <f>($J52*(1+$E$3))*('Student Info w MYP'!E$56/'Student Info w MYP'!$I$56)</f>
        <v>#VALUE!</v>
      </c>
      <c r="F52" s="62">
        <f>($J52*(1+$E$3))*('Student Info w MYP'!F$56/'Student Info w MYP'!$I$56)</f>
        <v>0</v>
      </c>
      <c r="G52" s="62">
        <f>($J52*(1+$E$3))*('Student Info w MYP'!G$56/'Student Info w MYP'!$I$56)</f>
        <v>0</v>
      </c>
      <c r="H52" s="62">
        <f>($J52*(1+$E$3))*('Student Info w MYP'!H$56/'Student Info w MYP'!$I$56)</f>
        <v>0</v>
      </c>
      <c r="I52" s="62" t="e">
        <f t="shared" si="5"/>
        <v>#VALUE!</v>
      </c>
      <c r="J52" s="31">
        <f t="shared" si="6"/>
        <v>0</v>
      </c>
    </row>
    <row r="53" spans="1:10" x14ac:dyDescent="0.75">
      <c r="A53" s="35"/>
      <c r="B53" s="139" t="s">
        <v>838</v>
      </c>
      <c r="C53" s="119" t="s">
        <v>839</v>
      </c>
      <c r="D53" s="62" t="e">
        <f>($J53*(1+$E$3))*('Student Info w MYP'!D$56/'Student Info w MYP'!$I$56)</f>
        <v>#VALUE!</v>
      </c>
      <c r="E53" s="62" t="e">
        <f>($J53*(1+$E$3))*('Student Info w MYP'!E$56/'Student Info w MYP'!$I$56)</f>
        <v>#VALUE!</v>
      </c>
      <c r="F53" s="62">
        <f>($J53*(1+$E$3))*('Student Info w MYP'!F$56/'Student Info w MYP'!$I$56)</f>
        <v>0</v>
      </c>
      <c r="G53" s="62">
        <f>($J53*(1+$E$3))*('Student Info w MYP'!G$56/'Student Info w MYP'!$I$56)</f>
        <v>0</v>
      </c>
      <c r="H53" s="62">
        <f>($J53*(1+$E$3))*('Student Info w MYP'!H$56/'Student Info w MYP'!$I$56)</f>
        <v>0</v>
      </c>
      <c r="I53" s="62" t="e">
        <f t="shared" si="5"/>
        <v>#VALUE!</v>
      </c>
      <c r="J53" s="31">
        <f t="shared" si="6"/>
        <v>0</v>
      </c>
    </row>
    <row r="54" spans="1:10" x14ac:dyDescent="0.75">
      <c r="A54" s="35"/>
      <c r="B54" s="139" t="s">
        <v>842</v>
      </c>
      <c r="C54" s="119" t="s">
        <v>843</v>
      </c>
      <c r="D54" s="62" t="e">
        <f>($J54*(1+$E$3))*('Student Info w MYP'!D$56/'Student Info w MYP'!$I$56)</f>
        <v>#VALUE!</v>
      </c>
      <c r="E54" s="62" t="e">
        <f>($J54*(1+$E$3))*('Student Info w MYP'!E$56/'Student Info w MYP'!$I$56)</f>
        <v>#VALUE!</v>
      </c>
      <c r="F54" s="62">
        <f>($J54*(1+$E$3))*('Student Info w MYP'!F$56/'Student Info w MYP'!$I$56)</f>
        <v>0</v>
      </c>
      <c r="G54" s="62">
        <f>($J54*(1+$E$3))*('Student Info w MYP'!G$56/'Student Info w MYP'!$I$56)</f>
        <v>0</v>
      </c>
      <c r="H54" s="62">
        <f>($J54*(1+$E$3))*('Student Info w MYP'!H$56/'Student Info w MYP'!$I$56)</f>
        <v>0</v>
      </c>
      <c r="I54" s="62" t="e">
        <f t="shared" si="5"/>
        <v>#VALUE!</v>
      </c>
      <c r="J54" s="31">
        <f t="shared" si="6"/>
        <v>0</v>
      </c>
    </row>
    <row r="55" spans="1:10" x14ac:dyDescent="0.75">
      <c r="A55" s="35"/>
      <c r="B55" s="117" t="s">
        <v>118</v>
      </c>
      <c r="C55" s="118" t="s">
        <v>610</v>
      </c>
      <c r="D55" s="62" t="e">
        <f>($J55*(1+$E$3))*('Student Info w MYP'!D$56/'Student Info w MYP'!$I$56)</f>
        <v>#VALUE!</v>
      </c>
      <c r="E55" s="62" t="e">
        <f>($J55*(1+$E$3))*('Student Info w MYP'!E$56/'Student Info w MYP'!$I$56)</f>
        <v>#VALUE!</v>
      </c>
      <c r="F55" s="62">
        <f>($J55*(1+$E$3))*('Student Info w MYP'!F$56/'Student Info w MYP'!$I$56)</f>
        <v>0</v>
      </c>
      <c r="G55" s="62">
        <f>($J55*(1+$E$3))*('Student Info w MYP'!G$56/'Student Info w MYP'!$I$56)</f>
        <v>0</v>
      </c>
      <c r="H55" s="62">
        <f>($J55*(1+$E$3))*('Student Info w MYP'!H$56/'Student Info w MYP'!$I$56)</f>
        <v>0</v>
      </c>
      <c r="I55" s="62" t="e">
        <f t="shared" si="5"/>
        <v>#VALUE!</v>
      </c>
      <c r="J55" s="31">
        <f t="shared" si="6"/>
        <v>0</v>
      </c>
    </row>
    <row r="56" spans="1:10" hidden="1" outlineLevel="1" x14ac:dyDescent="0.75">
      <c r="A56" s="35"/>
      <c r="B56" s="117"/>
      <c r="C56" s="118"/>
      <c r="D56" s="62" t="e">
        <f>($J56*(1+$E$3))*('Student Info w MYP'!D$56/'Student Info w MYP'!$I$56)</f>
        <v>#VALUE!</v>
      </c>
      <c r="E56" s="62" t="e">
        <f>($J56*(1+$E$3))*('Student Info w MYP'!E$56/'Student Info w MYP'!$I$56)</f>
        <v>#VALUE!</v>
      </c>
      <c r="F56" s="62">
        <f>($J56*(1+$E$3))*('Student Info w MYP'!F$56/'Student Info w MYP'!$I$56)</f>
        <v>0</v>
      </c>
      <c r="G56" s="62">
        <f>($J56*(1+$E$3))*('Student Info w MYP'!G$56/'Student Info w MYP'!$I$56)</f>
        <v>0</v>
      </c>
      <c r="H56" s="62">
        <f>($J56*(1+$E$3))*('Student Info w MYP'!H$56/'Student Info w MYP'!$I$56)</f>
        <v>0</v>
      </c>
      <c r="I56" s="62" t="e">
        <f t="shared" si="5"/>
        <v>#VALUE!</v>
      </c>
      <c r="J56" s="31">
        <f t="shared" si="6"/>
        <v>0</v>
      </c>
    </row>
    <row r="57" spans="1:10" hidden="1" outlineLevel="1" x14ac:dyDescent="0.75">
      <c r="A57" s="35"/>
      <c r="B57" s="117"/>
      <c r="C57" s="118"/>
      <c r="D57" s="62" t="e">
        <f>($J57*(1+$E$3))*('Student Info w MYP'!D$56/'Student Info w MYP'!$I$56)</f>
        <v>#VALUE!</v>
      </c>
      <c r="E57" s="62" t="e">
        <f>($J57*(1+$E$3))*('Student Info w MYP'!E$56/'Student Info w MYP'!$I$56)</f>
        <v>#VALUE!</v>
      </c>
      <c r="F57" s="62">
        <f>($J57*(1+$E$3))*('Student Info w MYP'!F$56/'Student Info w MYP'!$I$56)</f>
        <v>0</v>
      </c>
      <c r="G57" s="62">
        <f>($J57*(1+$E$3))*('Student Info w MYP'!G$56/'Student Info w MYP'!$I$56)</f>
        <v>0</v>
      </c>
      <c r="H57" s="62">
        <f>($J57*(1+$E$3))*('Student Info w MYP'!H$56/'Student Info w MYP'!$I$56)</f>
        <v>0</v>
      </c>
      <c r="I57" s="62" t="e">
        <f t="shared" si="5"/>
        <v>#VALUE!</v>
      </c>
      <c r="J57" s="31">
        <f t="shared" si="6"/>
        <v>0</v>
      </c>
    </row>
    <row r="58" spans="1:10" hidden="1" outlineLevel="1" x14ac:dyDescent="0.75">
      <c r="A58" s="35"/>
      <c r="B58" s="117"/>
      <c r="C58" s="118"/>
      <c r="D58" s="62" t="e">
        <f>($J58*(1+$E$3))*('Student Info w MYP'!D$56/'Student Info w MYP'!$I$56)</f>
        <v>#VALUE!</v>
      </c>
      <c r="E58" s="62" t="e">
        <f>($J58*(1+$E$3))*('Student Info w MYP'!E$56/'Student Info w MYP'!$I$56)</f>
        <v>#VALUE!</v>
      </c>
      <c r="F58" s="62">
        <f>($J58*(1+$E$3))*('Student Info w MYP'!F$56/'Student Info w MYP'!$I$56)</f>
        <v>0</v>
      </c>
      <c r="G58" s="62">
        <f>($J58*(1+$E$3))*('Student Info w MYP'!G$56/'Student Info w MYP'!$I$56)</f>
        <v>0</v>
      </c>
      <c r="H58" s="62">
        <f>($J58*(1+$E$3))*('Student Info w MYP'!H$56/'Student Info w MYP'!$I$56)</f>
        <v>0</v>
      </c>
      <c r="I58" s="62" t="e">
        <f t="shared" si="5"/>
        <v>#VALUE!</v>
      </c>
      <c r="J58" s="31">
        <f t="shared" si="6"/>
        <v>0</v>
      </c>
    </row>
    <row r="59" spans="1:10" hidden="1" outlineLevel="1" x14ac:dyDescent="0.75">
      <c r="A59" s="35"/>
      <c r="B59" s="117"/>
      <c r="C59" s="118"/>
      <c r="D59" s="62" t="e">
        <f>($J59*(1+$E$3))*('Student Info w MYP'!D$56/'Student Info w MYP'!$I$56)</f>
        <v>#VALUE!</v>
      </c>
      <c r="E59" s="62" t="e">
        <f>($J59*(1+$E$3))*('Student Info w MYP'!E$56/'Student Info w MYP'!$I$56)</f>
        <v>#VALUE!</v>
      </c>
      <c r="F59" s="62">
        <f>($J59*(1+$E$3))*('Student Info w MYP'!F$56/'Student Info w MYP'!$I$56)</f>
        <v>0</v>
      </c>
      <c r="G59" s="62">
        <f>($J59*(1+$E$3))*('Student Info w MYP'!G$56/'Student Info w MYP'!$I$56)</f>
        <v>0</v>
      </c>
      <c r="H59" s="62">
        <f>($J59*(1+$E$3))*('Student Info w MYP'!H$56/'Student Info w MYP'!$I$56)</f>
        <v>0</v>
      </c>
      <c r="I59" s="62" t="e">
        <f t="shared" si="5"/>
        <v>#VALUE!</v>
      </c>
      <c r="J59" s="31">
        <f t="shared" si="6"/>
        <v>0</v>
      </c>
    </row>
    <row r="60" spans="1:10" hidden="1" outlineLevel="1" x14ac:dyDescent="0.75">
      <c r="A60" s="35"/>
      <c r="B60" s="117"/>
      <c r="C60" s="118"/>
      <c r="D60" s="62" t="e">
        <f>($J60*(1+$E$3))*('Student Info w MYP'!D$56/'Student Info w MYP'!$I$56)</f>
        <v>#VALUE!</v>
      </c>
      <c r="E60" s="62" t="e">
        <f>($J60*(1+$E$3))*('Student Info w MYP'!E$56/'Student Info w MYP'!$I$56)</f>
        <v>#VALUE!</v>
      </c>
      <c r="F60" s="62">
        <f>($J60*(1+$E$3))*('Student Info w MYP'!F$56/'Student Info w MYP'!$I$56)</f>
        <v>0</v>
      </c>
      <c r="G60" s="62">
        <f>($J60*(1+$E$3))*('Student Info w MYP'!G$56/'Student Info w MYP'!$I$56)</f>
        <v>0</v>
      </c>
      <c r="H60" s="62">
        <f>($J60*(1+$E$3))*('Student Info w MYP'!H$56/'Student Info w MYP'!$I$56)</f>
        <v>0</v>
      </c>
      <c r="I60" s="62" t="e">
        <f t="shared" si="5"/>
        <v>#VALUE!</v>
      </c>
      <c r="J60" s="31">
        <f t="shared" si="6"/>
        <v>0</v>
      </c>
    </row>
    <row r="61" spans="1:10" hidden="1" outlineLevel="1" x14ac:dyDescent="0.75">
      <c r="A61" s="35"/>
      <c r="B61" s="117"/>
      <c r="C61" s="118"/>
      <c r="D61" s="62" t="e">
        <f>($J61*(1+$E$3))*('Student Info w MYP'!D$56/'Student Info w MYP'!$I$56)</f>
        <v>#VALUE!</v>
      </c>
      <c r="E61" s="62" t="e">
        <f>($J61*(1+$E$3))*('Student Info w MYP'!E$56/'Student Info w MYP'!$I$56)</f>
        <v>#VALUE!</v>
      </c>
      <c r="F61" s="62">
        <f>($J61*(1+$E$3))*('Student Info w MYP'!F$56/'Student Info w MYP'!$I$56)</f>
        <v>0</v>
      </c>
      <c r="G61" s="62">
        <f>($J61*(1+$E$3))*('Student Info w MYP'!G$56/'Student Info w MYP'!$I$56)</f>
        <v>0</v>
      </c>
      <c r="H61" s="62">
        <f>($J61*(1+$E$3))*('Student Info w MYP'!H$56/'Student Info w MYP'!$I$56)</f>
        <v>0</v>
      </c>
      <c r="I61" s="62" t="e">
        <f t="shared" si="5"/>
        <v>#VALUE!</v>
      </c>
      <c r="J61" s="31">
        <f t="shared" si="6"/>
        <v>0</v>
      </c>
    </row>
    <row r="62" spans="1:10" hidden="1" outlineLevel="1" x14ac:dyDescent="0.75">
      <c r="A62" s="35"/>
      <c r="B62" s="117"/>
      <c r="C62" s="118"/>
      <c r="D62" s="62" t="e">
        <f>($J62*(1+$E$3))*('Student Info w MYP'!D$56/'Student Info w MYP'!$I$56)</f>
        <v>#VALUE!</v>
      </c>
      <c r="E62" s="62" t="e">
        <f>($J62*(1+$E$3))*('Student Info w MYP'!E$56/'Student Info w MYP'!$I$56)</f>
        <v>#VALUE!</v>
      </c>
      <c r="F62" s="62">
        <f>($J62*(1+$E$3))*('Student Info w MYP'!F$56/'Student Info w MYP'!$I$56)</f>
        <v>0</v>
      </c>
      <c r="G62" s="62">
        <f>($J62*(1+$E$3))*('Student Info w MYP'!G$56/'Student Info w MYP'!$I$56)</f>
        <v>0</v>
      </c>
      <c r="H62" s="62">
        <f>($J62*(1+$E$3))*('Student Info w MYP'!H$56/'Student Info w MYP'!$I$56)</f>
        <v>0</v>
      </c>
      <c r="I62" s="62" t="e">
        <f t="shared" si="5"/>
        <v>#VALUE!</v>
      </c>
      <c r="J62" s="31">
        <f t="shared" si="6"/>
        <v>0</v>
      </c>
    </row>
    <row r="63" spans="1:10" hidden="1" outlineLevel="1" x14ac:dyDescent="0.75">
      <c r="A63" s="35"/>
      <c r="B63" s="117"/>
      <c r="C63" s="118"/>
      <c r="D63" s="62" t="e">
        <f>($J63*(1+$E$3))*('Student Info w MYP'!D$56/'Student Info w MYP'!$I$56)</f>
        <v>#VALUE!</v>
      </c>
      <c r="E63" s="62" t="e">
        <f>($J63*(1+$E$3))*('Student Info w MYP'!E$56/'Student Info w MYP'!$I$56)</f>
        <v>#VALUE!</v>
      </c>
      <c r="F63" s="62">
        <f>($J63*(1+$E$3))*('Student Info w MYP'!F$56/'Student Info w MYP'!$I$56)</f>
        <v>0</v>
      </c>
      <c r="G63" s="62">
        <f>($J63*(1+$E$3))*('Student Info w MYP'!G$56/'Student Info w MYP'!$I$56)</f>
        <v>0</v>
      </c>
      <c r="H63" s="62">
        <f>($J63*(1+$E$3))*('Student Info w MYP'!H$56/'Student Info w MYP'!$I$56)</f>
        <v>0</v>
      </c>
      <c r="I63" s="62" t="e">
        <f t="shared" si="5"/>
        <v>#VALUE!</v>
      </c>
      <c r="J63" s="31">
        <f t="shared" si="6"/>
        <v>0</v>
      </c>
    </row>
    <row r="64" spans="1:10" hidden="1" outlineLevel="1" x14ac:dyDescent="0.75">
      <c r="A64" s="35"/>
      <c r="B64" s="117"/>
      <c r="C64" s="118"/>
      <c r="D64" s="62" t="e">
        <f>($J64*(1+$E$3))*('Student Info w MYP'!D$56/'Student Info w MYP'!$I$56)</f>
        <v>#VALUE!</v>
      </c>
      <c r="E64" s="62" t="e">
        <f>($J64*(1+$E$3))*('Student Info w MYP'!E$56/'Student Info w MYP'!$I$56)</f>
        <v>#VALUE!</v>
      </c>
      <c r="F64" s="62">
        <f>($J64*(1+$E$3))*('Student Info w MYP'!F$56/'Student Info w MYP'!$I$56)</f>
        <v>0</v>
      </c>
      <c r="G64" s="62">
        <f>($J64*(1+$E$3))*('Student Info w MYP'!G$56/'Student Info w MYP'!$I$56)</f>
        <v>0</v>
      </c>
      <c r="H64" s="62">
        <f>($J64*(1+$E$3))*('Student Info w MYP'!H$56/'Student Info w MYP'!$I$56)</f>
        <v>0</v>
      </c>
      <c r="I64" s="62" t="e">
        <f t="shared" si="5"/>
        <v>#VALUE!</v>
      </c>
      <c r="J64" s="31">
        <f t="shared" si="6"/>
        <v>0</v>
      </c>
    </row>
    <row r="65" spans="1:10" hidden="1" outlineLevel="1" x14ac:dyDescent="0.75">
      <c r="A65" s="35"/>
      <c r="B65" s="139"/>
      <c r="C65" s="119"/>
      <c r="D65" s="62" t="e">
        <f>($J65*(1+$E$3))*('Student Info w MYP'!D$56/'Student Info w MYP'!$I$56)</f>
        <v>#VALUE!</v>
      </c>
      <c r="E65" s="62" t="e">
        <f>($J65*(1+$E$3))*('Student Info w MYP'!E$56/'Student Info w MYP'!$I$56)</f>
        <v>#VALUE!</v>
      </c>
      <c r="F65" s="62">
        <f>($J65*(1+$E$3))*('Student Info w MYP'!F$56/'Student Info w MYP'!$I$56)</f>
        <v>0</v>
      </c>
      <c r="G65" s="62">
        <f>($J65*(1+$E$3))*('Student Info w MYP'!G$56/'Student Info w MYP'!$I$56)</f>
        <v>0</v>
      </c>
      <c r="H65" s="62">
        <f>($J65*(1+$E$3))*('Student Info w MYP'!H$56/'Student Info w MYP'!$I$56)</f>
        <v>0</v>
      </c>
      <c r="I65" s="62" t="e">
        <f t="shared" si="5"/>
        <v>#VALUE!</v>
      </c>
      <c r="J65" s="31">
        <f t="shared" si="6"/>
        <v>0</v>
      </c>
    </row>
    <row r="66" spans="1:10" collapsed="1" x14ac:dyDescent="0.75">
      <c r="A66" s="35"/>
      <c r="B66" s="139" t="s">
        <v>1083</v>
      </c>
      <c r="C66" s="119" t="s">
        <v>1084</v>
      </c>
      <c r="D66" s="62" t="e">
        <f>($J66*(1+$E$3))*('Student Info w MYP'!D$56/'Student Info w MYP'!$I$56)</f>
        <v>#VALUE!</v>
      </c>
      <c r="E66" s="62" t="e">
        <f>($J66*(1+$E$3))*('Student Info w MYP'!E$56/'Student Info w MYP'!$I$56)</f>
        <v>#VALUE!</v>
      </c>
      <c r="F66" s="62">
        <f>($J66*(1+$E$3))*('Student Info w MYP'!F$56/'Student Info w MYP'!$I$56)</f>
        <v>0</v>
      </c>
      <c r="G66" s="62">
        <f>($J66*(1+$E$3))*('Student Info w MYP'!G$56/'Student Info w MYP'!$I$56)</f>
        <v>0</v>
      </c>
      <c r="H66" s="62">
        <f>($J66*(1+$E$3))*('Student Info w MYP'!H$56/'Student Info w MYP'!$I$56)</f>
        <v>0</v>
      </c>
      <c r="I66" s="62" t="e">
        <f t="shared" si="5"/>
        <v>#VALUE!</v>
      </c>
      <c r="J66" s="31">
        <f t="shared" si="6"/>
        <v>0</v>
      </c>
    </row>
    <row r="67" spans="1:10" x14ac:dyDescent="0.75">
      <c r="A67" s="35"/>
      <c r="B67" s="33" t="s">
        <v>559</v>
      </c>
      <c r="C67" s="34" t="s">
        <v>719</v>
      </c>
      <c r="D67" s="153" t="e">
        <f t="shared" ref="D67:I67" si="8">IF(SUM(D30:D66)&gt;0,SUM(D30:D66),"")</f>
        <v>#VALUE!</v>
      </c>
      <c r="E67" s="153" t="e">
        <f t="shared" si="8"/>
        <v>#VALUE!</v>
      </c>
      <c r="F67" s="153" t="str">
        <f t="shared" si="8"/>
        <v/>
      </c>
      <c r="G67" s="153" t="str">
        <f t="shared" si="8"/>
        <v/>
      </c>
      <c r="H67" s="153" t="str">
        <f t="shared" si="8"/>
        <v/>
      </c>
      <c r="I67" s="153" t="e">
        <f t="shared" si="8"/>
        <v>#VALUE!</v>
      </c>
    </row>
    <row r="68" spans="1:10" x14ac:dyDescent="0.75">
      <c r="A68" s="35"/>
      <c r="B68" s="3"/>
      <c r="C68" s="2"/>
      <c r="D68" s="157"/>
      <c r="E68" s="157"/>
      <c r="F68" s="157"/>
      <c r="G68" s="157"/>
      <c r="H68" s="157"/>
      <c r="I68" s="157"/>
    </row>
    <row r="69" spans="1:10" x14ac:dyDescent="0.75">
      <c r="A69" s="34" t="s">
        <v>721</v>
      </c>
      <c r="B69" s="3"/>
      <c r="C69" s="2"/>
      <c r="D69" s="157"/>
      <c r="E69" s="157"/>
      <c r="F69" s="157"/>
      <c r="G69" s="157"/>
      <c r="H69" s="157"/>
      <c r="I69" s="157"/>
    </row>
    <row r="70" spans="1:10" x14ac:dyDescent="0.75">
      <c r="A70" s="35"/>
      <c r="B70" s="117" t="s">
        <v>132</v>
      </c>
      <c r="C70" s="118" t="s">
        <v>133</v>
      </c>
      <c r="D70" s="62" t="e">
        <f>($J70*(1+$E$3))*('Student Info w MYP'!D$56/'Student Info w MYP'!$I$56)</f>
        <v>#VALUE!</v>
      </c>
      <c r="E70" s="62" t="e">
        <f>($J70*(1+$E$3))*('Student Info w MYP'!E$56/'Student Info w MYP'!$I$56)</f>
        <v>#VALUE!</v>
      </c>
      <c r="F70" s="62">
        <f>($J70*(1+$E$3))*('Student Info w MYP'!F$56/'Student Info w MYP'!$I$56)</f>
        <v>0</v>
      </c>
      <c r="G70" s="62">
        <f>($J70*(1+$E$3))*('Student Info w MYP'!G$56/'Student Info w MYP'!$I$56)</f>
        <v>0</v>
      </c>
      <c r="H70" s="62">
        <f>($J70*(1+$E$3))*('Student Info w MYP'!H$56/'Student Info w MYP'!$I$56)</f>
        <v>0</v>
      </c>
      <c r="I70" s="62" t="e">
        <f>SUM(D70:H70)</f>
        <v>#VALUE!</v>
      </c>
      <c r="J70" s="31">
        <f>(K70/9)*12</f>
        <v>0</v>
      </c>
    </row>
    <row r="71" spans="1:10" x14ac:dyDescent="0.75">
      <c r="A71" s="35"/>
      <c r="B71" s="33" t="s">
        <v>560</v>
      </c>
      <c r="C71" s="34" t="s">
        <v>719</v>
      </c>
      <c r="D71" s="153" t="e">
        <f t="shared" ref="D71:I71" si="9">IF(SUM(D69:D70)&gt;0,SUM(D69:D70),"")</f>
        <v>#VALUE!</v>
      </c>
      <c r="E71" s="153" t="e">
        <f t="shared" si="9"/>
        <v>#VALUE!</v>
      </c>
      <c r="F71" s="153" t="str">
        <f t="shared" si="9"/>
        <v/>
      </c>
      <c r="G71" s="153" t="str">
        <f t="shared" si="9"/>
        <v/>
      </c>
      <c r="H71" s="153" t="str">
        <f t="shared" si="9"/>
        <v/>
      </c>
      <c r="I71" s="153" t="e">
        <f t="shared" si="9"/>
        <v>#VALUE!</v>
      </c>
    </row>
    <row r="72" spans="1:10" x14ac:dyDescent="0.75">
      <c r="A72" s="35"/>
      <c r="B72" s="3"/>
      <c r="C72" s="2"/>
      <c r="D72" s="157"/>
      <c r="E72" s="158"/>
      <c r="F72" s="158"/>
      <c r="G72" s="157"/>
      <c r="H72" s="157"/>
      <c r="I72" s="157"/>
    </row>
    <row r="73" spans="1:10" x14ac:dyDescent="0.75">
      <c r="A73" s="34" t="s">
        <v>722</v>
      </c>
      <c r="B73" s="3"/>
      <c r="C73" s="2"/>
      <c r="D73" s="157"/>
      <c r="E73" s="158"/>
      <c r="F73" s="158"/>
      <c r="G73" s="157"/>
      <c r="H73" s="157"/>
      <c r="I73" s="157"/>
    </row>
    <row r="74" spans="1:10" x14ac:dyDescent="0.75">
      <c r="A74" s="35"/>
      <c r="B74" s="117" t="s">
        <v>554</v>
      </c>
      <c r="C74" s="119" t="s">
        <v>613</v>
      </c>
      <c r="D74" s="62" t="e">
        <f>($J74*(1+$E$3))*('Student Info w MYP'!D$56/'Student Info w MYP'!$I$56)</f>
        <v>#VALUE!</v>
      </c>
      <c r="E74" s="62" t="e">
        <f>($J74*(1+$E$3))*('Student Info w MYP'!E$56/'Student Info w MYP'!$I$56)</f>
        <v>#VALUE!</v>
      </c>
      <c r="F74" s="62">
        <f>($J74*(1+$E$3))*('Student Info w MYP'!F$56/'Student Info w MYP'!$I$56)</f>
        <v>0</v>
      </c>
      <c r="G74" s="62">
        <f>($J74*(1+$E$3))*('Student Info w MYP'!G$56/'Student Info w MYP'!$I$56)</f>
        <v>0</v>
      </c>
      <c r="H74" s="62">
        <f>($J74*(1+$E$3))*('Student Info w MYP'!H$56/'Student Info w MYP'!$I$56)</f>
        <v>0</v>
      </c>
      <c r="I74" s="62" t="e">
        <f>SUM(D74:H74)</f>
        <v>#VALUE!</v>
      </c>
      <c r="J74" s="31">
        <f>(K74/9)*12</f>
        <v>0</v>
      </c>
    </row>
    <row r="75" spans="1:10" x14ac:dyDescent="0.75">
      <c r="A75" s="35"/>
      <c r="B75" s="139" t="s">
        <v>184</v>
      </c>
      <c r="C75" s="119" t="s">
        <v>615</v>
      </c>
      <c r="D75" s="62" t="e">
        <f>($J75*(1+$E$3))*('Student Info w MYP'!D$56/'Student Info w MYP'!$I$56)</f>
        <v>#VALUE!</v>
      </c>
      <c r="E75" s="62" t="e">
        <f>($J75*(1+$E$3))*('Student Info w MYP'!E$56/'Student Info w MYP'!$I$56)</f>
        <v>#VALUE!</v>
      </c>
      <c r="F75" s="62">
        <f>($J75*(1+$E$3))*('Student Info w MYP'!F$56/'Student Info w MYP'!$I$56)</f>
        <v>0</v>
      </c>
      <c r="G75" s="62">
        <f>($J75*(1+$E$3))*('Student Info w MYP'!G$56/'Student Info w MYP'!$I$56)</f>
        <v>0</v>
      </c>
      <c r="H75" s="62">
        <f>($J75*(1+$E$3))*('Student Info w MYP'!H$56/'Student Info w MYP'!$I$56)</f>
        <v>0</v>
      </c>
      <c r="I75" s="62" t="e">
        <f>SUM(D75:H75)</f>
        <v>#VALUE!</v>
      </c>
      <c r="J75" s="31">
        <f>(K75/9)*12</f>
        <v>0</v>
      </c>
    </row>
    <row r="76" spans="1:10" x14ac:dyDescent="0.75">
      <c r="A76" s="35"/>
      <c r="B76" s="33" t="s">
        <v>683</v>
      </c>
      <c r="C76" s="34" t="s">
        <v>719</v>
      </c>
      <c r="D76" s="153" t="e">
        <f t="shared" ref="D76:I76" si="10">IF(SUM(D73:D75)&gt;0,SUM(D73:D75),"")</f>
        <v>#VALUE!</v>
      </c>
      <c r="E76" s="153" t="e">
        <f t="shared" si="10"/>
        <v>#VALUE!</v>
      </c>
      <c r="F76" s="153" t="str">
        <f t="shared" si="10"/>
        <v/>
      </c>
      <c r="G76" s="153" t="str">
        <f t="shared" si="10"/>
        <v/>
      </c>
      <c r="H76" s="153" t="str">
        <f t="shared" si="10"/>
        <v/>
      </c>
      <c r="I76" s="153" t="e">
        <f t="shared" si="10"/>
        <v>#VALUE!</v>
      </c>
    </row>
    <row r="77" spans="1:10" ht="16.5" thickBot="1" x14ac:dyDescent="0.9">
      <c r="A77" s="35"/>
      <c r="B77" s="3"/>
      <c r="C77" s="2"/>
      <c r="D77" s="159"/>
      <c r="E77" s="159"/>
      <c r="F77" s="159"/>
      <c r="G77" s="159"/>
      <c r="H77" s="159"/>
      <c r="I77" s="159"/>
    </row>
    <row r="78" spans="1:10" x14ac:dyDescent="0.75">
      <c r="A78" s="34" t="s">
        <v>735</v>
      </c>
      <c r="B78" s="3"/>
      <c r="C78" s="2"/>
      <c r="D78" s="153" t="e">
        <f t="shared" ref="D78:I78" si="11">IF(SUM(D28,D67,D71,D76)&gt;0,SUM(D28,D67,D71,D76),"")</f>
        <v>#VALUE!</v>
      </c>
      <c r="E78" s="153" t="e">
        <f t="shared" si="11"/>
        <v>#VALUE!</v>
      </c>
      <c r="F78" s="153">
        <f t="shared" si="11"/>
        <v>38.935396464723688</v>
      </c>
      <c r="G78" s="153">
        <f t="shared" si="11"/>
        <v>46.824438008874978</v>
      </c>
      <c r="H78" s="153">
        <f t="shared" si="11"/>
        <v>50.906832193067963</v>
      </c>
      <c r="I78" s="153" t="e">
        <f t="shared" si="11"/>
        <v>#VALUE!</v>
      </c>
    </row>
    <row r="79" spans="1:10" x14ac:dyDescent="0.75">
      <c r="A79" s="35"/>
    </row>
    <row r="80" spans="1:10" x14ac:dyDescent="0.75">
      <c r="A80" s="35"/>
    </row>
    <row r="81" spans="1:1" x14ac:dyDescent="0.75">
      <c r="A81" s="35"/>
    </row>
    <row r="82" spans="1:1" x14ac:dyDescent="0.75">
      <c r="A82" s="35"/>
    </row>
    <row r="83" spans="1:1" x14ac:dyDescent="0.75">
      <c r="A83" s="35"/>
    </row>
    <row r="84" spans="1:1" x14ac:dyDescent="0.75">
      <c r="A84" s="35"/>
    </row>
    <row r="85" spans="1:1" x14ac:dyDescent="0.75">
      <c r="A85" s="35"/>
    </row>
    <row r="86" spans="1:1" x14ac:dyDescent="0.75">
      <c r="A86" s="35"/>
    </row>
    <row r="87" spans="1:1" x14ac:dyDescent="0.75">
      <c r="A87" s="35"/>
    </row>
    <row r="88" spans="1:1" x14ac:dyDescent="0.75">
      <c r="A88" s="35"/>
    </row>
    <row r="89" spans="1:1" x14ac:dyDescent="0.75">
      <c r="A89" s="35"/>
    </row>
    <row r="90" spans="1:1" x14ac:dyDescent="0.75">
      <c r="A90" s="35"/>
    </row>
    <row r="91" spans="1:1" x14ac:dyDescent="0.75">
      <c r="A91" s="35"/>
    </row>
    <row r="92" spans="1:1" x14ac:dyDescent="0.75">
      <c r="A92" s="35"/>
    </row>
    <row r="93" spans="1:1" x14ac:dyDescent="0.75">
      <c r="A93" s="35"/>
    </row>
    <row r="94" spans="1:1" x14ac:dyDescent="0.75">
      <c r="A94" s="35"/>
    </row>
    <row r="95" spans="1:1" x14ac:dyDescent="0.75">
      <c r="A95" s="35"/>
    </row>
    <row r="96" spans="1:1" x14ac:dyDescent="0.75">
      <c r="A96" s="35"/>
    </row>
    <row r="97" spans="1:1" x14ac:dyDescent="0.75">
      <c r="A97" s="35"/>
    </row>
    <row r="98" spans="1:1" x14ac:dyDescent="0.75">
      <c r="A98" s="35"/>
    </row>
    <row r="99" spans="1:1" x14ac:dyDescent="0.75">
      <c r="A99" s="35"/>
    </row>
    <row r="100" spans="1:1" x14ac:dyDescent="0.75">
      <c r="A100" s="35"/>
    </row>
    <row r="101" spans="1:1" x14ac:dyDescent="0.75">
      <c r="A101" s="35"/>
    </row>
    <row r="102" spans="1:1" x14ac:dyDescent="0.75">
      <c r="A102" s="35"/>
    </row>
    <row r="103" spans="1:1" x14ac:dyDescent="0.75">
      <c r="A103" s="35"/>
    </row>
    <row r="104" spans="1:1" x14ac:dyDescent="0.75">
      <c r="A104" s="35"/>
    </row>
    <row r="105" spans="1:1" x14ac:dyDescent="0.75">
      <c r="A105" s="35"/>
    </row>
    <row r="106" spans="1:1" x14ac:dyDescent="0.75">
      <c r="A106" s="35"/>
    </row>
    <row r="107" spans="1:1" x14ac:dyDescent="0.75">
      <c r="A107" s="35"/>
    </row>
    <row r="108" spans="1:1" x14ac:dyDescent="0.75">
      <c r="A108" s="35"/>
    </row>
    <row r="109" spans="1:1" x14ac:dyDescent="0.75">
      <c r="A109" s="35"/>
    </row>
    <row r="110" spans="1:1" x14ac:dyDescent="0.75">
      <c r="A110" s="35"/>
    </row>
    <row r="111" spans="1:1" x14ac:dyDescent="0.75">
      <c r="A111" s="35"/>
    </row>
    <row r="112" spans="1:1" x14ac:dyDescent="0.75">
      <c r="A112" s="35"/>
    </row>
    <row r="113" spans="1:1" x14ac:dyDescent="0.75">
      <c r="A113" s="35"/>
    </row>
    <row r="114" spans="1:1" x14ac:dyDescent="0.75">
      <c r="A114" s="35"/>
    </row>
    <row r="115" spans="1:1" x14ac:dyDescent="0.75">
      <c r="A115" s="35"/>
    </row>
    <row r="116" spans="1:1" x14ac:dyDescent="0.75">
      <c r="A116" s="35"/>
    </row>
    <row r="117" spans="1:1" x14ac:dyDescent="0.75">
      <c r="A117" s="35"/>
    </row>
    <row r="118" spans="1:1" x14ac:dyDescent="0.75">
      <c r="A118" s="35"/>
    </row>
    <row r="119" spans="1:1" x14ac:dyDescent="0.75">
      <c r="A119" s="35"/>
    </row>
    <row r="120" spans="1:1" x14ac:dyDescent="0.75">
      <c r="A120" s="35"/>
    </row>
    <row r="121" spans="1:1" x14ac:dyDescent="0.75">
      <c r="A121" s="35"/>
    </row>
    <row r="122" spans="1:1" x14ac:dyDescent="0.75">
      <c r="A122" s="35"/>
    </row>
    <row r="123" spans="1:1" x14ac:dyDescent="0.75">
      <c r="A123" s="35"/>
    </row>
    <row r="124" spans="1:1" x14ac:dyDescent="0.75">
      <c r="A124" s="35"/>
    </row>
    <row r="125" spans="1:1" x14ac:dyDescent="0.75">
      <c r="A125" s="35"/>
    </row>
    <row r="126" spans="1:1" x14ac:dyDescent="0.75">
      <c r="A126" s="35"/>
    </row>
    <row r="127" spans="1:1" x14ac:dyDescent="0.75">
      <c r="A127" s="35"/>
    </row>
    <row r="128" spans="1:1" x14ac:dyDescent="0.75">
      <c r="A128" s="35"/>
    </row>
    <row r="129" spans="1:1" x14ac:dyDescent="0.75">
      <c r="A129" s="35"/>
    </row>
    <row r="130" spans="1:1" x14ac:dyDescent="0.75">
      <c r="A130" s="35"/>
    </row>
    <row r="131" spans="1:1" x14ac:dyDescent="0.75">
      <c r="A131" s="35"/>
    </row>
    <row r="132" spans="1:1" x14ac:dyDescent="0.75">
      <c r="A132" s="35"/>
    </row>
    <row r="133" spans="1:1" x14ac:dyDescent="0.75">
      <c r="A133" s="35"/>
    </row>
    <row r="134" spans="1:1" x14ac:dyDescent="0.75">
      <c r="A134" s="35"/>
    </row>
    <row r="135" spans="1:1" x14ac:dyDescent="0.75">
      <c r="A135" s="35"/>
    </row>
    <row r="136" spans="1:1" x14ac:dyDescent="0.75">
      <c r="A136" s="35"/>
    </row>
    <row r="137" spans="1:1" x14ac:dyDescent="0.75">
      <c r="A137" s="35"/>
    </row>
    <row r="138" spans="1:1" x14ac:dyDescent="0.75">
      <c r="A138" s="35"/>
    </row>
    <row r="139" spans="1:1" x14ac:dyDescent="0.75">
      <c r="A139" s="35"/>
    </row>
    <row r="140" spans="1:1" x14ac:dyDescent="0.75">
      <c r="A140" s="35"/>
    </row>
    <row r="141" spans="1:1" x14ac:dyDescent="0.75">
      <c r="A141" s="35"/>
    </row>
    <row r="142" spans="1:1" x14ac:dyDescent="0.75">
      <c r="A142" s="35"/>
    </row>
    <row r="143" spans="1:1" x14ac:dyDescent="0.75">
      <c r="A143" s="35"/>
    </row>
    <row r="144" spans="1:1" x14ac:dyDescent="0.75">
      <c r="A144" s="35"/>
    </row>
    <row r="145" spans="1:1" x14ac:dyDescent="0.75">
      <c r="A145" s="35"/>
    </row>
    <row r="146" spans="1:1" x14ac:dyDescent="0.75">
      <c r="A146" s="35"/>
    </row>
    <row r="147" spans="1:1" x14ac:dyDescent="0.75">
      <c r="A147" s="35"/>
    </row>
    <row r="148" spans="1:1" x14ac:dyDescent="0.75">
      <c r="A148" s="35"/>
    </row>
    <row r="149" spans="1:1" x14ac:dyDescent="0.75">
      <c r="A149" s="35"/>
    </row>
    <row r="150" spans="1:1" x14ac:dyDescent="0.75">
      <c r="A150" s="35"/>
    </row>
    <row r="151" spans="1:1" x14ac:dyDescent="0.75">
      <c r="A151" s="35"/>
    </row>
    <row r="152" spans="1:1" x14ac:dyDescent="0.75">
      <c r="A152" s="35"/>
    </row>
    <row r="153" spans="1:1" x14ac:dyDescent="0.75">
      <c r="A153" s="35"/>
    </row>
    <row r="154" spans="1:1" x14ac:dyDescent="0.75">
      <c r="A154" s="35"/>
    </row>
    <row r="155" spans="1:1" x14ac:dyDescent="0.75">
      <c r="A155" s="35"/>
    </row>
    <row r="156" spans="1:1" x14ac:dyDescent="0.75">
      <c r="A156" s="35"/>
    </row>
    <row r="157" spans="1:1" x14ac:dyDescent="0.75">
      <c r="A157" s="35"/>
    </row>
    <row r="158" spans="1:1" x14ac:dyDescent="0.75">
      <c r="A158" s="35"/>
    </row>
    <row r="159" spans="1:1" x14ac:dyDescent="0.75">
      <c r="A159" s="35"/>
    </row>
    <row r="160" spans="1:1" x14ac:dyDescent="0.75">
      <c r="A160" s="35"/>
    </row>
    <row r="161" spans="1:1" x14ac:dyDescent="0.75">
      <c r="A161" s="35"/>
    </row>
    <row r="162" spans="1:1" x14ac:dyDescent="0.75">
      <c r="A162" s="35"/>
    </row>
    <row r="163" spans="1:1" x14ac:dyDescent="0.75">
      <c r="A163" s="35"/>
    </row>
    <row r="164" spans="1:1" x14ac:dyDescent="0.75">
      <c r="A164" s="35"/>
    </row>
    <row r="165" spans="1:1" x14ac:dyDescent="0.75">
      <c r="A165" s="35"/>
    </row>
    <row r="166" spans="1:1" x14ac:dyDescent="0.75">
      <c r="A166" s="35"/>
    </row>
    <row r="167" spans="1:1" x14ac:dyDescent="0.75">
      <c r="A167" s="35"/>
    </row>
  </sheetData>
  <pageMargins left="0.25" right="0.25" top="0.5" bottom="0.5" header="0.3" footer="0.3"/>
  <pageSetup scale="86" fitToHeight="2" orientation="landscape"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pageSetUpPr fitToPage="1"/>
  </sheetPr>
  <dimension ref="A1:X60"/>
  <sheetViews>
    <sheetView workbookViewId="0"/>
  </sheetViews>
  <sheetFormatPr defaultColWidth="9.08984375" defaultRowHeight="15.75" outlineLevelRow="1" x14ac:dyDescent="0.75"/>
  <cols>
    <col min="1" max="1" width="2.08984375" style="5" customWidth="1"/>
    <col min="2" max="2" width="6.6796875" style="6" bestFit="1" customWidth="1"/>
    <col min="3" max="6" width="9.08984375" style="6"/>
    <col min="7" max="8" width="14.54296875" style="6" bestFit="1" customWidth="1"/>
    <col min="9" max="9" width="11.54296875" style="6" bestFit="1" customWidth="1"/>
    <col min="10" max="10" width="11.54296875" style="6" customWidth="1"/>
    <col min="11" max="11" width="14.6796875" style="5" bestFit="1" customWidth="1"/>
    <col min="12" max="12" width="17.453125" style="6" bestFit="1" customWidth="1"/>
    <col min="13" max="13" width="17" style="5" bestFit="1" customWidth="1"/>
    <col min="14" max="16" width="12.08984375" style="5" customWidth="1"/>
    <col min="17" max="17" width="12.08984375" style="6" customWidth="1"/>
    <col min="18" max="19" width="15.54296875" style="5" customWidth="1"/>
    <col min="20" max="20" width="19.453125" style="5" customWidth="1"/>
    <col min="21" max="21" width="18.453125" style="5" customWidth="1"/>
    <col min="22" max="22" width="19.6796875" style="5" customWidth="1"/>
    <col min="23" max="24" width="15.54296875" style="5" customWidth="1"/>
    <col min="25" max="16384" width="9.08984375" style="5"/>
  </cols>
  <sheetData>
    <row r="1" spans="1:24" ht="20.25" x14ac:dyDescent="0.85">
      <c r="A1" s="22" t="str">
        <f>'Student Info w MYP'!$A$1</f>
        <v>Compass Charter Schools</v>
      </c>
    </row>
    <row r="2" spans="1:24" ht="17.75" x14ac:dyDescent="0.75">
      <c r="A2" s="21" t="s">
        <v>724</v>
      </c>
      <c r="M2" s="7">
        <v>0.1258</v>
      </c>
      <c r="N2" s="7">
        <v>0.13888</v>
      </c>
      <c r="O2" s="7">
        <v>6.2E-2</v>
      </c>
      <c r="P2" s="7">
        <v>1.4500000000000001E-2</v>
      </c>
      <c r="Q2" s="9">
        <v>400</v>
      </c>
      <c r="S2" s="9">
        <v>400</v>
      </c>
      <c r="T2" s="7">
        <v>1.6E-2</v>
      </c>
      <c r="V2" s="12">
        <f>(0.08*$K2/1000)+(0.025*$K2/1000)+(0.14%*$K2)+(0.05*$K2/10)</f>
        <v>0</v>
      </c>
    </row>
    <row r="3" spans="1:24" ht="17.75" x14ac:dyDescent="0.75">
      <c r="A3" s="21">
        <f>'Student Info w MYP'!D6</f>
        <v>0</v>
      </c>
      <c r="M3" s="8" t="s">
        <v>562</v>
      </c>
      <c r="N3" s="8" t="s">
        <v>563</v>
      </c>
      <c r="O3" s="8" t="s">
        <v>1069</v>
      </c>
      <c r="P3" s="8" t="s">
        <v>670</v>
      </c>
      <c r="Q3" s="8" t="s">
        <v>566</v>
      </c>
      <c r="R3" s="8"/>
      <c r="S3" s="8" t="s">
        <v>668</v>
      </c>
      <c r="T3" s="8" t="s">
        <v>669</v>
      </c>
      <c r="U3" s="8"/>
      <c r="V3" s="8" t="s">
        <v>1076</v>
      </c>
    </row>
    <row r="4" spans="1:24" ht="27" customHeight="1" x14ac:dyDescent="0.75"/>
    <row r="5" spans="1:24" x14ac:dyDescent="0.75">
      <c r="B5" s="13" t="s">
        <v>0</v>
      </c>
      <c r="H5" s="17" t="s">
        <v>675</v>
      </c>
      <c r="I5" s="13" t="s">
        <v>744</v>
      </c>
      <c r="J5" s="18"/>
      <c r="K5" s="17" t="s">
        <v>673</v>
      </c>
      <c r="L5" s="13" t="s">
        <v>728</v>
      </c>
      <c r="M5" s="43" t="s">
        <v>30</v>
      </c>
      <c r="N5" s="43" t="s">
        <v>38</v>
      </c>
      <c r="O5" s="43" t="s">
        <v>1065</v>
      </c>
      <c r="P5" s="43" t="s">
        <v>1067</v>
      </c>
      <c r="Q5" s="44" t="s">
        <v>564</v>
      </c>
      <c r="R5" s="43" t="s">
        <v>716</v>
      </c>
      <c r="S5" s="43" t="s">
        <v>717</v>
      </c>
      <c r="T5" s="43" t="s">
        <v>718</v>
      </c>
      <c r="U5" s="43" t="s">
        <v>1074</v>
      </c>
      <c r="V5" s="43" t="s">
        <v>1073</v>
      </c>
      <c r="W5" s="19" t="s">
        <v>671</v>
      </c>
      <c r="X5" s="17" t="s">
        <v>675</v>
      </c>
    </row>
    <row r="6" spans="1:24" ht="16.5" thickBot="1" x14ac:dyDescent="0.9">
      <c r="A6" s="23"/>
      <c r="B6" s="24"/>
      <c r="C6" s="25" t="s">
        <v>1</v>
      </c>
      <c r="D6" s="25" t="s">
        <v>2</v>
      </c>
      <c r="E6" s="25" t="s">
        <v>4</v>
      </c>
      <c r="F6" s="24" t="s">
        <v>3</v>
      </c>
      <c r="G6" s="24" t="s">
        <v>5</v>
      </c>
      <c r="H6" s="26" t="s">
        <v>738</v>
      </c>
      <c r="I6" s="24" t="s">
        <v>745</v>
      </c>
      <c r="J6" s="24" t="s">
        <v>743</v>
      </c>
      <c r="K6" s="26" t="s">
        <v>674</v>
      </c>
      <c r="L6" s="24" t="s">
        <v>729</v>
      </c>
      <c r="M6" s="27" t="s">
        <v>7</v>
      </c>
      <c r="N6" s="27" t="s">
        <v>8</v>
      </c>
      <c r="O6" s="176" t="s">
        <v>1066</v>
      </c>
      <c r="P6" s="176" t="s">
        <v>1068</v>
      </c>
      <c r="Q6" s="25" t="s">
        <v>565</v>
      </c>
      <c r="R6" s="27" t="s">
        <v>1070</v>
      </c>
      <c r="S6" s="176" t="s">
        <v>1071</v>
      </c>
      <c r="T6" s="176" t="s">
        <v>1072</v>
      </c>
      <c r="U6" s="27" t="s">
        <v>1075</v>
      </c>
      <c r="V6" s="176" t="s">
        <v>1077</v>
      </c>
      <c r="W6" s="28" t="s">
        <v>672</v>
      </c>
      <c r="X6" s="26" t="s">
        <v>674</v>
      </c>
    </row>
    <row r="7" spans="1:24" x14ac:dyDescent="0.75">
      <c r="B7" s="14">
        <v>1100</v>
      </c>
      <c r="C7" s="15" t="s">
        <v>740</v>
      </c>
      <c r="D7" s="15" t="s">
        <v>741</v>
      </c>
      <c r="E7" s="15" t="s">
        <v>739</v>
      </c>
      <c r="F7" s="11">
        <v>0.6</v>
      </c>
      <c r="G7" s="11">
        <v>105000</v>
      </c>
      <c r="H7" s="10">
        <f>F7*G7</f>
        <v>63000</v>
      </c>
      <c r="I7" s="11"/>
      <c r="J7" s="11"/>
      <c r="K7" s="10">
        <f>SUM(H7:J7)</f>
        <v>63000</v>
      </c>
      <c r="L7" s="16" t="s">
        <v>6</v>
      </c>
      <c r="M7" s="10">
        <f>IF($L7="STRS",$M$2*$K7,"")</f>
        <v>7925.4</v>
      </c>
      <c r="N7" s="10" t="str">
        <f>IF($L7="PERS",$N$2*$K7,"")</f>
        <v/>
      </c>
      <c r="O7" s="10" t="str">
        <f>IF($L7="STRS","",$O$2*$K7)</f>
        <v/>
      </c>
      <c r="P7" s="10">
        <f>$P$2*K7</f>
        <v>913.5</v>
      </c>
      <c r="Q7" s="11">
        <f>$Q$2</f>
        <v>400</v>
      </c>
      <c r="R7" s="12">
        <f>Q7*12*F7</f>
        <v>2880</v>
      </c>
      <c r="S7" s="12">
        <f>$S$2*F7</f>
        <v>240</v>
      </c>
      <c r="T7" s="12">
        <f>$T$2*$K7</f>
        <v>1008</v>
      </c>
      <c r="U7" s="12"/>
      <c r="V7" s="12"/>
      <c r="W7" s="12">
        <f>SUM(R7:V7,M7:P7)</f>
        <v>12966.9</v>
      </c>
      <c r="X7" s="12">
        <f>W7+K7</f>
        <v>75966.899999999994</v>
      </c>
    </row>
    <row r="8" spans="1:24" x14ac:dyDescent="0.75">
      <c r="B8" s="14"/>
      <c r="C8" s="15"/>
      <c r="D8" s="15"/>
      <c r="E8" s="15"/>
      <c r="F8" s="11"/>
      <c r="G8" s="11"/>
      <c r="H8" s="10"/>
      <c r="I8" s="11"/>
      <c r="J8" s="11"/>
      <c r="K8" s="10"/>
      <c r="L8" s="16"/>
      <c r="M8" s="10"/>
      <c r="N8" s="10"/>
      <c r="O8" s="10"/>
      <c r="P8" s="10"/>
      <c r="Q8" s="11"/>
      <c r="R8" s="12"/>
      <c r="S8" s="12"/>
      <c r="T8" s="12"/>
      <c r="U8" s="12"/>
      <c r="V8" s="12"/>
      <c r="W8" s="12"/>
      <c r="X8" s="12"/>
    </row>
    <row r="9" spans="1:24" x14ac:dyDescent="0.75">
      <c r="B9" s="14"/>
      <c r="C9" s="15"/>
      <c r="D9" s="15"/>
      <c r="E9" s="15"/>
      <c r="F9" s="11"/>
      <c r="G9" s="11"/>
      <c r="H9" s="10"/>
      <c r="I9" s="11"/>
      <c r="J9" s="11"/>
      <c r="K9" s="10"/>
      <c r="L9" s="16"/>
      <c r="M9" s="10"/>
      <c r="N9" s="10"/>
      <c r="O9" s="10"/>
      <c r="P9" s="10"/>
      <c r="Q9" s="11"/>
      <c r="R9" s="12"/>
      <c r="S9" s="12"/>
      <c r="T9" s="12"/>
      <c r="U9" s="12"/>
      <c r="V9" s="12"/>
      <c r="W9" s="12"/>
      <c r="X9" s="12"/>
    </row>
    <row r="10" spans="1:24" x14ac:dyDescent="0.75">
      <c r="B10" s="14"/>
      <c r="C10" s="15"/>
      <c r="D10" s="15"/>
      <c r="E10" s="15"/>
      <c r="F10" s="11"/>
      <c r="G10" s="11"/>
      <c r="H10" s="10"/>
      <c r="I10" s="11"/>
      <c r="J10" s="11"/>
      <c r="K10" s="10"/>
      <c r="L10" s="16"/>
      <c r="M10" s="10"/>
      <c r="N10" s="10"/>
      <c r="O10" s="10"/>
      <c r="P10" s="10"/>
      <c r="Q10" s="11"/>
      <c r="R10" s="12"/>
      <c r="S10" s="12"/>
      <c r="T10" s="12"/>
      <c r="U10" s="12"/>
      <c r="V10" s="12"/>
      <c r="W10" s="12"/>
      <c r="X10" s="12"/>
    </row>
    <row r="11" spans="1:24" x14ac:dyDescent="0.75">
      <c r="B11" s="14"/>
      <c r="C11" s="15"/>
      <c r="D11" s="15"/>
      <c r="E11" s="15"/>
      <c r="F11" s="11"/>
      <c r="G11" s="11"/>
      <c r="H11" s="10"/>
      <c r="I11" s="11"/>
      <c r="J11" s="11"/>
      <c r="K11" s="10"/>
      <c r="L11" s="16"/>
      <c r="M11" s="10"/>
      <c r="N11" s="10"/>
      <c r="O11" s="10"/>
      <c r="P11" s="10"/>
      <c r="Q11" s="11"/>
      <c r="R11" s="12"/>
      <c r="S11" s="12"/>
      <c r="T11" s="12"/>
      <c r="U11" s="12"/>
      <c r="V11" s="12"/>
      <c r="W11" s="12"/>
      <c r="X11" s="12"/>
    </row>
    <row r="12" spans="1:24" x14ac:dyDescent="0.75">
      <c r="B12" s="14"/>
      <c r="C12" s="15"/>
      <c r="D12" s="15"/>
      <c r="E12" s="15"/>
      <c r="F12" s="11"/>
      <c r="G12" s="11"/>
      <c r="H12" s="10"/>
      <c r="I12" s="11"/>
      <c r="J12" s="11"/>
      <c r="K12" s="10"/>
      <c r="L12" s="16"/>
      <c r="M12" s="10"/>
      <c r="N12" s="10"/>
      <c r="O12" s="10"/>
      <c r="P12" s="10"/>
      <c r="Q12" s="11"/>
      <c r="R12" s="12"/>
      <c r="S12" s="12"/>
      <c r="T12" s="12"/>
      <c r="U12" s="12"/>
      <c r="V12" s="12"/>
      <c r="W12" s="12"/>
      <c r="X12" s="12"/>
    </row>
    <row r="13" spans="1:24" x14ac:dyDescent="0.75">
      <c r="B13" s="14"/>
      <c r="C13" s="15"/>
      <c r="D13" s="15"/>
      <c r="E13" s="15"/>
      <c r="F13" s="11"/>
      <c r="G13" s="11"/>
      <c r="H13" s="10"/>
      <c r="I13" s="11"/>
      <c r="J13" s="11"/>
      <c r="K13" s="10"/>
      <c r="L13" s="16"/>
      <c r="M13" s="10"/>
      <c r="N13" s="10"/>
      <c r="O13" s="10"/>
      <c r="P13" s="10"/>
      <c r="Q13" s="11"/>
      <c r="R13" s="12"/>
      <c r="S13" s="12"/>
      <c r="T13" s="12"/>
      <c r="U13" s="12"/>
      <c r="V13" s="12"/>
      <c r="W13" s="12"/>
      <c r="X13" s="12"/>
    </row>
    <row r="14" spans="1:24" x14ac:dyDescent="0.75">
      <c r="B14" s="14"/>
      <c r="C14" s="15"/>
      <c r="D14" s="15"/>
      <c r="E14" s="15"/>
      <c r="F14" s="11"/>
      <c r="G14" s="11"/>
      <c r="H14" s="10"/>
      <c r="I14" s="11"/>
      <c r="J14" s="11"/>
      <c r="K14" s="10"/>
      <c r="L14" s="16"/>
      <c r="M14" s="10"/>
      <c r="N14" s="10"/>
      <c r="O14" s="10"/>
      <c r="P14" s="10"/>
      <c r="Q14" s="11"/>
      <c r="R14" s="12"/>
      <c r="S14" s="12"/>
      <c r="T14" s="12"/>
      <c r="U14" s="12"/>
      <c r="V14" s="12"/>
      <c r="W14" s="12"/>
      <c r="X14" s="12"/>
    </row>
    <row r="15" spans="1:24" x14ac:dyDescent="0.75">
      <c r="B15" s="14"/>
      <c r="C15" s="15"/>
      <c r="D15" s="15"/>
      <c r="E15" s="15"/>
      <c r="F15" s="11"/>
      <c r="G15" s="11"/>
      <c r="H15" s="10"/>
      <c r="I15" s="11"/>
      <c r="J15" s="11"/>
      <c r="K15" s="10"/>
      <c r="L15" s="16"/>
      <c r="M15" s="10"/>
      <c r="N15" s="10"/>
      <c r="O15" s="10"/>
      <c r="P15" s="10"/>
      <c r="Q15" s="11"/>
      <c r="R15" s="12"/>
      <c r="S15" s="12"/>
      <c r="T15" s="12"/>
      <c r="U15" s="12"/>
      <c r="V15" s="12"/>
      <c r="W15" s="12"/>
      <c r="X15" s="12"/>
    </row>
    <row r="16" spans="1:24" x14ac:dyDescent="0.75">
      <c r="B16" s="14"/>
      <c r="C16" s="15"/>
      <c r="D16" s="15"/>
      <c r="E16" s="15"/>
      <c r="F16" s="11"/>
      <c r="G16" s="11"/>
      <c r="H16" s="10"/>
      <c r="I16" s="11"/>
      <c r="J16" s="11"/>
      <c r="K16" s="10"/>
      <c r="L16" s="16"/>
      <c r="M16" s="10"/>
      <c r="N16" s="10"/>
      <c r="O16" s="10"/>
      <c r="P16" s="10"/>
      <c r="Q16" s="11"/>
      <c r="R16" s="12"/>
      <c r="S16" s="12"/>
      <c r="T16" s="12"/>
      <c r="U16" s="12"/>
      <c r="V16" s="12"/>
      <c r="W16" s="12"/>
      <c r="X16" s="12"/>
    </row>
    <row r="17" spans="2:24" x14ac:dyDescent="0.75">
      <c r="B17" s="14"/>
      <c r="C17" s="15"/>
      <c r="D17" s="15"/>
      <c r="E17" s="15"/>
      <c r="F17" s="11"/>
      <c r="G17" s="11"/>
      <c r="H17" s="10"/>
      <c r="I17" s="11"/>
      <c r="J17" s="11"/>
      <c r="K17" s="10"/>
      <c r="L17" s="16"/>
      <c r="M17" s="10"/>
      <c r="N17" s="10"/>
      <c r="O17" s="10"/>
      <c r="P17" s="10"/>
      <c r="Q17" s="11"/>
      <c r="R17" s="12"/>
      <c r="S17" s="12"/>
      <c r="T17" s="12"/>
      <c r="U17" s="12"/>
      <c r="V17" s="12"/>
      <c r="W17" s="12"/>
      <c r="X17" s="12"/>
    </row>
    <row r="18" spans="2:24" x14ac:dyDescent="0.75">
      <c r="B18" s="14"/>
      <c r="C18" s="15"/>
      <c r="D18" s="15"/>
      <c r="E18" s="15"/>
      <c r="F18" s="11"/>
      <c r="G18" s="11"/>
      <c r="H18" s="10"/>
      <c r="I18" s="11"/>
      <c r="J18" s="11"/>
      <c r="K18" s="10"/>
      <c r="L18" s="16"/>
      <c r="M18" s="10"/>
      <c r="N18" s="10"/>
      <c r="O18" s="10"/>
      <c r="P18" s="10"/>
      <c r="Q18" s="11"/>
      <c r="R18" s="12"/>
      <c r="S18" s="12"/>
      <c r="T18" s="12"/>
      <c r="U18" s="12"/>
      <c r="V18" s="12"/>
      <c r="W18" s="12"/>
      <c r="X18" s="12"/>
    </row>
    <row r="19" spans="2:24" x14ac:dyDescent="0.75">
      <c r="B19" s="14"/>
      <c r="C19" s="15"/>
      <c r="D19" s="15"/>
      <c r="E19" s="15"/>
      <c r="F19" s="11"/>
      <c r="G19" s="11"/>
      <c r="H19" s="10"/>
      <c r="I19" s="11"/>
      <c r="J19" s="11"/>
      <c r="K19" s="10"/>
      <c r="L19" s="16"/>
      <c r="M19" s="10"/>
      <c r="N19" s="10"/>
      <c r="O19" s="10"/>
      <c r="P19" s="10"/>
      <c r="Q19" s="11"/>
      <c r="R19" s="12"/>
      <c r="S19" s="12"/>
      <c r="T19" s="12"/>
      <c r="U19" s="12"/>
      <c r="V19" s="12"/>
      <c r="W19" s="12"/>
      <c r="X19" s="12"/>
    </row>
    <row r="20" spans="2:24" x14ac:dyDescent="0.75">
      <c r="B20" s="14"/>
      <c r="C20" s="15"/>
      <c r="D20" s="15"/>
      <c r="E20" s="15"/>
      <c r="F20" s="11"/>
      <c r="G20" s="11"/>
      <c r="H20" s="10"/>
      <c r="I20" s="11"/>
      <c r="J20" s="11"/>
      <c r="K20" s="10"/>
      <c r="L20" s="16"/>
      <c r="M20" s="10"/>
      <c r="N20" s="10"/>
      <c r="O20" s="10"/>
      <c r="P20" s="10"/>
      <c r="Q20" s="11"/>
      <c r="R20" s="12"/>
      <c r="S20" s="12"/>
      <c r="T20" s="12"/>
      <c r="U20" s="12"/>
      <c r="V20" s="12"/>
      <c r="W20" s="12"/>
      <c r="X20" s="12"/>
    </row>
    <row r="21" spans="2:24" x14ac:dyDescent="0.75">
      <c r="B21" s="14"/>
      <c r="C21" s="15"/>
      <c r="D21" s="15"/>
      <c r="E21" s="15"/>
      <c r="F21" s="11"/>
      <c r="G21" s="11"/>
      <c r="H21" s="10"/>
      <c r="I21" s="11"/>
      <c r="J21" s="11"/>
      <c r="K21" s="10"/>
      <c r="L21" s="16"/>
      <c r="M21" s="10"/>
      <c r="N21" s="10"/>
      <c r="O21" s="10"/>
      <c r="P21" s="10"/>
      <c r="Q21" s="11"/>
      <c r="R21" s="12"/>
      <c r="S21" s="12"/>
      <c r="T21" s="12"/>
      <c r="U21" s="12"/>
      <c r="V21" s="12"/>
      <c r="W21" s="12"/>
      <c r="X21" s="12"/>
    </row>
    <row r="22" spans="2:24" x14ac:dyDescent="0.75">
      <c r="B22" s="14"/>
      <c r="C22" s="15"/>
      <c r="D22" s="15"/>
      <c r="E22" s="15"/>
      <c r="F22" s="11"/>
      <c r="G22" s="11"/>
      <c r="H22" s="10"/>
      <c r="I22" s="11"/>
      <c r="J22" s="11"/>
      <c r="K22" s="10"/>
      <c r="L22" s="16"/>
      <c r="M22" s="10"/>
      <c r="N22" s="10"/>
      <c r="O22" s="10"/>
      <c r="P22" s="10"/>
      <c r="Q22" s="11"/>
      <c r="R22" s="12"/>
      <c r="S22" s="12"/>
      <c r="T22" s="12"/>
      <c r="U22" s="12"/>
      <c r="V22" s="12"/>
      <c r="W22" s="12"/>
      <c r="X22" s="12"/>
    </row>
    <row r="23" spans="2:24" x14ac:dyDescent="0.75">
      <c r="B23" s="14"/>
      <c r="C23" s="15"/>
      <c r="D23" s="15"/>
      <c r="E23" s="15"/>
      <c r="F23" s="11"/>
      <c r="G23" s="11"/>
      <c r="H23" s="10"/>
      <c r="I23" s="11"/>
      <c r="J23" s="11"/>
      <c r="K23" s="10"/>
      <c r="L23" s="16"/>
      <c r="M23" s="10"/>
      <c r="N23" s="10"/>
      <c r="O23" s="10"/>
      <c r="P23" s="10"/>
      <c r="Q23" s="11"/>
      <c r="R23" s="12"/>
      <c r="S23" s="12"/>
      <c r="T23" s="12"/>
      <c r="U23" s="12"/>
      <c r="V23" s="12"/>
      <c r="W23" s="12"/>
      <c r="X23" s="12"/>
    </row>
    <row r="24" spans="2:24" x14ac:dyDescent="0.75">
      <c r="B24" s="14"/>
      <c r="C24" s="15"/>
      <c r="D24" s="15"/>
      <c r="E24" s="15"/>
      <c r="F24" s="11"/>
      <c r="G24" s="11"/>
      <c r="H24" s="10"/>
      <c r="I24" s="11"/>
      <c r="J24" s="11"/>
      <c r="K24" s="10"/>
      <c r="L24" s="16"/>
      <c r="M24" s="10"/>
      <c r="N24" s="10"/>
      <c r="O24" s="10"/>
      <c r="P24" s="10"/>
      <c r="Q24" s="11"/>
      <c r="R24" s="12"/>
      <c r="S24" s="12"/>
      <c r="T24" s="12"/>
      <c r="U24" s="12"/>
      <c r="V24" s="12"/>
      <c r="W24" s="12"/>
      <c r="X24" s="12"/>
    </row>
    <row r="25" spans="2:24" x14ac:dyDescent="0.75">
      <c r="B25" s="14"/>
      <c r="C25" s="15"/>
      <c r="D25" s="15"/>
      <c r="E25" s="15"/>
      <c r="F25" s="11"/>
      <c r="G25" s="11"/>
      <c r="H25" s="10"/>
      <c r="I25" s="11"/>
      <c r="J25" s="11"/>
      <c r="K25" s="10"/>
      <c r="L25" s="16"/>
      <c r="M25" s="10"/>
      <c r="N25" s="10"/>
      <c r="O25" s="10"/>
      <c r="P25" s="10"/>
      <c r="Q25" s="11"/>
      <c r="R25" s="12"/>
      <c r="S25" s="12"/>
      <c r="T25" s="12"/>
      <c r="U25" s="12"/>
      <c r="V25" s="12"/>
      <c r="W25" s="12"/>
      <c r="X25" s="12"/>
    </row>
    <row r="26" spans="2:24" x14ac:dyDescent="0.75">
      <c r="B26" s="14"/>
      <c r="C26" s="15"/>
      <c r="D26" s="15"/>
      <c r="E26" s="15"/>
      <c r="F26" s="11"/>
      <c r="G26" s="11"/>
      <c r="H26" s="10"/>
      <c r="I26" s="11"/>
      <c r="J26" s="11"/>
      <c r="K26" s="10"/>
      <c r="L26" s="16"/>
      <c r="M26" s="10"/>
      <c r="N26" s="10"/>
      <c r="O26" s="10"/>
      <c r="P26" s="10"/>
      <c r="Q26" s="11"/>
      <c r="R26" s="12"/>
      <c r="S26" s="12"/>
      <c r="T26" s="12"/>
      <c r="U26" s="12"/>
      <c r="V26" s="12"/>
      <c r="W26" s="12"/>
      <c r="X26" s="12"/>
    </row>
    <row r="27" spans="2:24" x14ac:dyDescent="0.75">
      <c r="B27" s="14"/>
      <c r="C27" s="15"/>
      <c r="D27" s="15"/>
      <c r="E27" s="15"/>
      <c r="F27" s="11"/>
      <c r="G27" s="11"/>
      <c r="H27" s="10"/>
      <c r="I27" s="11"/>
      <c r="J27" s="11"/>
      <c r="K27" s="10"/>
      <c r="L27" s="16"/>
      <c r="M27" s="10"/>
      <c r="N27" s="10"/>
      <c r="O27" s="10"/>
      <c r="P27" s="10"/>
      <c r="Q27" s="11"/>
      <c r="R27" s="12"/>
      <c r="S27" s="12"/>
      <c r="T27" s="12"/>
      <c r="U27" s="12"/>
      <c r="V27" s="12"/>
      <c r="W27" s="12"/>
      <c r="X27" s="12"/>
    </row>
    <row r="28" spans="2:24" x14ac:dyDescent="0.75">
      <c r="B28" s="14"/>
      <c r="C28" s="15"/>
      <c r="D28" s="15"/>
      <c r="E28" s="15"/>
      <c r="F28" s="11"/>
      <c r="G28" s="11"/>
      <c r="H28" s="10"/>
      <c r="I28" s="11"/>
      <c r="J28" s="11"/>
      <c r="K28" s="10"/>
      <c r="L28" s="16"/>
      <c r="M28" s="10"/>
      <c r="N28" s="10"/>
      <c r="O28" s="10"/>
      <c r="P28" s="10"/>
      <c r="Q28" s="11"/>
      <c r="R28" s="12"/>
      <c r="S28" s="12"/>
      <c r="T28" s="12"/>
      <c r="U28" s="12"/>
      <c r="V28" s="12"/>
      <c r="W28" s="12"/>
      <c r="X28" s="12"/>
    </row>
    <row r="29" spans="2:24" x14ac:dyDescent="0.75">
      <c r="B29" s="14"/>
      <c r="C29" s="15"/>
      <c r="D29" s="15"/>
      <c r="E29" s="15"/>
      <c r="F29" s="11"/>
      <c r="G29" s="11"/>
      <c r="H29" s="10"/>
      <c r="I29" s="11"/>
      <c r="J29" s="11"/>
      <c r="K29" s="10"/>
      <c r="L29" s="16"/>
      <c r="M29" s="10"/>
      <c r="N29" s="10"/>
      <c r="O29" s="10"/>
      <c r="P29" s="10"/>
      <c r="Q29" s="11"/>
      <c r="R29" s="12"/>
      <c r="S29" s="12"/>
      <c r="T29" s="12"/>
      <c r="U29" s="12"/>
      <c r="V29" s="12"/>
      <c r="W29" s="12"/>
      <c r="X29" s="12"/>
    </row>
    <row r="30" spans="2:24" x14ac:dyDescent="0.75">
      <c r="B30" s="14"/>
      <c r="C30" s="15"/>
      <c r="D30" s="15"/>
      <c r="E30" s="15"/>
      <c r="F30" s="11"/>
      <c r="G30" s="11"/>
      <c r="H30" s="10"/>
      <c r="I30" s="11"/>
      <c r="J30" s="11"/>
      <c r="K30" s="10"/>
      <c r="L30" s="16"/>
      <c r="M30" s="10"/>
      <c r="N30" s="10"/>
      <c r="O30" s="10"/>
      <c r="P30" s="10"/>
      <c r="Q30" s="11"/>
      <c r="R30" s="12"/>
      <c r="S30" s="12"/>
      <c r="T30" s="12"/>
      <c r="U30" s="12"/>
      <c r="V30" s="12"/>
      <c r="W30" s="12"/>
      <c r="X30" s="12"/>
    </row>
    <row r="36" hidden="1" outlineLevel="1" x14ac:dyDescent="0.75"/>
    <row r="37" hidden="1" outlineLevel="1" x14ac:dyDescent="0.75"/>
    <row r="38" hidden="1" outlineLevel="1" x14ac:dyDescent="0.75"/>
    <row r="39" hidden="1" outlineLevel="1" x14ac:dyDescent="0.75"/>
    <row r="40" hidden="1" outlineLevel="1" x14ac:dyDescent="0.75"/>
    <row r="41" hidden="1" outlineLevel="1" x14ac:dyDescent="0.75"/>
    <row r="42" hidden="1" outlineLevel="1" x14ac:dyDescent="0.75"/>
    <row r="43" hidden="1" outlineLevel="1" x14ac:dyDescent="0.75"/>
    <row r="44" hidden="1" outlineLevel="1" x14ac:dyDescent="0.75"/>
    <row r="45" hidden="1" outlineLevel="1" x14ac:dyDescent="0.75"/>
    <row r="46" hidden="1" outlineLevel="1" x14ac:dyDescent="0.75"/>
    <row r="47" hidden="1" outlineLevel="1" x14ac:dyDescent="0.75"/>
    <row r="48" hidden="1" outlineLevel="1" x14ac:dyDescent="0.75"/>
    <row r="49" spans="1:24" hidden="1" outlineLevel="1" x14ac:dyDescent="0.75"/>
    <row r="50" spans="1:24" hidden="1" outlineLevel="1" x14ac:dyDescent="0.75"/>
    <row r="51" spans="1:24" hidden="1" outlineLevel="1" x14ac:dyDescent="0.75"/>
    <row r="52" spans="1:24" hidden="1" outlineLevel="1" x14ac:dyDescent="0.75"/>
    <row r="53" spans="1:24" hidden="1" outlineLevel="1" x14ac:dyDescent="0.75"/>
    <row r="54" spans="1:24" hidden="1" outlineLevel="1" x14ac:dyDescent="0.75"/>
    <row r="55" spans="1:24" hidden="1" outlineLevel="1" x14ac:dyDescent="0.75"/>
    <row r="56" spans="1:24" hidden="1" outlineLevel="1" x14ac:dyDescent="0.75"/>
    <row r="57" spans="1:24" ht="16.5" collapsed="1" thickBot="1" x14ac:dyDescent="0.9">
      <c r="A57" s="23"/>
      <c r="B57" s="38"/>
      <c r="C57" s="38"/>
      <c r="D57" s="38"/>
      <c r="E57" s="38"/>
      <c r="F57" s="38"/>
      <c r="G57" s="38"/>
      <c r="H57" s="38"/>
      <c r="I57" s="38"/>
      <c r="J57" s="38"/>
      <c r="K57" s="23"/>
      <c r="L57" s="38"/>
      <c r="M57" s="23"/>
      <c r="N57" s="23"/>
      <c r="O57" s="23"/>
      <c r="P57" s="23"/>
      <c r="Q57" s="38"/>
      <c r="R57" s="23"/>
      <c r="S57" s="23"/>
      <c r="T57" s="23"/>
      <c r="U57" s="23"/>
      <c r="V57" s="23"/>
      <c r="W57" s="23"/>
      <c r="X57" s="23"/>
    </row>
    <row r="58" spans="1:24" x14ac:dyDescent="0.75">
      <c r="B58" s="34" t="s">
        <v>742</v>
      </c>
      <c r="C58" s="37">
        <f>COUNTA(C7:C57)</f>
        <v>1</v>
      </c>
      <c r="D58" s="2"/>
      <c r="E58" s="36" t="str">
        <f>IF(SUM(E26,E39,E56)&gt;0,SUM(E26,E39,E56),"")</f>
        <v/>
      </c>
      <c r="F58" s="37">
        <f>SUM(F7:F57)</f>
        <v>0.6</v>
      </c>
      <c r="G58" s="37"/>
      <c r="H58" s="37">
        <f>SUM(H7:H57)</f>
        <v>63000</v>
      </c>
      <c r="I58" s="37">
        <f>SUM(I7:I57)</f>
        <v>0</v>
      </c>
      <c r="J58" s="37">
        <f>SUM(J7:J57)</f>
        <v>0</v>
      </c>
      <c r="K58" s="37">
        <f>SUM(K7:K57)</f>
        <v>63000</v>
      </c>
      <c r="M58" s="37">
        <f t="shared" ref="M58:X58" si="0">SUM(M7:M57)</f>
        <v>7925.4</v>
      </c>
      <c r="N58" s="37">
        <f t="shared" si="0"/>
        <v>0</v>
      </c>
      <c r="O58" s="37">
        <f t="shared" si="0"/>
        <v>0</v>
      </c>
      <c r="P58" s="37">
        <f t="shared" si="0"/>
        <v>913.5</v>
      </c>
      <c r="Q58" s="37">
        <f t="shared" si="0"/>
        <v>400</v>
      </c>
      <c r="R58" s="37">
        <f t="shared" si="0"/>
        <v>2880</v>
      </c>
      <c r="S58" s="37">
        <f t="shared" si="0"/>
        <v>240</v>
      </c>
      <c r="T58" s="37">
        <f t="shared" si="0"/>
        <v>1008</v>
      </c>
      <c r="U58" s="37">
        <f t="shared" si="0"/>
        <v>0</v>
      </c>
      <c r="V58" s="37">
        <f t="shared" si="0"/>
        <v>0</v>
      </c>
      <c r="W58" s="37">
        <f t="shared" si="0"/>
        <v>12966.9</v>
      </c>
      <c r="X58" s="37">
        <f t="shared" si="0"/>
        <v>75966.899999999994</v>
      </c>
    </row>
    <row r="60" spans="1:24" x14ac:dyDescent="0.75">
      <c r="B60" s="34" t="s">
        <v>746</v>
      </c>
      <c r="F60" s="37">
        <f>SUMIF($B:$B,1100,F:F)</f>
        <v>0.6</v>
      </c>
      <c r="G60" s="37"/>
      <c r="H60" s="37">
        <f>SUMIF($B:$B,1100,H:H)</f>
        <v>63000</v>
      </c>
      <c r="I60" s="37">
        <f>SUMIF($B:$B,1100,I:I)</f>
        <v>0</v>
      </c>
      <c r="J60" s="37">
        <f>SUMIF($B:$B,1100,J:J)</f>
        <v>0</v>
      </c>
      <c r="K60" s="37">
        <f>SUMIF($B:$B,1100,K:K)</f>
        <v>63000</v>
      </c>
      <c r="M60" s="37">
        <f>SUMIF($B:$B,1100,M:M)</f>
        <v>7925.4</v>
      </c>
      <c r="N60" s="37">
        <f t="shared" ref="N60:X60" si="1">SUMIF($B:$B,1100,N:N)</f>
        <v>0</v>
      </c>
      <c r="O60" s="37">
        <f t="shared" si="1"/>
        <v>0</v>
      </c>
      <c r="P60" s="37">
        <f t="shared" si="1"/>
        <v>913.5</v>
      </c>
      <c r="Q60" s="37">
        <f t="shared" si="1"/>
        <v>400</v>
      </c>
      <c r="R60" s="37">
        <f t="shared" si="1"/>
        <v>2880</v>
      </c>
      <c r="S60" s="37">
        <f t="shared" si="1"/>
        <v>240</v>
      </c>
      <c r="T60" s="37">
        <f t="shared" si="1"/>
        <v>1008</v>
      </c>
      <c r="U60" s="37">
        <f t="shared" si="1"/>
        <v>0</v>
      </c>
      <c r="V60" s="37">
        <f t="shared" si="1"/>
        <v>0</v>
      </c>
      <c r="W60" s="37">
        <f t="shared" si="1"/>
        <v>12966.9</v>
      </c>
      <c r="X60" s="37">
        <f t="shared" si="1"/>
        <v>75966.899999999994</v>
      </c>
    </row>
  </sheetData>
  <pageMargins left="0.25" right="0.25" top="0.25" bottom="0.25" header="0.3" footer="0.3"/>
  <pageSetup scale="75" fitToWidth="2"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pageSetUpPr fitToPage="1"/>
  </sheetPr>
  <dimension ref="A1:X60"/>
  <sheetViews>
    <sheetView workbookViewId="0"/>
  </sheetViews>
  <sheetFormatPr defaultColWidth="9.08984375" defaultRowHeight="15.75" outlineLevelRow="1" x14ac:dyDescent="0.75"/>
  <cols>
    <col min="1" max="1" width="2.08984375" style="5" customWidth="1"/>
    <col min="2" max="2" width="6.6796875" style="6" bestFit="1" customWidth="1"/>
    <col min="3" max="6" width="9.08984375" style="6"/>
    <col min="7" max="8" width="14.54296875" style="6" bestFit="1" customWidth="1"/>
    <col min="9" max="9" width="11.54296875" style="6" bestFit="1" customWidth="1"/>
    <col min="10" max="10" width="11.54296875" style="6" customWidth="1"/>
    <col min="11" max="11" width="14.6796875" style="5" bestFit="1" customWidth="1"/>
    <col min="12" max="12" width="17.453125" style="6" bestFit="1" customWidth="1"/>
    <col min="13" max="13" width="17" style="5" bestFit="1" customWidth="1"/>
    <col min="14" max="16" width="12.08984375" style="5" customWidth="1"/>
    <col min="17" max="17" width="12.08984375" style="6" customWidth="1"/>
    <col min="18" max="19" width="15.54296875" style="5" customWidth="1"/>
    <col min="20" max="20" width="19.453125" style="5" customWidth="1"/>
    <col min="21" max="21" width="18.453125" style="5" customWidth="1"/>
    <col min="22" max="22" width="19.6796875" style="5" customWidth="1"/>
    <col min="23" max="24" width="15.54296875" style="5" customWidth="1"/>
    <col min="25" max="16384" width="9.08984375" style="5"/>
  </cols>
  <sheetData>
    <row r="1" spans="1:24" ht="20.25" x14ac:dyDescent="0.85">
      <c r="A1" s="22" t="str">
        <f>'Student Info w MYP'!$A$1</f>
        <v>Compass Charter Schools</v>
      </c>
    </row>
    <row r="2" spans="1:24" ht="17.75" x14ac:dyDescent="0.75">
      <c r="A2" s="21" t="s">
        <v>724</v>
      </c>
      <c r="G2" s="165">
        <v>0.02</v>
      </c>
      <c r="H2" s="166" t="s">
        <v>1063</v>
      </c>
      <c r="M2" s="7">
        <v>0.14430000000000001</v>
      </c>
      <c r="N2" s="7">
        <v>0.14499999999999999</v>
      </c>
      <c r="O2" s="7">
        <v>6.2E-2</v>
      </c>
      <c r="P2" s="7">
        <v>1.4500000000000001E-2</v>
      </c>
      <c r="Q2" s="9">
        <f>'Employee Input Yr1'!Q2</f>
        <v>400</v>
      </c>
      <c r="S2" s="9">
        <f>'Employee Input Yr1'!S2</f>
        <v>400</v>
      </c>
      <c r="T2" s="165">
        <f>'Employee Input Yr1'!T2</f>
        <v>1.6E-2</v>
      </c>
      <c r="V2" s="12">
        <f>(0.08*$K2/1000)+(0.025*$K2/1000)+(0.14%*$K2)+(0.05*$K2/10)</f>
        <v>0</v>
      </c>
    </row>
    <row r="3" spans="1:24" ht="17.75" x14ac:dyDescent="0.75">
      <c r="A3" s="21">
        <f>'Student Info w MYP'!E6</f>
        <v>0</v>
      </c>
      <c r="M3" s="8" t="s">
        <v>562</v>
      </c>
      <c r="N3" s="8" t="s">
        <v>563</v>
      </c>
      <c r="O3" s="8" t="s">
        <v>1069</v>
      </c>
      <c r="P3" s="8" t="s">
        <v>670</v>
      </c>
      <c r="Q3" s="8" t="s">
        <v>566</v>
      </c>
      <c r="R3" s="8"/>
      <c r="S3" s="8" t="s">
        <v>668</v>
      </c>
      <c r="T3" s="8" t="s">
        <v>669</v>
      </c>
      <c r="U3" s="8"/>
      <c r="V3" s="8" t="s">
        <v>1076</v>
      </c>
    </row>
    <row r="4" spans="1:24" ht="27" customHeight="1" x14ac:dyDescent="0.75"/>
    <row r="5" spans="1:24" x14ac:dyDescent="0.75">
      <c r="B5" s="13" t="s">
        <v>0</v>
      </c>
      <c r="H5" s="17" t="s">
        <v>675</v>
      </c>
      <c r="I5" s="13" t="s">
        <v>744</v>
      </c>
      <c r="J5" s="18"/>
      <c r="K5" s="17" t="s">
        <v>673</v>
      </c>
      <c r="L5" s="13" t="s">
        <v>728</v>
      </c>
      <c r="M5" s="43" t="s">
        <v>30</v>
      </c>
      <c r="N5" s="43" t="s">
        <v>38</v>
      </c>
      <c r="O5" s="43" t="s">
        <v>1065</v>
      </c>
      <c r="P5" s="43" t="s">
        <v>1067</v>
      </c>
      <c r="Q5" s="44" t="s">
        <v>564</v>
      </c>
      <c r="R5" s="43" t="s">
        <v>716</v>
      </c>
      <c r="S5" s="43" t="s">
        <v>717</v>
      </c>
      <c r="T5" s="43" t="s">
        <v>718</v>
      </c>
      <c r="U5" s="43" t="s">
        <v>1074</v>
      </c>
      <c r="V5" s="43" t="s">
        <v>1073</v>
      </c>
      <c r="W5" s="19" t="s">
        <v>671</v>
      </c>
      <c r="X5" s="17" t="s">
        <v>675</v>
      </c>
    </row>
    <row r="6" spans="1:24" ht="16.5" thickBot="1" x14ac:dyDescent="0.9">
      <c r="A6" s="23"/>
      <c r="B6" s="24"/>
      <c r="C6" s="25" t="s">
        <v>1</v>
      </c>
      <c r="D6" s="25" t="s">
        <v>2</v>
      </c>
      <c r="E6" s="25" t="s">
        <v>4</v>
      </c>
      <c r="F6" s="24" t="s">
        <v>3</v>
      </c>
      <c r="G6" s="24" t="s">
        <v>5</v>
      </c>
      <c r="H6" s="26" t="s">
        <v>738</v>
      </c>
      <c r="I6" s="24" t="s">
        <v>745</v>
      </c>
      <c r="J6" s="24" t="s">
        <v>743</v>
      </c>
      <c r="K6" s="26" t="s">
        <v>674</v>
      </c>
      <c r="L6" s="24" t="s">
        <v>729</v>
      </c>
      <c r="M6" s="27" t="s">
        <v>7</v>
      </c>
      <c r="N6" s="27" t="s">
        <v>8</v>
      </c>
      <c r="O6" s="176" t="s">
        <v>1066</v>
      </c>
      <c r="P6" s="176" t="s">
        <v>1068</v>
      </c>
      <c r="Q6" s="25" t="s">
        <v>565</v>
      </c>
      <c r="R6" s="27" t="s">
        <v>1070</v>
      </c>
      <c r="S6" s="176" t="s">
        <v>1071</v>
      </c>
      <c r="T6" s="176" t="s">
        <v>1072</v>
      </c>
      <c r="U6" s="27" t="s">
        <v>1075</v>
      </c>
      <c r="V6" s="176" t="s">
        <v>1077</v>
      </c>
      <c r="W6" s="28" t="s">
        <v>672</v>
      </c>
      <c r="X6" s="26" t="s">
        <v>674</v>
      </c>
    </row>
    <row r="7" spans="1:24" x14ac:dyDescent="0.75">
      <c r="B7" s="14">
        <f>IF('Employee Input Yr1'!B7="","",'Employee Input Yr1'!B7)</f>
        <v>1100</v>
      </c>
      <c r="C7" s="14" t="str">
        <f>IF('Employee Input Yr1'!C7="","",'Employee Input Yr1'!C7)</f>
        <v>Sample Name</v>
      </c>
      <c r="D7" s="14" t="str">
        <f>IF('Employee Input Yr1'!D7="","",'Employee Input Yr1'!D7)</f>
        <v>VP, Education</v>
      </c>
      <c r="E7" s="14" t="str">
        <f>IF('Employee Input Yr1'!E7="","",'Employee Input Yr1'!E7)</f>
        <v>Education</v>
      </c>
      <c r="F7" s="14">
        <f>IF('Employee Input Yr1'!F7="","",'Employee Input Yr1'!F7)</f>
        <v>0.6</v>
      </c>
      <c r="G7" s="155">
        <f>IF('Employee Input Yr1'!G7="","",'Employee Input Yr1'!G7*(1+$G$2))</f>
        <v>107100</v>
      </c>
      <c r="H7" s="10">
        <f>IF(F7="","",F7*G7)</f>
        <v>64260</v>
      </c>
      <c r="I7" s="155" t="str">
        <f>IF('Employee Input Yr1'!I7="","",'Employee Input Yr1'!I7)</f>
        <v/>
      </c>
      <c r="J7" s="155" t="str">
        <f>IF('Employee Input Yr1'!J7="","",'Employee Input Yr1'!J7)</f>
        <v/>
      </c>
      <c r="K7" s="10">
        <f>IF(SUM(H7:J7)&gt;0,SUM(H7:J7),"")</f>
        <v>64260</v>
      </c>
      <c r="L7" s="14" t="str">
        <f>IF('Employee Input Yr1'!L7="","",'Employee Input Yr1'!L7)</f>
        <v>STRS</v>
      </c>
      <c r="M7" s="10">
        <f>IF($L7="STRS",$M$2*$K7,"")</f>
        <v>9272.7180000000008</v>
      </c>
      <c r="N7" s="10" t="str">
        <f>IF($L7="PERS",$N$2*$K7,"")</f>
        <v/>
      </c>
      <c r="O7" s="10" t="str">
        <f>IF($L7="STRS","",$O$2*$K7)</f>
        <v/>
      </c>
      <c r="P7" s="10">
        <f>$P$2*K7</f>
        <v>931.7700000000001</v>
      </c>
      <c r="Q7" s="11">
        <f>$Q$2</f>
        <v>400</v>
      </c>
      <c r="R7" s="12">
        <f>Q7*12*F7</f>
        <v>2880</v>
      </c>
      <c r="S7" s="12">
        <f>$S$2*F7</f>
        <v>240</v>
      </c>
      <c r="T7" s="12">
        <f>$T$2*$K7</f>
        <v>1028.1600000000001</v>
      </c>
      <c r="U7" s="12"/>
      <c r="V7" s="12"/>
      <c r="W7" s="12">
        <f>SUM(R7:V7,M7:P7)</f>
        <v>14352.648000000001</v>
      </c>
      <c r="X7" s="12">
        <f>W7+K7</f>
        <v>78612.648000000001</v>
      </c>
    </row>
    <row r="8" spans="1:24" x14ac:dyDescent="0.75">
      <c r="B8" s="14" t="str">
        <f>IF('Employee Input Yr1'!B8="","",'Employee Input Yr1'!B8)</f>
        <v/>
      </c>
      <c r="C8" s="14" t="str">
        <f>IF('Employee Input Yr1'!C8="","",'Employee Input Yr1'!C8)</f>
        <v/>
      </c>
      <c r="D8" s="14" t="str">
        <f>IF('Employee Input Yr1'!D8="","",'Employee Input Yr1'!D8)</f>
        <v/>
      </c>
      <c r="E8" s="14" t="str">
        <f>IF('Employee Input Yr1'!E8="","",'Employee Input Yr1'!E8)</f>
        <v/>
      </c>
      <c r="F8" s="14" t="str">
        <f>IF('Employee Input Yr1'!F8="","",'Employee Input Yr1'!F8)</f>
        <v/>
      </c>
      <c r="G8" s="155" t="str">
        <f>IF('Employee Input Yr1'!G8="","",'Employee Input Yr1'!G8*(1+$G$2))</f>
        <v/>
      </c>
      <c r="H8" s="10" t="str">
        <f t="shared" ref="H8:H56" si="0">IF(F8="","",F8*G8)</f>
        <v/>
      </c>
      <c r="I8" s="155" t="str">
        <f>IF('Employee Input Yr1'!I8="","",'Employee Input Yr1'!I8)</f>
        <v/>
      </c>
      <c r="J8" s="155" t="str">
        <f>IF('Employee Input Yr1'!J8="","",'Employee Input Yr1'!J8)</f>
        <v/>
      </c>
      <c r="K8" s="10" t="str">
        <f t="shared" ref="K8:K56" si="1">IF(SUM(H8:J8)&gt;0,SUM(H8:J8),"")</f>
        <v/>
      </c>
      <c r="L8" s="14" t="str">
        <f>IF('Employee Input Yr1'!L8="","",'Employee Input Yr1'!L8)</f>
        <v/>
      </c>
      <c r="M8" s="10"/>
      <c r="N8" s="10"/>
      <c r="O8" s="10"/>
      <c r="P8" s="10"/>
      <c r="Q8" s="11"/>
      <c r="R8" s="12"/>
      <c r="S8" s="12"/>
      <c r="T8" s="12"/>
      <c r="U8" s="12"/>
      <c r="V8" s="12"/>
      <c r="W8" s="12"/>
      <c r="X8" s="12"/>
    </row>
    <row r="9" spans="1:24" x14ac:dyDescent="0.75">
      <c r="B9" s="14" t="str">
        <f>IF('Employee Input Yr1'!B9="","",'Employee Input Yr1'!B9)</f>
        <v/>
      </c>
      <c r="C9" s="14" t="str">
        <f>IF('Employee Input Yr1'!C9="","",'Employee Input Yr1'!C9)</f>
        <v/>
      </c>
      <c r="D9" s="14" t="str">
        <f>IF('Employee Input Yr1'!D9="","",'Employee Input Yr1'!D9)</f>
        <v/>
      </c>
      <c r="E9" s="14" t="str">
        <f>IF('Employee Input Yr1'!E9="","",'Employee Input Yr1'!E9)</f>
        <v/>
      </c>
      <c r="F9" s="14" t="str">
        <f>IF('Employee Input Yr1'!F9="","",'Employee Input Yr1'!F9)</f>
        <v/>
      </c>
      <c r="G9" s="155" t="str">
        <f>IF('Employee Input Yr1'!G9="","",'Employee Input Yr1'!G9*(1+$G$2))</f>
        <v/>
      </c>
      <c r="H9" s="10" t="str">
        <f t="shared" si="0"/>
        <v/>
      </c>
      <c r="I9" s="155" t="str">
        <f>IF('Employee Input Yr1'!I9="","",'Employee Input Yr1'!I9)</f>
        <v/>
      </c>
      <c r="J9" s="155" t="str">
        <f>IF('Employee Input Yr1'!J9="","",'Employee Input Yr1'!J9)</f>
        <v/>
      </c>
      <c r="K9" s="10" t="str">
        <f t="shared" si="1"/>
        <v/>
      </c>
      <c r="L9" s="14" t="str">
        <f>IF('Employee Input Yr1'!L9="","",'Employee Input Yr1'!L9)</f>
        <v/>
      </c>
      <c r="M9" s="10"/>
      <c r="N9" s="10"/>
      <c r="O9" s="10"/>
      <c r="P9" s="10"/>
      <c r="Q9" s="11"/>
      <c r="R9" s="12"/>
      <c r="S9" s="12"/>
      <c r="T9" s="12"/>
      <c r="U9" s="12"/>
      <c r="V9" s="12"/>
      <c r="W9" s="12"/>
      <c r="X9" s="12"/>
    </row>
    <row r="10" spans="1:24" x14ac:dyDescent="0.75">
      <c r="B10" s="14" t="str">
        <f>IF('Employee Input Yr1'!B10="","",'Employee Input Yr1'!B10)</f>
        <v/>
      </c>
      <c r="C10" s="14" t="str">
        <f>IF('Employee Input Yr1'!C10="","",'Employee Input Yr1'!C10)</f>
        <v/>
      </c>
      <c r="D10" s="14" t="str">
        <f>IF('Employee Input Yr1'!D10="","",'Employee Input Yr1'!D10)</f>
        <v/>
      </c>
      <c r="E10" s="14" t="str">
        <f>IF('Employee Input Yr1'!E10="","",'Employee Input Yr1'!E10)</f>
        <v/>
      </c>
      <c r="F10" s="14" t="str">
        <f>IF('Employee Input Yr1'!F10="","",'Employee Input Yr1'!F10)</f>
        <v/>
      </c>
      <c r="G10" s="155" t="str">
        <f>IF('Employee Input Yr1'!G10="","",'Employee Input Yr1'!G10*(1+$G$2))</f>
        <v/>
      </c>
      <c r="H10" s="10" t="str">
        <f t="shared" si="0"/>
        <v/>
      </c>
      <c r="I10" s="155" t="str">
        <f>IF('Employee Input Yr1'!I10="","",'Employee Input Yr1'!I10)</f>
        <v/>
      </c>
      <c r="J10" s="155" t="str">
        <f>IF('Employee Input Yr1'!J10="","",'Employee Input Yr1'!J10)</f>
        <v/>
      </c>
      <c r="K10" s="10" t="str">
        <f t="shared" si="1"/>
        <v/>
      </c>
      <c r="L10" s="14" t="str">
        <f>IF('Employee Input Yr1'!L10="","",'Employee Input Yr1'!L10)</f>
        <v/>
      </c>
      <c r="M10" s="10"/>
      <c r="N10" s="10"/>
      <c r="O10" s="10"/>
      <c r="P10" s="10"/>
      <c r="Q10" s="11"/>
      <c r="R10" s="12"/>
      <c r="S10" s="12"/>
      <c r="T10" s="12"/>
      <c r="U10" s="12"/>
      <c r="V10" s="12"/>
      <c r="W10" s="12"/>
      <c r="X10" s="12"/>
    </row>
    <row r="11" spans="1:24" x14ac:dyDescent="0.75">
      <c r="B11" s="14" t="str">
        <f>IF('Employee Input Yr1'!B11="","",'Employee Input Yr1'!B11)</f>
        <v/>
      </c>
      <c r="C11" s="14" t="str">
        <f>IF('Employee Input Yr1'!C11="","",'Employee Input Yr1'!C11)</f>
        <v/>
      </c>
      <c r="D11" s="14" t="str">
        <f>IF('Employee Input Yr1'!D11="","",'Employee Input Yr1'!D11)</f>
        <v/>
      </c>
      <c r="E11" s="14" t="str">
        <f>IF('Employee Input Yr1'!E11="","",'Employee Input Yr1'!E11)</f>
        <v/>
      </c>
      <c r="F11" s="14" t="str">
        <f>IF('Employee Input Yr1'!F11="","",'Employee Input Yr1'!F11)</f>
        <v/>
      </c>
      <c r="G11" s="155" t="str">
        <f>IF('Employee Input Yr1'!G11="","",'Employee Input Yr1'!G11*(1+$G$2))</f>
        <v/>
      </c>
      <c r="H11" s="10" t="str">
        <f t="shared" si="0"/>
        <v/>
      </c>
      <c r="I11" s="155" t="str">
        <f>IF('Employee Input Yr1'!I11="","",'Employee Input Yr1'!I11)</f>
        <v/>
      </c>
      <c r="J11" s="155" t="str">
        <f>IF('Employee Input Yr1'!J11="","",'Employee Input Yr1'!J11)</f>
        <v/>
      </c>
      <c r="K11" s="10" t="str">
        <f t="shared" si="1"/>
        <v/>
      </c>
      <c r="L11" s="14" t="str">
        <f>IF('Employee Input Yr1'!L11="","",'Employee Input Yr1'!L11)</f>
        <v/>
      </c>
      <c r="M11" s="10"/>
      <c r="N11" s="10"/>
      <c r="O11" s="10"/>
      <c r="P11" s="10"/>
      <c r="Q11" s="11"/>
      <c r="R11" s="12"/>
      <c r="S11" s="12"/>
      <c r="T11" s="12"/>
      <c r="U11" s="12"/>
      <c r="V11" s="12"/>
      <c r="W11" s="12"/>
      <c r="X11" s="12"/>
    </row>
    <row r="12" spans="1:24" x14ac:dyDescent="0.75">
      <c r="B12" s="14" t="str">
        <f>IF('Employee Input Yr1'!B12="","",'Employee Input Yr1'!B12)</f>
        <v/>
      </c>
      <c r="C12" s="14" t="str">
        <f>IF('Employee Input Yr1'!C12="","",'Employee Input Yr1'!C12)</f>
        <v/>
      </c>
      <c r="D12" s="14" t="str">
        <f>IF('Employee Input Yr1'!D12="","",'Employee Input Yr1'!D12)</f>
        <v/>
      </c>
      <c r="E12" s="14" t="str">
        <f>IF('Employee Input Yr1'!E12="","",'Employee Input Yr1'!E12)</f>
        <v/>
      </c>
      <c r="F12" s="14" t="str">
        <f>IF('Employee Input Yr1'!F12="","",'Employee Input Yr1'!F12)</f>
        <v/>
      </c>
      <c r="G12" s="155" t="str">
        <f>IF('Employee Input Yr1'!G12="","",'Employee Input Yr1'!G12*(1+$G$2))</f>
        <v/>
      </c>
      <c r="H12" s="10" t="str">
        <f t="shared" si="0"/>
        <v/>
      </c>
      <c r="I12" s="155" t="str">
        <f>IF('Employee Input Yr1'!I12="","",'Employee Input Yr1'!I12)</f>
        <v/>
      </c>
      <c r="J12" s="155" t="str">
        <f>IF('Employee Input Yr1'!J12="","",'Employee Input Yr1'!J12)</f>
        <v/>
      </c>
      <c r="K12" s="10" t="str">
        <f t="shared" si="1"/>
        <v/>
      </c>
      <c r="L12" s="14" t="str">
        <f>IF('Employee Input Yr1'!L12="","",'Employee Input Yr1'!L12)</f>
        <v/>
      </c>
      <c r="M12" s="10"/>
      <c r="N12" s="10"/>
      <c r="O12" s="10"/>
      <c r="P12" s="10"/>
      <c r="Q12" s="11"/>
      <c r="R12" s="12"/>
      <c r="S12" s="12"/>
      <c r="T12" s="12"/>
      <c r="U12" s="12"/>
      <c r="V12" s="12"/>
      <c r="W12" s="12"/>
      <c r="X12" s="12"/>
    </row>
    <row r="13" spans="1:24" x14ac:dyDescent="0.75">
      <c r="B13" s="14" t="str">
        <f>IF('Employee Input Yr1'!B13="","",'Employee Input Yr1'!B13)</f>
        <v/>
      </c>
      <c r="C13" s="14" t="str">
        <f>IF('Employee Input Yr1'!C13="","",'Employee Input Yr1'!C13)</f>
        <v/>
      </c>
      <c r="D13" s="14" t="str">
        <f>IF('Employee Input Yr1'!D13="","",'Employee Input Yr1'!D13)</f>
        <v/>
      </c>
      <c r="E13" s="14" t="str">
        <f>IF('Employee Input Yr1'!E13="","",'Employee Input Yr1'!E13)</f>
        <v/>
      </c>
      <c r="F13" s="14" t="str">
        <f>IF('Employee Input Yr1'!F13="","",'Employee Input Yr1'!F13)</f>
        <v/>
      </c>
      <c r="G13" s="155" t="str">
        <f>IF('Employee Input Yr1'!G13="","",'Employee Input Yr1'!G13*(1+$G$2))</f>
        <v/>
      </c>
      <c r="H13" s="10" t="str">
        <f t="shared" si="0"/>
        <v/>
      </c>
      <c r="I13" s="155" t="str">
        <f>IF('Employee Input Yr1'!I13="","",'Employee Input Yr1'!I13)</f>
        <v/>
      </c>
      <c r="J13" s="155" t="str">
        <f>IF('Employee Input Yr1'!J13="","",'Employee Input Yr1'!J13)</f>
        <v/>
      </c>
      <c r="K13" s="10" t="str">
        <f t="shared" si="1"/>
        <v/>
      </c>
      <c r="L13" s="14" t="str">
        <f>IF('Employee Input Yr1'!L13="","",'Employee Input Yr1'!L13)</f>
        <v/>
      </c>
      <c r="M13" s="10"/>
      <c r="N13" s="10"/>
      <c r="O13" s="10"/>
      <c r="P13" s="10"/>
      <c r="Q13" s="11"/>
      <c r="R13" s="12"/>
      <c r="S13" s="12"/>
      <c r="T13" s="12"/>
      <c r="U13" s="12"/>
      <c r="V13" s="12"/>
      <c r="W13" s="12"/>
      <c r="X13" s="12"/>
    </row>
    <row r="14" spans="1:24" x14ac:dyDescent="0.75">
      <c r="B14" s="14" t="str">
        <f>IF('Employee Input Yr1'!B14="","",'Employee Input Yr1'!B14)</f>
        <v/>
      </c>
      <c r="C14" s="14" t="str">
        <f>IF('Employee Input Yr1'!C14="","",'Employee Input Yr1'!C14)</f>
        <v/>
      </c>
      <c r="D14" s="14" t="str">
        <f>IF('Employee Input Yr1'!D14="","",'Employee Input Yr1'!D14)</f>
        <v/>
      </c>
      <c r="E14" s="14" t="str">
        <f>IF('Employee Input Yr1'!E14="","",'Employee Input Yr1'!E14)</f>
        <v/>
      </c>
      <c r="F14" s="14" t="str">
        <f>IF('Employee Input Yr1'!F14="","",'Employee Input Yr1'!F14)</f>
        <v/>
      </c>
      <c r="G14" s="155" t="str">
        <f>IF('Employee Input Yr1'!G14="","",'Employee Input Yr1'!G14*(1+$G$2))</f>
        <v/>
      </c>
      <c r="H14" s="10" t="str">
        <f t="shared" si="0"/>
        <v/>
      </c>
      <c r="I14" s="155" t="str">
        <f>IF('Employee Input Yr1'!I14="","",'Employee Input Yr1'!I14)</f>
        <v/>
      </c>
      <c r="J14" s="155" t="str">
        <f>IF('Employee Input Yr1'!J14="","",'Employee Input Yr1'!J14)</f>
        <v/>
      </c>
      <c r="K14" s="10" t="str">
        <f t="shared" si="1"/>
        <v/>
      </c>
      <c r="L14" s="14" t="str">
        <f>IF('Employee Input Yr1'!L14="","",'Employee Input Yr1'!L14)</f>
        <v/>
      </c>
      <c r="M14" s="10"/>
      <c r="N14" s="10"/>
      <c r="O14" s="10"/>
      <c r="P14" s="10"/>
      <c r="Q14" s="11"/>
      <c r="R14" s="12"/>
      <c r="S14" s="12"/>
      <c r="T14" s="12"/>
      <c r="U14" s="12"/>
      <c r="V14" s="12"/>
      <c r="W14" s="12"/>
      <c r="X14" s="12"/>
    </row>
    <row r="15" spans="1:24" x14ac:dyDescent="0.75">
      <c r="B15" s="14" t="str">
        <f>IF('Employee Input Yr1'!B15="","",'Employee Input Yr1'!B15)</f>
        <v/>
      </c>
      <c r="C15" s="14" t="str">
        <f>IF('Employee Input Yr1'!C15="","",'Employee Input Yr1'!C15)</f>
        <v/>
      </c>
      <c r="D15" s="14" t="str">
        <f>IF('Employee Input Yr1'!D15="","",'Employee Input Yr1'!D15)</f>
        <v/>
      </c>
      <c r="E15" s="14" t="str">
        <f>IF('Employee Input Yr1'!E15="","",'Employee Input Yr1'!E15)</f>
        <v/>
      </c>
      <c r="F15" s="14" t="str">
        <f>IF('Employee Input Yr1'!F15="","",'Employee Input Yr1'!F15)</f>
        <v/>
      </c>
      <c r="G15" s="155" t="str">
        <f>IF('Employee Input Yr1'!G15="","",'Employee Input Yr1'!G15*(1+$G$2))</f>
        <v/>
      </c>
      <c r="H15" s="10" t="str">
        <f t="shared" si="0"/>
        <v/>
      </c>
      <c r="I15" s="155" t="str">
        <f>IF('Employee Input Yr1'!I15="","",'Employee Input Yr1'!I15)</f>
        <v/>
      </c>
      <c r="J15" s="155" t="str">
        <f>IF('Employee Input Yr1'!J15="","",'Employee Input Yr1'!J15)</f>
        <v/>
      </c>
      <c r="K15" s="10" t="str">
        <f t="shared" si="1"/>
        <v/>
      </c>
      <c r="L15" s="14" t="str">
        <f>IF('Employee Input Yr1'!L15="","",'Employee Input Yr1'!L15)</f>
        <v/>
      </c>
      <c r="M15" s="10"/>
      <c r="N15" s="10"/>
      <c r="O15" s="10"/>
      <c r="P15" s="10"/>
      <c r="Q15" s="11"/>
      <c r="R15" s="12"/>
      <c r="S15" s="12"/>
      <c r="T15" s="12"/>
      <c r="U15" s="12"/>
      <c r="V15" s="12"/>
      <c r="W15" s="12"/>
      <c r="X15" s="12"/>
    </row>
    <row r="16" spans="1:24" x14ac:dyDescent="0.75">
      <c r="B16" s="14" t="str">
        <f>IF('Employee Input Yr1'!B16="","",'Employee Input Yr1'!B16)</f>
        <v/>
      </c>
      <c r="C16" s="14" t="str">
        <f>IF('Employee Input Yr1'!C16="","",'Employee Input Yr1'!C16)</f>
        <v/>
      </c>
      <c r="D16" s="14" t="str">
        <f>IF('Employee Input Yr1'!D16="","",'Employee Input Yr1'!D16)</f>
        <v/>
      </c>
      <c r="E16" s="14" t="str">
        <f>IF('Employee Input Yr1'!E16="","",'Employee Input Yr1'!E16)</f>
        <v/>
      </c>
      <c r="F16" s="14" t="str">
        <f>IF('Employee Input Yr1'!F16="","",'Employee Input Yr1'!F16)</f>
        <v/>
      </c>
      <c r="G16" s="155" t="str">
        <f>IF('Employee Input Yr1'!G16="","",'Employee Input Yr1'!G16*(1+$G$2))</f>
        <v/>
      </c>
      <c r="H16" s="10" t="str">
        <f t="shared" si="0"/>
        <v/>
      </c>
      <c r="I16" s="155" t="str">
        <f>IF('Employee Input Yr1'!I16="","",'Employee Input Yr1'!I16)</f>
        <v/>
      </c>
      <c r="J16" s="155" t="str">
        <f>IF('Employee Input Yr1'!J16="","",'Employee Input Yr1'!J16)</f>
        <v/>
      </c>
      <c r="K16" s="10" t="str">
        <f t="shared" si="1"/>
        <v/>
      </c>
      <c r="L16" s="14" t="str">
        <f>IF('Employee Input Yr1'!L16="","",'Employee Input Yr1'!L16)</f>
        <v/>
      </c>
      <c r="M16" s="10"/>
      <c r="N16" s="10"/>
      <c r="O16" s="10"/>
      <c r="P16" s="10"/>
      <c r="Q16" s="11"/>
      <c r="R16" s="12"/>
      <c r="S16" s="12"/>
      <c r="T16" s="12"/>
      <c r="U16" s="12"/>
      <c r="V16" s="12"/>
      <c r="W16" s="12"/>
      <c r="X16" s="12"/>
    </row>
    <row r="17" spans="2:24" x14ac:dyDescent="0.75">
      <c r="B17" s="14" t="str">
        <f>IF('Employee Input Yr1'!B17="","",'Employee Input Yr1'!B17)</f>
        <v/>
      </c>
      <c r="C17" s="14" t="str">
        <f>IF('Employee Input Yr1'!C17="","",'Employee Input Yr1'!C17)</f>
        <v/>
      </c>
      <c r="D17" s="14" t="str">
        <f>IF('Employee Input Yr1'!D17="","",'Employee Input Yr1'!D17)</f>
        <v/>
      </c>
      <c r="E17" s="14" t="str">
        <f>IF('Employee Input Yr1'!E17="","",'Employee Input Yr1'!E17)</f>
        <v/>
      </c>
      <c r="F17" s="14" t="str">
        <f>IF('Employee Input Yr1'!F17="","",'Employee Input Yr1'!F17)</f>
        <v/>
      </c>
      <c r="G17" s="155" t="str">
        <f>IF('Employee Input Yr1'!G17="","",'Employee Input Yr1'!G17*(1+$G$2))</f>
        <v/>
      </c>
      <c r="H17" s="10" t="str">
        <f t="shared" si="0"/>
        <v/>
      </c>
      <c r="I17" s="155" t="str">
        <f>IF('Employee Input Yr1'!I17="","",'Employee Input Yr1'!I17)</f>
        <v/>
      </c>
      <c r="J17" s="155" t="str">
        <f>IF('Employee Input Yr1'!J17="","",'Employee Input Yr1'!J17)</f>
        <v/>
      </c>
      <c r="K17" s="10" t="str">
        <f t="shared" si="1"/>
        <v/>
      </c>
      <c r="L17" s="14" t="str">
        <f>IF('Employee Input Yr1'!L17="","",'Employee Input Yr1'!L17)</f>
        <v/>
      </c>
      <c r="M17" s="10"/>
      <c r="N17" s="10"/>
      <c r="O17" s="10"/>
      <c r="P17" s="10"/>
      <c r="Q17" s="11"/>
      <c r="R17" s="12"/>
      <c r="S17" s="12"/>
      <c r="T17" s="12"/>
      <c r="U17" s="12"/>
      <c r="V17" s="12"/>
      <c r="W17" s="12"/>
      <c r="X17" s="12"/>
    </row>
    <row r="18" spans="2:24" x14ac:dyDescent="0.75">
      <c r="B18" s="14" t="str">
        <f>IF('Employee Input Yr1'!B18="","",'Employee Input Yr1'!B18)</f>
        <v/>
      </c>
      <c r="C18" s="14" t="str">
        <f>IF('Employee Input Yr1'!C18="","",'Employee Input Yr1'!C18)</f>
        <v/>
      </c>
      <c r="D18" s="14" t="str">
        <f>IF('Employee Input Yr1'!D18="","",'Employee Input Yr1'!D18)</f>
        <v/>
      </c>
      <c r="E18" s="14" t="str">
        <f>IF('Employee Input Yr1'!E18="","",'Employee Input Yr1'!E18)</f>
        <v/>
      </c>
      <c r="F18" s="14" t="str">
        <f>IF('Employee Input Yr1'!F18="","",'Employee Input Yr1'!F18)</f>
        <v/>
      </c>
      <c r="G18" s="155" t="str">
        <f>IF('Employee Input Yr1'!G18="","",'Employee Input Yr1'!G18*(1+$G$2))</f>
        <v/>
      </c>
      <c r="H18" s="10" t="str">
        <f t="shared" si="0"/>
        <v/>
      </c>
      <c r="I18" s="155" t="str">
        <f>IF('Employee Input Yr1'!I18="","",'Employee Input Yr1'!I18)</f>
        <v/>
      </c>
      <c r="J18" s="155" t="str">
        <f>IF('Employee Input Yr1'!J18="","",'Employee Input Yr1'!J18)</f>
        <v/>
      </c>
      <c r="K18" s="10" t="str">
        <f t="shared" si="1"/>
        <v/>
      </c>
      <c r="L18" s="14" t="str">
        <f>IF('Employee Input Yr1'!L18="","",'Employee Input Yr1'!L18)</f>
        <v/>
      </c>
      <c r="M18" s="10"/>
      <c r="N18" s="10"/>
      <c r="O18" s="10"/>
      <c r="P18" s="10"/>
      <c r="Q18" s="11"/>
      <c r="R18" s="12"/>
      <c r="S18" s="12"/>
      <c r="T18" s="12"/>
      <c r="U18" s="12"/>
      <c r="V18" s="12"/>
      <c r="W18" s="12"/>
      <c r="X18" s="12"/>
    </row>
    <row r="19" spans="2:24" x14ac:dyDescent="0.75">
      <c r="B19" s="14" t="str">
        <f>IF('Employee Input Yr1'!B19="","",'Employee Input Yr1'!B19)</f>
        <v/>
      </c>
      <c r="C19" s="14" t="str">
        <f>IF('Employee Input Yr1'!C19="","",'Employee Input Yr1'!C19)</f>
        <v/>
      </c>
      <c r="D19" s="14" t="str">
        <f>IF('Employee Input Yr1'!D19="","",'Employee Input Yr1'!D19)</f>
        <v/>
      </c>
      <c r="E19" s="14" t="str">
        <f>IF('Employee Input Yr1'!E19="","",'Employee Input Yr1'!E19)</f>
        <v/>
      </c>
      <c r="F19" s="14" t="str">
        <f>IF('Employee Input Yr1'!F19="","",'Employee Input Yr1'!F19)</f>
        <v/>
      </c>
      <c r="G19" s="155" t="str">
        <f>IF('Employee Input Yr1'!G19="","",'Employee Input Yr1'!G19*(1+$G$2))</f>
        <v/>
      </c>
      <c r="H19" s="10" t="str">
        <f t="shared" si="0"/>
        <v/>
      </c>
      <c r="I19" s="155" t="str">
        <f>IF('Employee Input Yr1'!I19="","",'Employee Input Yr1'!I19)</f>
        <v/>
      </c>
      <c r="J19" s="155" t="str">
        <f>IF('Employee Input Yr1'!J19="","",'Employee Input Yr1'!J19)</f>
        <v/>
      </c>
      <c r="K19" s="10" t="str">
        <f t="shared" si="1"/>
        <v/>
      </c>
      <c r="L19" s="14" t="str">
        <f>IF('Employee Input Yr1'!L19="","",'Employee Input Yr1'!L19)</f>
        <v/>
      </c>
      <c r="M19" s="10"/>
      <c r="N19" s="10"/>
      <c r="O19" s="10"/>
      <c r="P19" s="10"/>
      <c r="Q19" s="11"/>
      <c r="R19" s="12"/>
      <c r="S19" s="12"/>
      <c r="T19" s="12"/>
      <c r="U19" s="12"/>
      <c r="V19" s="12"/>
      <c r="W19" s="12"/>
      <c r="X19" s="12"/>
    </row>
    <row r="20" spans="2:24" x14ac:dyDescent="0.75">
      <c r="B20" s="14" t="str">
        <f>IF('Employee Input Yr1'!B20="","",'Employee Input Yr1'!B20)</f>
        <v/>
      </c>
      <c r="C20" s="14" t="str">
        <f>IF('Employee Input Yr1'!C20="","",'Employee Input Yr1'!C20)</f>
        <v/>
      </c>
      <c r="D20" s="14" t="str">
        <f>IF('Employee Input Yr1'!D20="","",'Employee Input Yr1'!D20)</f>
        <v/>
      </c>
      <c r="E20" s="14" t="str">
        <f>IF('Employee Input Yr1'!E20="","",'Employee Input Yr1'!E20)</f>
        <v/>
      </c>
      <c r="F20" s="14" t="str">
        <f>IF('Employee Input Yr1'!F20="","",'Employee Input Yr1'!F20)</f>
        <v/>
      </c>
      <c r="G20" s="155" t="str">
        <f>IF('Employee Input Yr1'!G20="","",'Employee Input Yr1'!G20*(1+$G$2))</f>
        <v/>
      </c>
      <c r="H20" s="10" t="str">
        <f t="shared" si="0"/>
        <v/>
      </c>
      <c r="I20" s="155" t="str">
        <f>IF('Employee Input Yr1'!I20="","",'Employee Input Yr1'!I20)</f>
        <v/>
      </c>
      <c r="J20" s="155" t="str">
        <f>IF('Employee Input Yr1'!J20="","",'Employee Input Yr1'!J20)</f>
        <v/>
      </c>
      <c r="K20" s="10" t="str">
        <f t="shared" si="1"/>
        <v/>
      </c>
      <c r="L20" s="14" t="str">
        <f>IF('Employee Input Yr1'!L20="","",'Employee Input Yr1'!L20)</f>
        <v/>
      </c>
      <c r="M20" s="10"/>
      <c r="N20" s="10"/>
      <c r="O20" s="10"/>
      <c r="P20" s="10"/>
      <c r="Q20" s="11"/>
      <c r="R20" s="12"/>
      <c r="S20" s="12"/>
      <c r="T20" s="12"/>
      <c r="U20" s="12"/>
      <c r="V20" s="12"/>
      <c r="W20" s="12"/>
      <c r="X20" s="12"/>
    </row>
    <row r="21" spans="2:24" x14ac:dyDescent="0.75">
      <c r="B21" s="14" t="str">
        <f>IF('Employee Input Yr1'!B21="","",'Employee Input Yr1'!B21)</f>
        <v/>
      </c>
      <c r="C21" s="14" t="str">
        <f>IF('Employee Input Yr1'!C21="","",'Employee Input Yr1'!C21)</f>
        <v/>
      </c>
      <c r="D21" s="14" t="str">
        <f>IF('Employee Input Yr1'!D21="","",'Employee Input Yr1'!D21)</f>
        <v/>
      </c>
      <c r="E21" s="14" t="str">
        <f>IF('Employee Input Yr1'!E21="","",'Employee Input Yr1'!E21)</f>
        <v/>
      </c>
      <c r="F21" s="14" t="str">
        <f>IF('Employee Input Yr1'!F21="","",'Employee Input Yr1'!F21)</f>
        <v/>
      </c>
      <c r="G21" s="155" t="str">
        <f>IF('Employee Input Yr1'!G21="","",'Employee Input Yr1'!G21*(1+$G$2))</f>
        <v/>
      </c>
      <c r="H21" s="10" t="str">
        <f t="shared" si="0"/>
        <v/>
      </c>
      <c r="I21" s="155" t="str">
        <f>IF('Employee Input Yr1'!I21="","",'Employee Input Yr1'!I21)</f>
        <v/>
      </c>
      <c r="J21" s="155" t="str">
        <f>IF('Employee Input Yr1'!J21="","",'Employee Input Yr1'!J21)</f>
        <v/>
      </c>
      <c r="K21" s="10" t="str">
        <f t="shared" si="1"/>
        <v/>
      </c>
      <c r="L21" s="14" t="str">
        <f>IF('Employee Input Yr1'!L21="","",'Employee Input Yr1'!L21)</f>
        <v/>
      </c>
      <c r="M21" s="10"/>
      <c r="N21" s="10"/>
      <c r="O21" s="10"/>
      <c r="P21" s="10"/>
      <c r="Q21" s="11"/>
      <c r="R21" s="12"/>
      <c r="S21" s="12"/>
      <c r="T21" s="12"/>
      <c r="U21" s="12"/>
      <c r="V21" s="12"/>
      <c r="W21" s="12"/>
      <c r="X21" s="12"/>
    </row>
    <row r="22" spans="2:24" x14ac:dyDescent="0.75">
      <c r="B22" s="14" t="str">
        <f>IF('Employee Input Yr1'!B22="","",'Employee Input Yr1'!B22)</f>
        <v/>
      </c>
      <c r="C22" s="14" t="str">
        <f>IF('Employee Input Yr1'!C22="","",'Employee Input Yr1'!C22)</f>
        <v/>
      </c>
      <c r="D22" s="14" t="str">
        <f>IF('Employee Input Yr1'!D22="","",'Employee Input Yr1'!D22)</f>
        <v/>
      </c>
      <c r="E22" s="14" t="str">
        <f>IF('Employee Input Yr1'!E22="","",'Employee Input Yr1'!E22)</f>
        <v/>
      </c>
      <c r="F22" s="14" t="str">
        <f>IF('Employee Input Yr1'!F22="","",'Employee Input Yr1'!F22)</f>
        <v/>
      </c>
      <c r="G22" s="155" t="str">
        <f>IF('Employee Input Yr1'!G22="","",'Employee Input Yr1'!G22*(1+$G$2))</f>
        <v/>
      </c>
      <c r="H22" s="10" t="str">
        <f t="shared" si="0"/>
        <v/>
      </c>
      <c r="I22" s="155" t="str">
        <f>IF('Employee Input Yr1'!I22="","",'Employee Input Yr1'!I22)</f>
        <v/>
      </c>
      <c r="J22" s="155" t="str">
        <f>IF('Employee Input Yr1'!J22="","",'Employee Input Yr1'!J22)</f>
        <v/>
      </c>
      <c r="K22" s="10" t="str">
        <f t="shared" si="1"/>
        <v/>
      </c>
      <c r="L22" s="14" t="str">
        <f>IF('Employee Input Yr1'!L22="","",'Employee Input Yr1'!L22)</f>
        <v/>
      </c>
      <c r="M22" s="10"/>
      <c r="N22" s="10"/>
      <c r="O22" s="10"/>
      <c r="P22" s="10"/>
      <c r="Q22" s="11"/>
      <c r="R22" s="12"/>
      <c r="S22" s="12"/>
      <c r="T22" s="12"/>
      <c r="U22" s="12"/>
      <c r="V22" s="12"/>
      <c r="W22" s="12"/>
      <c r="X22" s="12"/>
    </row>
    <row r="23" spans="2:24" x14ac:dyDescent="0.75">
      <c r="B23" s="14" t="str">
        <f>IF('Employee Input Yr1'!B23="","",'Employee Input Yr1'!B23)</f>
        <v/>
      </c>
      <c r="C23" s="14" t="str">
        <f>IF('Employee Input Yr1'!C23="","",'Employee Input Yr1'!C23)</f>
        <v/>
      </c>
      <c r="D23" s="14" t="str">
        <f>IF('Employee Input Yr1'!D23="","",'Employee Input Yr1'!D23)</f>
        <v/>
      </c>
      <c r="E23" s="14" t="str">
        <f>IF('Employee Input Yr1'!E23="","",'Employee Input Yr1'!E23)</f>
        <v/>
      </c>
      <c r="F23" s="14" t="str">
        <f>IF('Employee Input Yr1'!F23="","",'Employee Input Yr1'!F23)</f>
        <v/>
      </c>
      <c r="G23" s="155" t="str">
        <f>IF('Employee Input Yr1'!G23="","",'Employee Input Yr1'!G23*(1+$G$2))</f>
        <v/>
      </c>
      <c r="H23" s="10" t="str">
        <f t="shared" si="0"/>
        <v/>
      </c>
      <c r="I23" s="155" t="str">
        <f>IF('Employee Input Yr1'!I23="","",'Employee Input Yr1'!I23)</f>
        <v/>
      </c>
      <c r="J23" s="155" t="str">
        <f>IF('Employee Input Yr1'!J23="","",'Employee Input Yr1'!J23)</f>
        <v/>
      </c>
      <c r="K23" s="10" t="str">
        <f t="shared" si="1"/>
        <v/>
      </c>
      <c r="L23" s="14" t="str">
        <f>IF('Employee Input Yr1'!L23="","",'Employee Input Yr1'!L23)</f>
        <v/>
      </c>
      <c r="M23" s="10"/>
      <c r="N23" s="10"/>
      <c r="O23" s="10"/>
      <c r="P23" s="10"/>
      <c r="Q23" s="11"/>
      <c r="R23" s="12"/>
      <c r="S23" s="12"/>
      <c r="T23" s="12"/>
      <c r="U23" s="12"/>
      <c r="V23" s="12"/>
      <c r="W23" s="12"/>
      <c r="X23" s="12"/>
    </row>
    <row r="24" spans="2:24" x14ac:dyDescent="0.75">
      <c r="B24" s="14" t="str">
        <f>IF('Employee Input Yr1'!B24="","",'Employee Input Yr1'!B24)</f>
        <v/>
      </c>
      <c r="C24" s="14" t="str">
        <f>IF('Employee Input Yr1'!C24="","",'Employee Input Yr1'!C24)</f>
        <v/>
      </c>
      <c r="D24" s="14" t="str">
        <f>IF('Employee Input Yr1'!D24="","",'Employee Input Yr1'!D24)</f>
        <v/>
      </c>
      <c r="E24" s="14" t="str">
        <f>IF('Employee Input Yr1'!E24="","",'Employee Input Yr1'!E24)</f>
        <v/>
      </c>
      <c r="F24" s="14" t="str">
        <f>IF('Employee Input Yr1'!F24="","",'Employee Input Yr1'!F24)</f>
        <v/>
      </c>
      <c r="G24" s="155" t="str">
        <f>IF('Employee Input Yr1'!G24="","",'Employee Input Yr1'!G24*(1+$G$2))</f>
        <v/>
      </c>
      <c r="H24" s="10" t="str">
        <f t="shared" si="0"/>
        <v/>
      </c>
      <c r="I24" s="155" t="str">
        <f>IF('Employee Input Yr1'!I24="","",'Employee Input Yr1'!I24)</f>
        <v/>
      </c>
      <c r="J24" s="155" t="str">
        <f>IF('Employee Input Yr1'!J24="","",'Employee Input Yr1'!J24)</f>
        <v/>
      </c>
      <c r="K24" s="10" t="str">
        <f t="shared" si="1"/>
        <v/>
      </c>
      <c r="L24" s="14" t="str">
        <f>IF('Employee Input Yr1'!L24="","",'Employee Input Yr1'!L24)</f>
        <v/>
      </c>
      <c r="M24" s="10"/>
      <c r="N24" s="10"/>
      <c r="O24" s="10"/>
      <c r="P24" s="10"/>
      <c r="Q24" s="11"/>
      <c r="R24" s="12"/>
      <c r="S24" s="12"/>
      <c r="T24" s="12"/>
      <c r="U24" s="12"/>
      <c r="V24" s="12"/>
      <c r="W24" s="12"/>
      <c r="X24" s="12"/>
    </row>
    <row r="25" spans="2:24" x14ac:dyDescent="0.75">
      <c r="B25" s="14" t="str">
        <f>IF('Employee Input Yr1'!B25="","",'Employee Input Yr1'!B25)</f>
        <v/>
      </c>
      <c r="C25" s="14" t="str">
        <f>IF('Employee Input Yr1'!C25="","",'Employee Input Yr1'!C25)</f>
        <v/>
      </c>
      <c r="D25" s="14" t="str">
        <f>IF('Employee Input Yr1'!D25="","",'Employee Input Yr1'!D25)</f>
        <v/>
      </c>
      <c r="E25" s="14" t="str">
        <f>IF('Employee Input Yr1'!E25="","",'Employee Input Yr1'!E25)</f>
        <v/>
      </c>
      <c r="F25" s="14" t="str">
        <f>IF('Employee Input Yr1'!F25="","",'Employee Input Yr1'!F25)</f>
        <v/>
      </c>
      <c r="G25" s="155" t="str">
        <f>IF('Employee Input Yr1'!G25="","",'Employee Input Yr1'!G25*(1+$G$2))</f>
        <v/>
      </c>
      <c r="H25" s="10" t="str">
        <f t="shared" si="0"/>
        <v/>
      </c>
      <c r="I25" s="155" t="str">
        <f>IF('Employee Input Yr1'!I25="","",'Employee Input Yr1'!I25)</f>
        <v/>
      </c>
      <c r="J25" s="155" t="str">
        <f>IF('Employee Input Yr1'!J25="","",'Employee Input Yr1'!J25)</f>
        <v/>
      </c>
      <c r="K25" s="10" t="str">
        <f t="shared" si="1"/>
        <v/>
      </c>
      <c r="L25" s="14" t="str">
        <f>IF('Employee Input Yr1'!L25="","",'Employee Input Yr1'!L25)</f>
        <v/>
      </c>
      <c r="M25" s="10"/>
      <c r="N25" s="10"/>
      <c r="O25" s="10"/>
      <c r="P25" s="10"/>
      <c r="Q25" s="11"/>
      <c r="R25" s="12"/>
      <c r="S25" s="12"/>
      <c r="T25" s="12"/>
      <c r="U25" s="12"/>
      <c r="V25" s="12"/>
      <c r="W25" s="12"/>
      <c r="X25" s="12"/>
    </row>
    <row r="26" spans="2:24" x14ac:dyDescent="0.75">
      <c r="B26" s="14" t="str">
        <f>IF('Employee Input Yr1'!B26="","",'Employee Input Yr1'!B26)</f>
        <v/>
      </c>
      <c r="C26" s="14" t="str">
        <f>IF('Employee Input Yr1'!C26="","",'Employee Input Yr1'!C26)</f>
        <v/>
      </c>
      <c r="D26" s="14" t="str">
        <f>IF('Employee Input Yr1'!D26="","",'Employee Input Yr1'!D26)</f>
        <v/>
      </c>
      <c r="E26" s="14" t="str">
        <f>IF('Employee Input Yr1'!E26="","",'Employee Input Yr1'!E26)</f>
        <v/>
      </c>
      <c r="F26" s="14" t="str">
        <f>IF('Employee Input Yr1'!F26="","",'Employee Input Yr1'!F26)</f>
        <v/>
      </c>
      <c r="G26" s="155" t="str">
        <f>IF('Employee Input Yr1'!G26="","",'Employee Input Yr1'!G26*(1+$G$2))</f>
        <v/>
      </c>
      <c r="H26" s="10" t="str">
        <f t="shared" si="0"/>
        <v/>
      </c>
      <c r="I26" s="155" t="str">
        <f>IF('Employee Input Yr1'!I26="","",'Employee Input Yr1'!I26)</f>
        <v/>
      </c>
      <c r="J26" s="155" t="str">
        <f>IF('Employee Input Yr1'!J26="","",'Employee Input Yr1'!J26)</f>
        <v/>
      </c>
      <c r="K26" s="10" t="str">
        <f t="shared" si="1"/>
        <v/>
      </c>
      <c r="L26" s="14" t="str">
        <f>IF('Employee Input Yr1'!L26="","",'Employee Input Yr1'!L26)</f>
        <v/>
      </c>
      <c r="M26" s="10"/>
      <c r="N26" s="10"/>
      <c r="O26" s="10"/>
      <c r="P26" s="10"/>
      <c r="Q26" s="11"/>
      <c r="R26" s="12"/>
      <c r="S26" s="12"/>
      <c r="T26" s="12"/>
      <c r="U26" s="12"/>
      <c r="V26" s="12"/>
      <c r="W26" s="12"/>
      <c r="X26" s="12"/>
    </row>
    <row r="27" spans="2:24" x14ac:dyDescent="0.75">
      <c r="B27" s="14" t="str">
        <f>IF('Employee Input Yr1'!B27="","",'Employee Input Yr1'!B27)</f>
        <v/>
      </c>
      <c r="C27" s="14" t="str">
        <f>IF('Employee Input Yr1'!C27="","",'Employee Input Yr1'!C27)</f>
        <v/>
      </c>
      <c r="D27" s="14" t="str">
        <f>IF('Employee Input Yr1'!D27="","",'Employee Input Yr1'!D27)</f>
        <v/>
      </c>
      <c r="E27" s="14" t="str">
        <f>IF('Employee Input Yr1'!E27="","",'Employee Input Yr1'!E27)</f>
        <v/>
      </c>
      <c r="F27" s="14" t="str">
        <f>IF('Employee Input Yr1'!F27="","",'Employee Input Yr1'!F27)</f>
        <v/>
      </c>
      <c r="G27" s="155" t="str">
        <f>IF('Employee Input Yr1'!G27="","",'Employee Input Yr1'!G27*(1+$G$2))</f>
        <v/>
      </c>
      <c r="H27" s="10" t="str">
        <f t="shared" si="0"/>
        <v/>
      </c>
      <c r="I27" s="155" t="str">
        <f>IF('Employee Input Yr1'!I27="","",'Employee Input Yr1'!I27)</f>
        <v/>
      </c>
      <c r="J27" s="155" t="str">
        <f>IF('Employee Input Yr1'!J27="","",'Employee Input Yr1'!J27)</f>
        <v/>
      </c>
      <c r="K27" s="10" t="str">
        <f t="shared" si="1"/>
        <v/>
      </c>
      <c r="L27" s="14" t="str">
        <f>IF('Employee Input Yr1'!L27="","",'Employee Input Yr1'!L27)</f>
        <v/>
      </c>
      <c r="M27" s="10"/>
      <c r="N27" s="10"/>
      <c r="O27" s="10"/>
      <c r="P27" s="10"/>
      <c r="Q27" s="11"/>
      <c r="R27" s="12"/>
      <c r="S27" s="12"/>
      <c r="T27" s="12"/>
      <c r="U27" s="12"/>
      <c r="V27" s="12"/>
      <c r="W27" s="12"/>
      <c r="X27" s="12"/>
    </row>
    <row r="28" spans="2:24" x14ac:dyDescent="0.75">
      <c r="B28" s="14" t="str">
        <f>IF('Employee Input Yr1'!B28="","",'Employee Input Yr1'!B28)</f>
        <v/>
      </c>
      <c r="C28" s="14" t="str">
        <f>IF('Employee Input Yr1'!C28="","",'Employee Input Yr1'!C28)</f>
        <v/>
      </c>
      <c r="D28" s="14" t="str">
        <f>IF('Employee Input Yr1'!D28="","",'Employee Input Yr1'!D28)</f>
        <v/>
      </c>
      <c r="E28" s="14" t="str">
        <f>IF('Employee Input Yr1'!E28="","",'Employee Input Yr1'!E28)</f>
        <v/>
      </c>
      <c r="F28" s="14" t="str">
        <f>IF('Employee Input Yr1'!F28="","",'Employee Input Yr1'!F28)</f>
        <v/>
      </c>
      <c r="G28" s="155" t="str">
        <f>IF('Employee Input Yr1'!G28="","",'Employee Input Yr1'!G28*(1+$G$2))</f>
        <v/>
      </c>
      <c r="H28" s="10" t="str">
        <f t="shared" si="0"/>
        <v/>
      </c>
      <c r="I28" s="155" t="str">
        <f>IF('Employee Input Yr1'!I28="","",'Employee Input Yr1'!I28)</f>
        <v/>
      </c>
      <c r="J28" s="155" t="str">
        <f>IF('Employee Input Yr1'!J28="","",'Employee Input Yr1'!J28)</f>
        <v/>
      </c>
      <c r="K28" s="10" t="str">
        <f t="shared" si="1"/>
        <v/>
      </c>
      <c r="L28" s="14" t="str">
        <f>IF('Employee Input Yr1'!L28="","",'Employee Input Yr1'!L28)</f>
        <v/>
      </c>
      <c r="M28" s="10"/>
      <c r="N28" s="10"/>
      <c r="O28" s="10"/>
      <c r="P28" s="10"/>
      <c r="Q28" s="11"/>
      <c r="R28" s="12"/>
      <c r="S28" s="12"/>
      <c r="T28" s="12"/>
      <c r="U28" s="12"/>
      <c r="V28" s="12"/>
      <c r="W28" s="12"/>
      <c r="X28" s="12"/>
    </row>
    <row r="29" spans="2:24" x14ac:dyDescent="0.75">
      <c r="B29" s="14" t="str">
        <f>IF('Employee Input Yr1'!B29="","",'Employee Input Yr1'!B29)</f>
        <v/>
      </c>
      <c r="C29" s="14" t="str">
        <f>IF('Employee Input Yr1'!C29="","",'Employee Input Yr1'!C29)</f>
        <v/>
      </c>
      <c r="D29" s="14" t="str">
        <f>IF('Employee Input Yr1'!D29="","",'Employee Input Yr1'!D29)</f>
        <v/>
      </c>
      <c r="E29" s="14" t="str">
        <f>IF('Employee Input Yr1'!E29="","",'Employee Input Yr1'!E29)</f>
        <v/>
      </c>
      <c r="F29" s="14" t="str">
        <f>IF('Employee Input Yr1'!F29="","",'Employee Input Yr1'!F29)</f>
        <v/>
      </c>
      <c r="G29" s="155" t="str">
        <f>IF('Employee Input Yr1'!G29="","",'Employee Input Yr1'!G29*(1+$G$2))</f>
        <v/>
      </c>
      <c r="H29" s="10" t="str">
        <f t="shared" si="0"/>
        <v/>
      </c>
      <c r="I29" s="155" t="str">
        <f>IF('Employee Input Yr1'!I29="","",'Employee Input Yr1'!I29)</f>
        <v/>
      </c>
      <c r="J29" s="155" t="str">
        <f>IF('Employee Input Yr1'!J29="","",'Employee Input Yr1'!J29)</f>
        <v/>
      </c>
      <c r="K29" s="10" t="str">
        <f t="shared" si="1"/>
        <v/>
      </c>
      <c r="L29" s="14" t="str">
        <f>IF('Employee Input Yr1'!L29="","",'Employee Input Yr1'!L29)</f>
        <v/>
      </c>
      <c r="M29" s="10"/>
      <c r="N29" s="10"/>
      <c r="O29" s="10"/>
      <c r="P29" s="10"/>
      <c r="Q29" s="11"/>
      <c r="R29" s="12"/>
      <c r="S29" s="12"/>
      <c r="T29" s="12"/>
      <c r="U29" s="12"/>
      <c r="V29" s="12"/>
      <c r="W29" s="12"/>
      <c r="X29" s="12"/>
    </row>
    <row r="30" spans="2:24" x14ac:dyDescent="0.75">
      <c r="B30" s="14" t="str">
        <f>IF('Employee Input Yr1'!B30="","",'Employee Input Yr1'!B30)</f>
        <v/>
      </c>
      <c r="C30" s="14" t="str">
        <f>IF('Employee Input Yr1'!C30="","",'Employee Input Yr1'!C30)</f>
        <v/>
      </c>
      <c r="D30" s="14" t="str">
        <f>IF('Employee Input Yr1'!D30="","",'Employee Input Yr1'!D30)</f>
        <v/>
      </c>
      <c r="E30" s="14" t="str">
        <f>IF('Employee Input Yr1'!E30="","",'Employee Input Yr1'!E30)</f>
        <v/>
      </c>
      <c r="F30" s="14" t="str">
        <f>IF('Employee Input Yr1'!F30="","",'Employee Input Yr1'!F30)</f>
        <v/>
      </c>
      <c r="G30" s="155" t="str">
        <f>IF('Employee Input Yr1'!G30="","",'Employee Input Yr1'!G30*(1+$G$2))</f>
        <v/>
      </c>
      <c r="H30" s="10" t="str">
        <f t="shared" si="0"/>
        <v/>
      </c>
      <c r="I30" s="155" t="str">
        <f>IF('Employee Input Yr1'!I30="","",'Employee Input Yr1'!I30)</f>
        <v/>
      </c>
      <c r="J30" s="155" t="str">
        <f>IF('Employee Input Yr1'!J30="","",'Employee Input Yr1'!J30)</f>
        <v/>
      </c>
      <c r="K30" s="10" t="str">
        <f t="shared" si="1"/>
        <v/>
      </c>
      <c r="L30" s="14" t="str">
        <f>IF('Employee Input Yr1'!L30="","",'Employee Input Yr1'!L30)</f>
        <v/>
      </c>
      <c r="M30" s="10"/>
      <c r="N30" s="10"/>
      <c r="O30" s="10"/>
      <c r="P30" s="10"/>
      <c r="Q30" s="11"/>
      <c r="R30" s="12"/>
      <c r="S30" s="12"/>
      <c r="T30" s="12"/>
      <c r="U30" s="12"/>
      <c r="V30" s="12"/>
      <c r="W30" s="12"/>
      <c r="X30" s="12"/>
    </row>
    <row r="31" spans="2:24" x14ac:dyDescent="0.75">
      <c r="B31" s="14" t="str">
        <f>IF('Employee Input Yr1'!B31="","",'Employee Input Yr1'!B31)</f>
        <v/>
      </c>
      <c r="C31" s="14" t="str">
        <f>IF('Employee Input Yr1'!C31="","",'Employee Input Yr1'!C31)</f>
        <v/>
      </c>
      <c r="D31" s="14" t="str">
        <f>IF('Employee Input Yr1'!D31="","",'Employee Input Yr1'!D31)</f>
        <v/>
      </c>
      <c r="E31" s="14" t="str">
        <f>IF('Employee Input Yr1'!E31="","",'Employee Input Yr1'!E31)</f>
        <v/>
      </c>
      <c r="F31" s="14" t="str">
        <f>IF('Employee Input Yr1'!F31="","",'Employee Input Yr1'!F31)</f>
        <v/>
      </c>
      <c r="G31" s="155" t="str">
        <f>IF('Employee Input Yr1'!G31="","",'Employee Input Yr1'!G31*(1+$G$2))</f>
        <v/>
      </c>
      <c r="H31" s="10" t="str">
        <f t="shared" si="0"/>
        <v/>
      </c>
      <c r="I31" s="155" t="str">
        <f>IF('Employee Input Yr1'!I31="","",'Employee Input Yr1'!I31)</f>
        <v/>
      </c>
      <c r="J31" s="155" t="str">
        <f>IF('Employee Input Yr1'!J31="","",'Employee Input Yr1'!J31)</f>
        <v/>
      </c>
      <c r="K31" s="10" t="str">
        <f t="shared" si="1"/>
        <v/>
      </c>
      <c r="L31" s="14" t="str">
        <f>IF('Employee Input Yr1'!L31="","",'Employee Input Yr1'!L31)</f>
        <v/>
      </c>
    </row>
    <row r="32" spans="2:24" x14ac:dyDescent="0.75">
      <c r="B32" s="14" t="str">
        <f>IF('Employee Input Yr1'!B32="","",'Employee Input Yr1'!B32)</f>
        <v/>
      </c>
      <c r="C32" s="14" t="str">
        <f>IF('Employee Input Yr1'!C32="","",'Employee Input Yr1'!C32)</f>
        <v/>
      </c>
      <c r="D32" s="14" t="str">
        <f>IF('Employee Input Yr1'!D32="","",'Employee Input Yr1'!D32)</f>
        <v/>
      </c>
      <c r="E32" s="14" t="str">
        <f>IF('Employee Input Yr1'!E32="","",'Employee Input Yr1'!E32)</f>
        <v/>
      </c>
      <c r="F32" s="14" t="str">
        <f>IF('Employee Input Yr1'!F32="","",'Employee Input Yr1'!F32)</f>
        <v/>
      </c>
      <c r="G32" s="155" t="str">
        <f>IF('Employee Input Yr1'!G32="","",'Employee Input Yr1'!G32*(1+$G$2))</f>
        <v/>
      </c>
      <c r="H32" s="10" t="str">
        <f t="shared" si="0"/>
        <v/>
      </c>
      <c r="I32" s="155" t="str">
        <f>IF('Employee Input Yr1'!I32="","",'Employee Input Yr1'!I32)</f>
        <v/>
      </c>
      <c r="J32" s="155" t="str">
        <f>IF('Employee Input Yr1'!J32="","",'Employee Input Yr1'!J32)</f>
        <v/>
      </c>
      <c r="K32" s="10" t="str">
        <f t="shared" si="1"/>
        <v/>
      </c>
      <c r="L32" s="14" t="str">
        <f>IF('Employee Input Yr1'!L32="","",'Employee Input Yr1'!L32)</f>
        <v/>
      </c>
    </row>
    <row r="33" spans="2:12" x14ac:dyDescent="0.75">
      <c r="B33" s="14" t="str">
        <f>IF('Employee Input Yr1'!B33="","",'Employee Input Yr1'!B33)</f>
        <v/>
      </c>
      <c r="C33" s="14" t="str">
        <f>IF('Employee Input Yr1'!C33="","",'Employee Input Yr1'!C33)</f>
        <v/>
      </c>
      <c r="D33" s="14" t="str">
        <f>IF('Employee Input Yr1'!D33="","",'Employee Input Yr1'!D33)</f>
        <v/>
      </c>
      <c r="E33" s="14" t="str">
        <f>IF('Employee Input Yr1'!E33="","",'Employee Input Yr1'!E33)</f>
        <v/>
      </c>
      <c r="F33" s="14" t="str">
        <f>IF('Employee Input Yr1'!F33="","",'Employee Input Yr1'!F33)</f>
        <v/>
      </c>
      <c r="G33" s="155" t="str">
        <f>IF('Employee Input Yr1'!G33="","",'Employee Input Yr1'!G33*(1+$G$2))</f>
        <v/>
      </c>
      <c r="H33" s="10" t="str">
        <f t="shared" si="0"/>
        <v/>
      </c>
      <c r="I33" s="155" t="str">
        <f>IF('Employee Input Yr1'!I33="","",'Employee Input Yr1'!I33)</f>
        <v/>
      </c>
      <c r="J33" s="155" t="str">
        <f>IF('Employee Input Yr1'!J33="","",'Employee Input Yr1'!J33)</f>
        <v/>
      </c>
      <c r="K33" s="10" t="str">
        <f t="shared" si="1"/>
        <v/>
      </c>
      <c r="L33" s="14" t="str">
        <f>IF('Employee Input Yr1'!L33="","",'Employee Input Yr1'!L33)</f>
        <v/>
      </c>
    </row>
    <row r="34" spans="2:12" x14ac:dyDescent="0.75">
      <c r="B34" s="14" t="str">
        <f>IF('Employee Input Yr1'!B34="","",'Employee Input Yr1'!B34)</f>
        <v/>
      </c>
      <c r="C34" s="14" t="str">
        <f>IF('Employee Input Yr1'!C34="","",'Employee Input Yr1'!C34)</f>
        <v/>
      </c>
      <c r="D34" s="14" t="str">
        <f>IF('Employee Input Yr1'!D34="","",'Employee Input Yr1'!D34)</f>
        <v/>
      </c>
      <c r="E34" s="14" t="str">
        <f>IF('Employee Input Yr1'!E34="","",'Employee Input Yr1'!E34)</f>
        <v/>
      </c>
      <c r="F34" s="14" t="str">
        <f>IF('Employee Input Yr1'!F34="","",'Employee Input Yr1'!F34)</f>
        <v/>
      </c>
      <c r="G34" s="155" t="str">
        <f>IF('Employee Input Yr1'!G34="","",'Employee Input Yr1'!G34*(1+$G$2))</f>
        <v/>
      </c>
      <c r="H34" s="10" t="str">
        <f t="shared" si="0"/>
        <v/>
      </c>
      <c r="I34" s="155" t="str">
        <f>IF('Employee Input Yr1'!I34="","",'Employee Input Yr1'!I34)</f>
        <v/>
      </c>
      <c r="J34" s="155" t="str">
        <f>IF('Employee Input Yr1'!J34="","",'Employee Input Yr1'!J34)</f>
        <v/>
      </c>
      <c r="K34" s="10" t="str">
        <f t="shared" si="1"/>
        <v/>
      </c>
      <c r="L34" s="14" t="str">
        <f>IF('Employee Input Yr1'!L34="","",'Employee Input Yr1'!L34)</f>
        <v/>
      </c>
    </row>
    <row r="35" spans="2:12" x14ac:dyDescent="0.75">
      <c r="B35" s="14" t="str">
        <f>IF('Employee Input Yr1'!B35="","",'Employee Input Yr1'!B35)</f>
        <v/>
      </c>
      <c r="C35" s="14" t="str">
        <f>IF('Employee Input Yr1'!C35="","",'Employee Input Yr1'!C35)</f>
        <v/>
      </c>
      <c r="D35" s="14" t="str">
        <f>IF('Employee Input Yr1'!D35="","",'Employee Input Yr1'!D35)</f>
        <v/>
      </c>
      <c r="E35" s="14" t="str">
        <f>IF('Employee Input Yr1'!E35="","",'Employee Input Yr1'!E35)</f>
        <v/>
      </c>
      <c r="F35" s="14" t="str">
        <f>IF('Employee Input Yr1'!F35="","",'Employee Input Yr1'!F35)</f>
        <v/>
      </c>
      <c r="G35" s="155" t="str">
        <f>IF('Employee Input Yr1'!G35="","",'Employee Input Yr1'!G35*(1+$G$2))</f>
        <v/>
      </c>
      <c r="H35" s="10" t="str">
        <f t="shared" si="0"/>
        <v/>
      </c>
      <c r="I35" s="155" t="str">
        <f>IF('Employee Input Yr1'!I35="","",'Employee Input Yr1'!I35)</f>
        <v/>
      </c>
      <c r="J35" s="155" t="str">
        <f>IF('Employee Input Yr1'!J35="","",'Employee Input Yr1'!J35)</f>
        <v/>
      </c>
      <c r="K35" s="10" t="str">
        <f t="shared" si="1"/>
        <v/>
      </c>
      <c r="L35" s="14" t="str">
        <f>IF('Employee Input Yr1'!L35="","",'Employee Input Yr1'!L35)</f>
        <v/>
      </c>
    </row>
    <row r="36" spans="2:12" outlineLevel="1" x14ac:dyDescent="0.75">
      <c r="B36" s="14" t="str">
        <f>IF('Employee Input Yr1'!B36="","",'Employee Input Yr1'!B36)</f>
        <v/>
      </c>
      <c r="C36" s="14" t="str">
        <f>IF('Employee Input Yr1'!C36="","",'Employee Input Yr1'!C36)</f>
        <v/>
      </c>
      <c r="D36" s="14" t="str">
        <f>IF('Employee Input Yr1'!D36="","",'Employee Input Yr1'!D36)</f>
        <v/>
      </c>
      <c r="E36" s="14" t="str">
        <f>IF('Employee Input Yr1'!E36="","",'Employee Input Yr1'!E36)</f>
        <v/>
      </c>
      <c r="F36" s="14" t="str">
        <f>IF('Employee Input Yr1'!F36="","",'Employee Input Yr1'!F36)</f>
        <v/>
      </c>
      <c r="G36" s="155" t="str">
        <f>IF('Employee Input Yr1'!G36="","",'Employee Input Yr1'!G36*(1+$G$2))</f>
        <v/>
      </c>
      <c r="H36" s="10" t="str">
        <f t="shared" si="0"/>
        <v/>
      </c>
      <c r="I36" s="155" t="str">
        <f>IF('Employee Input Yr1'!I36="","",'Employee Input Yr1'!I36)</f>
        <v/>
      </c>
      <c r="J36" s="155" t="str">
        <f>IF('Employee Input Yr1'!J36="","",'Employee Input Yr1'!J36)</f>
        <v/>
      </c>
      <c r="K36" s="10" t="str">
        <f t="shared" si="1"/>
        <v/>
      </c>
      <c r="L36" s="14" t="str">
        <f>IF('Employee Input Yr1'!L36="","",'Employee Input Yr1'!L36)</f>
        <v/>
      </c>
    </row>
    <row r="37" spans="2:12" outlineLevel="1" x14ac:dyDescent="0.75">
      <c r="B37" s="14" t="str">
        <f>IF('Employee Input Yr1'!B37="","",'Employee Input Yr1'!B37)</f>
        <v/>
      </c>
      <c r="C37" s="14" t="str">
        <f>IF('Employee Input Yr1'!C37="","",'Employee Input Yr1'!C37)</f>
        <v/>
      </c>
      <c r="D37" s="14" t="str">
        <f>IF('Employee Input Yr1'!D37="","",'Employee Input Yr1'!D37)</f>
        <v/>
      </c>
      <c r="E37" s="14" t="str">
        <f>IF('Employee Input Yr1'!E37="","",'Employee Input Yr1'!E37)</f>
        <v/>
      </c>
      <c r="F37" s="14" t="str">
        <f>IF('Employee Input Yr1'!F37="","",'Employee Input Yr1'!F37)</f>
        <v/>
      </c>
      <c r="G37" s="155" t="str">
        <f>IF('Employee Input Yr1'!G37="","",'Employee Input Yr1'!G37*(1+$G$2))</f>
        <v/>
      </c>
      <c r="H37" s="10" t="str">
        <f t="shared" si="0"/>
        <v/>
      </c>
      <c r="I37" s="155" t="str">
        <f>IF('Employee Input Yr1'!I37="","",'Employee Input Yr1'!I37)</f>
        <v/>
      </c>
      <c r="J37" s="155" t="str">
        <f>IF('Employee Input Yr1'!J37="","",'Employee Input Yr1'!J37)</f>
        <v/>
      </c>
      <c r="K37" s="10" t="str">
        <f t="shared" si="1"/>
        <v/>
      </c>
      <c r="L37" s="14" t="str">
        <f>IF('Employee Input Yr1'!L37="","",'Employee Input Yr1'!L37)</f>
        <v/>
      </c>
    </row>
    <row r="38" spans="2:12" outlineLevel="1" x14ac:dyDescent="0.75">
      <c r="B38" s="14" t="str">
        <f>IF('Employee Input Yr1'!B38="","",'Employee Input Yr1'!B38)</f>
        <v/>
      </c>
      <c r="C38" s="14" t="str">
        <f>IF('Employee Input Yr1'!C38="","",'Employee Input Yr1'!C38)</f>
        <v/>
      </c>
      <c r="D38" s="14" t="str">
        <f>IF('Employee Input Yr1'!D38="","",'Employee Input Yr1'!D38)</f>
        <v/>
      </c>
      <c r="E38" s="14" t="str">
        <f>IF('Employee Input Yr1'!E38="","",'Employee Input Yr1'!E38)</f>
        <v/>
      </c>
      <c r="F38" s="14" t="str">
        <f>IF('Employee Input Yr1'!F38="","",'Employee Input Yr1'!F38)</f>
        <v/>
      </c>
      <c r="G38" s="155" t="str">
        <f>IF('Employee Input Yr1'!G38="","",'Employee Input Yr1'!G38*(1+$G$2))</f>
        <v/>
      </c>
      <c r="H38" s="10" t="str">
        <f t="shared" si="0"/>
        <v/>
      </c>
      <c r="I38" s="155" t="str">
        <f>IF('Employee Input Yr1'!I38="","",'Employee Input Yr1'!I38)</f>
        <v/>
      </c>
      <c r="J38" s="155" t="str">
        <f>IF('Employee Input Yr1'!J38="","",'Employee Input Yr1'!J38)</f>
        <v/>
      </c>
      <c r="K38" s="10" t="str">
        <f t="shared" si="1"/>
        <v/>
      </c>
      <c r="L38" s="14" t="str">
        <f>IF('Employee Input Yr1'!L38="","",'Employee Input Yr1'!L38)</f>
        <v/>
      </c>
    </row>
    <row r="39" spans="2:12" outlineLevel="1" x14ac:dyDescent="0.75">
      <c r="B39" s="14" t="str">
        <f>IF('Employee Input Yr1'!B39="","",'Employee Input Yr1'!B39)</f>
        <v/>
      </c>
      <c r="C39" s="14" t="str">
        <f>IF('Employee Input Yr1'!C39="","",'Employee Input Yr1'!C39)</f>
        <v/>
      </c>
      <c r="D39" s="14" t="str">
        <f>IF('Employee Input Yr1'!D39="","",'Employee Input Yr1'!D39)</f>
        <v/>
      </c>
      <c r="E39" s="14" t="str">
        <f>IF('Employee Input Yr1'!E39="","",'Employee Input Yr1'!E39)</f>
        <v/>
      </c>
      <c r="F39" s="14" t="str">
        <f>IF('Employee Input Yr1'!F39="","",'Employee Input Yr1'!F39)</f>
        <v/>
      </c>
      <c r="G39" s="155" t="str">
        <f>IF('Employee Input Yr1'!G39="","",'Employee Input Yr1'!G39*(1+$G$2))</f>
        <v/>
      </c>
      <c r="H39" s="10" t="str">
        <f t="shared" si="0"/>
        <v/>
      </c>
      <c r="I39" s="155" t="str">
        <f>IF('Employee Input Yr1'!I39="","",'Employee Input Yr1'!I39)</f>
        <v/>
      </c>
      <c r="J39" s="155" t="str">
        <f>IF('Employee Input Yr1'!J39="","",'Employee Input Yr1'!J39)</f>
        <v/>
      </c>
      <c r="K39" s="10" t="str">
        <f t="shared" si="1"/>
        <v/>
      </c>
      <c r="L39" s="14" t="str">
        <f>IF('Employee Input Yr1'!L39="","",'Employee Input Yr1'!L39)</f>
        <v/>
      </c>
    </row>
    <row r="40" spans="2:12" outlineLevel="1" x14ac:dyDescent="0.75">
      <c r="B40" s="14" t="str">
        <f>IF('Employee Input Yr1'!B40="","",'Employee Input Yr1'!B40)</f>
        <v/>
      </c>
      <c r="C40" s="14" t="str">
        <f>IF('Employee Input Yr1'!C40="","",'Employee Input Yr1'!C40)</f>
        <v/>
      </c>
      <c r="D40" s="14" t="str">
        <f>IF('Employee Input Yr1'!D40="","",'Employee Input Yr1'!D40)</f>
        <v/>
      </c>
      <c r="E40" s="14" t="str">
        <f>IF('Employee Input Yr1'!E40="","",'Employee Input Yr1'!E40)</f>
        <v/>
      </c>
      <c r="F40" s="14" t="str">
        <f>IF('Employee Input Yr1'!F40="","",'Employee Input Yr1'!F40)</f>
        <v/>
      </c>
      <c r="G40" s="155" t="str">
        <f>IF('Employee Input Yr1'!G40="","",'Employee Input Yr1'!G40*(1+$G$2))</f>
        <v/>
      </c>
      <c r="H40" s="10" t="str">
        <f t="shared" si="0"/>
        <v/>
      </c>
      <c r="I40" s="155" t="str">
        <f>IF('Employee Input Yr1'!I40="","",'Employee Input Yr1'!I40)</f>
        <v/>
      </c>
      <c r="J40" s="155" t="str">
        <f>IF('Employee Input Yr1'!J40="","",'Employee Input Yr1'!J40)</f>
        <v/>
      </c>
      <c r="K40" s="10" t="str">
        <f t="shared" si="1"/>
        <v/>
      </c>
      <c r="L40" s="14" t="str">
        <f>IF('Employee Input Yr1'!L40="","",'Employee Input Yr1'!L40)</f>
        <v/>
      </c>
    </row>
    <row r="41" spans="2:12" outlineLevel="1" x14ac:dyDescent="0.75">
      <c r="B41" s="14" t="str">
        <f>IF('Employee Input Yr1'!B41="","",'Employee Input Yr1'!B41)</f>
        <v/>
      </c>
      <c r="C41" s="14" t="str">
        <f>IF('Employee Input Yr1'!C41="","",'Employee Input Yr1'!C41)</f>
        <v/>
      </c>
      <c r="D41" s="14" t="str">
        <f>IF('Employee Input Yr1'!D41="","",'Employee Input Yr1'!D41)</f>
        <v/>
      </c>
      <c r="E41" s="14" t="str">
        <f>IF('Employee Input Yr1'!E41="","",'Employee Input Yr1'!E41)</f>
        <v/>
      </c>
      <c r="F41" s="14" t="str">
        <f>IF('Employee Input Yr1'!F41="","",'Employee Input Yr1'!F41)</f>
        <v/>
      </c>
      <c r="G41" s="155" t="str">
        <f>IF('Employee Input Yr1'!G41="","",'Employee Input Yr1'!G41*(1+$G$2))</f>
        <v/>
      </c>
      <c r="H41" s="10" t="str">
        <f t="shared" si="0"/>
        <v/>
      </c>
      <c r="I41" s="155" t="str">
        <f>IF('Employee Input Yr1'!I41="","",'Employee Input Yr1'!I41)</f>
        <v/>
      </c>
      <c r="J41" s="155" t="str">
        <f>IF('Employee Input Yr1'!J41="","",'Employee Input Yr1'!J41)</f>
        <v/>
      </c>
      <c r="K41" s="10" t="str">
        <f t="shared" si="1"/>
        <v/>
      </c>
      <c r="L41" s="14" t="str">
        <f>IF('Employee Input Yr1'!L41="","",'Employee Input Yr1'!L41)</f>
        <v/>
      </c>
    </row>
    <row r="42" spans="2:12" outlineLevel="1" x14ac:dyDescent="0.75">
      <c r="B42" s="14" t="str">
        <f>IF('Employee Input Yr1'!B42="","",'Employee Input Yr1'!B42)</f>
        <v/>
      </c>
      <c r="C42" s="14" t="str">
        <f>IF('Employee Input Yr1'!C42="","",'Employee Input Yr1'!C42)</f>
        <v/>
      </c>
      <c r="D42" s="14" t="str">
        <f>IF('Employee Input Yr1'!D42="","",'Employee Input Yr1'!D42)</f>
        <v/>
      </c>
      <c r="E42" s="14" t="str">
        <f>IF('Employee Input Yr1'!E42="","",'Employee Input Yr1'!E42)</f>
        <v/>
      </c>
      <c r="F42" s="14" t="str">
        <f>IF('Employee Input Yr1'!F42="","",'Employee Input Yr1'!F42)</f>
        <v/>
      </c>
      <c r="G42" s="155" t="str">
        <f>IF('Employee Input Yr1'!G42="","",'Employee Input Yr1'!G42*(1+$G$2))</f>
        <v/>
      </c>
      <c r="H42" s="10" t="str">
        <f t="shared" si="0"/>
        <v/>
      </c>
      <c r="I42" s="155" t="str">
        <f>IF('Employee Input Yr1'!I42="","",'Employee Input Yr1'!I42)</f>
        <v/>
      </c>
      <c r="J42" s="155" t="str">
        <f>IF('Employee Input Yr1'!J42="","",'Employee Input Yr1'!J42)</f>
        <v/>
      </c>
      <c r="K42" s="10" t="str">
        <f t="shared" si="1"/>
        <v/>
      </c>
      <c r="L42" s="14" t="str">
        <f>IF('Employee Input Yr1'!L42="","",'Employee Input Yr1'!L42)</f>
        <v/>
      </c>
    </row>
    <row r="43" spans="2:12" outlineLevel="1" x14ac:dyDescent="0.75">
      <c r="B43" s="14" t="str">
        <f>IF('Employee Input Yr1'!B43="","",'Employee Input Yr1'!B43)</f>
        <v/>
      </c>
      <c r="C43" s="14" t="str">
        <f>IF('Employee Input Yr1'!C43="","",'Employee Input Yr1'!C43)</f>
        <v/>
      </c>
      <c r="D43" s="14" t="str">
        <f>IF('Employee Input Yr1'!D43="","",'Employee Input Yr1'!D43)</f>
        <v/>
      </c>
      <c r="E43" s="14" t="str">
        <f>IF('Employee Input Yr1'!E43="","",'Employee Input Yr1'!E43)</f>
        <v/>
      </c>
      <c r="F43" s="14" t="str">
        <f>IF('Employee Input Yr1'!F43="","",'Employee Input Yr1'!F43)</f>
        <v/>
      </c>
      <c r="G43" s="155" t="str">
        <f>IF('Employee Input Yr1'!G43="","",'Employee Input Yr1'!G43*(1+$G$2))</f>
        <v/>
      </c>
      <c r="H43" s="10" t="str">
        <f t="shared" si="0"/>
        <v/>
      </c>
      <c r="I43" s="155" t="str">
        <f>IF('Employee Input Yr1'!I43="","",'Employee Input Yr1'!I43)</f>
        <v/>
      </c>
      <c r="J43" s="155" t="str">
        <f>IF('Employee Input Yr1'!J43="","",'Employee Input Yr1'!J43)</f>
        <v/>
      </c>
      <c r="K43" s="10" t="str">
        <f t="shared" si="1"/>
        <v/>
      </c>
      <c r="L43" s="14" t="str">
        <f>IF('Employee Input Yr1'!L43="","",'Employee Input Yr1'!L43)</f>
        <v/>
      </c>
    </row>
    <row r="44" spans="2:12" outlineLevel="1" x14ac:dyDescent="0.75">
      <c r="B44" s="14" t="str">
        <f>IF('Employee Input Yr1'!B44="","",'Employee Input Yr1'!B44)</f>
        <v/>
      </c>
      <c r="C44" s="14" t="str">
        <f>IF('Employee Input Yr1'!C44="","",'Employee Input Yr1'!C44)</f>
        <v/>
      </c>
      <c r="D44" s="14" t="str">
        <f>IF('Employee Input Yr1'!D44="","",'Employee Input Yr1'!D44)</f>
        <v/>
      </c>
      <c r="E44" s="14" t="str">
        <f>IF('Employee Input Yr1'!E44="","",'Employee Input Yr1'!E44)</f>
        <v/>
      </c>
      <c r="F44" s="14" t="str">
        <f>IF('Employee Input Yr1'!F44="","",'Employee Input Yr1'!F44)</f>
        <v/>
      </c>
      <c r="G44" s="155" t="str">
        <f>IF('Employee Input Yr1'!G44="","",'Employee Input Yr1'!G44*(1+$G$2))</f>
        <v/>
      </c>
      <c r="H44" s="10" t="str">
        <f t="shared" si="0"/>
        <v/>
      </c>
      <c r="I44" s="155" t="str">
        <f>IF('Employee Input Yr1'!I44="","",'Employee Input Yr1'!I44)</f>
        <v/>
      </c>
      <c r="J44" s="155" t="str">
        <f>IF('Employee Input Yr1'!J44="","",'Employee Input Yr1'!J44)</f>
        <v/>
      </c>
      <c r="K44" s="10" t="str">
        <f t="shared" si="1"/>
        <v/>
      </c>
      <c r="L44" s="14" t="str">
        <f>IF('Employee Input Yr1'!L44="","",'Employee Input Yr1'!L44)</f>
        <v/>
      </c>
    </row>
    <row r="45" spans="2:12" outlineLevel="1" x14ac:dyDescent="0.75">
      <c r="B45" s="14" t="str">
        <f>IF('Employee Input Yr1'!B45="","",'Employee Input Yr1'!B45)</f>
        <v/>
      </c>
      <c r="C45" s="14" t="str">
        <f>IF('Employee Input Yr1'!C45="","",'Employee Input Yr1'!C45)</f>
        <v/>
      </c>
      <c r="D45" s="14" t="str">
        <f>IF('Employee Input Yr1'!D45="","",'Employee Input Yr1'!D45)</f>
        <v/>
      </c>
      <c r="E45" s="14" t="str">
        <f>IF('Employee Input Yr1'!E45="","",'Employee Input Yr1'!E45)</f>
        <v/>
      </c>
      <c r="F45" s="14" t="str">
        <f>IF('Employee Input Yr1'!F45="","",'Employee Input Yr1'!F45)</f>
        <v/>
      </c>
      <c r="G45" s="155" t="str">
        <f>IF('Employee Input Yr1'!G45="","",'Employee Input Yr1'!G45*(1+$G$2))</f>
        <v/>
      </c>
      <c r="H45" s="10" t="str">
        <f t="shared" si="0"/>
        <v/>
      </c>
      <c r="I45" s="155" t="str">
        <f>IF('Employee Input Yr1'!I45="","",'Employee Input Yr1'!I45)</f>
        <v/>
      </c>
      <c r="J45" s="155" t="str">
        <f>IF('Employee Input Yr1'!J45="","",'Employee Input Yr1'!J45)</f>
        <v/>
      </c>
      <c r="K45" s="10" t="str">
        <f t="shared" si="1"/>
        <v/>
      </c>
      <c r="L45" s="14" t="str">
        <f>IF('Employee Input Yr1'!L45="","",'Employee Input Yr1'!L45)</f>
        <v/>
      </c>
    </row>
    <row r="46" spans="2:12" outlineLevel="1" x14ac:dyDescent="0.75">
      <c r="B46" s="14" t="str">
        <f>IF('Employee Input Yr1'!B46="","",'Employee Input Yr1'!B46)</f>
        <v/>
      </c>
      <c r="C46" s="14" t="str">
        <f>IF('Employee Input Yr1'!C46="","",'Employee Input Yr1'!C46)</f>
        <v/>
      </c>
      <c r="D46" s="14" t="str">
        <f>IF('Employee Input Yr1'!D46="","",'Employee Input Yr1'!D46)</f>
        <v/>
      </c>
      <c r="E46" s="14" t="str">
        <f>IF('Employee Input Yr1'!E46="","",'Employee Input Yr1'!E46)</f>
        <v/>
      </c>
      <c r="F46" s="14" t="str">
        <f>IF('Employee Input Yr1'!F46="","",'Employee Input Yr1'!F46)</f>
        <v/>
      </c>
      <c r="G46" s="155" t="str">
        <f>IF('Employee Input Yr1'!G46="","",'Employee Input Yr1'!G46*(1+$G$2))</f>
        <v/>
      </c>
      <c r="H46" s="10" t="str">
        <f t="shared" si="0"/>
        <v/>
      </c>
      <c r="I46" s="155" t="str">
        <f>IF('Employee Input Yr1'!I46="","",'Employee Input Yr1'!I46)</f>
        <v/>
      </c>
      <c r="J46" s="155" t="str">
        <f>IF('Employee Input Yr1'!J46="","",'Employee Input Yr1'!J46)</f>
        <v/>
      </c>
      <c r="K46" s="10" t="str">
        <f t="shared" si="1"/>
        <v/>
      </c>
      <c r="L46" s="14" t="str">
        <f>IF('Employee Input Yr1'!L46="","",'Employee Input Yr1'!L46)</f>
        <v/>
      </c>
    </row>
    <row r="47" spans="2:12" outlineLevel="1" x14ac:dyDescent="0.75">
      <c r="B47" s="14" t="str">
        <f>IF('Employee Input Yr1'!B47="","",'Employee Input Yr1'!B47)</f>
        <v/>
      </c>
      <c r="C47" s="14" t="str">
        <f>IF('Employee Input Yr1'!C47="","",'Employee Input Yr1'!C47)</f>
        <v/>
      </c>
      <c r="D47" s="14" t="str">
        <f>IF('Employee Input Yr1'!D47="","",'Employee Input Yr1'!D47)</f>
        <v/>
      </c>
      <c r="E47" s="14" t="str">
        <f>IF('Employee Input Yr1'!E47="","",'Employee Input Yr1'!E47)</f>
        <v/>
      </c>
      <c r="F47" s="14" t="str">
        <f>IF('Employee Input Yr1'!F47="","",'Employee Input Yr1'!F47)</f>
        <v/>
      </c>
      <c r="G47" s="155" t="str">
        <f>IF('Employee Input Yr1'!G47="","",'Employee Input Yr1'!G47*(1+$G$2))</f>
        <v/>
      </c>
      <c r="H47" s="10" t="str">
        <f t="shared" si="0"/>
        <v/>
      </c>
      <c r="I47" s="155" t="str">
        <f>IF('Employee Input Yr1'!I47="","",'Employee Input Yr1'!I47)</f>
        <v/>
      </c>
      <c r="J47" s="155" t="str">
        <f>IF('Employee Input Yr1'!J47="","",'Employee Input Yr1'!J47)</f>
        <v/>
      </c>
      <c r="K47" s="10" t="str">
        <f t="shared" si="1"/>
        <v/>
      </c>
      <c r="L47" s="14" t="str">
        <f>IF('Employee Input Yr1'!L47="","",'Employee Input Yr1'!L47)</f>
        <v/>
      </c>
    </row>
    <row r="48" spans="2:12" outlineLevel="1" x14ac:dyDescent="0.75">
      <c r="B48" s="14" t="str">
        <f>IF('Employee Input Yr1'!B48="","",'Employee Input Yr1'!B48)</f>
        <v/>
      </c>
      <c r="C48" s="14" t="str">
        <f>IF('Employee Input Yr1'!C48="","",'Employee Input Yr1'!C48)</f>
        <v/>
      </c>
      <c r="D48" s="14" t="str">
        <f>IF('Employee Input Yr1'!D48="","",'Employee Input Yr1'!D48)</f>
        <v/>
      </c>
      <c r="E48" s="14" t="str">
        <f>IF('Employee Input Yr1'!E48="","",'Employee Input Yr1'!E48)</f>
        <v/>
      </c>
      <c r="F48" s="14" t="str">
        <f>IF('Employee Input Yr1'!F48="","",'Employee Input Yr1'!F48)</f>
        <v/>
      </c>
      <c r="G48" s="155" t="str">
        <f>IF('Employee Input Yr1'!G48="","",'Employee Input Yr1'!G48*(1+$G$2))</f>
        <v/>
      </c>
      <c r="H48" s="10" t="str">
        <f t="shared" si="0"/>
        <v/>
      </c>
      <c r="I48" s="155" t="str">
        <f>IF('Employee Input Yr1'!I48="","",'Employee Input Yr1'!I48)</f>
        <v/>
      </c>
      <c r="J48" s="155" t="str">
        <f>IF('Employee Input Yr1'!J48="","",'Employee Input Yr1'!J48)</f>
        <v/>
      </c>
      <c r="K48" s="10" t="str">
        <f t="shared" si="1"/>
        <v/>
      </c>
      <c r="L48" s="14" t="str">
        <f>IF('Employee Input Yr1'!L48="","",'Employee Input Yr1'!L48)</f>
        <v/>
      </c>
    </row>
    <row r="49" spans="1:24" outlineLevel="1" x14ac:dyDescent="0.75">
      <c r="B49" s="14" t="str">
        <f>IF('Employee Input Yr1'!B49="","",'Employee Input Yr1'!B49)</f>
        <v/>
      </c>
      <c r="C49" s="14" t="str">
        <f>IF('Employee Input Yr1'!C49="","",'Employee Input Yr1'!C49)</f>
        <v/>
      </c>
      <c r="D49" s="14" t="str">
        <f>IF('Employee Input Yr1'!D49="","",'Employee Input Yr1'!D49)</f>
        <v/>
      </c>
      <c r="E49" s="14" t="str">
        <f>IF('Employee Input Yr1'!E49="","",'Employee Input Yr1'!E49)</f>
        <v/>
      </c>
      <c r="F49" s="14" t="str">
        <f>IF('Employee Input Yr1'!F49="","",'Employee Input Yr1'!F49)</f>
        <v/>
      </c>
      <c r="G49" s="155" t="str">
        <f>IF('Employee Input Yr1'!G49="","",'Employee Input Yr1'!G49*(1+$G$2))</f>
        <v/>
      </c>
      <c r="H49" s="10" t="str">
        <f t="shared" si="0"/>
        <v/>
      </c>
      <c r="I49" s="155" t="str">
        <f>IF('Employee Input Yr1'!I49="","",'Employee Input Yr1'!I49)</f>
        <v/>
      </c>
      <c r="J49" s="155" t="str">
        <f>IF('Employee Input Yr1'!J49="","",'Employee Input Yr1'!J49)</f>
        <v/>
      </c>
      <c r="K49" s="10" t="str">
        <f t="shared" si="1"/>
        <v/>
      </c>
      <c r="L49" s="14" t="str">
        <f>IF('Employee Input Yr1'!L49="","",'Employee Input Yr1'!L49)</f>
        <v/>
      </c>
    </row>
    <row r="50" spans="1:24" outlineLevel="1" x14ac:dyDescent="0.75">
      <c r="B50" s="14" t="str">
        <f>IF('Employee Input Yr1'!B50="","",'Employee Input Yr1'!B50)</f>
        <v/>
      </c>
      <c r="C50" s="14" t="str">
        <f>IF('Employee Input Yr1'!C50="","",'Employee Input Yr1'!C50)</f>
        <v/>
      </c>
      <c r="D50" s="14" t="str">
        <f>IF('Employee Input Yr1'!D50="","",'Employee Input Yr1'!D50)</f>
        <v/>
      </c>
      <c r="E50" s="14" t="str">
        <f>IF('Employee Input Yr1'!E50="","",'Employee Input Yr1'!E50)</f>
        <v/>
      </c>
      <c r="F50" s="14" t="str">
        <f>IF('Employee Input Yr1'!F50="","",'Employee Input Yr1'!F50)</f>
        <v/>
      </c>
      <c r="G50" s="155" t="str">
        <f>IF('Employee Input Yr1'!G50="","",'Employee Input Yr1'!G50*(1+$G$2))</f>
        <v/>
      </c>
      <c r="H50" s="10" t="str">
        <f t="shared" si="0"/>
        <v/>
      </c>
      <c r="I50" s="155" t="str">
        <f>IF('Employee Input Yr1'!I50="","",'Employee Input Yr1'!I50)</f>
        <v/>
      </c>
      <c r="J50" s="155" t="str">
        <f>IF('Employee Input Yr1'!J50="","",'Employee Input Yr1'!J50)</f>
        <v/>
      </c>
      <c r="K50" s="10" t="str">
        <f t="shared" si="1"/>
        <v/>
      </c>
      <c r="L50" s="14" t="str">
        <f>IF('Employee Input Yr1'!L50="","",'Employee Input Yr1'!L50)</f>
        <v/>
      </c>
    </row>
    <row r="51" spans="1:24" outlineLevel="1" x14ac:dyDescent="0.75">
      <c r="B51" s="14" t="str">
        <f>IF('Employee Input Yr1'!B51="","",'Employee Input Yr1'!B51)</f>
        <v/>
      </c>
      <c r="C51" s="14" t="str">
        <f>IF('Employee Input Yr1'!C51="","",'Employee Input Yr1'!C51)</f>
        <v/>
      </c>
      <c r="D51" s="14" t="str">
        <f>IF('Employee Input Yr1'!D51="","",'Employee Input Yr1'!D51)</f>
        <v/>
      </c>
      <c r="E51" s="14" t="str">
        <f>IF('Employee Input Yr1'!E51="","",'Employee Input Yr1'!E51)</f>
        <v/>
      </c>
      <c r="F51" s="14" t="str">
        <f>IF('Employee Input Yr1'!F51="","",'Employee Input Yr1'!F51)</f>
        <v/>
      </c>
      <c r="G51" s="155" t="str">
        <f>IF('Employee Input Yr1'!G51="","",'Employee Input Yr1'!G51*(1+$G$2))</f>
        <v/>
      </c>
      <c r="H51" s="10" t="str">
        <f t="shared" si="0"/>
        <v/>
      </c>
      <c r="I51" s="155" t="str">
        <f>IF('Employee Input Yr1'!I51="","",'Employee Input Yr1'!I51)</f>
        <v/>
      </c>
      <c r="J51" s="155" t="str">
        <f>IF('Employee Input Yr1'!J51="","",'Employee Input Yr1'!J51)</f>
        <v/>
      </c>
      <c r="K51" s="10" t="str">
        <f t="shared" si="1"/>
        <v/>
      </c>
      <c r="L51" s="14" t="str">
        <f>IF('Employee Input Yr1'!L51="","",'Employee Input Yr1'!L51)</f>
        <v/>
      </c>
    </row>
    <row r="52" spans="1:24" outlineLevel="1" x14ac:dyDescent="0.75">
      <c r="B52" s="14" t="str">
        <f>IF('Employee Input Yr1'!B52="","",'Employee Input Yr1'!B52)</f>
        <v/>
      </c>
      <c r="C52" s="14" t="str">
        <f>IF('Employee Input Yr1'!C52="","",'Employee Input Yr1'!C52)</f>
        <v/>
      </c>
      <c r="D52" s="14" t="str">
        <f>IF('Employee Input Yr1'!D52="","",'Employee Input Yr1'!D52)</f>
        <v/>
      </c>
      <c r="E52" s="14" t="str">
        <f>IF('Employee Input Yr1'!E52="","",'Employee Input Yr1'!E52)</f>
        <v/>
      </c>
      <c r="F52" s="14" t="str">
        <f>IF('Employee Input Yr1'!F52="","",'Employee Input Yr1'!F52)</f>
        <v/>
      </c>
      <c r="G52" s="155" t="str">
        <f>IF('Employee Input Yr1'!G52="","",'Employee Input Yr1'!G52*(1+$G$2))</f>
        <v/>
      </c>
      <c r="H52" s="10" t="str">
        <f t="shared" si="0"/>
        <v/>
      </c>
      <c r="I52" s="155" t="str">
        <f>IF('Employee Input Yr1'!I52="","",'Employee Input Yr1'!I52)</f>
        <v/>
      </c>
      <c r="J52" s="155" t="str">
        <f>IF('Employee Input Yr1'!J52="","",'Employee Input Yr1'!J52)</f>
        <v/>
      </c>
      <c r="K52" s="10" t="str">
        <f t="shared" si="1"/>
        <v/>
      </c>
      <c r="L52" s="14" t="str">
        <f>IF('Employee Input Yr1'!L52="","",'Employee Input Yr1'!L52)</f>
        <v/>
      </c>
    </row>
    <row r="53" spans="1:24" outlineLevel="1" x14ac:dyDescent="0.75">
      <c r="B53" s="14" t="str">
        <f>IF('Employee Input Yr1'!B53="","",'Employee Input Yr1'!B53)</f>
        <v/>
      </c>
      <c r="C53" s="14" t="str">
        <f>IF('Employee Input Yr1'!C53="","",'Employee Input Yr1'!C53)</f>
        <v/>
      </c>
      <c r="D53" s="14" t="str">
        <f>IF('Employee Input Yr1'!D53="","",'Employee Input Yr1'!D53)</f>
        <v/>
      </c>
      <c r="E53" s="14" t="str">
        <f>IF('Employee Input Yr1'!E53="","",'Employee Input Yr1'!E53)</f>
        <v/>
      </c>
      <c r="F53" s="14" t="str">
        <f>IF('Employee Input Yr1'!F53="","",'Employee Input Yr1'!F53)</f>
        <v/>
      </c>
      <c r="G53" s="155" t="str">
        <f>IF('Employee Input Yr1'!G53="","",'Employee Input Yr1'!G53*(1+$G$2))</f>
        <v/>
      </c>
      <c r="H53" s="10" t="str">
        <f t="shared" si="0"/>
        <v/>
      </c>
      <c r="I53" s="155" t="str">
        <f>IF('Employee Input Yr1'!I53="","",'Employee Input Yr1'!I53)</f>
        <v/>
      </c>
      <c r="J53" s="155" t="str">
        <f>IF('Employee Input Yr1'!J53="","",'Employee Input Yr1'!J53)</f>
        <v/>
      </c>
      <c r="K53" s="10" t="str">
        <f t="shared" si="1"/>
        <v/>
      </c>
      <c r="L53" s="14" t="str">
        <f>IF('Employee Input Yr1'!L53="","",'Employee Input Yr1'!L53)</f>
        <v/>
      </c>
    </row>
    <row r="54" spans="1:24" outlineLevel="1" x14ac:dyDescent="0.75">
      <c r="B54" s="14" t="str">
        <f>IF('Employee Input Yr1'!B54="","",'Employee Input Yr1'!B54)</f>
        <v/>
      </c>
      <c r="C54" s="14" t="str">
        <f>IF('Employee Input Yr1'!C54="","",'Employee Input Yr1'!C54)</f>
        <v/>
      </c>
      <c r="D54" s="14" t="str">
        <f>IF('Employee Input Yr1'!D54="","",'Employee Input Yr1'!D54)</f>
        <v/>
      </c>
      <c r="E54" s="14" t="str">
        <f>IF('Employee Input Yr1'!E54="","",'Employee Input Yr1'!E54)</f>
        <v/>
      </c>
      <c r="F54" s="14" t="str">
        <f>IF('Employee Input Yr1'!F54="","",'Employee Input Yr1'!F54)</f>
        <v/>
      </c>
      <c r="G54" s="155" t="str">
        <f>IF('Employee Input Yr1'!G54="","",'Employee Input Yr1'!G54*(1+$G$2))</f>
        <v/>
      </c>
      <c r="H54" s="10" t="str">
        <f t="shared" si="0"/>
        <v/>
      </c>
      <c r="I54" s="155" t="str">
        <f>IF('Employee Input Yr1'!I54="","",'Employee Input Yr1'!I54)</f>
        <v/>
      </c>
      <c r="J54" s="155" t="str">
        <f>IF('Employee Input Yr1'!J54="","",'Employee Input Yr1'!J54)</f>
        <v/>
      </c>
      <c r="K54" s="10" t="str">
        <f t="shared" si="1"/>
        <v/>
      </c>
      <c r="L54" s="14" t="str">
        <f>IF('Employee Input Yr1'!L54="","",'Employee Input Yr1'!L54)</f>
        <v/>
      </c>
    </row>
    <row r="55" spans="1:24" outlineLevel="1" x14ac:dyDescent="0.75">
      <c r="B55" s="14" t="str">
        <f>IF('Employee Input Yr1'!B55="","",'Employee Input Yr1'!B55)</f>
        <v/>
      </c>
      <c r="C55" s="14" t="str">
        <f>IF('Employee Input Yr1'!C55="","",'Employee Input Yr1'!C55)</f>
        <v/>
      </c>
      <c r="D55" s="14" t="str">
        <f>IF('Employee Input Yr1'!D55="","",'Employee Input Yr1'!D55)</f>
        <v/>
      </c>
      <c r="E55" s="14" t="str">
        <f>IF('Employee Input Yr1'!E55="","",'Employee Input Yr1'!E55)</f>
        <v/>
      </c>
      <c r="F55" s="14" t="str">
        <f>IF('Employee Input Yr1'!F55="","",'Employee Input Yr1'!F55)</f>
        <v/>
      </c>
      <c r="G55" s="155" t="str">
        <f>IF('Employee Input Yr1'!G55="","",'Employee Input Yr1'!G55*(1+$G$2))</f>
        <v/>
      </c>
      <c r="H55" s="10" t="str">
        <f t="shared" si="0"/>
        <v/>
      </c>
      <c r="I55" s="155" t="str">
        <f>IF('Employee Input Yr1'!I55="","",'Employee Input Yr1'!I55)</f>
        <v/>
      </c>
      <c r="J55" s="155" t="str">
        <f>IF('Employee Input Yr1'!J55="","",'Employee Input Yr1'!J55)</f>
        <v/>
      </c>
      <c r="K55" s="10" t="str">
        <f t="shared" si="1"/>
        <v/>
      </c>
      <c r="L55" s="14" t="str">
        <f>IF('Employee Input Yr1'!L55="","",'Employee Input Yr1'!L55)</f>
        <v/>
      </c>
    </row>
    <row r="56" spans="1:24" outlineLevel="1" x14ac:dyDescent="0.75">
      <c r="B56" s="14" t="str">
        <f>IF('Employee Input Yr1'!B56="","",'Employee Input Yr1'!B56)</f>
        <v/>
      </c>
      <c r="C56" s="14" t="str">
        <f>IF('Employee Input Yr1'!C56="","",'Employee Input Yr1'!C56)</f>
        <v/>
      </c>
      <c r="D56" s="14" t="str">
        <f>IF('Employee Input Yr1'!D56="","",'Employee Input Yr1'!D56)</f>
        <v/>
      </c>
      <c r="E56" s="14" t="str">
        <f>IF('Employee Input Yr1'!E56="","",'Employee Input Yr1'!E56)</f>
        <v/>
      </c>
      <c r="F56" s="14" t="str">
        <f>IF('Employee Input Yr1'!F56="","",'Employee Input Yr1'!F56)</f>
        <v/>
      </c>
      <c r="G56" s="155" t="str">
        <f>IF('Employee Input Yr1'!G56="","",'Employee Input Yr1'!G56*(1+$G$2))</f>
        <v/>
      </c>
      <c r="H56" s="10" t="str">
        <f t="shared" si="0"/>
        <v/>
      </c>
      <c r="I56" s="155" t="str">
        <f>IF('Employee Input Yr1'!I56="","",'Employee Input Yr1'!I56)</f>
        <v/>
      </c>
      <c r="J56" s="155" t="str">
        <f>IF('Employee Input Yr1'!J56="","",'Employee Input Yr1'!J56)</f>
        <v/>
      </c>
      <c r="K56" s="10" t="str">
        <f t="shared" si="1"/>
        <v/>
      </c>
      <c r="L56" s="14" t="str">
        <f>IF('Employee Input Yr1'!L56="","",'Employee Input Yr1'!L56)</f>
        <v/>
      </c>
    </row>
    <row r="57" spans="1:24" ht="16.5" thickBot="1" x14ac:dyDescent="0.9">
      <c r="A57" s="23"/>
      <c r="B57" s="38"/>
      <c r="C57" s="38"/>
      <c r="D57" s="38"/>
      <c r="E57" s="38"/>
      <c r="F57" s="38"/>
      <c r="G57" s="38"/>
      <c r="H57" s="38"/>
      <c r="I57" s="38"/>
      <c r="J57" s="38"/>
      <c r="K57" s="23"/>
      <c r="L57" s="38"/>
      <c r="M57" s="23"/>
      <c r="N57" s="23"/>
      <c r="O57" s="23"/>
      <c r="P57" s="23"/>
      <c r="Q57" s="38"/>
      <c r="R57" s="23"/>
      <c r="S57" s="23"/>
      <c r="T57" s="23"/>
      <c r="U57" s="23"/>
      <c r="V57" s="23"/>
      <c r="W57" s="23"/>
      <c r="X57" s="23"/>
    </row>
    <row r="58" spans="1:24" x14ac:dyDescent="0.75">
      <c r="B58" s="34" t="s">
        <v>742</v>
      </c>
      <c r="C58" s="37"/>
      <c r="D58" s="2"/>
      <c r="E58" s="36" t="str">
        <f>IF(SUM(E26,E39,E56)&gt;0,SUM(E26,E39,E56),"")</f>
        <v/>
      </c>
      <c r="F58" s="37">
        <f>SUM(F7:F57)</f>
        <v>0.6</v>
      </c>
      <c r="G58" s="37"/>
      <c r="H58" s="37">
        <f>SUM(H7:H57)</f>
        <v>64260</v>
      </c>
      <c r="I58" s="37">
        <f>SUM(I7:I57)</f>
        <v>0</v>
      </c>
      <c r="J58" s="37">
        <f>SUM(J7:J57)</f>
        <v>0</v>
      </c>
      <c r="K58" s="37">
        <f>SUM(K7:K57)</f>
        <v>64260</v>
      </c>
      <c r="M58" s="37">
        <f t="shared" ref="M58:X58" si="2">SUM(M7:M57)</f>
        <v>9272.7180000000008</v>
      </c>
      <c r="N58" s="37">
        <f t="shared" si="2"/>
        <v>0</v>
      </c>
      <c r="O58" s="37">
        <f t="shared" si="2"/>
        <v>0</v>
      </c>
      <c r="P58" s="37">
        <f t="shared" si="2"/>
        <v>931.7700000000001</v>
      </c>
      <c r="Q58" s="37">
        <f t="shared" si="2"/>
        <v>400</v>
      </c>
      <c r="R58" s="37">
        <f t="shared" si="2"/>
        <v>2880</v>
      </c>
      <c r="S58" s="37">
        <f t="shared" si="2"/>
        <v>240</v>
      </c>
      <c r="T58" s="37">
        <f t="shared" si="2"/>
        <v>1028.1600000000001</v>
      </c>
      <c r="U58" s="37">
        <f t="shared" si="2"/>
        <v>0</v>
      </c>
      <c r="V58" s="37">
        <f t="shared" si="2"/>
        <v>0</v>
      </c>
      <c r="W58" s="37">
        <f t="shared" si="2"/>
        <v>14352.648000000001</v>
      </c>
      <c r="X58" s="37">
        <f t="shared" si="2"/>
        <v>78612.648000000001</v>
      </c>
    </row>
    <row r="60" spans="1:24" x14ac:dyDescent="0.75">
      <c r="B60" s="34" t="s">
        <v>746</v>
      </c>
      <c r="F60" s="37">
        <f>SUMIF($B:$B,1100,F:F)</f>
        <v>0.6</v>
      </c>
      <c r="G60" s="37"/>
      <c r="H60" s="37">
        <f>SUMIF($B:$B,1100,H:H)</f>
        <v>64260</v>
      </c>
      <c r="I60" s="37">
        <f>SUMIF($B:$B,1100,I:I)</f>
        <v>0</v>
      </c>
      <c r="J60" s="37">
        <f>SUMIF($B:$B,1100,J:J)</f>
        <v>0</v>
      </c>
      <c r="K60" s="37">
        <f>SUMIF($B:$B,1100,K:K)</f>
        <v>64260</v>
      </c>
      <c r="M60" s="37">
        <f>SUMIF($B:$B,1100,M:M)</f>
        <v>9272.7180000000008</v>
      </c>
      <c r="N60" s="37">
        <f t="shared" ref="N60:X60" si="3">SUMIF($B:$B,1100,N:N)</f>
        <v>0</v>
      </c>
      <c r="O60" s="37">
        <f t="shared" si="3"/>
        <v>0</v>
      </c>
      <c r="P60" s="37">
        <f t="shared" si="3"/>
        <v>931.7700000000001</v>
      </c>
      <c r="Q60" s="37">
        <f t="shared" si="3"/>
        <v>400</v>
      </c>
      <c r="R60" s="37">
        <f t="shared" si="3"/>
        <v>2880</v>
      </c>
      <c r="S60" s="37">
        <f t="shared" si="3"/>
        <v>240</v>
      </c>
      <c r="T60" s="37">
        <f t="shared" si="3"/>
        <v>1028.1600000000001</v>
      </c>
      <c r="U60" s="37">
        <f t="shared" si="3"/>
        <v>0</v>
      </c>
      <c r="V60" s="37">
        <f t="shared" si="3"/>
        <v>0</v>
      </c>
      <c r="W60" s="37">
        <f t="shared" si="3"/>
        <v>14352.648000000001</v>
      </c>
      <c r="X60" s="37">
        <f t="shared" si="3"/>
        <v>78612.648000000001</v>
      </c>
    </row>
  </sheetData>
  <pageMargins left="0.25" right="0.25" top="0.25" bottom="0.25" header="0.3" footer="0.3"/>
  <pageSetup scale="61" fitToWidth="2"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6"/>
    <pageSetUpPr fitToPage="1"/>
  </sheetPr>
  <dimension ref="A1:X60"/>
  <sheetViews>
    <sheetView workbookViewId="0"/>
  </sheetViews>
  <sheetFormatPr defaultColWidth="9.08984375" defaultRowHeight="15.75" outlineLevelRow="1" x14ac:dyDescent="0.75"/>
  <cols>
    <col min="1" max="1" width="2.08984375" style="5" customWidth="1"/>
    <col min="2" max="2" width="6.6796875" style="6" bestFit="1" customWidth="1"/>
    <col min="3" max="6" width="9.08984375" style="6"/>
    <col min="7" max="8" width="14.54296875" style="6" bestFit="1" customWidth="1"/>
    <col min="9" max="9" width="11.54296875" style="6" bestFit="1" customWidth="1"/>
    <col min="10" max="10" width="11.54296875" style="6" customWidth="1"/>
    <col min="11" max="11" width="14.6796875" style="5" bestFit="1" customWidth="1"/>
    <col min="12" max="12" width="17.453125" style="6" bestFit="1" customWidth="1"/>
    <col min="13" max="13" width="17" style="5" bestFit="1" customWidth="1"/>
    <col min="14" max="16" width="12.08984375" style="5" customWidth="1"/>
    <col min="17" max="17" width="12.08984375" style="6" customWidth="1"/>
    <col min="18" max="19" width="15.54296875" style="5" customWidth="1"/>
    <col min="20" max="20" width="19.453125" style="5" customWidth="1"/>
    <col min="21" max="21" width="18.453125" style="5" customWidth="1"/>
    <col min="22" max="22" width="19.6796875" style="5" customWidth="1"/>
    <col min="23" max="24" width="15.54296875" style="5" customWidth="1"/>
    <col min="25" max="16384" width="9.08984375" style="5"/>
  </cols>
  <sheetData>
    <row r="1" spans="1:24" ht="20.25" x14ac:dyDescent="0.85">
      <c r="A1" s="22" t="str">
        <f>'Student Info w MYP'!$A$1</f>
        <v>Compass Charter Schools</v>
      </c>
    </row>
    <row r="2" spans="1:24" ht="17.75" x14ac:dyDescent="0.75">
      <c r="A2" s="21" t="s">
        <v>724</v>
      </c>
      <c r="G2" s="165">
        <v>0.02</v>
      </c>
      <c r="H2" s="166" t="s">
        <v>1063</v>
      </c>
      <c r="M2" s="7">
        <v>0.1628</v>
      </c>
      <c r="N2" s="7">
        <v>0.15</v>
      </c>
      <c r="O2" s="7">
        <v>6.2E-2</v>
      </c>
      <c r="P2" s="7">
        <v>1.4500000000000001E-2</v>
      </c>
      <c r="Q2" s="9">
        <f>'Employee Input Yr2'!Q2</f>
        <v>400</v>
      </c>
      <c r="S2" s="9">
        <f>'Employee Input Yr2'!S2</f>
        <v>400</v>
      </c>
      <c r="T2" s="165">
        <f>'Employee Input Yr2'!T2</f>
        <v>1.6E-2</v>
      </c>
      <c r="V2" s="12">
        <f>(0.08*$K2/1000)+(0.025*$K2/1000)+(0.14%*$K2)+(0.05*$K2/10)</f>
        <v>0</v>
      </c>
    </row>
    <row r="3" spans="1:24" ht="17.75" x14ac:dyDescent="0.75">
      <c r="A3" s="21" t="str">
        <f>'Student Info w MYP'!F6</f>
        <v>Yolo</v>
      </c>
      <c r="M3" s="8" t="s">
        <v>562</v>
      </c>
      <c r="N3" s="8" t="s">
        <v>563</v>
      </c>
      <c r="O3" s="8" t="s">
        <v>1069</v>
      </c>
      <c r="P3" s="8" t="s">
        <v>670</v>
      </c>
      <c r="Q3" s="8" t="s">
        <v>566</v>
      </c>
      <c r="R3" s="8"/>
      <c r="S3" s="8" t="s">
        <v>668</v>
      </c>
      <c r="T3" s="8" t="s">
        <v>669</v>
      </c>
      <c r="U3" s="8"/>
      <c r="V3" s="8" t="s">
        <v>1076</v>
      </c>
    </row>
    <row r="4" spans="1:24" ht="27" customHeight="1" x14ac:dyDescent="0.75"/>
    <row r="5" spans="1:24" x14ac:dyDescent="0.75">
      <c r="B5" s="13" t="s">
        <v>0</v>
      </c>
      <c r="H5" s="17" t="s">
        <v>675</v>
      </c>
      <c r="I5" s="13" t="s">
        <v>744</v>
      </c>
      <c r="J5" s="18"/>
      <c r="K5" s="17" t="s">
        <v>673</v>
      </c>
      <c r="L5" s="13" t="s">
        <v>728</v>
      </c>
      <c r="M5" s="43" t="s">
        <v>30</v>
      </c>
      <c r="N5" s="43" t="s">
        <v>38</v>
      </c>
      <c r="O5" s="43" t="s">
        <v>1065</v>
      </c>
      <c r="P5" s="43" t="s">
        <v>1067</v>
      </c>
      <c r="Q5" s="44" t="s">
        <v>564</v>
      </c>
      <c r="R5" s="43" t="s">
        <v>716</v>
      </c>
      <c r="S5" s="43" t="s">
        <v>717</v>
      </c>
      <c r="T5" s="43" t="s">
        <v>718</v>
      </c>
      <c r="U5" s="43" t="s">
        <v>1074</v>
      </c>
      <c r="V5" s="43" t="s">
        <v>1073</v>
      </c>
      <c r="W5" s="19" t="s">
        <v>671</v>
      </c>
      <c r="X5" s="17" t="s">
        <v>675</v>
      </c>
    </row>
    <row r="6" spans="1:24" ht="16.5" thickBot="1" x14ac:dyDescent="0.9">
      <c r="A6" s="23"/>
      <c r="B6" s="24"/>
      <c r="C6" s="25" t="s">
        <v>1</v>
      </c>
      <c r="D6" s="25" t="s">
        <v>2</v>
      </c>
      <c r="E6" s="25" t="s">
        <v>4</v>
      </c>
      <c r="F6" s="24" t="s">
        <v>3</v>
      </c>
      <c r="G6" s="24" t="s">
        <v>5</v>
      </c>
      <c r="H6" s="26" t="s">
        <v>738</v>
      </c>
      <c r="I6" s="24" t="s">
        <v>745</v>
      </c>
      <c r="J6" s="24" t="s">
        <v>743</v>
      </c>
      <c r="K6" s="26" t="s">
        <v>674</v>
      </c>
      <c r="L6" s="24" t="s">
        <v>729</v>
      </c>
      <c r="M6" s="27" t="s">
        <v>7</v>
      </c>
      <c r="N6" s="27" t="s">
        <v>8</v>
      </c>
      <c r="O6" s="176" t="s">
        <v>1066</v>
      </c>
      <c r="P6" s="176" t="s">
        <v>1068</v>
      </c>
      <c r="Q6" s="25" t="s">
        <v>565</v>
      </c>
      <c r="R6" s="27" t="s">
        <v>1070</v>
      </c>
      <c r="S6" s="176" t="s">
        <v>1071</v>
      </c>
      <c r="T6" s="176" t="s">
        <v>1072</v>
      </c>
      <c r="U6" s="27" t="s">
        <v>1075</v>
      </c>
      <c r="V6" s="176" t="s">
        <v>1077</v>
      </c>
      <c r="W6" s="28" t="s">
        <v>672</v>
      </c>
      <c r="X6" s="26" t="s">
        <v>674</v>
      </c>
    </row>
    <row r="7" spans="1:24" x14ac:dyDescent="0.75">
      <c r="B7" s="14">
        <f>IF('Employee Input Yr2'!B7="","",'Employee Input Yr2'!B7)</f>
        <v>1100</v>
      </c>
      <c r="C7" s="14" t="str">
        <f>IF('Employee Input Yr2'!C7="","",'Employee Input Yr2'!C7)</f>
        <v>Sample Name</v>
      </c>
      <c r="D7" s="14" t="str">
        <f>IF('Employee Input Yr2'!D7="","",'Employee Input Yr2'!D7)</f>
        <v>VP, Education</v>
      </c>
      <c r="E7" s="14" t="str">
        <f>IF('Employee Input Yr2'!E7="","",'Employee Input Yr2'!E7)</f>
        <v>Education</v>
      </c>
      <c r="F7" s="14">
        <f>IF('Employee Input Yr2'!F7="","",'Employee Input Yr2'!F7)</f>
        <v>0.6</v>
      </c>
      <c r="G7" s="155">
        <f>IF('Employee Input Yr2'!G7="","",'Employee Input Yr2'!G7*(1+$G$2))</f>
        <v>109242</v>
      </c>
      <c r="H7" s="10">
        <f>IF(F7="","",F7*G7)</f>
        <v>65545.2</v>
      </c>
      <c r="I7" s="155" t="str">
        <f>IF('Employee Input Yr2'!I7="","",'Employee Input Yr2'!I7)</f>
        <v/>
      </c>
      <c r="J7" s="155" t="str">
        <f>IF('Employee Input Yr2'!J7="","",'Employee Input Yr2'!J7)</f>
        <v/>
      </c>
      <c r="K7" s="10">
        <f>IF(SUM(H7:J7)&gt;0,SUM(H7:J7),"")</f>
        <v>65545.2</v>
      </c>
      <c r="L7" s="14" t="str">
        <f>IF('Employee Input Yr2'!L7="","",'Employee Input Yr2'!L7)</f>
        <v>STRS</v>
      </c>
      <c r="M7" s="10">
        <f>IF($L7="STRS",$M$2*$K7,"")</f>
        <v>10670.75856</v>
      </c>
      <c r="N7" s="10" t="str">
        <f>IF($L7="PERS",$N$2*$K7,"")</f>
        <v/>
      </c>
      <c r="O7" s="10" t="str">
        <f>IF($L7="STRS","",$O$2*$K7)</f>
        <v/>
      </c>
      <c r="P7" s="10">
        <f>$P$2*K7</f>
        <v>950.40539999999999</v>
      </c>
      <c r="Q7" s="11">
        <f>$Q$2</f>
        <v>400</v>
      </c>
      <c r="R7" s="12">
        <f>Q7*12*F7</f>
        <v>2880</v>
      </c>
      <c r="S7" s="12">
        <f>$S$2*F7</f>
        <v>240</v>
      </c>
      <c r="T7" s="12">
        <f>$T$2*$K7</f>
        <v>1048.7231999999999</v>
      </c>
      <c r="U7" s="12"/>
      <c r="V7" s="12"/>
      <c r="W7" s="12">
        <f>SUM(R7:V7,M7:P7)</f>
        <v>15789.88716</v>
      </c>
      <c r="X7" s="12">
        <f>W7+K7</f>
        <v>81335.087159999995</v>
      </c>
    </row>
    <row r="8" spans="1:24" x14ac:dyDescent="0.75">
      <c r="B8" s="14" t="str">
        <f>IF('Employee Input Yr2'!B8="","",'Employee Input Yr2'!B8)</f>
        <v/>
      </c>
      <c r="C8" s="14" t="str">
        <f>IF('Employee Input Yr2'!C8="","",'Employee Input Yr2'!C8)</f>
        <v/>
      </c>
      <c r="D8" s="14" t="str">
        <f>IF('Employee Input Yr2'!D8="","",'Employee Input Yr2'!D8)</f>
        <v/>
      </c>
      <c r="E8" s="14" t="str">
        <f>IF('Employee Input Yr2'!E8="","",'Employee Input Yr2'!E8)</f>
        <v/>
      </c>
      <c r="F8" s="14" t="str">
        <f>IF('Employee Input Yr2'!F8="","",'Employee Input Yr2'!F8)</f>
        <v/>
      </c>
      <c r="G8" s="155" t="str">
        <f>IF('Employee Input Yr2'!G8="","",'Employee Input Yr2'!G8*(1+$G$2))</f>
        <v/>
      </c>
      <c r="H8" s="10" t="str">
        <f t="shared" ref="H8:H56" si="0">IF(F8="","",F8*G8)</f>
        <v/>
      </c>
      <c r="I8" s="155" t="str">
        <f>IF('Employee Input Yr2'!I8="","",'Employee Input Yr2'!I8)</f>
        <v/>
      </c>
      <c r="J8" s="155" t="str">
        <f>IF('Employee Input Yr2'!J8="","",'Employee Input Yr2'!J8)</f>
        <v/>
      </c>
      <c r="K8" s="10" t="str">
        <f t="shared" ref="K8:K56" si="1">IF(SUM(H8:J8)&gt;0,SUM(H8:J8),"")</f>
        <v/>
      </c>
      <c r="L8" s="14" t="str">
        <f>IF('Employee Input Yr2'!L8="","",'Employee Input Yr2'!L8)</f>
        <v/>
      </c>
      <c r="M8" s="10"/>
      <c r="N8" s="10"/>
      <c r="O8" s="10"/>
      <c r="P8" s="10"/>
      <c r="Q8" s="11"/>
      <c r="R8" s="12"/>
      <c r="S8" s="12"/>
      <c r="T8" s="12"/>
      <c r="U8" s="12"/>
      <c r="V8" s="12"/>
      <c r="W8" s="12"/>
      <c r="X8" s="12"/>
    </row>
    <row r="9" spans="1:24" x14ac:dyDescent="0.75">
      <c r="B9" s="14" t="str">
        <f>IF('Employee Input Yr2'!B9="","",'Employee Input Yr2'!B9)</f>
        <v/>
      </c>
      <c r="C9" s="14" t="str">
        <f>IF('Employee Input Yr2'!C9="","",'Employee Input Yr2'!C9)</f>
        <v/>
      </c>
      <c r="D9" s="14" t="str">
        <f>IF('Employee Input Yr2'!D9="","",'Employee Input Yr2'!D9)</f>
        <v/>
      </c>
      <c r="E9" s="14" t="str">
        <f>IF('Employee Input Yr2'!E9="","",'Employee Input Yr2'!E9)</f>
        <v/>
      </c>
      <c r="F9" s="14" t="str">
        <f>IF('Employee Input Yr2'!F9="","",'Employee Input Yr2'!F9)</f>
        <v/>
      </c>
      <c r="G9" s="155" t="str">
        <f>IF('Employee Input Yr2'!G9="","",'Employee Input Yr2'!G9*(1+$G$2))</f>
        <v/>
      </c>
      <c r="H9" s="10" t="str">
        <f t="shared" si="0"/>
        <v/>
      </c>
      <c r="I9" s="155" t="str">
        <f>IF('Employee Input Yr2'!I9="","",'Employee Input Yr2'!I9)</f>
        <v/>
      </c>
      <c r="J9" s="155" t="str">
        <f>IF('Employee Input Yr2'!J9="","",'Employee Input Yr2'!J9)</f>
        <v/>
      </c>
      <c r="K9" s="10" t="str">
        <f t="shared" si="1"/>
        <v/>
      </c>
      <c r="L9" s="14" t="str">
        <f>IF('Employee Input Yr2'!L9="","",'Employee Input Yr2'!L9)</f>
        <v/>
      </c>
      <c r="M9" s="10"/>
      <c r="N9" s="10"/>
      <c r="O9" s="10"/>
      <c r="P9" s="10"/>
      <c r="Q9" s="11"/>
      <c r="R9" s="12"/>
      <c r="S9" s="12"/>
      <c r="T9" s="12"/>
      <c r="U9" s="12"/>
      <c r="V9" s="12"/>
      <c r="W9" s="12"/>
      <c r="X9" s="12"/>
    </row>
    <row r="10" spans="1:24" x14ac:dyDescent="0.75">
      <c r="B10" s="14" t="str">
        <f>IF('Employee Input Yr2'!B10="","",'Employee Input Yr2'!B10)</f>
        <v/>
      </c>
      <c r="C10" s="14" t="str">
        <f>IF('Employee Input Yr2'!C10="","",'Employee Input Yr2'!C10)</f>
        <v/>
      </c>
      <c r="D10" s="14" t="str">
        <f>IF('Employee Input Yr2'!D10="","",'Employee Input Yr2'!D10)</f>
        <v/>
      </c>
      <c r="E10" s="14" t="str">
        <f>IF('Employee Input Yr2'!E10="","",'Employee Input Yr2'!E10)</f>
        <v/>
      </c>
      <c r="F10" s="14" t="str">
        <f>IF('Employee Input Yr2'!F10="","",'Employee Input Yr2'!F10)</f>
        <v/>
      </c>
      <c r="G10" s="155" t="str">
        <f>IF('Employee Input Yr2'!G10="","",'Employee Input Yr2'!G10*(1+$G$2))</f>
        <v/>
      </c>
      <c r="H10" s="10" t="str">
        <f t="shared" si="0"/>
        <v/>
      </c>
      <c r="I10" s="155" t="str">
        <f>IF('Employee Input Yr2'!I10="","",'Employee Input Yr2'!I10)</f>
        <v/>
      </c>
      <c r="J10" s="155" t="str">
        <f>IF('Employee Input Yr2'!J10="","",'Employee Input Yr2'!J10)</f>
        <v/>
      </c>
      <c r="K10" s="10" t="str">
        <f t="shared" si="1"/>
        <v/>
      </c>
      <c r="L10" s="14" t="str">
        <f>IF('Employee Input Yr2'!L10="","",'Employee Input Yr2'!L10)</f>
        <v/>
      </c>
      <c r="M10" s="10"/>
      <c r="N10" s="10"/>
      <c r="O10" s="10"/>
      <c r="P10" s="10"/>
      <c r="Q10" s="11"/>
      <c r="R10" s="12"/>
      <c r="S10" s="12"/>
      <c r="T10" s="12"/>
      <c r="U10" s="12"/>
      <c r="V10" s="12"/>
      <c r="W10" s="12"/>
      <c r="X10" s="12"/>
    </row>
    <row r="11" spans="1:24" x14ac:dyDescent="0.75">
      <c r="B11" s="14" t="str">
        <f>IF('Employee Input Yr2'!B11="","",'Employee Input Yr2'!B11)</f>
        <v/>
      </c>
      <c r="C11" s="14" t="str">
        <f>IF('Employee Input Yr2'!C11="","",'Employee Input Yr2'!C11)</f>
        <v/>
      </c>
      <c r="D11" s="14" t="str">
        <f>IF('Employee Input Yr2'!D11="","",'Employee Input Yr2'!D11)</f>
        <v/>
      </c>
      <c r="E11" s="14" t="str">
        <f>IF('Employee Input Yr2'!E11="","",'Employee Input Yr2'!E11)</f>
        <v/>
      </c>
      <c r="F11" s="14" t="str">
        <f>IF('Employee Input Yr2'!F11="","",'Employee Input Yr2'!F11)</f>
        <v/>
      </c>
      <c r="G11" s="155" t="str">
        <f>IF('Employee Input Yr2'!G11="","",'Employee Input Yr2'!G11*(1+$G$2))</f>
        <v/>
      </c>
      <c r="H11" s="10" t="str">
        <f t="shared" si="0"/>
        <v/>
      </c>
      <c r="I11" s="155" t="str">
        <f>IF('Employee Input Yr2'!I11="","",'Employee Input Yr2'!I11)</f>
        <v/>
      </c>
      <c r="J11" s="155" t="str">
        <f>IF('Employee Input Yr2'!J11="","",'Employee Input Yr2'!J11)</f>
        <v/>
      </c>
      <c r="K11" s="10" t="str">
        <f t="shared" si="1"/>
        <v/>
      </c>
      <c r="L11" s="14" t="str">
        <f>IF('Employee Input Yr2'!L11="","",'Employee Input Yr2'!L11)</f>
        <v/>
      </c>
      <c r="M11" s="10"/>
      <c r="N11" s="10"/>
      <c r="O11" s="10"/>
      <c r="P11" s="10"/>
      <c r="Q11" s="11"/>
      <c r="R11" s="12"/>
      <c r="S11" s="12"/>
      <c r="T11" s="12"/>
      <c r="U11" s="12"/>
      <c r="V11" s="12"/>
      <c r="W11" s="12"/>
      <c r="X11" s="12"/>
    </row>
    <row r="12" spans="1:24" x14ac:dyDescent="0.75">
      <c r="B12" s="14" t="str">
        <f>IF('Employee Input Yr2'!B12="","",'Employee Input Yr2'!B12)</f>
        <v/>
      </c>
      <c r="C12" s="14" t="str">
        <f>IF('Employee Input Yr2'!C12="","",'Employee Input Yr2'!C12)</f>
        <v/>
      </c>
      <c r="D12" s="14" t="str">
        <f>IF('Employee Input Yr2'!D12="","",'Employee Input Yr2'!D12)</f>
        <v/>
      </c>
      <c r="E12" s="14" t="str">
        <f>IF('Employee Input Yr2'!E12="","",'Employee Input Yr2'!E12)</f>
        <v/>
      </c>
      <c r="F12" s="14" t="str">
        <f>IF('Employee Input Yr2'!F12="","",'Employee Input Yr2'!F12)</f>
        <v/>
      </c>
      <c r="G12" s="155" t="str">
        <f>IF('Employee Input Yr2'!G12="","",'Employee Input Yr2'!G12*(1+$G$2))</f>
        <v/>
      </c>
      <c r="H12" s="10" t="str">
        <f t="shared" si="0"/>
        <v/>
      </c>
      <c r="I12" s="155" t="str">
        <f>IF('Employee Input Yr2'!I12="","",'Employee Input Yr2'!I12)</f>
        <v/>
      </c>
      <c r="J12" s="155" t="str">
        <f>IF('Employee Input Yr2'!J12="","",'Employee Input Yr2'!J12)</f>
        <v/>
      </c>
      <c r="K12" s="10" t="str">
        <f t="shared" si="1"/>
        <v/>
      </c>
      <c r="L12" s="14" t="str">
        <f>IF('Employee Input Yr2'!L12="","",'Employee Input Yr2'!L12)</f>
        <v/>
      </c>
      <c r="M12" s="10"/>
      <c r="N12" s="10"/>
      <c r="O12" s="10"/>
      <c r="P12" s="10"/>
      <c r="Q12" s="11"/>
      <c r="R12" s="12"/>
      <c r="S12" s="12"/>
      <c r="T12" s="12"/>
      <c r="U12" s="12"/>
      <c r="V12" s="12"/>
      <c r="W12" s="12"/>
      <c r="X12" s="12"/>
    </row>
    <row r="13" spans="1:24" x14ac:dyDescent="0.75">
      <c r="B13" s="14" t="str">
        <f>IF('Employee Input Yr2'!B13="","",'Employee Input Yr2'!B13)</f>
        <v/>
      </c>
      <c r="C13" s="14" t="str">
        <f>IF('Employee Input Yr2'!C13="","",'Employee Input Yr2'!C13)</f>
        <v/>
      </c>
      <c r="D13" s="14" t="str">
        <f>IF('Employee Input Yr2'!D13="","",'Employee Input Yr2'!D13)</f>
        <v/>
      </c>
      <c r="E13" s="14" t="str">
        <f>IF('Employee Input Yr2'!E13="","",'Employee Input Yr2'!E13)</f>
        <v/>
      </c>
      <c r="F13" s="14" t="str">
        <f>IF('Employee Input Yr2'!F13="","",'Employee Input Yr2'!F13)</f>
        <v/>
      </c>
      <c r="G13" s="155" t="str">
        <f>IF('Employee Input Yr2'!G13="","",'Employee Input Yr2'!G13*(1+$G$2))</f>
        <v/>
      </c>
      <c r="H13" s="10" t="str">
        <f t="shared" si="0"/>
        <v/>
      </c>
      <c r="I13" s="155" t="str">
        <f>IF('Employee Input Yr2'!I13="","",'Employee Input Yr2'!I13)</f>
        <v/>
      </c>
      <c r="J13" s="155" t="str">
        <f>IF('Employee Input Yr2'!J13="","",'Employee Input Yr2'!J13)</f>
        <v/>
      </c>
      <c r="K13" s="10" t="str">
        <f t="shared" si="1"/>
        <v/>
      </c>
      <c r="L13" s="14" t="str">
        <f>IF('Employee Input Yr2'!L13="","",'Employee Input Yr2'!L13)</f>
        <v/>
      </c>
      <c r="M13" s="10"/>
      <c r="N13" s="10"/>
      <c r="O13" s="10"/>
      <c r="P13" s="10"/>
      <c r="Q13" s="11"/>
      <c r="R13" s="12"/>
      <c r="S13" s="12"/>
      <c r="T13" s="12"/>
      <c r="U13" s="12"/>
      <c r="V13" s="12"/>
      <c r="W13" s="12"/>
      <c r="X13" s="12"/>
    </row>
    <row r="14" spans="1:24" x14ac:dyDescent="0.75">
      <c r="B14" s="14" t="str">
        <f>IF('Employee Input Yr2'!B14="","",'Employee Input Yr2'!B14)</f>
        <v/>
      </c>
      <c r="C14" s="14" t="str">
        <f>IF('Employee Input Yr2'!C14="","",'Employee Input Yr2'!C14)</f>
        <v/>
      </c>
      <c r="D14" s="14" t="str">
        <f>IF('Employee Input Yr2'!D14="","",'Employee Input Yr2'!D14)</f>
        <v/>
      </c>
      <c r="E14" s="14" t="str">
        <f>IF('Employee Input Yr2'!E14="","",'Employee Input Yr2'!E14)</f>
        <v/>
      </c>
      <c r="F14" s="14" t="str">
        <f>IF('Employee Input Yr2'!F14="","",'Employee Input Yr2'!F14)</f>
        <v/>
      </c>
      <c r="G14" s="155" t="str">
        <f>IF('Employee Input Yr2'!G14="","",'Employee Input Yr2'!G14*(1+$G$2))</f>
        <v/>
      </c>
      <c r="H14" s="10" t="str">
        <f t="shared" si="0"/>
        <v/>
      </c>
      <c r="I14" s="155" t="str">
        <f>IF('Employee Input Yr2'!I14="","",'Employee Input Yr2'!I14)</f>
        <v/>
      </c>
      <c r="J14" s="155" t="str">
        <f>IF('Employee Input Yr2'!J14="","",'Employee Input Yr2'!J14)</f>
        <v/>
      </c>
      <c r="K14" s="10" t="str">
        <f t="shared" si="1"/>
        <v/>
      </c>
      <c r="L14" s="14" t="str">
        <f>IF('Employee Input Yr2'!L14="","",'Employee Input Yr2'!L14)</f>
        <v/>
      </c>
      <c r="M14" s="10"/>
      <c r="N14" s="10"/>
      <c r="O14" s="10"/>
      <c r="P14" s="10"/>
      <c r="Q14" s="11"/>
      <c r="R14" s="12"/>
      <c r="S14" s="12"/>
      <c r="T14" s="12"/>
      <c r="U14" s="12"/>
      <c r="V14" s="12"/>
      <c r="W14" s="12"/>
      <c r="X14" s="12"/>
    </row>
    <row r="15" spans="1:24" x14ac:dyDescent="0.75">
      <c r="B15" s="14" t="str">
        <f>IF('Employee Input Yr2'!B15="","",'Employee Input Yr2'!B15)</f>
        <v/>
      </c>
      <c r="C15" s="14" t="str">
        <f>IF('Employee Input Yr2'!C15="","",'Employee Input Yr2'!C15)</f>
        <v/>
      </c>
      <c r="D15" s="14" t="str">
        <f>IF('Employee Input Yr2'!D15="","",'Employee Input Yr2'!D15)</f>
        <v/>
      </c>
      <c r="E15" s="14" t="str">
        <f>IF('Employee Input Yr2'!E15="","",'Employee Input Yr2'!E15)</f>
        <v/>
      </c>
      <c r="F15" s="14" t="str">
        <f>IF('Employee Input Yr2'!F15="","",'Employee Input Yr2'!F15)</f>
        <v/>
      </c>
      <c r="G15" s="155" t="str">
        <f>IF('Employee Input Yr2'!G15="","",'Employee Input Yr2'!G15*(1+$G$2))</f>
        <v/>
      </c>
      <c r="H15" s="10" t="str">
        <f t="shared" si="0"/>
        <v/>
      </c>
      <c r="I15" s="155" t="str">
        <f>IF('Employee Input Yr2'!I15="","",'Employee Input Yr2'!I15)</f>
        <v/>
      </c>
      <c r="J15" s="155" t="str">
        <f>IF('Employee Input Yr2'!J15="","",'Employee Input Yr2'!J15)</f>
        <v/>
      </c>
      <c r="K15" s="10" t="str">
        <f t="shared" si="1"/>
        <v/>
      </c>
      <c r="L15" s="14" t="str">
        <f>IF('Employee Input Yr2'!L15="","",'Employee Input Yr2'!L15)</f>
        <v/>
      </c>
      <c r="M15" s="10"/>
      <c r="N15" s="10"/>
      <c r="O15" s="10"/>
      <c r="P15" s="10"/>
      <c r="Q15" s="11"/>
      <c r="R15" s="12"/>
      <c r="S15" s="12"/>
      <c r="T15" s="12"/>
      <c r="U15" s="12"/>
      <c r="V15" s="12"/>
      <c r="W15" s="12"/>
      <c r="X15" s="12"/>
    </row>
    <row r="16" spans="1:24" x14ac:dyDescent="0.75">
      <c r="B16" s="14" t="str">
        <f>IF('Employee Input Yr2'!B16="","",'Employee Input Yr2'!B16)</f>
        <v/>
      </c>
      <c r="C16" s="14" t="str">
        <f>IF('Employee Input Yr2'!C16="","",'Employee Input Yr2'!C16)</f>
        <v/>
      </c>
      <c r="D16" s="14" t="str">
        <f>IF('Employee Input Yr2'!D16="","",'Employee Input Yr2'!D16)</f>
        <v/>
      </c>
      <c r="E16" s="14" t="str">
        <f>IF('Employee Input Yr2'!E16="","",'Employee Input Yr2'!E16)</f>
        <v/>
      </c>
      <c r="F16" s="14" t="str">
        <f>IF('Employee Input Yr2'!F16="","",'Employee Input Yr2'!F16)</f>
        <v/>
      </c>
      <c r="G16" s="155" t="str">
        <f>IF('Employee Input Yr2'!G16="","",'Employee Input Yr2'!G16*(1+$G$2))</f>
        <v/>
      </c>
      <c r="H16" s="10" t="str">
        <f t="shared" si="0"/>
        <v/>
      </c>
      <c r="I16" s="155" t="str">
        <f>IF('Employee Input Yr2'!I16="","",'Employee Input Yr2'!I16)</f>
        <v/>
      </c>
      <c r="J16" s="155" t="str">
        <f>IF('Employee Input Yr2'!J16="","",'Employee Input Yr2'!J16)</f>
        <v/>
      </c>
      <c r="K16" s="10" t="str">
        <f t="shared" si="1"/>
        <v/>
      </c>
      <c r="L16" s="14" t="str">
        <f>IF('Employee Input Yr2'!L16="","",'Employee Input Yr2'!L16)</f>
        <v/>
      </c>
      <c r="M16" s="10"/>
      <c r="N16" s="10"/>
      <c r="O16" s="10"/>
      <c r="P16" s="10"/>
      <c r="Q16" s="11"/>
      <c r="R16" s="12"/>
      <c r="S16" s="12"/>
      <c r="T16" s="12"/>
      <c r="U16" s="12"/>
      <c r="V16" s="12"/>
      <c r="W16" s="12"/>
      <c r="X16" s="12"/>
    </row>
    <row r="17" spans="2:24" x14ac:dyDescent="0.75">
      <c r="B17" s="14" t="str">
        <f>IF('Employee Input Yr2'!B17="","",'Employee Input Yr2'!B17)</f>
        <v/>
      </c>
      <c r="C17" s="14" t="str">
        <f>IF('Employee Input Yr2'!C17="","",'Employee Input Yr2'!C17)</f>
        <v/>
      </c>
      <c r="D17" s="14" t="str">
        <f>IF('Employee Input Yr2'!D17="","",'Employee Input Yr2'!D17)</f>
        <v/>
      </c>
      <c r="E17" s="14" t="str">
        <f>IF('Employee Input Yr2'!E17="","",'Employee Input Yr2'!E17)</f>
        <v/>
      </c>
      <c r="F17" s="14" t="str">
        <f>IF('Employee Input Yr2'!F17="","",'Employee Input Yr2'!F17)</f>
        <v/>
      </c>
      <c r="G17" s="155" t="str">
        <f>IF('Employee Input Yr2'!G17="","",'Employee Input Yr2'!G17*(1+$G$2))</f>
        <v/>
      </c>
      <c r="H17" s="10" t="str">
        <f t="shared" si="0"/>
        <v/>
      </c>
      <c r="I17" s="155" t="str">
        <f>IF('Employee Input Yr2'!I17="","",'Employee Input Yr2'!I17)</f>
        <v/>
      </c>
      <c r="J17" s="155" t="str">
        <f>IF('Employee Input Yr2'!J17="","",'Employee Input Yr2'!J17)</f>
        <v/>
      </c>
      <c r="K17" s="10" t="str">
        <f t="shared" si="1"/>
        <v/>
      </c>
      <c r="L17" s="14" t="str">
        <f>IF('Employee Input Yr2'!L17="","",'Employee Input Yr2'!L17)</f>
        <v/>
      </c>
      <c r="M17" s="10"/>
      <c r="N17" s="10"/>
      <c r="O17" s="10"/>
      <c r="P17" s="10"/>
      <c r="Q17" s="11"/>
      <c r="R17" s="12"/>
      <c r="S17" s="12"/>
      <c r="T17" s="12"/>
      <c r="U17" s="12"/>
      <c r="V17" s="12"/>
      <c r="W17" s="12"/>
      <c r="X17" s="12"/>
    </row>
    <row r="18" spans="2:24" x14ac:dyDescent="0.75">
      <c r="B18" s="14" t="str">
        <f>IF('Employee Input Yr2'!B18="","",'Employee Input Yr2'!B18)</f>
        <v/>
      </c>
      <c r="C18" s="14" t="str">
        <f>IF('Employee Input Yr2'!C18="","",'Employee Input Yr2'!C18)</f>
        <v/>
      </c>
      <c r="D18" s="14" t="str">
        <f>IF('Employee Input Yr2'!D18="","",'Employee Input Yr2'!D18)</f>
        <v/>
      </c>
      <c r="E18" s="14" t="str">
        <f>IF('Employee Input Yr2'!E18="","",'Employee Input Yr2'!E18)</f>
        <v/>
      </c>
      <c r="F18" s="14" t="str">
        <f>IF('Employee Input Yr2'!F18="","",'Employee Input Yr2'!F18)</f>
        <v/>
      </c>
      <c r="G18" s="155" t="str">
        <f>IF('Employee Input Yr2'!G18="","",'Employee Input Yr2'!G18*(1+$G$2))</f>
        <v/>
      </c>
      <c r="H18" s="10" t="str">
        <f t="shared" si="0"/>
        <v/>
      </c>
      <c r="I18" s="155" t="str">
        <f>IF('Employee Input Yr2'!I18="","",'Employee Input Yr2'!I18)</f>
        <v/>
      </c>
      <c r="J18" s="155" t="str">
        <f>IF('Employee Input Yr2'!J18="","",'Employee Input Yr2'!J18)</f>
        <v/>
      </c>
      <c r="K18" s="10" t="str">
        <f t="shared" si="1"/>
        <v/>
      </c>
      <c r="L18" s="14" t="str">
        <f>IF('Employee Input Yr2'!L18="","",'Employee Input Yr2'!L18)</f>
        <v/>
      </c>
      <c r="M18" s="10"/>
      <c r="N18" s="10"/>
      <c r="O18" s="10"/>
      <c r="P18" s="10"/>
      <c r="Q18" s="11"/>
      <c r="R18" s="12"/>
      <c r="S18" s="12"/>
      <c r="T18" s="12"/>
      <c r="U18" s="12"/>
      <c r="V18" s="12"/>
      <c r="W18" s="12"/>
      <c r="X18" s="12"/>
    </row>
    <row r="19" spans="2:24" x14ac:dyDescent="0.75">
      <c r="B19" s="14" t="str">
        <f>IF('Employee Input Yr2'!B19="","",'Employee Input Yr2'!B19)</f>
        <v/>
      </c>
      <c r="C19" s="14" t="str">
        <f>IF('Employee Input Yr2'!C19="","",'Employee Input Yr2'!C19)</f>
        <v/>
      </c>
      <c r="D19" s="14" t="str">
        <f>IF('Employee Input Yr2'!D19="","",'Employee Input Yr2'!D19)</f>
        <v/>
      </c>
      <c r="E19" s="14" t="str">
        <f>IF('Employee Input Yr2'!E19="","",'Employee Input Yr2'!E19)</f>
        <v/>
      </c>
      <c r="F19" s="14" t="str">
        <f>IF('Employee Input Yr2'!F19="","",'Employee Input Yr2'!F19)</f>
        <v/>
      </c>
      <c r="G19" s="155" t="str">
        <f>IF('Employee Input Yr2'!G19="","",'Employee Input Yr2'!G19*(1+$G$2))</f>
        <v/>
      </c>
      <c r="H19" s="10" t="str">
        <f t="shared" si="0"/>
        <v/>
      </c>
      <c r="I19" s="155" t="str">
        <f>IF('Employee Input Yr2'!I19="","",'Employee Input Yr2'!I19)</f>
        <v/>
      </c>
      <c r="J19" s="155" t="str">
        <f>IF('Employee Input Yr2'!J19="","",'Employee Input Yr2'!J19)</f>
        <v/>
      </c>
      <c r="K19" s="10" t="str">
        <f t="shared" si="1"/>
        <v/>
      </c>
      <c r="L19" s="14" t="str">
        <f>IF('Employee Input Yr2'!L19="","",'Employee Input Yr2'!L19)</f>
        <v/>
      </c>
      <c r="M19" s="10"/>
      <c r="N19" s="10"/>
      <c r="O19" s="10"/>
      <c r="P19" s="10"/>
      <c r="Q19" s="11"/>
      <c r="R19" s="12"/>
      <c r="S19" s="12"/>
      <c r="T19" s="12"/>
      <c r="U19" s="12"/>
      <c r="V19" s="12"/>
      <c r="W19" s="12"/>
      <c r="X19" s="12"/>
    </row>
    <row r="20" spans="2:24" x14ac:dyDescent="0.75">
      <c r="B20" s="14" t="str">
        <f>IF('Employee Input Yr2'!B20="","",'Employee Input Yr2'!B20)</f>
        <v/>
      </c>
      <c r="C20" s="14" t="str">
        <f>IF('Employee Input Yr2'!C20="","",'Employee Input Yr2'!C20)</f>
        <v/>
      </c>
      <c r="D20" s="14" t="str">
        <f>IF('Employee Input Yr2'!D20="","",'Employee Input Yr2'!D20)</f>
        <v/>
      </c>
      <c r="E20" s="14" t="str">
        <f>IF('Employee Input Yr2'!E20="","",'Employee Input Yr2'!E20)</f>
        <v/>
      </c>
      <c r="F20" s="14" t="str">
        <f>IF('Employee Input Yr2'!F20="","",'Employee Input Yr2'!F20)</f>
        <v/>
      </c>
      <c r="G20" s="155" t="str">
        <f>IF('Employee Input Yr2'!G20="","",'Employee Input Yr2'!G20*(1+$G$2))</f>
        <v/>
      </c>
      <c r="H20" s="10" t="str">
        <f t="shared" si="0"/>
        <v/>
      </c>
      <c r="I20" s="155" t="str">
        <f>IF('Employee Input Yr2'!I20="","",'Employee Input Yr2'!I20)</f>
        <v/>
      </c>
      <c r="J20" s="155" t="str">
        <f>IF('Employee Input Yr2'!J20="","",'Employee Input Yr2'!J20)</f>
        <v/>
      </c>
      <c r="K20" s="10" t="str">
        <f t="shared" si="1"/>
        <v/>
      </c>
      <c r="L20" s="14" t="str">
        <f>IF('Employee Input Yr2'!L20="","",'Employee Input Yr2'!L20)</f>
        <v/>
      </c>
      <c r="M20" s="10"/>
      <c r="N20" s="10"/>
      <c r="O20" s="10"/>
      <c r="P20" s="10"/>
      <c r="Q20" s="11"/>
      <c r="R20" s="12"/>
      <c r="S20" s="12"/>
      <c r="T20" s="12"/>
      <c r="U20" s="12"/>
      <c r="V20" s="12"/>
      <c r="W20" s="12"/>
      <c r="X20" s="12"/>
    </row>
    <row r="21" spans="2:24" x14ac:dyDescent="0.75">
      <c r="B21" s="14" t="str">
        <f>IF('Employee Input Yr2'!B21="","",'Employee Input Yr2'!B21)</f>
        <v/>
      </c>
      <c r="C21" s="14" t="str">
        <f>IF('Employee Input Yr2'!C21="","",'Employee Input Yr2'!C21)</f>
        <v/>
      </c>
      <c r="D21" s="14" t="str">
        <f>IF('Employee Input Yr2'!D21="","",'Employee Input Yr2'!D21)</f>
        <v/>
      </c>
      <c r="E21" s="14" t="str">
        <f>IF('Employee Input Yr2'!E21="","",'Employee Input Yr2'!E21)</f>
        <v/>
      </c>
      <c r="F21" s="14" t="str">
        <f>IF('Employee Input Yr2'!F21="","",'Employee Input Yr2'!F21)</f>
        <v/>
      </c>
      <c r="G21" s="155" t="str">
        <f>IF('Employee Input Yr2'!G21="","",'Employee Input Yr2'!G21*(1+$G$2))</f>
        <v/>
      </c>
      <c r="H21" s="10" t="str">
        <f t="shared" si="0"/>
        <v/>
      </c>
      <c r="I21" s="155" t="str">
        <f>IF('Employee Input Yr2'!I21="","",'Employee Input Yr2'!I21)</f>
        <v/>
      </c>
      <c r="J21" s="155" t="str">
        <f>IF('Employee Input Yr2'!J21="","",'Employee Input Yr2'!J21)</f>
        <v/>
      </c>
      <c r="K21" s="10" t="str">
        <f t="shared" si="1"/>
        <v/>
      </c>
      <c r="L21" s="14" t="str">
        <f>IF('Employee Input Yr2'!L21="","",'Employee Input Yr2'!L21)</f>
        <v/>
      </c>
      <c r="M21" s="10"/>
      <c r="N21" s="10"/>
      <c r="O21" s="10"/>
      <c r="P21" s="10"/>
      <c r="Q21" s="11"/>
      <c r="R21" s="12"/>
      <c r="S21" s="12"/>
      <c r="T21" s="12"/>
      <c r="U21" s="12"/>
      <c r="V21" s="12"/>
      <c r="W21" s="12"/>
      <c r="X21" s="12"/>
    </row>
    <row r="22" spans="2:24" x14ac:dyDescent="0.75">
      <c r="B22" s="14" t="str">
        <f>IF('Employee Input Yr2'!B22="","",'Employee Input Yr2'!B22)</f>
        <v/>
      </c>
      <c r="C22" s="14" t="str">
        <f>IF('Employee Input Yr2'!C22="","",'Employee Input Yr2'!C22)</f>
        <v/>
      </c>
      <c r="D22" s="14" t="str">
        <f>IF('Employee Input Yr2'!D22="","",'Employee Input Yr2'!D22)</f>
        <v/>
      </c>
      <c r="E22" s="14" t="str">
        <f>IF('Employee Input Yr2'!E22="","",'Employee Input Yr2'!E22)</f>
        <v/>
      </c>
      <c r="F22" s="14" t="str">
        <f>IF('Employee Input Yr2'!F22="","",'Employee Input Yr2'!F22)</f>
        <v/>
      </c>
      <c r="G22" s="155" t="str">
        <f>IF('Employee Input Yr2'!G22="","",'Employee Input Yr2'!G22*(1+$G$2))</f>
        <v/>
      </c>
      <c r="H22" s="10" t="str">
        <f t="shared" si="0"/>
        <v/>
      </c>
      <c r="I22" s="155" t="str">
        <f>IF('Employee Input Yr2'!I22="","",'Employee Input Yr2'!I22)</f>
        <v/>
      </c>
      <c r="J22" s="155" t="str">
        <f>IF('Employee Input Yr2'!J22="","",'Employee Input Yr2'!J22)</f>
        <v/>
      </c>
      <c r="K22" s="10" t="str">
        <f t="shared" si="1"/>
        <v/>
      </c>
      <c r="L22" s="14" t="str">
        <f>IF('Employee Input Yr2'!L22="","",'Employee Input Yr2'!L22)</f>
        <v/>
      </c>
      <c r="M22" s="10"/>
      <c r="N22" s="10"/>
      <c r="O22" s="10"/>
      <c r="P22" s="10"/>
      <c r="Q22" s="11"/>
      <c r="R22" s="12"/>
      <c r="S22" s="12"/>
      <c r="T22" s="12"/>
      <c r="U22" s="12"/>
      <c r="V22" s="12"/>
      <c r="W22" s="12"/>
      <c r="X22" s="12"/>
    </row>
    <row r="23" spans="2:24" x14ac:dyDescent="0.75">
      <c r="B23" s="14" t="str">
        <f>IF('Employee Input Yr2'!B23="","",'Employee Input Yr2'!B23)</f>
        <v/>
      </c>
      <c r="C23" s="14" t="str">
        <f>IF('Employee Input Yr2'!C23="","",'Employee Input Yr2'!C23)</f>
        <v/>
      </c>
      <c r="D23" s="14" t="str">
        <f>IF('Employee Input Yr2'!D23="","",'Employee Input Yr2'!D23)</f>
        <v/>
      </c>
      <c r="E23" s="14" t="str">
        <f>IF('Employee Input Yr2'!E23="","",'Employee Input Yr2'!E23)</f>
        <v/>
      </c>
      <c r="F23" s="14" t="str">
        <f>IF('Employee Input Yr2'!F23="","",'Employee Input Yr2'!F23)</f>
        <v/>
      </c>
      <c r="G23" s="155" t="str">
        <f>IF('Employee Input Yr2'!G23="","",'Employee Input Yr2'!G23*(1+$G$2))</f>
        <v/>
      </c>
      <c r="H23" s="10" t="str">
        <f t="shared" si="0"/>
        <v/>
      </c>
      <c r="I23" s="155" t="str">
        <f>IF('Employee Input Yr2'!I23="","",'Employee Input Yr2'!I23)</f>
        <v/>
      </c>
      <c r="J23" s="155" t="str">
        <f>IF('Employee Input Yr2'!J23="","",'Employee Input Yr2'!J23)</f>
        <v/>
      </c>
      <c r="K23" s="10" t="str">
        <f t="shared" si="1"/>
        <v/>
      </c>
      <c r="L23" s="14" t="str">
        <f>IF('Employee Input Yr2'!L23="","",'Employee Input Yr2'!L23)</f>
        <v/>
      </c>
      <c r="M23" s="10"/>
      <c r="N23" s="10"/>
      <c r="O23" s="10"/>
      <c r="P23" s="10"/>
      <c r="Q23" s="11"/>
      <c r="R23" s="12"/>
      <c r="S23" s="12"/>
      <c r="T23" s="12"/>
      <c r="U23" s="12"/>
      <c r="V23" s="12"/>
      <c r="W23" s="12"/>
      <c r="X23" s="12"/>
    </row>
    <row r="24" spans="2:24" x14ac:dyDescent="0.75">
      <c r="B24" s="14" t="str">
        <f>IF('Employee Input Yr2'!B24="","",'Employee Input Yr2'!B24)</f>
        <v/>
      </c>
      <c r="C24" s="14" t="str">
        <f>IF('Employee Input Yr2'!C24="","",'Employee Input Yr2'!C24)</f>
        <v/>
      </c>
      <c r="D24" s="14" t="str">
        <f>IF('Employee Input Yr2'!D24="","",'Employee Input Yr2'!D24)</f>
        <v/>
      </c>
      <c r="E24" s="14" t="str">
        <f>IF('Employee Input Yr2'!E24="","",'Employee Input Yr2'!E24)</f>
        <v/>
      </c>
      <c r="F24" s="14" t="str">
        <f>IF('Employee Input Yr2'!F24="","",'Employee Input Yr2'!F24)</f>
        <v/>
      </c>
      <c r="G24" s="155" t="str">
        <f>IF('Employee Input Yr2'!G24="","",'Employee Input Yr2'!G24*(1+$G$2))</f>
        <v/>
      </c>
      <c r="H24" s="10" t="str">
        <f t="shared" si="0"/>
        <v/>
      </c>
      <c r="I24" s="155" t="str">
        <f>IF('Employee Input Yr2'!I24="","",'Employee Input Yr2'!I24)</f>
        <v/>
      </c>
      <c r="J24" s="155" t="str">
        <f>IF('Employee Input Yr2'!J24="","",'Employee Input Yr2'!J24)</f>
        <v/>
      </c>
      <c r="K24" s="10" t="str">
        <f t="shared" si="1"/>
        <v/>
      </c>
      <c r="L24" s="14" t="str">
        <f>IF('Employee Input Yr2'!L24="","",'Employee Input Yr2'!L24)</f>
        <v/>
      </c>
      <c r="M24" s="10"/>
      <c r="N24" s="10"/>
      <c r="O24" s="10"/>
      <c r="P24" s="10"/>
      <c r="Q24" s="11"/>
      <c r="R24" s="12"/>
      <c r="S24" s="12"/>
      <c r="T24" s="12"/>
      <c r="U24" s="12"/>
      <c r="V24" s="12"/>
      <c r="W24" s="12"/>
      <c r="X24" s="12"/>
    </row>
    <row r="25" spans="2:24" x14ac:dyDescent="0.75">
      <c r="B25" s="14" t="str">
        <f>IF('Employee Input Yr2'!B25="","",'Employee Input Yr2'!B25)</f>
        <v/>
      </c>
      <c r="C25" s="14" t="str">
        <f>IF('Employee Input Yr2'!C25="","",'Employee Input Yr2'!C25)</f>
        <v/>
      </c>
      <c r="D25" s="14" t="str">
        <f>IF('Employee Input Yr2'!D25="","",'Employee Input Yr2'!D25)</f>
        <v/>
      </c>
      <c r="E25" s="14" t="str">
        <f>IF('Employee Input Yr2'!E25="","",'Employee Input Yr2'!E25)</f>
        <v/>
      </c>
      <c r="F25" s="14" t="str">
        <f>IF('Employee Input Yr2'!F25="","",'Employee Input Yr2'!F25)</f>
        <v/>
      </c>
      <c r="G25" s="155" t="str">
        <f>IF('Employee Input Yr2'!G25="","",'Employee Input Yr2'!G25*(1+$G$2))</f>
        <v/>
      </c>
      <c r="H25" s="10" t="str">
        <f t="shared" si="0"/>
        <v/>
      </c>
      <c r="I25" s="155" t="str">
        <f>IF('Employee Input Yr2'!I25="","",'Employee Input Yr2'!I25)</f>
        <v/>
      </c>
      <c r="J25" s="155" t="str">
        <f>IF('Employee Input Yr2'!J25="","",'Employee Input Yr2'!J25)</f>
        <v/>
      </c>
      <c r="K25" s="10" t="str">
        <f t="shared" si="1"/>
        <v/>
      </c>
      <c r="L25" s="14" t="str">
        <f>IF('Employee Input Yr2'!L25="","",'Employee Input Yr2'!L25)</f>
        <v/>
      </c>
      <c r="M25" s="10"/>
      <c r="N25" s="10"/>
      <c r="O25" s="10"/>
      <c r="P25" s="10"/>
      <c r="Q25" s="11"/>
      <c r="R25" s="12"/>
      <c r="S25" s="12"/>
      <c r="T25" s="12"/>
      <c r="U25" s="12"/>
      <c r="V25" s="12"/>
      <c r="W25" s="12"/>
      <c r="X25" s="12"/>
    </row>
    <row r="26" spans="2:24" x14ac:dyDescent="0.75">
      <c r="B26" s="14" t="str">
        <f>IF('Employee Input Yr2'!B26="","",'Employee Input Yr2'!B26)</f>
        <v/>
      </c>
      <c r="C26" s="14" t="str">
        <f>IF('Employee Input Yr2'!C26="","",'Employee Input Yr2'!C26)</f>
        <v/>
      </c>
      <c r="D26" s="14" t="str">
        <f>IF('Employee Input Yr2'!D26="","",'Employee Input Yr2'!D26)</f>
        <v/>
      </c>
      <c r="E26" s="14" t="str">
        <f>IF('Employee Input Yr2'!E26="","",'Employee Input Yr2'!E26)</f>
        <v/>
      </c>
      <c r="F26" s="14" t="str">
        <f>IF('Employee Input Yr2'!F26="","",'Employee Input Yr2'!F26)</f>
        <v/>
      </c>
      <c r="G26" s="155" t="str">
        <f>IF('Employee Input Yr2'!G26="","",'Employee Input Yr2'!G26*(1+$G$2))</f>
        <v/>
      </c>
      <c r="H26" s="10" t="str">
        <f t="shared" si="0"/>
        <v/>
      </c>
      <c r="I26" s="155" t="str">
        <f>IF('Employee Input Yr2'!I26="","",'Employee Input Yr2'!I26)</f>
        <v/>
      </c>
      <c r="J26" s="155" t="str">
        <f>IF('Employee Input Yr2'!J26="","",'Employee Input Yr2'!J26)</f>
        <v/>
      </c>
      <c r="K26" s="10" t="str">
        <f t="shared" si="1"/>
        <v/>
      </c>
      <c r="L26" s="14" t="str">
        <f>IF('Employee Input Yr2'!L26="","",'Employee Input Yr2'!L26)</f>
        <v/>
      </c>
      <c r="M26" s="10"/>
      <c r="N26" s="10"/>
      <c r="O26" s="10"/>
      <c r="P26" s="10"/>
      <c r="Q26" s="11"/>
      <c r="R26" s="12"/>
      <c r="S26" s="12"/>
      <c r="T26" s="12"/>
      <c r="U26" s="12"/>
      <c r="V26" s="12"/>
      <c r="W26" s="12"/>
      <c r="X26" s="12"/>
    </row>
    <row r="27" spans="2:24" x14ac:dyDescent="0.75">
      <c r="B27" s="14" t="str">
        <f>IF('Employee Input Yr2'!B27="","",'Employee Input Yr2'!B27)</f>
        <v/>
      </c>
      <c r="C27" s="14" t="str">
        <f>IF('Employee Input Yr2'!C27="","",'Employee Input Yr2'!C27)</f>
        <v/>
      </c>
      <c r="D27" s="14" t="str">
        <f>IF('Employee Input Yr2'!D27="","",'Employee Input Yr2'!D27)</f>
        <v/>
      </c>
      <c r="E27" s="14" t="str">
        <f>IF('Employee Input Yr2'!E27="","",'Employee Input Yr2'!E27)</f>
        <v/>
      </c>
      <c r="F27" s="14" t="str">
        <f>IF('Employee Input Yr2'!F27="","",'Employee Input Yr2'!F27)</f>
        <v/>
      </c>
      <c r="G27" s="155" t="str">
        <f>IF('Employee Input Yr2'!G27="","",'Employee Input Yr2'!G27*(1+$G$2))</f>
        <v/>
      </c>
      <c r="H27" s="10" t="str">
        <f t="shared" si="0"/>
        <v/>
      </c>
      <c r="I27" s="155" t="str">
        <f>IF('Employee Input Yr2'!I27="","",'Employee Input Yr2'!I27)</f>
        <v/>
      </c>
      <c r="J27" s="155" t="str">
        <f>IF('Employee Input Yr2'!J27="","",'Employee Input Yr2'!J27)</f>
        <v/>
      </c>
      <c r="K27" s="10" t="str">
        <f t="shared" si="1"/>
        <v/>
      </c>
      <c r="L27" s="14" t="str">
        <f>IF('Employee Input Yr2'!L27="","",'Employee Input Yr2'!L27)</f>
        <v/>
      </c>
      <c r="M27" s="10"/>
      <c r="N27" s="10"/>
      <c r="O27" s="10"/>
      <c r="P27" s="10"/>
      <c r="Q27" s="11"/>
      <c r="R27" s="12"/>
      <c r="S27" s="12"/>
      <c r="T27" s="12"/>
      <c r="U27" s="12"/>
      <c r="V27" s="12"/>
      <c r="W27" s="12"/>
      <c r="X27" s="12"/>
    </row>
    <row r="28" spans="2:24" x14ac:dyDescent="0.75">
      <c r="B28" s="14" t="str">
        <f>IF('Employee Input Yr2'!B28="","",'Employee Input Yr2'!B28)</f>
        <v/>
      </c>
      <c r="C28" s="14" t="str">
        <f>IF('Employee Input Yr2'!C28="","",'Employee Input Yr2'!C28)</f>
        <v/>
      </c>
      <c r="D28" s="14" t="str">
        <f>IF('Employee Input Yr2'!D28="","",'Employee Input Yr2'!D28)</f>
        <v/>
      </c>
      <c r="E28" s="14" t="str">
        <f>IF('Employee Input Yr2'!E28="","",'Employee Input Yr2'!E28)</f>
        <v/>
      </c>
      <c r="F28" s="14" t="str">
        <f>IF('Employee Input Yr2'!F28="","",'Employee Input Yr2'!F28)</f>
        <v/>
      </c>
      <c r="G28" s="155" t="str">
        <f>IF('Employee Input Yr2'!G28="","",'Employee Input Yr2'!G28*(1+$G$2))</f>
        <v/>
      </c>
      <c r="H28" s="10" t="str">
        <f t="shared" si="0"/>
        <v/>
      </c>
      <c r="I28" s="155" t="str">
        <f>IF('Employee Input Yr2'!I28="","",'Employee Input Yr2'!I28)</f>
        <v/>
      </c>
      <c r="J28" s="155" t="str">
        <f>IF('Employee Input Yr2'!J28="","",'Employee Input Yr2'!J28)</f>
        <v/>
      </c>
      <c r="K28" s="10" t="str">
        <f t="shared" si="1"/>
        <v/>
      </c>
      <c r="L28" s="14" t="str">
        <f>IF('Employee Input Yr2'!L28="","",'Employee Input Yr2'!L28)</f>
        <v/>
      </c>
      <c r="M28" s="10"/>
      <c r="N28" s="10"/>
      <c r="O28" s="10"/>
      <c r="P28" s="10"/>
      <c r="Q28" s="11"/>
      <c r="R28" s="12"/>
      <c r="S28" s="12"/>
      <c r="T28" s="12"/>
      <c r="U28" s="12"/>
      <c r="V28" s="12"/>
      <c r="W28" s="12"/>
      <c r="X28" s="12"/>
    </row>
    <row r="29" spans="2:24" x14ac:dyDescent="0.75">
      <c r="B29" s="14" t="str">
        <f>IF('Employee Input Yr2'!B29="","",'Employee Input Yr2'!B29)</f>
        <v/>
      </c>
      <c r="C29" s="14" t="str">
        <f>IF('Employee Input Yr2'!C29="","",'Employee Input Yr2'!C29)</f>
        <v/>
      </c>
      <c r="D29" s="14" t="str">
        <f>IF('Employee Input Yr2'!D29="","",'Employee Input Yr2'!D29)</f>
        <v/>
      </c>
      <c r="E29" s="14" t="str">
        <f>IF('Employee Input Yr2'!E29="","",'Employee Input Yr2'!E29)</f>
        <v/>
      </c>
      <c r="F29" s="14" t="str">
        <f>IF('Employee Input Yr2'!F29="","",'Employee Input Yr2'!F29)</f>
        <v/>
      </c>
      <c r="G29" s="155" t="str">
        <f>IF('Employee Input Yr2'!G29="","",'Employee Input Yr2'!G29*(1+$G$2))</f>
        <v/>
      </c>
      <c r="H29" s="10" t="str">
        <f t="shared" si="0"/>
        <v/>
      </c>
      <c r="I29" s="155" t="str">
        <f>IF('Employee Input Yr2'!I29="","",'Employee Input Yr2'!I29)</f>
        <v/>
      </c>
      <c r="J29" s="155" t="str">
        <f>IF('Employee Input Yr2'!J29="","",'Employee Input Yr2'!J29)</f>
        <v/>
      </c>
      <c r="K29" s="10" t="str">
        <f t="shared" si="1"/>
        <v/>
      </c>
      <c r="L29" s="14" t="str">
        <f>IF('Employee Input Yr2'!L29="","",'Employee Input Yr2'!L29)</f>
        <v/>
      </c>
      <c r="M29" s="10"/>
      <c r="N29" s="10"/>
      <c r="O29" s="10"/>
      <c r="P29" s="10"/>
      <c r="Q29" s="11"/>
      <c r="R29" s="12"/>
      <c r="S29" s="12"/>
      <c r="T29" s="12"/>
      <c r="U29" s="12"/>
      <c r="V29" s="12"/>
      <c r="W29" s="12"/>
      <c r="X29" s="12"/>
    </row>
    <row r="30" spans="2:24" x14ac:dyDescent="0.75">
      <c r="B30" s="14" t="str">
        <f>IF('Employee Input Yr2'!B30="","",'Employee Input Yr2'!B30)</f>
        <v/>
      </c>
      <c r="C30" s="14" t="str">
        <f>IF('Employee Input Yr2'!C30="","",'Employee Input Yr2'!C30)</f>
        <v/>
      </c>
      <c r="D30" s="14" t="str">
        <f>IF('Employee Input Yr2'!D30="","",'Employee Input Yr2'!D30)</f>
        <v/>
      </c>
      <c r="E30" s="14" t="str">
        <f>IF('Employee Input Yr2'!E30="","",'Employee Input Yr2'!E30)</f>
        <v/>
      </c>
      <c r="F30" s="14" t="str">
        <f>IF('Employee Input Yr2'!F30="","",'Employee Input Yr2'!F30)</f>
        <v/>
      </c>
      <c r="G30" s="155" t="str">
        <f>IF('Employee Input Yr2'!G30="","",'Employee Input Yr2'!G30*(1+$G$2))</f>
        <v/>
      </c>
      <c r="H30" s="10" t="str">
        <f t="shared" si="0"/>
        <v/>
      </c>
      <c r="I30" s="155" t="str">
        <f>IF('Employee Input Yr2'!I30="","",'Employee Input Yr2'!I30)</f>
        <v/>
      </c>
      <c r="J30" s="155" t="str">
        <f>IF('Employee Input Yr2'!J30="","",'Employee Input Yr2'!J30)</f>
        <v/>
      </c>
      <c r="K30" s="10" t="str">
        <f t="shared" si="1"/>
        <v/>
      </c>
      <c r="L30" s="14" t="str">
        <f>IF('Employee Input Yr2'!L30="","",'Employee Input Yr2'!L30)</f>
        <v/>
      </c>
      <c r="M30" s="10"/>
      <c r="N30" s="10"/>
      <c r="O30" s="10"/>
      <c r="P30" s="10"/>
      <c r="Q30" s="11"/>
      <c r="R30" s="12"/>
      <c r="S30" s="12"/>
      <c r="T30" s="12"/>
      <c r="U30" s="12"/>
      <c r="V30" s="12"/>
      <c r="W30" s="12"/>
      <c r="X30" s="12"/>
    </row>
    <row r="31" spans="2:24" x14ac:dyDescent="0.75">
      <c r="B31" s="14" t="str">
        <f>IF('Employee Input Yr2'!B31="","",'Employee Input Yr2'!B31)</f>
        <v/>
      </c>
      <c r="C31" s="14" t="str">
        <f>IF('Employee Input Yr2'!C31="","",'Employee Input Yr2'!C31)</f>
        <v/>
      </c>
      <c r="D31" s="14" t="str">
        <f>IF('Employee Input Yr2'!D31="","",'Employee Input Yr2'!D31)</f>
        <v/>
      </c>
      <c r="E31" s="14" t="str">
        <f>IF('Employee Input Yr2'!E31="","",'Employee Input Yr2'!E31)</f>
        <v/>
      </c>
      <c r="F31" s="14" t="str">
        <f>IF('Employee Input Yr2'!F31="","",'Employee Input Yr2'!F31)</f>
        <v/>
      </c>
      <c r="G31" s="155" t="str">
        <f>IF('Employee Input Yr2'!G31="","",'Employee Input Yr2'!G31*(1+$G$2))</f>
        <v/>
      </c>
      <c r="H31" s="10" t="str">
        <f t="shared" si="0"/>
        <v/>
      </c>
      <c r="I31" s="155" t="str">
        <f>IF('Employee Input Yr2'!I31="","",'Employee Input Yr2'!I31)</f>
        <v/>
      </c>
      <c r="J31" s="155" t="str">
        <f>IF('Employee Input Yr2'!J31="","",'Employee Input Yr2'!J31)</f>
        <v/>
      </c>
      <c r="K31" s="10" t="str">
        <f t="shared" si="1"/>
        <v/>
      </c>
      <c r="L31" s="14" t="str">
        <f>IF('Employee Input Yr2'!L31="","",'Employee Input Yr2'!L31)</f>
        <v/>
      </c>
    </row>
    <row r="32" spans="2:24" x14ac:dyDescent="0.75">
      <c r="B32" s="14" t="str">
        <f>IF('Employee Input Yr2'!B32="","",'Employee Input Yr2'!B32)</f>
        <v/>
      </c>
      <c r="C32" s="14" t="str">
        <f>IF('Employee Input Yr2'!C32="","",'Employee Input Yr2'!C32)</f>
        <v/>
      </c>
      <c r="D32" s="14" t="str">
        <f>IF('Employee Input Yr2'!D32="","",'Employee Input Yr2'!D32)</f>
        <v/>
      </c>
      <c r="E32" s="14" t="str">
        <f>IF('Employee Input Yr2'!E32="","",'Employee Input Yr2'!E32)</f>
        <v/>
      </c>
      <c r="F32" s="14" t="str">
        <f>IF('Employee Input Yr2'!F32="","",'Employee Input Yr2'!F32)</f>
        <v/>
      </c>
      <c r="G32" s="155" t="str">
        <f>IF('Employee Input Yr2'!G32="","",'Employee Input Yr2'!G32*(1+$G$2))</f>
        <v/>
      </c>
      <c r="H32" s="10" t="str">
        <f t="shared" si="0"/>
        <v/>
      </c>
      <c r="I32" s="155" t="str">
        <f>IF('Employee Input Yr2'!I32="","",'Employee Input Yr2'!I32)</f>
        <v/>
      </c>
      <c r="J32" s="155" t="str">
        <f>IF('Employee Input Yr2'!J32="","",'Employee Input Yr2'!J32)</f>
        <v/>
      </c>
      <c r="K32" s="10" t="str">
        <f t="shared" si="1"/>
        <v/>
      </c>
      <c r="L32" s="14" t="str">
        <f>IF('Employee Input Yr2'!L32="","",'Employee Input Yr2'!L32)</f>
        <v/>
      </c>
    </row>
    <row r="33" spans="2:12" x14ac:dyDescent="0.75">
      <c r="B33" s="14" t="str">
        <f>IF('Employee Input Yr2'!B33="","",'Employee Input Yr2'!B33)</f>
        <v/>
      </c>
      <c r="C33" s="14" t="str">
        <f>IF('Employee Input Yr2'!C33="","",'Employee Input Yr2'!C33)</f>
        <v/>
      </c>
      <c r="D33" s="14" t="str">
        <f>IF('Employee Input Yr2'!D33="","",'Employee Input Yr2'!D33)</f>
        <v/>
      </c>
      <c r="E33" s="14" t="str">
        <f>IF('Employee Input Yr2'!E33="","",'Employee Input Yr2'!E33)</f>
        <v/>
      </c>
      <c r="F33" s="14" t="str">
        <f>IF('Employee Input Yr2'!F33="","",'Employee Input Yr2'!F33)</f>
        <v/>
      </c>
      <c r="G33" s="155" t="str">
        <f>IF('Employee Input Yr2'!G33="","",'Employee Input Yr2'!G33*(1+$G$2))</f>
        <v/>
      </c>
      <c r="H33" s="10" t="str">
        <f t="shared" si="0"/>
        <v/>
      </c>
      <c r="I33" s="155" t="str">
        <f>IF('Employee Input Yr2'!I33="","",'Employee Input Yr2'!I33)</f>
        <v/>
      </c>
      <c r="J33" s="155" t="str">
        <f>IF('Employee Input Yr2'!J33="","",'Employee Input Yr2'!J33)</f>
        <v/>
      </c>
      <c r="K33" s="10" t="str">
        <f t="shared" si="1"/>
        <v/>
      </c>
      <c r="L33" s="14" t="str">
        <f>IF('Employee Input Yr2'!L33="","",'Employee Input Yr2'!L33)</f>
        <v/>
      </c>
    </row>
    <row r="34" spans="2:12" x14ac:dyDescent="0.75">
      <c r="B34" s="14" t="str">
        <f>IF('Employee Input Yr2'!B34="","",'Employee Input Yr2'!B34)</f>
        <v/>
      </c>
      <c r="C34" s="14" t="str">
        <f>IF('Employee Input Yr2'!C34="","",'Employee Input Yr2'!C34)</f>
        <v/>
      </c>
      <c r="D34" s="14" t="str">
        <f>IF('Employee Input Yr2'!D34="","",'Employee Input Yr2'!D34)</f>
        <v/>
      </c>
      <c r="E34" s="14" t="str">
        <f>IF('Employee Input Yr2'!E34="","",'Employee Input Yr2'!E34)</f>
        <v/>
      </c>
      <c r="F34" s="14" t="str">
        <f>IF('Employee Input Yr2'!F34="","",'Employee Input Yr2'!F34)</f>
        <v/>
      </c>
      <c r="G34" s="155" t="str">
        <f>IF('Employee Input Yr2'!G34="","",'Employee Input Yr2'!G34*(1+$G$2))</f>
        <v/>
      </c>
      <c r="H34" s="10" t="str">
        <f t="shared" si="0"/>
        <v/>
      </c>
      <c r="I34" s="155" t="str">
        <f>IF('Employee Input Yr2'!I34="","",'Employee Input Yr2'!I34)</f>
        <v/>
      </c>
      <c r="J34" s="155" t="str">
        <f>IF('Employee Input Yr2'!J34="","",'Employee Input Yr2'!J34)</f>
        <v/>
      </c>
      <c r="K34" s="10" t="str">
        <f t="shared" si="1"/>
        <v/>
      </c>
      <c r="L34" s="14" t="str">
        <f>IF('Employee Input Yr2'!L34="","",'Employee Input Yr2'!L34)</f>
        <v/>
      </c>
    </row>
    <row r="35" spans="2:12" x14ac:dyDescent="0.75">
      <c r="B35" s="14" t="str">
        <f>IF('Employee Input Yr2'!B35="","",'Employee Input Yr2'!B35)</f>
        <v/>
      </c>
      <c r="C35" s="14" t="str">
        <f>IF('Employee Input Yr2'!C35="","",'Employee Input Yr2'!C35)</f>
        <v/>
      </c>
      <c r="D35" s="14" t="str">
        <f>IF('Employee Input Yr2'!D35="","",'Employee Input Yr2'!D35)</f>
        <v/>
      </c>
      <c r="E35" s="14" t="str">
        <f>IF('Employee Input Yr2'!E35="","",'Employee Input Yr2'!E35)</f>
        <v/>
      </c>
      <c r="F35" s="14" t="str">
        <f>IF('Employee Input Yr2'!F35="","",'Employee Input Yr2'!F35)</f>
        <v/>
      </c>
      <c r="G35" s="155" t="str">
        <f>IF('Employee Input Yr2'!G35="","",'Employee Input Yr2'!G35*(1+$G$2))</f>
        <v/>
      </c>
      <c r="H35" s="10" t="str">
        <f t="shared" si="0"/>
        <v/>
      </c>
      <c r="I35" s="155" t="str">
        <f>IF('Employee Input Yr2'!I35="","",'Employee Input Yr2'!I35)</f>
        <v/>
      </c>
      <c r="J35" s="155" t="str">
        <f>IF('Employee Input Yr2'!J35="","",'Employee Input Yr2'!J35)</f>
        <v/>
      </c>
      <c r="K35" s="10" t="str">
        <f t="shared" si="1"/>
        <v/>
      </c>
      <c r="L35" s="14" t="str">
        <f>IF('Employee Input Yr2'!L35="","",'Employee Input Yr2'!L35)</f>
        <v/>
      </c>
    </row>
    <row r="36" spans="2:12" hidden="1" outlineLevel="1" x14ac:dyDescent="0.75">
      <c r="B36" s="14" t="str">
        <f>IF('Employee Input Yr2'!B36="","",'Employee Input Yr2'!B36)</f>
        <v/>
      </c>
      <c r="C36" s="14" t="str">
        <f>IF('Employee Input Yr2'!C36="","",'Employee Input Yr2'!C36)</f>
        <v/>
      </c>
      <c r="D36" s="14" t="str">
        <f>IF('Employee Input Yr2'!D36="","",'Employee Input Yr2'!D36)</f>
        <v/>
      </c>
      <c r="E36" s="14" t="str">
        <f>IF('Employee Input Yr2'!E36="","",'Employee Input Yr2'!E36)</f>
        <v/>
      </c>
      <c r="F36" s="14" t="str">
        <f>IF('Employee Input Yr2'!F36="","",'Employee Input Yr2'!F36)</f>
        <v/>
      </c>
      <c r="G36" s="155" t="str">
        <f>IF('Employee Input Yr2'!G36="","",'Employee Input Yr2'!G36)</f>
        <v/>
      </c>
      <c r="H36" s="10" t="str">
        <f t="shared" si="0"/>
        <v/>
      </c>
      <c r="I36" s="155" t="str">
        <f>IF('Employee Input Yr2'!I36="","",'Employee Input Yr2'!I36)</f>
        <v/>
      </c>
      <c r="J36" s="155" t="str">
        <f>IF('Employee Input Yr2'!J36="","",'Employee Input Yr2'!J36)</f>
        <v/>
      </c>
      <c r="K36" s="10" t="str">
        <f t="shared" si="1"/>
        <v/>
      </c>
      <c r="L36" s="14" t="str">
        <f>IF('Employee Input Yr2'!L36="","",'Employee Input Yr2'!L36)</f>
        <v/>
      </c>
    </row>
    <row r="37" spans="2:12" hidden="1" outlineLevel="1" x14ac:dyDescent="0.75">
      <c r="B37" s="14" t="str">
        <f>IF('Employee Input Yr2'!B37="","",'Employee Input Yr2'!B37)</f>
        <v/>
      </c>
      <c r="C37" s="14" t="str">
        <f>IF('Employee Input Yr2'!C37="","",'Employee Input Yr2'!C37)</f>
        <v/>
      </c>
      <c r="D37" s="14" t="str">
        <f>IF('Employee Input Yr2'!D37="","",'Employee Input Yr2'!D37)</f>
        <v/>
      </c>
      <c r="E37" s="14" t="str">
        <f>IF('Employee Input Yr2'!E37="","",'Employee Input Yr2'!E37)</f>
        <v/>
      </c>
      <c r="F37" s="14" t="str">
        <f>IF('Employee Input Yr2'!F37="","",'Employee Input Yr2'!F37)</f>
        <v/>
      </c>
      <c r="G37" s="155" t="str">
        <f>IF('Employee Input Yr2'!G37="","",'Employee Input Yr2'!G37)</f>
        <v/>
      </c>
      <c r="H37" s="10" t="str">
        <f t="shared" si="0"/>
        <v/>
      </c>
      <c r="I37" s="155" t="str">
        <f>IF('Employee Input Yr2'!I37="","",'Employee Input Yr2'!I37)</f>
        <v/>
      </c>
      <c r="J37" s="155" t="str">
        <f>IF('Employee Input Yr2'!J37="","",'Employee Input Yr2'!J37)</f>
        <v/>
      </c>
      <c r="K37" s="10" t="str">
        <f t="shared" si="1"/>
        <v/>
      </c>
      <c r="L37" s="14" t="str">
        <f>IF('Employee Input Yr2'!L37="","",'Employee Input Yr2'!L37)</f>
        <v/>
      </c>
    </row>
    <row r="38" spans="2:12" hidden="1" outlineLevel="1" x14ac:dyDescent="0.75">
      <c r="B38" s="14" t="str">
        <f>IF('Employee Input Yr2'!B38="","",'Employee Input Yr2'!B38)</f>
        <v/>
      </c>
      <c r="C38" s="14" t="str">
        <f>IF('Employee Input Yr2'!C38="","",'Employee Input Yr2'!C38)</f>
        <v/>
      </c>
      <c r="D38" s="14" t="str">
        <f>IF('Employee Input Yr2'!D38="","",'Employee Input Yr2'!D38)</f>
        <v/>
      </c>
      <c r="E38" s="14" t="str">
        <f>IF('Employee Input Yr2'!E38="","",'Employee Input Yr2'!E38)</f>
        <v/>
      </c>
      <c r="F38" s="14" t="str">
        <f>IF('Employee Input Yr2'!F38="","",'Employee Input Yr2'!F38)</f>
        <v/>
      </c>
      <c r="G38" s="155" t="str">
        <f>IF('Employee Input Yr2'!G38="","",'Employee Input Yr2'!G38)</f>
        <v/>
      </c>
      <c r="H38" s="10" t="str">
        <f t="shared" si="0"/>
        <v/>
      </c>
      <c r="I38" s="155" t="str">
        <f>IF('Employee Input Yr2'!I38="","",'Employee Input Yr2'!I38)</f>
        <v/>
      </c>
      <c r="J38" s="155" t="str">
        <f>IF('Employee Input Yr2'!J38="","",'Employee Input Yr2'!J38)</f>
        <v/>
      </c>
      <c r="K38" s="10" t="str">
        <f t="shared" si="1"/>
        <v/>
      </c>
      <c r="L38" s="14" t="str">
        <f>IF('Employee Input Yr2'!L38="","",'Employee Input Yr2'!L38)</f>
        <v/>
      </c>
    </row>
    <row r="39" spans="2:12" hidden="1" outlineLevel="1" x14ac:dyDescent="0.75">
      <c r="B39" s="14" t="str">
        <f>IF('Employee Input Yr2'!B39="","",'Employee Input Yr2'!B39)</f>
        <v/>
      </c>
      <c r="C39" s="14" t="str">
        <f>IF('Employee Input Yr2'!C39="","",'Employee Input Yr2'!C39)</f>
        <v/>
      </c>
      <c r="D39" s="14" t="str">
        <f>IF('Employee Input Yr2'!D39="","",'Employee Input Yr2'!D39)</f>
        <v/>
      </c>
      <c r="E39" s="14" t="str">
        <f>IF('Employee Input Yr2'!E39="","",'Employee Input Yr2'!E39)</f>
        <v/>
      </c>
      <c r="F39" s="14" t="str">
        <f>IF('Employee Input Yr2'!F39="","",'Employee Input Yr2'!F39)</f>
        <v/>
      </c>
      <c r="G39" s="155" t="str">
        <f>IF('Employee Input Yr2'!G39="","",'Employee Input Yr2'!G39)</f>
        <v/>
      </c>
      <c r="H39" s="10" t="str">
        <f t="shared" si="0"/>
        <v/>
      </c>
      <c r="I39" s="155" t="str">
        <f>IF('Employee Input Yr2'!I39="","",'Employee Input Yr2'!I39)</f>
        <v/>
      </c>
      <c r="J39" s="155" t="str">
        <f>IF('Employee Input Yr2'!J39="","",'Employee Input Yr2'!J39)</f>
        <v/>
      </c>
      <c r="K39" s="10" t="str">
        <f t="shared" si="1"/>
        <v/>
      </c>
      <c r="L39" s="14" t="str">
        <f>IF('Employee Input Yr2'!L39="","",'Employee Input Yr2'!L39)</f>
        <v/>
      </c>
    </row>
    <row r="40" spans="2:12" hidden="1" outlineLevel="1" x14ac:dyDescent="0.75">
      <c r="B40" s="14" t="str">
        <f>IF('Employee Input Yr2'!B40="","",'Employee Input Yr2'!B40)</f>
        <v/>
      </c>
      <c r="C40" s="14" t="str">
        <f>IF('Employee Input Yr2'!C40="","",'Employee Input Yr2'!C40)</f>
        <v/>
      </c>
      <c r="D40" s="14" t="str">
        <f>IF('Employee Input Yr2'!D40="","",'Employee Input Yr2'!D40)</f>
        <v/>
      </c>
      <c r="E40" s="14" t="str">
        <f>IF('Employee Input Yr2'!E40="","",'Employee Input Yr2'!E40)</f>
        <v/>
      </c>
      <c r="F40" s="14" t="str">
        <f>IF('Employee Input Yr2'!F40="","",'Employee Input Yr2'!F40)</f>
        <v/>
      </c>
      <c r="G40" s="155" t="str">
        <f>IF('Employee Input Yr2'!G40="","",'Employee Input Yr2'!G40)</f>
        <v/>
      </c>
      <c r="H40" s="10" t="str">
        <f t="shared" si="0"/>
        <v/>
      </c>
      <c r="I40" s="155" t="str">
        <f>IF('Employee Input Yr2'!I40="","",'Employee Input Yr2'!I40)</f>
        <v/>
      </c>
      <c r="J40" s="155" t="str">
        <f>IF('Employee Input Yr2'!J40="","",'Employee Input Yr2'!J40)</f>
        <v/>
      </c>
      <c r="K40" s="10" t="str">
        <f t="shared" si="1"/>
        <v/>
      </c>
      <c r="L40" s="14" t="str">
        <f>IF('Employee Input Yr2'!L40="","",'Employee Input Yr2'!L40)</f>
        <v/>
      </c>
    </row>
    <row r="41" spans="2:12" hidden="1" outlineLevel="1" x14ac:dyDescent="0.75">
      <c r="B41" s="14" t="str">
        <f>IF('Employee Input Yr2'!B41="","",'Employee Input Yr2'!B41)</f>
        <v/>
      </c>
      <c r="C41" s="14" t="str">
        <f>IF('Employee Input Yr2'!C41="","",'Employee Input Yr2'!C41)</f>
        <v/>
      </c>
      <c r="D41" s="14" t="str">
        <f>IF('Employee Input Yr2'!D41="","",'Employee Input Yr2'!D41)</f>
        <v/>
      </c>
      <c r="E41" s="14" t="str">
        <f>IF('Employee Input Yr2'!E41="","",'Employee Input Yr2'!E41)</f>
        <v/>
      </c>
      <c r="F41" s="14" t="str">
        <f>IF('Employee Input Yr2'!F41="","",'Employee Input Yr2'!F41)</f>
        <v/>
      </c>
      <c r="G41" s="155" t="str">
        <f>IF('Employee Input Yr2'!G41="","",'Employee Input Yr2'!G41)</f>
        <v/>
      </c>
      <c r="H41" s="10" t="str">
        <f t="shared" si="0"/>
        <v/>
      </c>
      <c r="I41" s="155" t="str">
        <f>IF('Employee Input Yr2'!I41="","",'Employee Input Yr2'!I41)</f>
        <v/>
      </c>
      <c r="J41" s="155" t="str">
        <f>IF('Employee Input Yr2'!J41="","",'Employee Input Yr2'!J41)</f>
        <v/>
      </c>
      <c r="K41" s="10" t="str">
        <f t="shared" si="1"/>
        <v/>
      </c>
      <c r="L41" s="14" t="str">
        <f>IF('Employee Input Yr2'!L41="","",'Employee Input Yr2'!L41)</f>
        <v/>
      </c>
    </row>
    <row r="42" spans="2:12" hidden="1" outlineLevel="1" x14ac:dyDescent="0.75">
      <c r="B42" s="14" t="str">
        <f>IF('Employee Input Yr2'!B42="","",'Employee Input Yr2'!B42)</f>
        <v/>
      </c>
      <c r="C42" s="14" t="str">
        <f>IF('Employee Input Yr2'!C42="","",'Employee Input Yr2'!C42)</f>
        <v/>
      </c>
      <c r="D42" s="14" t="str">
        <f>IF('Employee Input Yr2'!D42="","",'Employee Input Yr2'!D42)</f>
        <v/>
      </c>
      <c r="E42" s="14" t="str">
        <f>IF('Employee Input Yr2'!E42="","",'Employee Input Yr2'!E42)</f>
        <v/>
      </c>
      <c r="F42" s="14" t="str">
        <f>IF('Employee Input Yr2'!F42="","",'Employee Input Yr2'!F42)</f>
        <v/>
      </c>
      <c r="G42" s="155" t="str">
        <f>IF('Employee Input Yr2'!G42="","",'Employee Input Yr2'!G42)</f>
        <v/>
      </c>
      <c r="H42" s="10" t="str">
        <f t="shared" si="0"/>
        <v/>
      </c>
      <c r="I42" s="155" t="str">
        <f>IF('Employee Input Yr2'!I42="","",'Employee Input Yr2'!I42)</f>
        <v/>
      </c>
      <c r="J42" s="155" t="str">
        <f>IF('Employee Input Yr2'!J42="","",'Employee Input Yr2'!J42)</f>
        <v/>
      </c>
      <c r="K42" s="10" t="str">
        <f t="shared" si="1"/>
        <v/>
      </c>
      <c r="L42" s="14" t="str">
        <f>IF('Employee Input Yr2'!L42="","",'Employee Input Yr2'!L42)</f>
        <v/>
      </c>
    </row>
    <row r="43" spans="2:12" hidden="1" outlineLevel="1" x14ac:dyDescent="0.75">
      <c r="B43" s="14" t="str">
        <f>IF('Employee Input Yr2'!B43="","",'Employee Input Yr2'!B43)</f>
        <v/>
      </c>
      <c r="C43" s="14" t="str">
        <f>IF('Employee Input Yr2'!C43="","",'Employee Input Yr2'!C43)</f>
        <v/>
      </c>
      <c r="D43" s="14" t="str">
        <f>IF('Employee Input Yr2'!D43="","",'Employee Input Yr2'!D43)</f>
        <v/>
      </c>
      <c r="E43" s="14" t="str">
        <f>IF('Employee Input Yr2'!E43="","",'Employee Input Yr2'!E43)</f>
        <v/>
      </c>
      <c r="F43" s="14" t="str">
        <f>IF('Employee Input Yr2'!F43="","",'Employee Input Yr2'!F43)</f>
        <v/>
      </c>
      <c r="G43" s="155" t="str">
        <f>IF('Employee Input Yr2'!G43="","",'Employee Input Yr2'!G43)</f>
        <v/>
      </c>
      <c r="H43" s="10" t="str">
        <f t="shared" si="0"/>
        <v/>
      </c>
      <c r="I43" s="155" t="str">
        <f>IF('Employee Input Yr2'!I43="","",'Employee Input Yr2'!I43)</f>
        <v/>
      </c>
      <c r="J43" s="155" t="str">
        <f>IF('Employee Input Yr2'!J43="","",'Employee Input Yr2'!J43)</f>
        <v/>
      </c>
      <c r="K43" s="10" t="str">
        <f t="shared" si="1"/>
        <v/>
      </c>
      <c r="L43" s="14" t="str">
        <f>IF('Employee Input Yr2'!L43="","",'Employee Input Yr2'!L43)</f>
        <v/>
      </c>
    </row>
    <row r="44" spans="2:12" hidden="1" outlineLevel="1" x14ac:dyDescent="0.75">
      <c r="B44" s="14" t="str">
        <f>IF('Employee Input Yr2'!B44="","",'Employee Input Yr2'!B44)</f>
        <v/>
      </c>
      <c r="C44" s="14" t="str">
        <f>IF('Employee Input Yr2'!C44="","",'Employee Input Yr2'!C44)</f>
        <v/>
      </c>
      <c r="D44" s="14" t="str">
        <f>IF('Employee Input Yr2'!D44="","",'Employee Input Yr2'!D44)</f>
        <v/>
      </c>
      <c r="E44" s="14" t="str">
        <f>IF('Employee Input Yr2'!E44="","",'Employee Input Yr2'!E44)</f>
        <v/>
      </c>
      <c r="F44" s="14" t="str">
        <f>IF('Employee Input Yr2'!F44="","",'Employee Input Yr2'!F44)</f>
        <v/>
      </c>
      <c r="G44" s="155" t="str">
        <f>IF('Employee Input Yr2'!G44="","",'Employee Input Yr2'!G44)</f>
        <v/>
      </c>
      <c r="H44" s="10" t="str">
        <f t="shared" si="0"/>
        <v/>
      </c>
      <c r="I44" s="155" t="str">
        <f>IF('Employee Input Yr2'!I44="","",'Employee Input Yr2'!I44)</f>
        <v/>
      </c>
      <c r="J44" s="155" t="str">
        <f>IF('Employee Input Yr2'!J44="","",'Employee Input Yr2'!J44)</f>
        <v/>
      </c>
      <c r="K44" s="10" t="str">
        <f t="shared" si="1"/>
        <v/>
      </c>
      <c r="L44" s="14" t="str">
        <f>IF('Employee Input Yr2'!L44="","",'Employee Input Yr2'!L44)</f>
        <v/>
      </c>
    </row>
    <row r="45" spans="2:12" hidden="1" outlineLevel="1" x14ac:dyDescent="0.75">
      <c r="B45" s="14" t="str">
        <f>IF('Employee Input Yr2'!B45="","",'Employee Input Yr2'!B45)</f>
        <v/>
      </c>
      <c r="C45" s="14" t="str">
        <f>IF('Employee Input Yr2'!C45="","",'Employee Input Yr2'!C45)</f>
        <v/>
      </c>
      <c r="D45" s="14" t="str">
        <f>IF('Employee Input Yr2'!D45="","",'Employee Input Yr2'!D45)</f>
        <v/>
      </c>
      <c r="E45" s="14" t="str">
        <f>IF('Employee Input Yr2'!E45="","",'Employee Input Yr2'!E45)</f>
        <v/>
      </c>
      <c r="F45" s="14" t="str">
        <f>IF('Employee Input Yr2'!F45="","",'Employee Input Yr2'!F45)</f>
        <v/>
      </c>
      <c r="G45" s="155" t="str">
        <f>IF('Employee Input Yr2'!G45="","",'Employee Input Yr2'!G45)</f>
        <v/>
      </c>
      <c r="H45" s="10" t="str">
        <f t="shared" si="0"/>
        <v/>
      </c>
      <c r="I45" s="155" t="str">
        <f>IF('Employee Input Yr2'!I45="","",'Employee Input Yr2'!I45)</f>
        <v/>
      </c>
      <c r="J45" s="155" t="str">
        <f>IF('Employee Input Yr2'!J45="","",'Employee Input Yr2'!J45)</f>
        <v/>
      </c>
      <c r="K45" s="10" t="str">
        <f t="shared" si="1"/>
        <v/>
      </c>
      <c r="L45" s="14" t="str">
        <f>IF('Employee Input Yr2'!L45="","",'Employee Input Yr2'!L45)</f>
        <v/>
      </c>
    </row>
    <row r="46" spans="2:12" hidden="1" outlineLevel="1" x14ac:dyDescent="0.75">
      <c r="B46" s="14" t="str">
        <f>IF('Employee Input Yr2'!B46="","",'Employee Input Yr2'!B46)</f>
        <v/>
      </c>
      <c r="C46" s="14" t="str">
        <f>IF('Employee Input Yr2'!C46="","",'Employee Input Yr2'!C46)</f>
        <v/>
      </c>
      <c r="D46" s="14" t="str">
        <f>IF('Employee Input Yr2'!D46="","",'Employee Input Yr2'!D46)</f>
        <v/>
      </c>
      <c r="E46" s="14" t="str">
        <f>IF('Employee Input Yr2'!E46="","",'Employee Input Yr2'!E46)</f>
        <v/>
      </c>
      <c r="F46" s="14" t="str">
        <f>IF('Employee Input Yr2'!F46="","",'Employee Input Yr2'!F46)</f>
        <v/>
      </c>
      <c r="G46" s="155" t="str">
        <f>IF('Employee Input Yr2'!G46="","",'Employee Input Yr2'!G46)</f>
        <v/>
      </c>
      <c r="H46" s="10" t="str">
        <f t="shared" si="0"/>
        <v/>
      </c>
      <c r="I46" s="155" t="str">
        <f>IF('Employee Input Yr2'!I46="","",'Employee Input Yr2'!I46)</f>
        <v/>
      </c>
      <c r="J46" s="155" t="str">
        <f>IF('Employee Input Yr2'!J46="","",'Employee Input Yr2'!J46)</f>
        <v/>
      </c>
      <c r="K46" s="10" t="str">
        <f t="shared" si="1"/>
        <v/>
      </c>
      <c r="L46" s="14" t="str">
        <f>IF('Employee Input Yr2'!L46="","",'Employee Input Yr2'!L46)</f>
        <v/>
      </c>
    </row>
    <row r="47" spans="2:12" hidden="1" outlineLevel="1" x14ac:dyDescent="0.75">
      <c r="B47" s="14" t="str">
        <f>IF('Employee Input Yr2'!B47="","",'Employee Input Yr2'!B47)</f>
        <v/>
      </c>
      <c r="C47" s="14" t="str">
        <f>IF('Employee Input Yr2'!C47="","",'Employee Input Yr2'!C47)</f>
        <v/>
      </c>
      <c r="D47" s="14" t="str">
        <f>IF('Employee Input Yr2'!D47="","",'Employee Input Yr2'!D47)</f>
        <v/>
      </c>
      <c r="E47" s="14" t="str">
        <f>IF('Employee Input Yr2'!E47="","",'Employee Input Yr2'!E47)</f>
        <v/>
      </c>
      <c r="F47" s="14" t="str">
        <f>IF('Employee Input Yr2'!F47="","",'Employee Input Yr2'!F47)</f>
        <v/>
      </c>
      <c r="G47" s="155" t="str">
        <f>IF('Employee Input Yr2'!G47="","",'Employee Input Yr2'!G47)</f>
        <v/>
      </c>
      <c r="H47" s="10" t="str">
        <f t="shared" si="0"/>
        <v/>
      </c>
      <c r="I47" s="155" t="str">
        <f>IF('Employee Input Yr2'!I47="","",'Employee Input Yr2'!I47)</f>
        <v/>
      </c>
      <c r="J47" s="155" t="str">
        <f>IF('Employee Input Yr2'!J47="","",'Employee Input Yr2'!J47)</f>
        <v/>
      </c>
      <c r="K47" s="10" t="str">
        <f t="shared" si="1"/>
        <v/>
      </c>
      <c r="L47" s="14" t="str">
        <f>IF('Employee Input Yr2'!L47="","",'Employee Input Yr2'!L47)</f>
        <v/>
      </c>
    </row>
    <row r="48" spans="2:12" hidden="1" outlineLevel="1" x14ac:dyDescent="0.75">
      <c r="B48" s="14" t="str">
        <f>IF('Employee Input Yr2'!B48="","",'Employee Input Yr2'!B48)</f>
        <v/>
      </c>
      <c r="C48" s="14" t="str">
        <f>IF('Employee Input Yr2'!C48="","",'Employee Input Yr2'!C48)</f>
        <v/>
      </c>
      <c r="D48" s="14" t="str">
        <f>IF('Employee Input Yr2'!D48="","",'Employee Input Yr2'!D48)</f>
        <v/>
      </c>
      <c r="E48" s="14" t="str">
        <f>IF('Employee Input Yr2'!E48="","",'Employee Input Yr2'!E48)</f>
        <v/>
      </c>
      <c r="F48" s="14" t="str">
        <f>IF('Employee Input Yr2'!F48="","",'Employee Input Yr2'!F48)</f>
        <v/>
      </c>
      <c r="G48" s="155" t="str">
        <f>IF('Employee Input Yr2'!G48="","",'Employee Input Yr2'!G48)</f>
        <v/>
      </c>
      <c r="H48" s="10" t="str">
        <f t="shared" si="0"/>
        <v/>
      </c>
      <c r="I48" s="155" t="str">
        <f>IF('Employee Input Yr2'!I48="","",'Employee Input Yr2'!I48)</f>
        <v/>
      </c>
      <c r="J48" s="155" t="str">
        <f>IF('Employee Input Yr2'!J48="","",'Employee Input Yr2'!J48)</f>
        <v/>
      </c>
      <c r="K48" s="10" t="str">
        <f t="shared" si="1"/>
        <v/>
      </c>
      <c r="L48" s="14" t="str">
        <f>IF('Employee Input Yr2'!L48="","",'Employee Input Yr2'!L48)</f>
        <v/>
      </c>
    </row>
    <row r="49" spans="1:24" hidden="1" outlineLevel="1" x14ac:dyDescent="0.75">
      <c r="B49" s="14" t="str">
        <f>IF('Employee Input Yr2'!B49="","",'Employee Input Yr2'!B49)</f>
        <v/>
      </c>
      <c r="C49" s="14" t="str">
        <f>IF('Employee Input Yr2'!C49="","",'Employee Input Yr2'!C49)</f>
        <v/>
      </c>
      <c r="D49" s="14" t="str">
        <f>IF('Employee Input Yr2'!D49="","",'Employee Input Yr2'!D49)</f>
        <v/>
      </c>
      <c r="E49" s="14" t="str">
        <f>IF('Employee Input Yr2'!E49="","",'Employee Input Yr2'!E49)</f>
        <v/>
      </c>
      <c r="F49" s="14" t="str">
        <f>IF('Employee Input Yr2'!F49="","",'Employee Input Yr2'!F49)</f>
        <v/>
      </c>
      <c r="G49" s="155" t="str">
        <f>IF('Employee Input Yr2'!G49="","",'Employee Input Yr2'!G49)</f>
        <v/>
      </c>
      <c r="H49" s="10" t="str">
        <f t="shared" si="0"/>
        <v/>
      </c>
      <c r="I49" s="155" t="str">
        <f>IF('Employee Input Yr2'!I49="","",'Employee Input Yr2'!I49)</f>
        <v/>
      </c>
      <c r="J49" s="155" t="str">
        <f>IF('Employee Input Yr2'!J49="","",'Employee Input Yr2'!J49)</f>
        <v/>
      </c>
      <c r="K49" s="10" t="str">
        <f t="shared" si="1"/>
        <v/>
      </c>
      <c r="L49" s="14" t="str">
        <f>IF('Employee Input Yr2'!L49="","",'Employee Input Yr2'!L49)</f>
        <v/>
      </c>
    </row>
    <row r="50" spans="1:24" hidden="1" outlineLevel="1" x14ac:dyDescent="0.75">
      <c r="B50" s="14" t="str">
        <f>IF('Employee Input Yr2'!B50="","",'Employee Input Yr2'!B50)</f>
        <v/>
      </c>
      <c r="C50" s="14" t="str">
        <f>IF('Employee Input Yr2'!C50="","",'Employee Input Yr2'!C50)</f>
        <v/>
      </c>
      <c r="D50" s="14" t="str">
        <f>IF('Employee Input Yr2'!D50="","",'Employee Input Yr2'!D50)</f>
        <v/>
      </c>
      <c r="E50" s="14" t="str">
        <f>IF('Employee Input Yr2'!E50="","",'Employee Input Yr2'!E50)</f>
        <v/>
      </c>
      <c r="F50" s="14" t="str">
        <f>IF('Employee Input Yr2'!F50="","",'Employee Input Yr2'!F50)</f>
        <v/>
      </c>
      <c r="G50" s="155" t="str">
        <f>IF('Employee Input Yr2'!G50="","",'Employee Input Yr2'!G50)</f>
        <v/>
      </c>
      <c r="H50" s="10" t="str">
        <f t="shared" si="0"/>
        <v/>
      </c>
      <c r="I50" s="155" t="str">
        <f>IF('Employee Input Yr2'!I50="","",'Employee Input Yr2'!I50)</f>
        <v/>
      </c>
      <c r="J50" s="155" t="str">
        <f>IF('Employee Input Yr2'!J50="","",'Employee Input Yr2'!J50)</f>
        <v/>
      </c>
      <c r="K50" s="10" t="str">
        <f t="shared" si="1"/>
        <v/>
      </c>
      <c r="L50" s="14" t="str">
        <f>IF('Employee Input Yr2'!L50="","",'Employee Input Yr2'!L50)</f>
        <v/>
      </c>
    </row>
    <row r="51" spans="1:24" hidden="1" outlineLevel="1" x14ac:dyDescent="0.75">
      <c r="B51" s="14" t="str">
        <f>IF('Employee Input Yr2'!B51="","",'Employee Input Yr2'!B51)</f>
        <v/>
      </c>
      <c r="C51" s="14" t="str">
        <f>IF('Employee Input Yr2'!C51="","",'Employee Input Yr2'!C51)</f>
        <v/>
      </c>
      <c r="D51" s="14" t="str">
        <f>IF('Employee Input Yr2'!D51="","",'Employee Input Yr2'!D51)</f>
        <v/>
      </c>
      <c r="E51" s="14" t="str">
        <f>IF('Employee Input Yr2'!E51="","",'Employee Input Yr2'!E51)</f>
        <v/>
      </c>
      <c r="F51" s="14" t="str">
        <f>IF('Employee Input Yr2'!F51="","",'Employee Input Yr2'!F51)</f>
        <v/>
      </c>
      <c r="G51" s="155" t="str">
        <f>IF('Employee Input Yr2'!G51="","",'Employee Input Yr2'!G51)</f>
        <v/>
      </c>
      <c r="H51" s="10" t="str">
        <f t="shared" si="0"/>
        <v/>
      </c>
      <c r="I51" s="155" t="str">
        <f>IF('Employee Input Yr2'!I51="","",'Employee Input Yr2'!I51)</f>
        <v/>
      </c>
      <c r="J51" s="155" t="str">
        <f>IF('Employee Input Yr2'!J51="","",'Employee Input Yr2'!J51)</f>
        <v/>
      </c>
      <c r="K51" s="10" t="str">
        <f t="shared" si="1"/>
        <v/>
      </c>
      <c r="L51" s="14" t="str">
        <f>IF('Employee Input Yr2'!L51="","",'Employee Input Yr2'!L51)</f>
        <v/>
      </c>
    </row>
    <row r="52" spans="1:24" hidden="1" outlineLevel="1" x14ac:dyDescent="0.75">
      <c r="B52" s="14" t="str">
        <f>IF('Employee Input Yr2'!B52="","",'Employee Input Yr2'!B52)</f>
        <v/>
      </c>
      <c r="C52" s="14" t="str">
        <f>IF('Employee Input Yr2'!C52="","",'Employee Input Yr2'!C52)</f>
        <v/>
      </c>
      <c r="D52" s="14" t="str">
        <f>IF('Employee Input Yr2'!D52="","",'Employee Input Yr2'!D52)</f>
        <v/>
      </c>
      <c r="E52" s="14" t="str">
        <f>IF('Employee Input Yr2'!E52="","",'Employee Input Yr2'!E52)</f>
        <v/>
      </c>
      <c r="F52" s="14" t="str">
        <f>IF('Employee Input Yr2'!F52="","",'Employee Input Yr2'!F52)</f>
        <v/>
      </c>
      <c r="G52" s="155" t="str">
        <f>IF('Employee Input Yr2'!G52="","",'Employee Input Yr2'!G52)</f>
        <v/>
      </c>
      <c r="H52" s="10" t="str">
        <f t="shared" si="0"/>
        <v/>
      </c>
      <c r="I52" s="155" t="str">
        <f>IF('Employee Input Yr2'!I52="","",'Employee Input Yr2'!I52)</f>
        <v/>
      </c>
      <c r="J52" s="155" t="str">
        <f>IF('Employee Input Yr2'!J52="","",'Employee Input Yr2'!J52)</f>
        <v/>
      </c>
      <c r="K52" s="10" t="str">
        <f t="shared" si="1"/>
        <v/>
      </c>
      <c r="L52" s="14" t="str">
        <f>IF('Employee Input Yr2'!L52="","",'Employee Input Yr2'!L52)</f>
        <v/>
      </c>
    </row>
    <row r="53" spans="1:24" hidden="1" outlineLevel="1" x14ac:dyDescent="0.75">
      <c r="B53" s="14" t="str">
        <f>IF('Employee Input Yr2'!B53="","",'Employee Input Yr2'!B53)</f>
        <v/>
      </c>
      <c r="C53" s="14" t="str">
        <f>IF('Employee Input Yr2'!C53="","",'Employee Input Yr2'!C53)</f>
        <v/>
      </c>
      <c r="D53" s="14" t="str">
        <f>IF('Employee Input Yr2'!D53="","",'Employee Input Yr2'!D53)</f>
        <v/>
      </c>
      <c r="E53" s="14" t="str">
        <f>IF('Employee Input Yr2'!E53="","",'Employee Input Yr2'!E53)</f>
        <v/>
      </c>
      <c r="F53" s="14" t="str">
        <f>IF('Employee Input Yr2'!F53="","",'Employee Input Yr2'!F53)</f>
        <v/>
      </c>
      <c r="G53" s="155" t="str">
        <f>IF('Employee Input Yr2'!G53="","",'Employee Input Yr2'!G53)</f>
        <v/>
      </c>
      <c r="H53" s="10" t="str">
        <f t="shared" si="0"/>
        <v/>
      </c>
      <c r="I53" s="155" t="str">
        <f>IF('Employee Input Yr2'!I53="","",'Employee Input Yr2'!I53)</f>
        <v/>
      </c>
      <c r="J53" s="155" t="str">
        <f>IF('Employee Input Yr2'!J53="","",'Employee Input Yr2'!J53)</f>
        <v/>
      </c>
      <c r="K53" s="10" t="str">
        <f t="shared" si="1"/>
        <v/>
      </c>
      <c r="L53" s="14" t="str">
        <f>IF('Employee Input Yr2'!L53="","",'Employee Input Yr2'!L53)</f>
        <v/>
      </c>
    </row>
    <row r="54" spans="1:24" hidden="1" outlineLevel="1" x14ac:dyDescent="0.75">
      <c r="B54" s="14" t="str">
        <f>IF('Employee Input Yr2'!B54="","",'Employee Input Yr2'!B54)</f>
        <v/>
      </c>
      <c r="C54" s="14" t="str">
        <f>IF('Employee Input Yr2'!C54="","",'Employee Input Yr2'!C54)</f>
        <v/>
      </c>
      <c r="D54" s="14" t="str">
        <f>IF('Employee Input Yr2'!D54="","",'Employee Input Yr2'!D54)</f>
        <v/>
      </c>
      <c r="E54" s="14" t="str">
        <f>IF('Employee Input Yr2'!E54="","",'Employee Input Yr2'!E54)</f>
        <v/>
      </c>
      <c r="F54" s="14" t="str">
        <f>IF('Employee Input Yr2'!F54="","",'Employee Input Yr2'!F54)</f>
        <v/>
      </c>
      <c r="G54" s="155" t="str">
        <f>IF('Employee Input Yr2'!G54="","",'Employee Input Yr2'!G54)</f>
        <v/>
      </c>
      <c r="H54" s="10" t="str">
        <f t="shared" si="0"/>
        <v/>
      </c>
      <c r="I54" s="155" t="str">
        <f>IF('Employee Input Yr2'!I54="","",'Employee Input Yr2'!I54)</f>
        <v/>
      </c>
      <c r="J54" s="155" t="str">
        <f>IF('Employee Input Yr2'!J54="","",'Employee Input Yr2'!J54)</f>
        <v/>
      </c>
      <c r="K54" s="10" t="str">
        <f t="shared" si="1"/>
        <v/>
      </c>
      <c r="L54" s="14" t="str">
        <f>IF('Employee Input Yr2'!L54="","",'Employee Input Yr2'!L54)</f>
        <v/>
      </c>
    </row>
    <row r="55" spans="1:24" hidden="1" outlineLevel="1" x14ac:dyDescent="0.75">
      <c r="B55" s="14" t="str">
        <f>IF('Employee Input Yr2'!B55="","",'Employee Input Yr2'!B55)</f>
        <v/>
      </c>
      <c r="C55" s="14" t="str">
        <f>IF('Employee Input Yr2'!C55="","",'Employee Input Yr2'!C55)</f>
        <v/>
      </c>
      <c r="D55" s="14" t="str">
        <f>IF('Employee Input Yr2'!D55="","",'Employee Input Yr2'!D55)</f>
        <v/>
      </c>
      <c r="E55" s="14" t="str">
        <f>IF('Employee Input Yr2'!E55="","",'Employee Input Yr2'!E55)</f>
        <v/>
      </c>
      <c r="F55" s="14" t="str">
        <f>IF('Employee Input Yr2'!F55="","",'Employee Input Yr2'!F55)</f>
        <v/>
      </c>
      <c r="G55" s="155" t="str">
        <f>IF('Employee Input Yr2'!G55="","",'Employee Input Yr2'!G55)</f>
        <v/>
      </c>
      <c r="H55" s="10" t="str">
        <f t="shared" si="0"/>
        <v/>
      </c>
      <c r="I55" s="155" t="str">
        <f>IF('Employee Input Yr2'!I55="","",'Employee Input Yr2'!I55)</f>
        <v/>
      </c>
      <c r="J55" s="155" t="str">
        <f>IF('Employee Input Yr2'!J55="","",'Employee Input Yr2'!J55)</f>
        <v/>
      </c>
      <c r="K55" s="10" t="str">
        <f t="shared" si="1"/>
        <v/>
      </c>
      <c r="L55" s="14" t="str">
        <f>IF('Employee Input Yr2'!L55="","",'Employee Input Yr2'!L55)</f>
        <v/>
      </c>
    </row>
    <row r="56" spans="1:24" hidden="1" outlineLevel="1" x14ac:dyDescent="0.75">
      <c r="B56" s="14" t="str">
        <f>IF('Employee Input Yr2'!B56="","",'Employee Input Yr2'!B56)</f>
        <v/>
      </c>
      <c r="C56" s="14" t="str">
        <f>IF('Employee Input Yr2'!C56="","",'Employee Input Yr2'!C56)</f>
        <v/>
      </c>
      <c r="D56" s="14" t="str">
        <f>IF('Employee Input Yr2'!D56="","",'Employee Input Yr2'!D56)</f>
        <v/>
      </c>
      <c r="E56" s="14" t="str">
        <f>IF('Employee Input Yr2'!E56="","",'Employee Input Yr2'!E56)</f>
        <v/>
      </c>
      <c r="F56" s="14" t="str">
        <f>IF('Employee Input Yr2'!F56="","",'Employee Input Yr2'!F56)</f>
        <v/>
      </c>
      <c r="G56" s="155" t="str">
        <f>IF('Employee Input Yr2'!G56="","",'Employee Input Yr2'!G56)</f>
        <v/>
      </c>
      <c r="H56" s="10" t="str">
        <f t="shared" si="0"/>
        <v/>
      </c>
      <c r="I56" s="155" t="str">
        <f>IF('Employee Input Yr2'!I56="","",'Employee Input Yr2'!I56)</f>
        <v/>
      </c>
      <c r="J56" s="155" t="str">
        <f>IF('Employee Input Yr2'!J56="","",'Employee Input Yr2'!J56)</f>
        <v/>
      </c>
      <c r="K56" s="10" t="str">
        <f t="shared" si="1"/>
        <v/>
      </c>
      <c r="L56" s="14" t="str">
        <f>IF('Employee Input Yr2'!L56="","",'Employee Input Yr2'!L56)</f>
        <v/>
      </c>
    </row>
    <row r="57" spans="1:24" ht="16.5" collapsed="1" thickBot="1" x14ac:dyDescent="0.9">
      <c r="A57" s="23"/>
      <c r="B57" s="38"/>
      <c r="C57" s="38"/>
      <c r="D57" s="38"/>
      <c r="E57" s="38"/>
      <c r="F57" s="38"/>
      <c r="G57" s="38"/>
      <c r="H57" s="38"/>
      <c r="I57" s="38"/>
      <c r="J57" s="38"/>
      <c r="K57" s="23"/>
      <c r="L57" s="38"/>
      <c r="M57" s="23"/>
      <c r="N57" s="23"/>
      <c r="O57" s="23"/>
      <c r="P57" s="23"/>
      <c r="Q57" s="38"/>
      <c r="R57" s="23"/>
      <c r="S57" s="23"/>
      <c r="T57" s="23"/>
      <c r="U57" s="23"/>
      <c r="V57" s="23"/>
      <c r="W57" s="23"/>
      <c r="X57" s="23"/>
    </row>
    <row r="58" spans="1:24" x14ac:dyDescent="0.75">
      <c r="B58" s="34" t="s">
        <v>742</v>
      </c>
      <c r="C58" s="37"/>
      <c r="D58" s="2"/>
      <c r="E58" s="36" t="str">
        <f>IF(SUM(E26,E39,E56)&gt;0,SUM(E26,E39,E56),"")</f>
        <v/>
      </c>
      <c r="F58" s="37">
        <f>SUM(F7:F57)</f>
        <v>0.6</v>
      </c>
      <c r="G58" s="37"/>
      <c r="H58" s="37">
        <f>SUM(H7:H57)</f>
        <v>65545.2</v>
      </c>
      <c r="I58" s="37">
        <f>SUM(I7:I57)</f>
        <v>0</v>
      </c>
      <c r="J58" s="37">
        <f>SUM(J7:J57)</f>
        <v>0</v>
      </c>
      <c r="K58" s="37">
        <f>SUM(K7:K57)</f>
        <v>65545.2</v>
      </c>
      <c r="M58" s="37">
        <f t="shared" ref="M58:X58" si="2">SUM(M7:M57)</f>
        <v>10670.75856</v>
      </c>
      <c r="N58" s="37">
        <f t="shared" si="2"/>
        <v>0</v>
      </c>
      <c r="O58" s="37">
        <f t="shared" si="2"/>
        <v>0</v>
      </c>
      <c r="P58" s="37">
        <f t="shared" si="2"/>
        <v>950.40539999999999</v>
      </c>
      <c r="Q58" s="37">
        <f t="shared" si="2"/>
        <v>400</v>
      </c>
      <c r="R58" s="37">
        <f t="shared" si="2"/>
        <v>2880</v>
      </c>
      <c r="S58" s="37">
        <f t="shared" si="2"/>
        <v>240</v>
      </c>
      <c r="T58" s="37">
        <f t="shared" si="2"/>
        <v>1048.7231999999999</v>
      </c>
      <c r="U58" s="37">
        <f t="shared" si="2"/>
        <v>0</v>
      </c>
      <c r="V58" s="37">
        <f t="shared" si="2"/>
        <v>0</v>
      </c>
      <c r="W58" s="37">
        <f t="shared" si="2"/>
        <v>15789.88716</v>
      </c>
      <c r="X58" s="37">
        <f t="shared" si="2"/>
        <v>81335.087159999995</v>
      </c>
    </row>
    <row r="60" spans="1:24" x14ac:dyDescent="0.75">
      <c r="B60" s="34" t="s">
        <v>746</v>
      </c>
      <c r="F60" s="37">
        <f>SUMIF($B:$B,1100,F:F)</f>
        <v>0.6</v>
      </c>
      <c r="G60" s="37"/>
      <c r="H60" s="37">
        <f>SUMIF($B:$B,1100,H:H)</f>
        <v>65545.2</v>
      </c>
      <c r="I60" s="37">
        <f>SUMIF($B:$B,1100,I:I)</f>
        <v>0</v>
      </c>
      <c r="J60" s="37">
        <f>SUMIF($B:$B,1100,J:J)</f>
        <v>0</v>
      </c>
      <c r="K60" s="37">
        <f>SUMIF($B:$B,1100,K:K)</f>
        <v>65545.2</v>
      </c>
      <c r="M60" s="37">
        <f>SUMIF($B:$B,1100,M:M)</f>
        <v>10670.75856</v>
      </c>
      <c r="N60" s="37">
        <f t="shared" ref="N60:X60" si="3">SUMIF($B:$B,1100,N:N)</f>
        <v>0</v>
      </c>
      <c r="O60" s="37">
        <f t="shared" si="3"/>
        <v>0</v>
      </c>
      <c r="P60" s="37">
        <f t="shared" si="3"/>
        <v>950.40539999999999</v>
      </c>
      <c r="Q60" s="37">
        <f t="shared" si="3"/>
        <v>400</v>
      </c>
      <c r="R60" s="37">
        <f t="shared" si="3"/>
        <v>2880</v>
      </c>
      <c r="S60" s="37">
        <f t="shared" si="3"/>
        <v>240</v>
      </c>
      <c r="T60" s="37">
        <f t="shared" si="3"/>
        <v>1048.7231999999999</v>
      </c>
      <c r="U60" s="37">
        <f t="shared" si="3"/>
        <v>0</v>
      </c>
      <c r="V60" s="37">
        <f t="shared" si="3"/>
        <v>0</v>
      </c>
      <c r="W60" s="37">
        <f t="shared" si="3"/>
        <v>15789.88716</v>
      </c>
      <c r="X60" s="37">
        <f t="shared" si="3"/>
        <v>81335.087159999995</v>
      </c>
    </row>
  </sheetData>
  <pageMargins left="0.25" right="0.25" top="0.25" bottom="0.25" header="0.3" footer="0.3"/>
  <pageSetup scale="75" fitToWidth="2"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7"/>
    <pageSetUpPr fitToPage="1"/>
  </sheetPr>
  <dimension ref="A1:X60"/>
  <sheetViews>
    <sheetView workbookViewId="0"/>
  </sheetViews>
  <sheetFormatPr defaultColWidth="9.08984375" defaultRowHeight="15.75" outlineLevelRow="1" x14ac:dyDescent="0.75"/>
  <cols>
    <col min="1" max="1" width="2.08984375" style="5" customWidth="1"/>
    <col min="2" max="2" width="6.6796875" style="6" bestFit="1" customWidth="1"/>
    <col min="3" max="6" width="9.08984375" style="6"/>
    <col min="7" max="8" width="14.54296875" style="6" bestFit="1" customWidth="1"/>
    <col min="9" max="9" width="11.54296875" style="6" bestFit="1" customWidth="1"/>
    <col min="10" max="10" width="11.54296875" style="6" customWidth="1"/>
    <col min="11" max="11" width="14.6796875" style="5" bestFit="1" customWidth="1"/>
    <col min="12" max="12" width="17.453125" style="6" bestFit="1" customWidth="1"/>
    <col min="13" max="13" width="17" style="5" bestFit="1" customWidth="1"/>
    <col min="14" max="16" width="12.08984375" style="5" customWidth="1"/>
    <col min="17" max="17" width="12.08984375" style="6" customWidth="1"/>
    <col min="18" max="19" width="15.54296875" style="5" customWidth="1"/>
    <col min="20" max="20" width="19.453125" style="5" customWidth="1"/>
    <col min="21" max="21" width="18.453125" style="5" customWidth="1"/>
    <col min="22" max="22" width="19.6796875" style="5" customWidth="1"/>
    <col min="23" max="24" width="15.54296875" style="5" customWidth="1"/>
    <col min="25" max="16384" width="9.08984375" style="5"/>
  </cols>
  <sheetData>
    <row r="1" spans="1:24" ht="20.25" x14ac:dyDescent="0.85">
      <c r="A1" s="22" t="str">
        <f>'Student Info w MYP'!$A$1</f>
        <v>Compass Charter Schools</v>
      </c>
    </row>
    <row r="2" spans="1:24" ht="17.75" x14ac:dyDescent="0.75">
      <c r="A2" s="21" t="s">
        <v>724</v>
      </c>
      <c r="G2" s="165">
        <v>0.02</v>
      </c>
      <c r="H2" s="166" t="s">
        <v>1063</v>
      </c>
      <c r="M2" s="7">
        <v>0.18129999999999999</v>
      </c>
      <c r="N2" s="7">
        <v>0.16600000000000001</v>
      </c>
      <c r="O2" s="7">
        <v>6.2E-2</v>
      </c>
      <c r="P2" s="7">
        <v>1.4500000000000001E-2</v>
      </c>
      <c r="Q2" s="9">
        <f>'Employee Input Yr3'!Q2</f>
        <v>400</v>
      </c>
      <c r="S2" s="9">
        <f>'Employee Input Yr3'!S2</f>
        <v>400</v>
      </c>
      <c r="T2" s="165">
        <f>'Employee Input Yr3'!T2</f>
        <v>1.6E-2</v>
      </c>
      <c r="V2" s="12">
        <f>(0.08*$K2/1000)+(0.025*$K2/1000)+(0.14%*$K2)+(0.05*$K2/10)</f>
        <v>0</v>
      </c>
    </row>
    <row r="3" spans="1:24" ht="17.75" x14ac:dyDescent="0.75">
      <c r="A3" s="21" t="str">
        <f>'Student Info w MYP'!G6</f>
        <v>San Diego</v>
      </c>
      <c r="M3" s="8" t="s">
        <v>562</v>
      </c>
      <c r="N3" s="8" t="s">
        <v>563</v>
      </c>
      <c r="O3" s="8" t="s">
        <v>1069</v>
      </c>
      <c r="P3" s="8" t="s">
        <v>670</v>
      </c>
      <c r="Q3" s="8" t="s">
        <v>566</v>
      </c>
      <c r="R3" s="8"/>
      <c r="S3" s="8" t="s">
        <v>668</v>
      </c>
      <c r="T3" s="8" t="s">
        <v>669</v>
      </c>
      <c r="U3" s="8"/>
      <c r="V3" s="8" t="s">
        <v>1076</v>
      </c>
    </row>
    <row r="4" spans="1:24" ht="27" customHeight="1" x14ac:dyDescent="0.75"/>
    <row r="5" spans="1:24" x14ac:dyDescent="0.75">
      <c r="B5" s="13" t="s">
        <v>0</v>
      </c>
      <c r="H5" s="17" t="s">
        <v>675</v>
      </c>
      <c r="I5" s="13" t="s">
        <v>744</v>
      </c>
      <c r="J5" s="18"/>
      <c r="K5" s="17" t="s">
        <v>673</v>
      </c>
      <c r="L5" s="13" t="s">
        <v>728</v>
      </c>
      <c r="M5" s="43" t="s">
        <v>30</v>
      </c>
      <c r="N5" s="43" t="s">
        <v>38</v>
      </c>
      <c r="O5" s="43" t="s">
        <v>1065</v>
      </c>
      <c r="P5" s="43" t="s">
        <v>1067</v>
      </c>
      <c r="Q5" s="44" t="s">
        <v>564</v>
      </c>
      <c r="R5" s="43" t="s">
        <v>716</v>
      </c>
      <c r="S5" s="43" t="s">
        <v>717</v>
      </c>
      <c r="T5" s="43" t="s">
        <v>718</v>
      </c>
      <c r="U5" s="43" t="s">
        <v>1074</v>
      </c>
      <c r="V5" s="43" t="s">
        <v>1073</v>
      </c>
      <c r="W5" s="19" t="s">
        <v>671</v>
      </c>
      <c r="X5" s="17" t="s">
        <v>675</v>
      </c>
    </row>
    <row r="6" spans="1:24" ht="16.5" thickBot="1" x14ac:dyDescent="0.9">
      <c r="A6" s="23"/>
      <c r="B6" s="24"/>
      <c r="C6" s="25" t="s">
        <v>1</v>
      </c>
      <c r="D6" s="25" t="s">
        <v>2</v>
      </c>
      <c r="E6" s="25" t="s">
        <v>4</v>
      </c>
      <c r="F6" s="24" t="s">
        <v>3</v>
      </c>
      <c r="G6" s="24" t="s">
        <v>5</v>
      </c>
      <c r="H6" s="26" t="s">
        <v>738</v>
      </c>
      <c r="I6" s="24" t="s">
        <v>745</v>
      </c>
      <c r="J6" s="24" t="s">
        <v>743</v>
      </c>
      <c r="K6" s="26" t="s">
        <v>674</v>
      </c>
      <c r="L6" s="24" t="s">
        <v>729</v>
      </c>
      <c r="M6" s="27" t="s">
        <v>7</v>
      </c>
      <c r="N6" s="27" t="s">
        <v>8</v>
      </c>
      <c r="O6" s="176" t="s">
        <v>1066</v>
      </c>
      <c r="P6" s="176" t="s">
        <v>1068</v>
      </c>
      <c r="Q6" s="25" t="s">
        <v>565</v>
      </c>
      <c r="R6" s="27" t="s">
        <v>1070</v>
      </c>
      <c r="S6" s="176" t="s">
        <v>1071</v>
      </c>
      <c r="T6" s="176" t="s">
        <v>1072</v>
      </c>
      <c r="U6" s="27" t="s">
        <v>1075</v>
      </c>
      <c r="V6" s="176" t="s">
        <v>1077</v>
      </c>
      <c r="W6" s="28" t="s">
        <v>672</v>
      </c>
      <c r="X6" s="26" t="s">
        <v>674</v>
      </c>
    </row>
    <row r="7" spans="1:24" x14ac:dyDescent="0.75">
      <c r="B7" s="14">
        <f>IF('Employee Input Yr3'!B7="","",'Employee Input Yr3'!B7)</f>
        <v>1100</v>
      </c>
      <c r="C7" s="14" t="str">
        <f>IF('Employee Input Yr3'!C7="","",'Employee Input Yr3'!C7)</f>
        <v>Sample Name</v>
      </c>
      <c r="D7" s="14" t="str">
        <f>IF('Employee Input Yr3'!D7="","",'Employee Input Yr3'!D7)</f>
        <v>VP, Education</v>
      </c>
      <c r="E7" s="14" t="str">
        <f>IF('Employee Input Yr3'!E7="","",'Employee Input Yr3'!E7)</f>
        <v>Education</v>
      </c>
      <c r="F7" s="14">
        <f>IF('Employee Input Yr3'!F7="","",'Employee Input Yr3'!F7)</f>
        <v>0.6</v>
      </c>
      <c r="G7" s="155">
        <f>IF('Employee Input Yr3'!G7="","",'Employee Input Yr3'!G7*(1+$G$2))</f>
        <v>111426.84</v>
      </c>
      <c r="H7" s="10">
        <f>IF(F7="","",F7*G7)</f>
        <v>66856.103999999992</v>
      </c>
      <c r="I7" s="155" t="str">
        <f>IF('Employee Input Yr3'!I7="","",'Employee Input Yr3'!I7)</f>
        <v/>
      </c>
      <c r="J7" s="155" t="str">
        <f>IF('Employee Input Yr3'!J7="","",'Employee Input Yr3'!J7)</f>
        <v/>
      </c>
      <c r="K7" s="10">
        <f>IF(SUM(H7:J7)&gt;0,SUM(H7:J7),"")</f>
        <v>66856.103999999992</v>
      </c>
      <c r="L7" s="14" t="str">
        <f>IF('Employee Input Yr3'!L7="","",'Employee Input Yr3'!L7)</f>
        <v>STRS</v>
      </c>
      <c r="M7" s="10">
        <f>IF($L7="STRS",$M$2*$K7,"")</f>
        <v>12121.011655199998</v>
      </c>
      <c r="N7" s="10" t="str">
        <f>IF($L7="PERS",$N$2*$K7,"")</f>
        <v/>
      </c>
      <c r="O7" s="10" t="str">
        <f>IF($L7="STRS","",$O$2*$K7)</f>
        <v/>
      </c>
      <c r="P7" s="10">
        <f>$P$2*K7</f>
        <v>969.41350799999998</v>
      </c>
      <c r="Q7" s="11">
        <f>$Q$2</f>
        <v>400</v>
      </c>
      <c r="R7" s="12">
        <f>Q7*12*F7</f>
        <v>2880</v>
      </c>
      <c r="S7" s="12">
        <f>$S$2*F7</f>
        <v>240</v>
      </c>
      <c r="T7" s="12">
        <f>$T$2*$K7</f>
        <v>1069.6976639999998</v>
      </c>
      <c r="U7" s="12"/>
      <c r="V7" s="12"/>
      <c r="W7" s="12">
        <f>SUM(R7:V7,M7:P7)</f>
        <v>17280.122827199997</v>
      </c>
      <c r="X7" s="12">
        <f>W7+K7</f>
        <v>84136.226827199993</v>
      </c>
    </row>
    <row r="8" spans="1:24" x14ac:dyDescent="0.75">
      <c r="B8" s="14" t="str">
        <f>IF('Employee Input Yr3'!B8="","",'Employee Input Yr3'!B8)</f>
        <v/>
      </c>
      <c r="C8" s="14" t="str">
        <f>IF('Employee Input Yr3'!C8="","",'Employee Input Yr3'!C8)</f>
        <v/>
      </c>
      <c r="D8" s="14" t="str">
        <f>IF('Employee Input Yr3'!D8="","",'Employee Input Yr3'!D8)</f>
        <v/>
      </c>
      <c r="E8" s="14" t="str">
        <f>IF('Employee Input Yr3'!E8="","",'Employee Input Yr3'!E8)</f>
        <v/>
      </c>
      <c r="F8" s="14" t="str">
        <f>IF('Employee Input Yr3'!F8="","",'Employee Input Yr3'!F8)</f>
        <v/>
      </c>
      <c r="G8" s="155" t="str">
        <f>IF('Employee Input Yr3'!G8="","",'Employee Input Yr3'!G8*(1+$G$2))</f>
        <v/>
      </c>
      <c r="H8" s="10" t="str">
        <f t="shared" ref="H8:H56" si="0">IF(F8="","",F8*G8)</f>
        <v/>
      </c>
      <c r="I8" s="155" t="str">
        <f>IF('Employee Input Yr3'!I8="","",'Employee Input Yr3'!I8)</f>
        <v/>
      </c>
      <c r="J8" s="155" t="str">
        <f>IF('Employee Input Yr3'!J8="","",'Employee Input Yr3'!J8)</f>
        <v/>
      </c>
      <c r="K8" s="10" t="str">
        <f t="shared" ref="K8:K56" si="1">IF(SUM(H8:J8)&gt;0,SUM(H8:J8),"")</f>
        <v/>
      </c>
      <c r="L8" s="14" t="str">
        <f>IF('Employee Input Yr3'!L8="","",'Employee Input Yr3'!L8)</f>
        <v/>
      </c>
      <c r="M8" s="10"/>
      <c r="N8" s="10"/>
      <c r="O8" s="10"/>
      <c r="P8" s="10"/>
      <c r="Q8" s="11"/>
      <c r="R8" s="12"/>
      <c r="S8" s="12"/>
      <c r="T8" s="12"/>
      <c r="U8" s="12"/>
      <c r="V8" s="12"/>
      <c r="W8" s="12"/>
      <c r="X8" s="12"/>
    </row>
    <row r="9" spans="1:24" x14ac:dyDescent="0.75">
      <c r="B9" s="14" t="str">
        <f>IF('Employee Input Yr3'!B9="","",'Employee Input Yr3'!B9)</f>
        <v/>
      </c>
      <c r="C9" s="14" t="str">
        <f>IF('Employee Input Yr3'!C9="","",'Employee Input Yr3'!C9)</f>
        <v/>
      </c>
      <c r="D9" s="14" t="str">
        <f>IF('Employee Input Yr3'!D9="","",'Employee Input Yr3'!D9)</f>
        <v/>
      </c>
      <c r="E9" s="14" t="str">
        <f>IF('Employee Input Yr3'!E9="","",'Employee Input Yr3'!E9)</f>
        <v/>
      </c>
      <c r="F9" s="14" t="str">
        <f>IF('Employee Input Yr3'!F9="","",'Employee Input Yr3'!F9)</f>
        <v/>
      </c>
      <c r="G9" s="155" t="str">
        <f>IF('Employee Input Yr3'!G9="","",'Employee Input Yr3'!G9*(1+$G$2))</f>
        <v/>
      </c>
      <c r="H9" s="10" t="str">
        <f t="shared" si="0"/>
        <v/>
      </c>
      <c r="I9" s="155" t="str">
        <f>IF('Employee Input Yr3'!I9="","",'Employee Input Yr3'!I9)</f>
        <v/>
      </c>
      <c r="J9" s="155" t="str">
        <f>IF('Employee Input Yr3'!J9="","",'Employee Input Yr3'!J9)</f>
        <v/>
      </c>
      <c r="K9" s="10" t="str">
        <f t="shared" si="1"/>
        <v/>
      </c>
      <c r="L9" s="14" t="str">
        <f>IF('Employee Input Yr3'!L9="","",'Employee Input Yr3'!L9)</f>
        <v/>
      </c>
      <c r="M9" s="10"/>
      <c r="N9" s="10"/>
      <c r="O9" s="10"/>
      <c r="P9" s="10"/>
      <c r="Q9" s="11"/>
      <c r="R9" s="12"/>
      <c r="S9" s="12"/>
      <c r="T9" s="12"/>
      <c r="U9" s="12"/>
      <c r="V9" s="12"/>
      <c r="W9" s="12"/>
      <c r="X9" s="12"/>
    </row>
    <row r="10" spans="1:24" x14ac:dyDescent="0.75">
      <c r="B10" s="14" t="str">
        <f>IF('Employee Input Yr3'!B10="","",'Employee Input Yr3'!B10)</f>
        <v/>
      </c>
      <c r="C10" s="14" t="str">
        <f>IF('Employee Input Yr3'!C10="","",'Employee Input Yr3'!C10)</f>
        <v/>
      </c>
      <c r="D10" s="14" t="str">
        <f>IF('Employee Input Yr3'!D10="","",'Employee Input Yr3'!D10)</f>
        <v/>
      </c>
      <c r="E10" s="14" t="str">
        <f>IF('Employee Input Yr3'!E10="","",'Employee Input Yr3'!E10)</f>
        <v/>
      </c>
      <c r="F10" s="14" t="str">
        <f>IF('Employee Input Yr3'!F10="","",'Employee Input Yr3'!F10)</f>
        <v/>
      </c>
      <c r="G10" s="155" t="str">
        <f>IF('Employee Input Yr3'!G10="","",'Employee Input Yr3'!G10*(1+$G$2))</f>
        <v/>
      </c>
      <c r="H10" s="10" t="str">
        <f t="shared" si="0"/>
        <v/>
      </c>
      <c r="I10" s="155" t="str">
        <f>IF('Employee Input Yr3'!I10="","",'Employee Input Yr3'!I10)</f>
        <v/>
      </c>
      <c r="J10" s="155" t="str">
        <f>IF('Employee Input Yr3'!J10="","",'Employee Input Yr3'!J10)</f>
        <v/>
      </c>
      <c r="K10" s="10" t="str">
        <f t="shared" si="1"/>
        <v/>
      </c>
      <c r="L10" s="14" t="str">
        <f>IF('Employee Input Yr3'!L10="","",'Employee Input Yr3'!L10)</f>
        <v/>
      </c>
      <c r="M10" s="10"/>
      <c r="N10" s="10"/>
      <c r="O10" s="10"/>
      <c r="P10" s="10"/>
      <c r="Q10" s="11"/>
      <c r="R10" s="12"/>
      <c r="S10" s="12"/>
      <c r="T10" s="12"/>
      <c r="U10" s="12"/>
      <c r="V10" s="12"/>
      <c r="W10" s="12"/>
      <c r="X10" s="12"/>
    </row>
    <row r="11" spans="1:24" x14ac:dyDescent="0.75">
      <c r="B11" s="14" t="str">
        <f>IF('Employee Input Yr3'!B11="","",'Employee Input Yr3'!B11)</f>
        <v/>
      </c>
      <c r="C11" s="14" t="str">
        <f>IF('Employee Input Yr3'!C11="","",'Employee Input Yr3'!C11)</f>
        <v/>
      </c>
      <c r="D11" s="14" t="str">
        <f>IF('Employee Input Yr3'!D11="","",'Employee Input Yr3'!D11)</f>
        <v/>
      </c>
      <c r="E11" s="14" t="str">
        <f>IF('Employee Input Yr3'!E11="","",'Employee Input Yr3'!E11)</f>
        <v/>
      </c>
      <c r="F11" s="14" t="str">
        <f>IF('Employee Input Yr3'!F11="","",'Employee Input Yr3'!F11)</f>
        <v/>
      </c>
      <c r="G11" s="155" t="str">
        <f>IF('Employee Input Yr3'!G11="","",'Employee Input Yr3'!G11*(1+$G$2))</f>
        <v/>
      </c>
      <c r="H11" s="10" t="str">
        <f t="shared" si="0"/>
        <v/>
      </c>
      <c r="I11" s="155" t="str">
        <f>IF('Employee Input Yr3'!I11="","",'Employee Input Yr3'!I11)</f>
        <v/>
      </c>
      <c r="J11" s="155" t="str">
        <f>IF('Employee Input Yr3'!J11="","",'Employee Input Yr3'!J11)</f>
        <v/>
      </c>
      <c r="K11" s="10" t="str">
        <f t="shared" si="1"/>
        <v/>
      </c>
      <c r="L11" s="14" t="str">
        <f>IF('Employee Input Yr3'!L11="","",'Employee Input Yr3'!L11)</f>
        <v/>
      </c>
      <c r="M11" s="10"/>
      <c r="N11" s="10"/>
      <c r="O11" s="10"/>
      <c r="P11" s="10"/>
      <c r="Q11" s="11"/>
      <c r="R11" s="12"/>
      <c r="S11" s="12"/>
      <c r="T11" s="12"/>
      <c r="U11" s="12"/>
      <c r="V11" s="12"/>
      <c r="W11" s="12"/>
      <c r="X11" s="12"/>
    </row>
    <row r="12" spans="1:24" x14ac:dyDescent="0.75">
      <c r="B12" s="14" t="str">
        <f>IF('Employee Input Yr3'!B12="","",'Employee Input Yr3'!B12)</f>
        <v/>
      </c>
      <c r="C12" s="14" t="str">
        <f>IF('Employee Input Yr3'!C12="","",'Employee Input Yr3'!C12)</f>
        <v/>
      </c>
      <c r="D12" s="14" t="str">
        <f>IF('Employee Input Yr3'!D12="","",'Employee Input Yr3'!D12)</f>
        <v/>
      </c>
      <c r="E12" s="14" t="str">
        <f>IF('Employee Input Yr3'!E12="","",'Employee Input Yr3'!E12)</f>
        <v/>
      </c>
      <c r="F12" s="14" t="str">
        <f>IF('Employee Input Yr3'!F12="","",'Employee Input Yr3'!F12)</f>
        <v/>
      </c>
      <c r="G12" s="155" t="str">
        <f>IF('Employee Input Yr3'!G12="","",'Employee Input Yr3'!G12*(1+$G$2))</f>
        <v/>
      </c>
      <c r="H12" s="10" t="str">
        <f t="shared" si="0"/>
        <v/>
      </c>
      <c r="I12" s="155" t="str">
        <f>IF('Employee Input Yr3'!I12="","",'Employee Input Yr3'!I12)</f>
        <v/>
      </c>
      <c r="J12" s="155" t="str">
        <f>IF('Employee Input Yr3'!J12="","",'Employee Input Yr3'!J12)</f>
        <v/>
      </c>
      <c r="K12" s="10" t="str">
        <f t="shared" si="1"/>
        <v/>
      </c>
      <c r="L12" s="14" t="str">
        <f>IF('Employee Input Yr3'!L12="","",'Employee Input Yr3'!L12)</f>
        <v/>
      </c>
      <c r="M12" s="10"/>
      <c r="N12" s="10"/>
      <c r="O12" s="10"/>
      <c r="P12" s="10"/>
      <c r="Q12" s="11"/>
      <c r="R12" s="12"/>
      <c r="S12" s="12"/>
      <c r="T12" s="12"/>
      <c r="U12" s="12"/>
      <c r="V12" s="12"/>
      <c r="W12" s="12"/>
      <c r="X12" s="12"/>
    </row>
    <row r="13" spans="1:24" x14ac:dyDescent="0.75">
      <c r="B13" s="14" t="str">
        <f>IF('Employee Input Yr3'!B13="","",'Employee Input Yr3'!B13)</f>
        <v/>
      </c>
      <c r="C13" s="14" t="str">
        <f>IF('Employee Input Yr3'!C13="","",'Employee Input Yr3'!C13)</f>
        <v/>
      </c>
      <c r="D13" s="14" t="str">
        <f>IF('Employee Input Yr3'!D13="","",'Employee Input Yr3'!D13)</f>
        <v/>
      </c>
      <c r="E13" s="14" t="str">
        <f>IF('Employee Input Yr3'!E13="","",'Employee Input Yr3'!E13)</f>
        <v/>
      </c>
      <c r="F13" s="14" t="str">
        <f>IF('Employee Input Yr3'!F13="","",'Employee Input Yr3'!F13)</f>
        <v/>
      </c>
      <c r="G13" s="155" t="str">
        <f>IF('Employee Input Yr3'!G13="","",'Employee Input Yr3'!G13*(1+$G$2))</f>
        <v/>
      </c>
      <c r="H13" s="10" t="str">
        <f t="shared" si="0"/>
        <v/>
      </c>
      <c r="I13" s="155" t="str">
        <f>IF('Employee Input Yr3'!I13="","",'Employee Input Yr3'!I13)</f>
        <v/>
      </c>
      <c r="J13" s="155" t="str">
        <f>IF('Employee Input Yr3'!J13="","",'Employee Input Yr3'!J13)</f>
        <v/>
      </c>
      <c r="K13" s="10" t="str">
        <f t="shared" si="1"/>
        <v/>
      </c>
      <c r="L13" s="14" t="str">
        <f>IF('Employee Input Yr3'!L13="","",'Employee Input Yr3'!L13)</f>
        <v/>
      </c>
      <c r="M13" s="10"/>
      <c r="N13" s="10"/>
      <c r="O13" s="10"/>
      <c r="P13" s="10"/>
      <c r="Q13" s="11"/>
      <c r="R13" s="12"/>
      <c r="S13" s="12"/>
      <c r="T13" s="12"/>
      <c r="U13" s="12"/>
      <c r="V13" s="12"/>
      <c r="W13" s="12"/>
      <c r="X13" s="12"/>
    </row>
    <row r="14" spans="1:24" x14ac:dyDescent="0.75">
      <c r="B14" s="14" t="str">
        <f>IF('Employee Input Yr3'!B14="","",'Employee Input Yr3'!B14)</f>
        <v/>
      </c>
      <c r="C14" s="14" t="str">
        <f>IF('Employee Input Yr3'!C14="","",'Employee Input Yr3'!C14)</f>
        <v/>
      </c>
      <c r="D14" s="14" t="str">
        <f>IF('Employee Input Yr3'!D14="","",'Employee Input Yr3'!D14)</f>
        <v/>
      </c>
      <c r="E14" s="14" t="str">
        <f>IF('Employee Input Yr3'!E14="","",'Employee Input Yr3'!E14)</f>
        <v/>
      </c>
      <c r="F14" s="14" t="str">
        <f>IF('Employee Input Yr3'!F14="","",'Employee Input Yr3'!F14)</f>
        <v/>
      </c>
      <c r="G14" s="155" t="str">
        <f>IF('Employee Input Yr3'!G14="","",'Employee Input Yr3'!G14*(1+$G$2))</f>
        <v/>
      </c>
      <c r="H14" s="10" t="str">
        <f t="shared" si="0"/>
        <v/>
      </c>
      <c r="I14" s="155" t="str">
        <f>IF('Employee Input Yr3'!I14="","",'Employee Input Yr3'!I14)</f>
        <v/>
      </c>
      <c r="J14" s="155" t="str">
        <f>IF('Employee Input Yr3'!J14="","",'Employee Input Yr3'!J14)</f>
        <v/>
      </c>
      <c r="K14" s="10" t="str">
        <f t="shared" si="1"/>
        <v/>
      </c>
      <c r="L14" s="14" t="str">
        <f>IF('Employee Input Yr3'!L14="","",'Employee Input Yr3'!L14)</f>
        <v/>
      </c>
      <c r="M14" s="10"/>
      <c r="N14" s="10"/>
      <c r="O14" s="10"/>
      <c r="P14" s="10"/>
      <c r="Q14" s="11"/>
      <c r="R14" s="12"/>
      <c r="S14" s="12"/>
      <c r="T14" s="12"/>
      <c r="U14" s="12"/>
      <c r="V14" s="12"/>
      <c r="W14" s="12"/>
      <c r="X14" s="12"/>
    </row>
    <row r="15" spans="1:24" x14ac:dyDescent="0.75">
      <c r="B15" s="14" t="str">
        <f>IF('Employee Input Yr3'!B15="","",'Employee Input Yr3'!B15)</f>
        <v/>
      </c>
      <c r="C15" s="14" t="str">
        <f>IF('Employee Input Yr3'!C15="","",'Employee Input Yr3'!C15)</f>
        <v/>
      </c>
      <c r="D15" s="14" t="str">
        <f>IF('Employee Input Yr3'!D15="","",'Employee Input Yr3'!D15)</f>
        <v/>
      </c>
      <c r="E15" s="14" t="str">
        <f>IF('Employee Input Yr3'!E15="","",'Employee Input Yr3'!E15)</f>
        <v/>
      </c>
      <c r="F15" s="14" t="str">
        <f>IF('Employee Input Yr3'!F15="","",'Employee Input Yr3'!F15)</f>
        <v/>
      </c>
      <c r="G15" s="155" t="str">
        <f>IF('Employee Input Yr3'!G15="","",'Employee Input Yr3'!G15*(1+$G$2))</f>
        <v/>
      </c>
      <c r="H15" s="10" t="str">
        <f t="shared" si="0"/>
        <v/>
      </c>
      <c r="I15" s="155" t="str">
        <f>IF('Employee Input Yr3'!I15="","",'Employee Input Yr3'!I15)</f>
        <v/>
      </c>
      <c r="J15" s="155" t="str">
        <f>IF('Employee Input Yr3'!J15="","",'Employee Input Yr3'!J15)</f>
        <v/>
      </c>
      <c r="K15" s="10" t="str">
        <f t="shared" si="1"/>
        <v/>
      </c>
      <c r="L15" s="14" t="str">
        <f>IF('Employee Input Yr3'!L15="","",'Employee Input Yr3'!L15)</f>
        <v/>
      </c>
      <c r="M15" s="10"/>
      <c r="N15" s="10"/>
      <c r="O15" s="10"/>
      <c r="P15" s="10"/>
      <c r="Q15" s="11"/>
      <c r="R15" s="12"/>
      <c r="S15" s="12"/>
      <c r="T15" s="12"/>
      <c r="U15" s="12"/>
      <c r="V15" s="12"/>
      <c r="W15" s="12"/>
      <c r="X15" s="12"/>
    </row>
    <row r="16" spans="1:24" x14ac:dyDescent="0.75">
      <c r="B16" s="14" t="str">
        <f>IF('Employee Input Yr3'!B16="","",'Employee Input Yr3'!B16)</f>
        <v/>
      </c>
      <c r="C16" s="14" t="str">
        <f>IF('Employee Input Yr3'!C16="","",'Employee Input Yr3'!C16)</f>
        <v/>
      </c>
      <c r="D16" s="14" t="str">
        <f>IF('Employee Input Yr3'!D16="","",'Employee Input Yr3'!D16)</f>
        <v/>
      </c>
      <c r="E16" s="14" t="str">
        <f>IF('Employee Input Yr3'!E16="","",'Employee Input Yr3'!E16)</f>
        <v/>
      </c>
      <c r="F16" s="14" t="str">
        <f>IF('Employee Input Yr3'!F16="","",'Employee Input Yr3'!F16)</f>
        <v/>
      </c>
      <c r="G16" s="155" t="str">
        <f>IF('Employee Input Yr3'!G16="","",'Employee Input Yr3'!G16*(1+$G$2))</f>
        <v/>
      </c>
      <c r="H16" s="10" t="str">
        <f t="shared" si="0"/>
        <v/>
      </c>
      <c r="I16" s="155" t="str">
        <f>IF('Employee Input Yr3'!I16="","",'Employee Input Yr3'!I16)</f>
        <v/>
      </c>
      <c r="J16" s="155" t="str">
        <f>IF('Employee Input Yr3'!J16="","",'Employee Input Yr3'!J16)</f>
        <v/>
      </c>
      <c r="K16" s="10" t="str">
        <f t="shared" si="1"/>
        <v/>
      </c>
      <c r="L16" s="14" t="str">
        <f>IF('Employee Input Yr3'!L16="","",'Employee Input Yr3'!L16)</f>
        <v/>
      </c>
      <c r="M16" s="10"/>
      <c r="N16" s="10"/>
      <c r="O16" s="10"/>
      <c r="P16" s="10"/>
      <c r="Q16" s="11"/>
      <c r="R16" s="12"/>
      <c r="S16" s="12"/>
      <c r="T16" s="12"/>
      <c r="U16" s="12"/>
      <c r="V16" s="12"/>
      <c r="W16" s="12"/>
      <c r="X16" s="12"/>
    </row>
    <row r="17" spans="2:24" x14ac:dyDescent="0.75">
      <c r="B17" s="14" t="str">
        <f>IF('Employee Input Yr3'!B17="","",'Employee Input Yr3'!B17)</f>
        <v/>
      </c>
      <c r="C17" s="14" t="str">
        <f>IF('Employee Input Yr3'!C17="","",'Employee Input Yr3'!C17)</f>
        <v/>
      </c>
      <c r="D17" s="14" t="str">
        <f>IF('Employee Input Yr3'!D17="","",'Employee Input Yr3'!D17)</f>
        <v/>
      </c>
      <c r="E17" s="14" t="str">
        <f>IF('Employee Input Yr3'!E17="","",'Employee Input Yr3'!E17)</f>
        <v/>
      </c>
      <c r="F17" s="14" t="str">
        <f>IF('Employee Input Yr3'!F17="","",'Employee Input Yr3'!F17)</f>
        <v/>
      </c>
      <c r="G17" s="155" t="str">
        <f>IF('Employee Input Yr3'!G17="","",'Employee Input Yr3'!G17*(1+$G$2))</f>
        <v/>
      </c>
      <c r="H17" s="10" t="str">
        <f t="shared" si="0"/>
        <v/>
      </c>
      <c r="I17" s="155" t="str">
        <f>IF('Employee Input Yr3'!I17="","",'Employee Input Yr3'!I17)</f>
        <v/>
      </c>
      <c r="J17" s="155" t="str">
        <f>IF('Employee Input Yr3'!J17="","",'Employee Input Yr3'!J17)</f>
        <v/>
      </c>
      <c r="K17" s="10" t="str">
        <f t="shared" si="1"/>
        <v/>
      </c>
      <c r="L17" s="14" t="str">
        <f>IF('Employee Input Yr3'!L17="","",'Employee Input Yr3'!L17)</f>
        <v/>
      </c>
      <c r="M17" s="10"/>
      <c r="N17" s="10"/>
      <c r="O17" s="10"/>
      <c r="P17" s="10"/>
      <c r="Q17" s="11"/>
      <c r="R17" s="12"/>
      <c r="S17" s="12"/>
      <c r="T17" s="12"/>
      <c r="U17" s="12"/>
      <c r="V17" s="12"/>
      <c r="W17" s="12"/>
      <c r="X17" s="12"/>
    </row>
    <row r="18" spans="2:24" x14ac:dyDescent="0.75">
      <c r="B18" s="14" t="str">
        <f>IF('Employee Input Yr3'!B18="","",'Employee Input Yr3'!B18)</f>
        <v/>
      </c>
      <c r="C18" s="14" t="str">
        <f>IF('Employee Input Yr3'!C18="","",'Employee Input Yr3'!C18)</f>
        <v/>
      </c>
      <c r="D18" s="14" t="str">
        <f>IF('Employee Input Yr3'!D18="","",'Employee Input Yr3'!D18)</f>
        <v/>
      </c>
      <c r="E18" s="14" t="str">
        <f>IF('Employee Input Yr3'!E18="","",'Employee Input Yr3'!E18)</f>
        <v/>
      </c>
      <c r="F18" s="14" t="str">
        <f>IF('Employee Input Yr3'!F18="","",'Employee Input Yr3'!F18)</f>
        <v/>
      </c>
      <c r="G18" s="155" t="str">
        <f>IF('Employee Input Yr3'!G18="","",'Employee Input Yr3'!G18*(1+$G$2))</f>
        <v/>
      </c>
      <c r="H18" s="10" t="str">
        <f t="shared" si="0"/>
        <v/>
      </c>
      <c r="I18" s="155" t="str">
        <f>IF('Employee Input Yr3'!I18="","",'Employee Input Yr3'!I18)</f>
        <v/>
      </c>
      <c r="J18" s="155" t="str">
        <f>IF('Employee Input Yr3'!J18="","",'Employee Input Yr3'!J18)</f>
        <v/>
      </c>
      <c r="K18" s="10" t="str">
        <f t="shared" si="1"/>
        <v/>
      </c>
      <c r="L18" s="14" t="str">
        <f>IF('Employee Input Yr3'!L18="","",'Employee Input Yr3'!L18)</f>
        <v/>
      </c>
      <c r="M18" s="10"/>
      <c r="N18" s="10"/>
      <c r="O18" s="10"/>
      <c r="P18" s="10"/>
      <c r="Q18" s="11"/>
      <c r="R18" s="12"/>
      <c r="S18" s="12"/>
      <c r="T18" s="12"/>
      <c r="U18" s="12"/>
      <c r="V18" s="12"/>
      <c r="W18" s="12"/>
      <c r="X18" s="12"/>
    </row>
    <row r="19" spans="2:24" x14ac:dyDescent="0.75">
      <c r="B19" s="14" t="str">
        <f>IF('Employee Input Yr3'!B19="","",'Employee Input Yr3'!B19)</f>
        <v/>
      </c>
      <c r="C19" s="14" t="str">
        <f>IF('Employee Input Yr3'!C19="","",'Employee Input Yr3'!C19)</f>
        <v/>
      </c>
      <c r="D19" s="14" t="str">
        <f>IF('Employee Input Yr3'!D19="","",'Employee Input Yr3'!D19)</f>
        <v/>
      </c>
      <c r="E19" s="14" t="str">
        <f>IF('Employee Input Yr3'!E19="","",'Employee Input Yr3'!E19)</f>
        <v/>
      </c>
      <c r="F19" s="14" t="str">
        <f>IF('Employee Input Yr3'!F19="","",'Employee Input Yr3'!F19)</f>
        <v/>
      </c>
      <c r="G19" s="155" t="str">
        <f>IF('Employee Input Yr3'!G19="","",'Employee Input Yr3'!G19*(1+$G$2))</f>
        <v/>
      </c>
      <c r="H19" s="10" t="str">
        <f t="shared" si="0"/>
        <v/>
      </c>
      <c r="I19" s="155" t="str">
        <f>IF('Employee Input Yr3'!I19="","",'Employee Input Yr3'!I19)</f>
        <v/>
      </c>
      <c r="J19" s="155" t="str">
        <f>IF('Employee Input Yr3'!J19="","",'Employee Input Yr3'!J19)</f>
        <v/>
      </c>
      <c r="K19" s="10" t="str">
        <f t="shared" si="1"/>
        <v/>
      </c>
      <c r="L19" s="14" t="str">
        <f>IF('Employee Input Yr3'!L19="","",'Employee Input Yr3'!L19)</f>
        <v/>
      </c>
      <c r="M19" s="10"/>
      <c r="N19" s="10"/>
      <c r="O19" s="10"/>
      <c r="P19" s="10"/>
      <c r="Q19" s="11"/>
      <c r="R19" s="12"/>
      <c r="S19" s="12"/>
      <c r="T19" s="12"/>
      <c r="U19" s="12"/>
      <c r="V19" s="12"/>
      <c r="W19" s="12"/>
      <c r="X19" s="12"/>
    </row>
    <row r="20" spans="2:24" x14ac:dyDescent="0.75">
      <c r="B20" s="14" t="str">
        <f>IF('Employee Input Yr3'!B20="","",'Employee Input Yr3'!B20)</f>
        <v/>
      </c>
      <c r="C20" s="14" t="str">
        <f>IF('Employee Input Yr3'!C20="","",'Employee Input Yr3'!C20)</f>
        <v/>
      </c>
      <c r="D20" s="14" t="str">
        <f>IF('Employee Input Yr3'!D20="","",'Employee Input Yr3'!D20)</f>
        <v/>
      </c>
      <c r="E20" s="14" t="str">
        <f>IF('Employee Input Yr3'!E20="","",'Employee Input Yr3'!E20)</f>
        <v/>
      </c>
      <c r="F20" s="14" t="str">
        <f>IF('Employee Input Yr3'!F20="","",'Employee Input Yr3'!F20)</f>
        <v/>
      </c>
      <c r="G20" s="155" t="str">
        <f>IF('Employee Input Yr3'!G20="","",'Employee Input Yr3'!G20*(1+$G$2))</f>
        <v/>
      </c>
      <c r="H20" s="10" t="str">
        <f t="shared" si="0"/>
        <v/>
      </c>
      <c r="I20" s="155" t="str">
        <f>IF('Employee Input Yr3'!I20="","",'Employee Input Yr3'!I20)</f>
        <v/>
      </c>
      <c r="J20" s="155" t="str">
        <f>IF('Employee Input Yr3'!J20="","",'Employee Input Yr3'!J20)</f>
        <v/>
      </c>
      <c r="K20" s="10" t="str">
        <f t="shared" si="1"/>
        <v/>
      </c>
      <c r="L20" s="14" t="str">
        <f>IF('Employee Input Yr3'!L20="","",'Employee Input Yr3'!L20)</f>
        <v/>
      </c>
      <c r="M20" s="10"/>
      <c r="N20" s="10"/>
      <c r="O20" s="10"/>
      <c r="P20" s="10"/>
      <c r="Q20" s="11"/>
      <c r="R20" s="12"/>
      <c r="S20" s="12"/>
      <c r="T20" s="12"/>
      <c r="U20" s="12"/>
      <c r="V20" s="12"/>
      <c r="W20" s="12"/>
      <c r="X20" s="12"/>
    </row>
    <row r="21" spans="2:24" x14ac:dyDescent="0.75">
      <c r="B21" s="14" t="str">
        <f>IF('Employee Input Yr3'!B21="","",'Employee Input Yr3'!B21)</f>
        <v/>
      </c>
      <c r="C21" s="14" t="str">
        <f>IF('Employee Input Yr3'!C21="","",'Employee Input Yr3'!C21)</f>
        <v/>
      </c>
      <c r="D21" s="14" t="str">
        <f>IF('Employee Input Yr3'!D21="","",'Employee Input Yr3'!D21)</f>
        <v/>
      </c>
      <c r="E21" s="14" t="str">
        <f>IF('Employee Input Yr3'!E21="","",'Employee Input Yr3'!E21)</f>
        <v/>
      </c>
      <c r="F21" s="14" t="str">
        <f>IF('Employee Input Yr3'!F21="","",'Employee Input Yr3'!F21)</f>
        <v/>
      </c>
      <c r="G21" s="155" t="str">
        <f>IF('Employee Input Yr3'!G21="","",'Employee Input Yr3'!G21*(1+$G$2))</f>
        <v/>
      </c>
      <c r="H21" s="10" t="str">
        <f t="shared" si="0"/>
        <v/>
      </c>
      <c r="I21" s="155" t="str">
        <f>IF('Employee Input Yr3'!I21="","",'Employee Input Yr3'!I21)</f>
        <v/>
      </c>
      <c r="J21" s="155" t="str">
        <f>IF('Employee Input Yr3'!J21="","",'Employee Input Yr3'!J21)</f>
        <v/>
      </c>
      <c r="K21" s="10" t="str">
        <f t="shared" si="1"/>
        <v/>
      </c>
      <c r="L21" s="14" t="str">
        <f>IF('Employee Input Yr3'!L21="","",'Employee Input Yr3'!L21)</f>
        <v/>
      </c>
      <c r="M21" s="10"/>
      <c r="N21" s="10"/>
      <c r="O21" s="10"/>
      <c r="P21" s="10"/>
      <c r="Q21" s="11"/>
      <c r="R21" s="12"/>
      <c r="S21" s="12"/>
      <c r="T21" s="12"/>
      <c r="U21" s="12"/>
      <c r="V21" s="12"/>
      <c r="W21" s="12"/>
      <c r="X21" s="12"/>
    </row>
    <row r="22" spans="2:24" x14ac:dyDescent="0.75">
      <c r="B22" s="14" t="str">
        <f>IF('Employee Input Yr3'!B22="","",'Employee Input Yr3'!B22)</f>
        <v/>
      </c>
      <c r="C22" s="14" t="str">
        <f>IF('Employee Input Yr3'!C22="","",'Employee Input Yr3'!C22)</f>
        <v/>
      </c>
      <c r="D22" s="14" t="str">
        <f>IF('Employee Input Yr3'!D22="","",'Employee Input Yr3'!D22)</f>
        <v/>
      </c>
      <c r="E22" s="14" t="str">
        <f>IF('Employee Input Yr3'!E22="","",'Employee Input Yr3'!E22)</f>
        <v/>
      </c>
      <c r="F22" s="14" t="str">
        <f>IF('Employee Input Yr3'!F22="","",'Employee Input Yr3'!F22)</f>
        <v/>
      </c>
      <c r="G22" s="155" t="str">
        <f>IF('Employee Input Yr3'!G22="","",'Employee Input Yr3'!G22*(1+$G$2))</f>
        <v/>
      </c>
      <c r="H22" s="10" t="str">
        <f t="shared" si="0"/>
        <v/>
      </c>
      <c r="I22" s="155" t="str">
        <f>IF('Employee Input Yr3'!I22="","",'Employee Input Yr3'!I22)</f>
        <v/>
      </c>
      <c r="J22" s="155" t="str">
        <f>IF('Employee Input Yr3'!J22="","",'Employee Input Yr3'!J22)</f>
        <v/>
      </c>
      <c r="K22" s="10" t="str">
        <f t="shared" si="1"/>
        <v/>
      </c>
      <c r="L22" s="14" t="str">
        <f>IF('Employee Input Yr3'!L22="","",'Employee Input Yr3'!L22)</f>
        <v/>
      </c>
      <c r="M22" s="10"/>
      <c r="N22" s="10"/>
      <c r="O22" s="10"/>
      <c r="P22" s="10"/>
      <c r="Q22" s="11"/>
      <c r="R22" s="12"/>
      <c r="S22" s="12"/>
      <c r="T22" s="12"/>
      <c r="U22" s="12"/>
      <c r="V22" s="12"/>
      <c r="W22" s="12"/>
      <c r="X22" s="12"/>
    </row>
    <row r="23" spans="2:24" x14ac:dyDescent="0.75">
      <c r="B23" s="14" t="str">
        <f>IF('Employee Input Yr3'!B23="","",'Employee Input Yr3'!B23)</f>
        <v/>
      </c>
      <c r="C23" s="14" t="str">
        <f>IF('Employee Input Yr3'!C23="","",'Employee Input Yr3'!C23)</f>
        <v/>
      </c>
      <c r="D23" s="14" t="str">
        <f>IF('Employee Input Yr3'!D23="","",'Employee Input Yr3'!D23)</f>
        <v/>
      </c>
      <c r="E23" s="14" t="str">
        <f>IF('Employee Input Yr3'!E23="","",'Employee Input Yr3'!E23)</f>
        <v/>
      </c>
      <c r="F23" s="14" t="str">
        <f>IF('Employee Input Yr3'!F23="","",'Employee Input Yr3'!F23)</f>
        <v/>
      </c>
      <c r="G23" s="155" t="str">
        <f>IF('Employee Input Yr3'!G23="","",'Employee Input Yr3'!G23*(1+$G$2))</f>
        <v/>
      </c>
      <c r="H23" s="10" t="str">
        <f t="shared" si="0"/>
        <v/>
      </c>
      <c r="I23" s="155" t="str">
        <f>IF('Employee Input Yr3'!I23="","",'Employee Input Yr3'!I23)</f>
        <v/>
      </c>
      <c r="J23" s="155" t="str">
        <f>IF('Employee Input Yr3'!J23="","",'Employee Input Yr3'!J23)</f>
        <v/>
      </c>
      <c r="K23" s="10" t="str">
        <f t="shared" si="1"/>
        <v/>
      </c>
      <c r="L23" s="14" t="str">
        <f>IF('Employee Input Yr3'!L23="","",'Employee Input Yr3'!L23)</f>
        <v/>
      </c>
      <c r="M23" s="10"/>
      <c r="N23" s="10"/>
      <c r="O23" s="10"/>
      <c r="P23" s="10"/>
      <c r="Q23" s="11"/>
      <c r="R23" s="12"/>
      <c r="S23" s="12"/>
      <c r="T23" s="12"/>
      <c r="U23" s="12"/>
      <c r="V23" s="12"/>
      <c r="W23" s="12"/>
      <c r="X23" s="12"/>
    </row>
    <row r="24" spans="2:24" x14ac:dyDescent="0.75">
      <c r="B24" s="14" t="str">
        <f>IF('Employee Input Yr3'!B24="","",'Employee Input Yr3'!B24)</f>
        <v/>
      </c>
      <c r="C24" s="14" t="str">
        <f>IF('Employee Input Yr3'!C24="","",'Employee Input Yr3'!C24)</f>
        <v/>
      </c>
      <c r="D24" s="14" t="str">
        <f>IF('Employee Input Yr3'!D24="","",'Employee Input Yr3'!D24)</f>
        <v/>
      </c>
      <c r="E24" s="14" t="str">
        <f>IF('Employee Input Yr3'!E24="","",'Employee Input Yr3'!E24)</f>
        <v/>
      </c>
      <c r="F24" s="14" t="str">
        <f>IF('Employee Input Yr3'!F24="","",'Employee Input Yr3'!F24)</f>
        <v/>
      </c>
      <c r="G24" s="155" t="str">
        <f>IF('Employee Input Yr3'!G24="","",'Employee Input Yr3'!G24*(1+$G$2))</f>
        <v/>
      </c>
      <c r="H24" s="10" t="str">
        <f t="shared" si="0"/>
        <v/>
      </c>
      <c r="I24" s="155" t="str">
        <f>IF('Employee Input Yr3'!I24="","",'Employee Input Yr3'!I24)</f>
        <v/>
      </c>
      <c r="J24" s="155" t="str">
        <f>IF('Employee Input Yr3'!J24="","",'Employee Input Yr3'!J24)</f>
        <v/>
      </c>
      <c r="K24" s="10" t="str">
        <f t="shared" si="1"/>
        <v/>
      </c>
      <c r="L24" s="14" t="str">
        <f>IF('Employee Input Yr3'!L24="","",'Employee Input Yr3'!L24)</f>
        <v/>
      </c>
      <c r="M24" s="10"/>
      <c r="N24" s="10"/>
      <c r="O24" s="10"/>
      <c r="P24" s="10"/>
      <c r="Q24" s="11"/>
      <c r="R24" s="12"/>
      <c r="S24" s="12"/>
      <c r="T24" s="12"/>
      <c r="U24" s="12"/>
      <c r="V24" s="12"/>
      <c r="W24" s="12"/>
      <c r="X24" s="12"/>
    </row>
    <row r="25" spans="2:24" x14ac:dyDescent="0.75">
      <c r="B25" s="14" t="str">
        <f>IF('Employee Input Yr3'!B25="","",'Employee Input Yr3'!B25)</f>
        <v/>
      </c>
      <c r="C25" s="14" t="str">
        <f>IF('Employee Input Yr3'!C25="","",'Employee Input Yr3'!C25)</f>
        <v/>
      </c>
      <c r="D25" s="14" t="str">
        <f>IF('Employee Input Yr3'!D25="","",'Employee Input Yr3'!D25)</f>
        <v/>
      </c>
      <c r="E25" s="14" t="str">
        <f>IF('Employee Input Yr3'!E25="","",'Employee Input Yr3'!E25)</f>
        <v/>
      </c>
      <c r="F25" s="14" t="str">
        <f>IF('Employee Input Yr3'!F25="","",'Employee Input Yr3'!F25)</f>
        <v/>
      </c>
      <c r="G25" s="155" t="str">
        <f>IF('Employee Input Yr3'!G25="","",'Employee Input Yr3'!G25*(1+$G$2))</f>
        <v/>
      </c>
      <c r="H25" s="10" t="str">
        <f t="shared" si="0"/>
        <v/>
      </c>
      <c r="I25" s="155" t="str">
        <f>IF('Employee Input Yr3'!I25="","",'Employee Input Yr3'!I25)</f>
        <v/>
      </c>
      <c r="J25" s="155" t="str">
        <f>IF('Employee Input Yr3'!J25="","",'Employee Input Yr3'!J25)</f>
        <v/>
      </c>
      <c r="K25" s="10" t="str">
        <f t="shared" si="1"/>
        <v/>
      </c>
      <c r="L25" s="14" t="str">
        <f>IF('Employee Input Yr3'!L25="","",'Employee Input Yr3'!L25)</f>
        <v/>
      </c>
      <c r="M25" s="10"/>
      <c r="N25" s="10"/>
      <c r="O25" s="10"/>
      <c r="P25" s="10"/>
      <c r="Q25" s="11"/>
      <c r="R25" s="12"/>
      <c r="S25" s="12"/>
      <c r="T25" s="12"/>
      <c r="U25" s="12"/>
      <c r="V25" s="12"/>
      <c r="W25" s="12"/>
      <c r="X25" s="12"/>
    </row>
    <row r="26" spans="2:24" x14ac:dyDescent="0.75">
      <c r="B26" s="14" t="str">
        <f>IF('Employee Input Yr3'!B26="","",'Employee Input Yr3'!B26)</f>
        <v/>
      </c>
      <c r="C26" s="14" t="str">
        <f>IF('Employee Input Yr3'!C26="","",'Employee Input Yr3'!C26)</f>
        <v/>
      </c>
      <c r="D26" s="14" t="str">
        <f>IF('Employee Input Yr3'!D26="","",'Employee Input Yr3'!D26)</f>
        <v/>
      </c>
      <c r="E26" s="14" t="str">
        <f>IF('Employee Input Yr3'!E26="","",'Employee Input Yr3'!E26)</f>
        <v/>
      </c>
      <c r="F26" s="14" t="str">
        <f>IF('Employee Input Yr3'!F26="","",'Employee Input Yr3'!F26)</f>
        <v/>
      </c>
      <c r="G26" s="155" t="str">
        <f>IF('Employee Input Yr3'!G26="","",'Employee Input Yr3'!G26*(1+$G$2))</f>
        <v/>
      </c>
      <c r="H26" s="10" t="str">
        <f t="shared" si="0"/>
        <v/>
      </c>
      <c r="I26" s="155" t="str">
        <f>IF('Employee Input Yr3'!I26="","",'Employee Input Yr3'!I26)</f>
        <v/>
      </c>
      <c r="J26" s="155" t="str">
        <f>IF('Employee Input Yr3'!J26="","",'Employee Input Yr3'!J26)</f>
        <v/>
      </c>
      <c r="K26" s="10" t="str">
        <f t="shared" si="1"/>
        <v/>
      </c>
      <c r="L26" s="14" t="str">
        <f>IF('Employee Input Yr3'!L26="","",'Employee Input Yr3'!L26)</f>
        <v/>
      </c>
      <c r="M26" s="10"/>
      <c r="N26" s="10"/>
      <c r="O26" s="10"/>
      <c r="P26" s="10"/>
      <c r="Q26" s="11"/>
      <c r="R26" s="12"/>
      <c r="S26" s="12"/>
      <c r="T26" s="12"/>
      <c r="U26" s="12"/>
      <c r="V26" s="12"/>
      <c r="W26" s="12"/>
      <c r="X26" s="12"/>
    </row>
    <row r="27" spans="2:24" x14ac:dyDescent="0.75">
      <c r="B27" s="14" t="str">
        <f>IF('Employee Input Yr3'!B27="","",'Employee Input Yr3'!B27)</f>
        <v/>
      </c>
      <c r="C27" s="14" t="str">
        <f>IF('Employee Input Yr3'!C27="","",'Employee Input Yr3'!C27)</f>
        <v/>
      </c>
      <c r="D27" s="14" t="str">
        <f>IF('Employee Input Yr3'!D27="","",'Employee Input Yr3'!D27)</f>
        <v/>
      </c>
      <c r="E27" s="14" t="str">
        <f>IF('Employee Input Yr3'!E27="","",'Employee Input Yr3'!E27)</f>
        <v/>
      </c>
      <c r="F27" s="14" t="str">
        <f>IF('Employee Input Yr3'!F27="","",'Employee Input Yr3'!F27)</f>
        <v/>
      </c>
      <c r="G27" s="155" t="str">
        <f>IF('Employee Input Yr3'!G27="","",'Employee Input Yr3'!G27*(1+$G$2))</f>
        <v/>
      </c>
      <c r="H27" s="10" t="str">
        <f t="shared" si="0"/>
        <v/>
      </c>
      <c r="I27" s="155" t="str">
        <f>IF('Employee Input Yr3'!I27="","",'Employee Input Yr3'!I27)</f>
        <v/>
      </c>
      <c r="J27" s="155" t="str">
        <f>IF('Employee Input Yr3'!J27="","",'Employee Input Yr3'!J27)</f>
        <v/>
      </c>
      <c r="K27" s="10" t="str">
        <f t="shared" si="1"/>
        <v/>
      </c>
      <c r="L27" s="14" t="str">
        <f>IF('Employee Input Yr3'!L27="","",'Employee Input Yr3'!L27)</f>
        <v/>
      </c>
      <c r="M27" s="10"/>
      <c r="N27" s="10"/>
      <c r="O27" s="10"/>
      <c r="P27" s="10"/>
      <c r="Q27" s="11"/>
      <c r="R27" s="12"/>
      <c r="S27" s="12"/>
      <c r="T27" s="12"/>
      <c r="U27" s="12"/>
      <c r="V27" s="12"/>
      <c r="W27" s="12"/>
      <c r="X27" s="12"/>
    </row>
    <row r="28" spans="2:24" x14ac:dyDescent="0.75">
      <c r="B28" s="14" t="str">
        <f>IF('Employee Input Yr3'!B28="","",'Employee Input Yr3'!B28)</f>
        <v/>
      </c>
      <c r="C28" s="14" t="str">
        <f>IF('Employee Input Yr3'!C28="","",'Employee Input Yr3'!C28)</f>
        <v/>
      </c>
      <c r="D28" s="14" t="str">
        <f>IF('Employee Input Yr3'!D28="","",'Employee Input Yr3'!D28)</f>
        <v/>
      </c>
      <c r="E28" s="14" t="str">
        <f>IF('Employee Input Yr3'!E28="","",'Employee Input Yr3'!E28)</f>
        <v/>
      </c>
      <c r="F28" s="14" t="str">
        <f>IF('Employee Input Yr3'!F28="","",'Employee Input Yr3'!F28)</f>
        <v/>
      </c>
      <c r="G28" s="155" t="str">
        <f>IF('Employee Input Yr3'!G28="","",'Employee Input Yr3'!G28*(1+$G$2))</f>
        <v/>
      </c>
      <c r="H28" s="10" t="str">
        <f t="shared" si="0"/>
        <v/>
      </c>
      <c r="I28" s="155" t="str">
        <f>IF('Employee Input Yr3'!I28="","",'Employee Input Yr3'!I28)</f>
        <v/>
      </c>
      <c r="J28" s="155" t="str">
        <f>IF('Employee Input Yr3'!J28="","",'Employee Input Yr3'!J28)</f>
        <v/>
      </c>
      <c r="K28" s="10" t="str">
        <f t="shared" si="1"/>
        <v/>
      </c>
      <c r="L28" s="14" t="str">
        <f>IF('Employee Input Yr3'!L28="","",'Employee Input Yr3'!L28)</f>
        <v/>
      </c>
      <c r="M28" s="10"/>
      <c r="N28" s="10"/>
      <c r="O28" s="10"/>
      <c r="P28" s="10"/>
      <c r="Q28" s="11"/>
      <c r="R28" s="12"/>
      <c r="S28" s="12"/>
      <c r="T28" s="12"/>
      <c r="U28" s="12"/>
      <c r="V28" s="12"/>
      <c r="W28" s="12"/>
      <c r="X28" s="12"/>
    </row>
    <row r="29" spans="2:24" x14ac:dyDescent="0.75">
      <c r="B29" s="14" t="str">
        <f>IF('Employee Input Yr3'!B29="","",'Employee Input Yr3'!B29)</f>
        <v/>
      </c>
      <c r="C29" s="14" t="str">
        <f>IF('Employee Input Yr3'!C29="","",'Employee Input Yr3'!C29)</f>
        <v/>
      </c>
      <c r="D29" s="14" t="str">
        <f>IF('Employee Input Yr3'!D29="","",'Employee Input Yr3'!D29)</f>
        <v/>
      </c>
      <c r="E29" s="14" t="str">
        <f>IF('Employee Input Yr3'!E29="","",'Employee Input Yr3'!E29)</f>
        <v/>
      </c>
      <c r="F29" s="14" t="str">
        <f>IF('Employee Input Yr3'!F29="","",'Employee Input Yr3'!F29)</f>
        <v/>
      </c>
      <c r="G29" s="155" t="str">
        <f>IF('Employee Input Yr3'!G29="","",'Employee Input Yr3'!G29*(1+$G$2))</f>
        <v/>
      </c>
      <c r="H29" s="10" t="str">
        <f t="shared" si="0"/>
        <v/>
      </c>
      <c r="I29" s="155" t="str">
        <f>IF('Employee Input Yr3'!I29="","",'Employee Input Yr3'!I29)</f>
        <v/>
      </c>
      <c r="J29" s="155" t="str">
        <f>IF('Employee Input Yr3'!J29="","",'Employee Input Yr3'!J29)</f>
        <v/>
      </c>
      <c r="K29" s="10" t="str">
        <f t="shared" si="1"/>
        <v/>
      </c>
      <c r="L29" s="14" t="str">
        <f>IF('Employee Input Yr3'!L29="","",'Employee Input Yr3'!L29)</f>
        <v/>
      </c>
      <c r="M29" s="10"/>
      <c r="N29" s="10"/>
      <c r="O29" s="10"/>
      <c r="P29" s="10"/>
      <c r="Q29" s="11"/>
      <c r="R29" s="12"/>
      <c r="S29" s="12"/>
      <c r="T29" s="12"/>
      <c r="U29" s="12"/>
      <c r="V29" s="12"/>
      <c r="W29" s="12"/>
      <c r="X29" s="12"/>
    </row>
    <row r="30" spans="2:24" x14ac:dyDescent="0.75">
      <c r="B30" s="14" t="str">
        <f>IF('Employee Input Yr3'!B30="","",'Employee Input Yr3'!B30)</f>
        <v/>
      </c>
      <c r="C30" s="14" t="str">
        <f>IF('Employee Input Yr3'!C30="","",'Employee Input Yr3'!C30)</f>
        <v/>
      </c>
      <c r="D30" s="14" t="str">
        <f>IF('Employee Input Yr3'!D30="","",'Employee Input Yr3'!D30)</f>
        <v/>
      </c>
      <c r="E30" s="14" t="str">
        <f>IF('Employee Input Yr3'!E30="","",'Employee Input Yr3'!E30)</f>
        <v/>
      </c>
      <c r="F30" s="14" t="str">
        <f>IF('Employee Input Yr3'!F30="","",'Employee Input Yr3'!F30)</f>
        <v/>
      </c>
      <c r="G30" s="155" t="str">
        <f>IF('Employee Input Yr3'!G30="","",'Employee Input Yr3'!G30*(1+$G$2))</f>
        <v/>
      </c>
      <c r="H30" s="10" t="str">
        <f t="shared" si="0"/>
        <v/>
      </c>
      <c r="I30" s="155" t="str">
        <f>IF('Employee Input Yr3'!I30="","",'Employee Input Yr3'!I30)</f>
        <v/>
      </c>
      <c r="J30" s="155" t="str">
        <f>IF('Employee Input Yr3'!J30="","",'Employee Input Yr3'!J30)</f>
        <v/>
      </c>
      <c r="K30" s="10" t="str">
        <f t="shared" si="1"/>
        <v/>
      </c>
      <c r="L30" s="14" t="str">
        <f>IF('Employee Input Yr3'!L30="","",'Employee Input Yr3'!L30)</f>
        <v/>
      </c>
      <c r="M30" s="10"/>
      <c r="N30" s="10"/>
      <c r="O30" s="10"/>
      <c r="P30" s="10"/>
      <c r="Q30" s="11"/>
      <c r="R30" s="12"/>
      <c r="S30" s="12"/>
      <c r="T30" s="12"/>
      <c r="U30" s="12"/>
      <c r="V30" s="12"/>
      <c r="W30" s="12"/>
      <c r="X30" s="12"/>
    </row>
    <row r="31" spans="2:24" x14ac:dyDescent="0.75">
      <c r="B31" s="14" t="str">
        <f>IF('Employee Input Yr3'!B31="","",'Employee Input Yr3'!B31)</f>
        <v/>
      </c>
      <c r="C31" s="14" t="str">
        <f>IF('Employee Input Yr3'!C31="","",'Employee Input Yr3'!C31)</f>
        <v/>
      </c>
      <c r="D31" s="14" t="str">
        <f>IF('Employee Input Yr3'!D31="","",'Employee Input Yr3'!D31)</f>
        <v/>
      </c>
      <c r="E31" s="14" t="str">
        <f>IF('Employee Input Yr3'!E31="","",'Employee Input Yr3'!E31)</f>
        <v/>
      </c>
      <c r="F31" s="14" t="str">
        <f>IF('Employee Input Yr3'!F31="","",'Employee Input Yr3'!F31)</f>
        <v/>
      </c>
      <c r="G31" s="155" t="str">
        <f>IF('Employee Input Yr3'!G31="","",'Employee Input Yr3'!G31*(1+$G$2))</f>
        <v/>
      </c>
      <c r="H31" s="10" t="str">
        <f t="shared" si="0"/>
        <v/>
      </c>
      <c r="I31" s="155" t="str">
        <f>IF('Employee Input Yr3'!I31="","",'Employee Input Yr3'!I31)</f>
        <v/>
      </c>
      <c r="J31" s="155" t="str">
        <f>IF('Employee Input Yr3'!J31="","",'Employee Input Yr3'!J31)</f>
        <v/>
      </c>
      <c r="K31" s="10" t="str">
        <f t="shared" si="1"/>
        <v/>
      </c>
      <c r="L31" s="14" t="str">
        <f>IF('Employee Input Yr3'!L31="","",'Employee Input Yr3'!L31)</f>
        <v/>
      </c>
    </row>
    <row r="32" spans="2:24" x14ac:dyDescent="0.75">
      <c r="B32" s="14" t="str">
        <f>IF('Employee Input Yr3'!B32="","",'Employee Input Yr3'!B32)</f>
        <v/>
      </c>
      <c r="C32" s="14" t="str">
        <f>IF('Employee Input Yr3'!C32="","",'Employee Input Yr3'!C32)</f>
        <v/>
      </c>
      <c r="D32" s="14" t="str">
        <f>IF('Employee Input Yr3'!D32="","",'Employee Input Yr3'!D32)</f>
        <v/>
      </c>
      <c r="E32" s="14" t="str">
        <f>IF('Employee Input Yr3'!E32="","",'Employee Input Yr3'!E32)</f>
        <v/>
      </c>
      <c r="F32" s="14" t="str">
        <f>IF('Employee Input Yr3'!F32="","",'Employee Input Yr3'!F32)</f>
        <v/>
      </c>
      <c r="G32" s="155" t="str">
        <f>IF('Employee Input Yr3'!G32="","",'Employee Input Yr3'!G32*(1+$G$2))</f>
        <v/>
      </c>
      <c r="H32" s="10" t="str">
        <f t="shared" si="0"/>
        <v/>
      </c>
      <c r="I32" s="155" t="str">
        <f>IF('Employee Input Yr3'!I32="","",'Employee Input Yr3'!I32)</f>
        <v/>
      </c>
      <c r="J32" s="155" t="str">
        <f>IF('Employee Input Yr3'!J32="","",'Employee Input Yr3'!J32)</f>
        <v/>
      </c>
      <c r="K32" s="10" t="str">
        <f t="shared" si="1"/>
        <v/>
      </c>
      <c r="L32" s="14" t="str">
        <f>IF('Employee Input Yr3'!L32="","",'Employee Input Yr3'!L32)</f>
        <v/>
      </c>
    </row>
    <row r="33" spans="2:12" x14ac:dyDescent="0.75">
      <c r="B33" s="14" t="str">
        <f>IF('Employee Input Yr3'!B33="","",'Employee Input Yr3'!B33)</f>
        <v/>
      </c>
      <c r="C33" s="14" t="str">
        <f>IF('Employee Input Yr3'!C33="","",'Employee Input Yr3'!C33)</f>
        <v/>
      </c>
      <c r="D33" s="14" t="str">
        <f>IF('Employee Input Yr3'!D33="","",'Employee Input Yr3'!D33)</f>
        <v/>
      </c>
      <c r="E33" s="14" t="str">
        <f>IF('Employee Input Yr3'!E33="","",'Employee Input Yr3'!E33)</f>
        <v/>
      </c>
      <c r="F33" s="14" t="str">
        <f>IF('Employee Input Yr3'!F33="","",'Employee Input Yr3'!F33)</f>
        <v/>
      </c>
      <c r="G33" s="155" t="str">
        <f>IF('Employee Input Yr3'!G33="","",'Employee Input Yr3'!G33*(1+$G$2))</f>
        <v/>
      </c>
      <c r="H33" s="10" t="str">
        <f t="shared" si="0"/>
        <v/>
      </c>
      <c r="I33" s="155" t="str">
        <f>IF('Employee Input Yr3'!I33="","",'Employee Input Yr3'!I33)</f>
        <v/>
      </c>
      <c r="J33" s="155" t="str">
        <f>IF('Employee Input Yr3'!J33="","",'Employee Input Yr3'!J33)</f>
        <v/>
      </c>
      <c r="K33" s="10" t="str">
        <f t="shared" si="1"/>
        <v/>
      </c>
      <c r="L33" s="14" t="str">
        <f>IF('Employee Input Yr3'!L33="","",'Employee Input Yr3'!L33)</f>
        <v/>
      </c>
    </row>
    <row r="34" spans="2:12" x14ac:dyDescent="0.75">
      <c r="B34" s="14" t="str">
        <f>IF('Employee Input Yr3'!B34="","",'Employee Input Yr3'!B34)</f>
        <v/>
      </c>
      <c r="C34" s="14" t="str">
        <f>IF('Employee Input Yr3'!C34="","",'Employee Input Yr3'!C34)</f>
        <v/>
      </c>
      <c r="D34" s="14" t="str">
        <f>IF('Employee Input Yr3'!D34="","",'Employee Input Yr3'!D34)</f>
        <v/>
      </c>
      <c r="E34" s="14" t="str">
        <f>IF('Employee Input Yr3'!E34="","",'Employee Input Yr3'!E34)</f>
        <v/>
      </c>
      <c r="F34" s="14" t="str">
        <f>IF('Employee Input Yr3'!F34="","",'Employee Input Yr3'!F34)</f>
        <v/>
      </c>
      <c r="G34" s="155" t="str">
        <f>IF('Employee Input Yr3'!G34="","",'Employee Input Yr3'!G34*(1+$G$2))</f>
        <v/>
      </c>
      <c r="H34" s="10" t="str">
        <f t="shared" si="0"/>
        <v/>
      </c>
      <c r="I34" s="155" t="str">
        <f>IF('Employee Input Yr3'!I34="","",'Employee Input Yr3'!I34)</f>
        <v/>
      </c>
      <c r="J34" s="155" t="str">
        <f>IF('Employee Input Yr3'!J34="","",'Employee Input Yr3'!J34)</f>
        <v/>
      </c>
      <c r="K34" s="10" t="str">
        <f t="shared" si="1"/>
        <v/>
      </c>
      <c r="L34" s="14" t="str">
        <f>IF('Employee Input Yr3'!L34="","",'Employee Input Yr3'!L34)</f>
        <v/>
      </c>
    </row>
    <row r="35" spans="2:12" x14ac:dyDescent="0.75">
      <c r="B35" s="14" t="str">
        <f>IF('Employee Input Yr3'!B35="","",'Employee Input Yr3'!B35)</f>
        <v/>
      </c>
      <c r="C35" s="14" t="str">
        <f>IF('Employee Input Yr3'!C35="","",'Employee Input Yr3'!C35)</f>
        <v/>
      </c>
      <c r="D35" s="14" t="str">
        <f>IF('Employee Input Yr3'!D35="","",'Employee Input Yr3'!D35)</f>
        <v/>
      </c>
      <c r="E35" s="14" t="str">
        <f>IF('Employee Input Yr3'!E35="","",'Employee Input Yr3'!E35)</f>
        <v/>
      </c>
      <c r="F35" s="14" t="str">
        <f>IF('Employee Input Yr3'!F35="","",'Employee Input Yr3'!F35)</f>
        <v/>
      </c>
      <c r="G35" s="155" t="str">
        <f>IF('Employee Input Yr3'!G35="","",'Employee Input Yr3'!G35*(1+$G$2))</f>
        <v/>
      </c>
      <c r="H35" s="10" t="str">
        <f t="shared" si="0"/>
        <v/>
      </c>
      <c r="I35" s="155" t="str">
        <f>IF('Employee Input Yr3'!I35="","",'Employee Input Yr3'!I35)</f>
        <v/>
      </c>
      <c r="J35" s="155" t="str">
        <f>IF('Employee Input Yr3'!J35="","",'Employee Input Yr3'!J35)</f>
        <v/>
      </c>
      <c r="K35" s="10" t="str">
        <f t="shared" si="1"/>
        <v/>
      </c>
      <c r="L35" s="14" t="str">
        <f>IF('Employee Input Yr3'!L35="","",'Employee Input Yr3'!L35)</f>
        <v/>
      </c>
    </row>
    <row r="36" spans="2:12" hidden="1" outlineLevel="1" x14ac:dyDescent="0.75">
      <c r="B36" s="14" t="str">
        <f>IF('Employee Input Yr3'!B36="","",'Employee Input Yr3'!B36)</f>
        <v/>
      </c>
      <c r="C36" s="14" t="str">
        <f>IF('Employee Input Yr3'!C36="","",'Employee Input Yr3'!C36)</f>
        <v/>
      </c>
      <c r="D36" s="14" t="str">
        <f>IF('Employee Input Yr3'!D36="","",'Employee Input Yr3'!D36)</f>
        <v/>
      </c>
      <c r="E36" s="14" t="str">
        <f>IF('Employee Input Yr3'!E36="","",'Employee Input Yr3'!E36)</f>
        <v/>
      </c>
      <c r="F36" s="14" t="str">
        <f>IF('Employee Input Yr3'!F36="","",'Employee Input Yr3'!F36)</f>
        <v/>
      </c>
      <c r="G36" s="155" t="str">
        <f>IF('Employee Input Yr3'!G36="","",'Employee Input Yr3'!G36)</f>
        <v/>
      </c>
      <c r="H36" s="10" t="str">
        <f t="shared" si="0"/>
        <v/>
      </c>
      <c r="I36" s="155" t="str">
        <f>IF('Employee Input Yr3'!I36="","",'Employee Input Yr3'!I36)</f>
        <v/>
      </c>
      <c r="J36" s="155" t="str">
        <f>IF('Employee Input Yr3'!J36="","",'Employee Input Yr3'!J36)</f>
        <v/>
      </c>
      <c r="K36" s="10" t="str">
        <f t="shared" si="1"/>
        <v/>
      </c>
      <c r="L36" s="14" t="str">
        <f>IF('Employee Input Yr3'!L36="","",'Employee Input Yr3'!L36)</f>
        <v/>
      </c>
    </row>
    <row r="37" spans="2:12" hidden="1" outlineLevel="1" x14ac:dyDescent="0.75">
      <c r="B37" s="14" t="str">
        <f>IF('Employee Input Yr3'!B37="","",'Employee Input Yr3'!B37)</f>
        <v/>
      </c>
      <c r="C37" s="14" t="str">
        <f>IF('Employee Input Yr3'!C37="","",'Employee Input Yr3'!C37)</f>
        <v/>
      </c>
      <c r="D37" s="14" t="str">
        <f>IF('Employee Input Yr3'!D37="","",'Employee Input Yr3'!D37)</f>
        <v/>
      </c>
      <c r="E37" s="14" t="str">
        <f>IF('Employee Input Yr3'!E37="","",'Employee Input Yr3'!E37)</f>
        <v/>
      </c>
      <c r="F37" s="14" t="str">
        <f>IF('Employee Input Yr3'!F37="","",'Employee Input Yr3'!F37)</f>
        <v/>
      </c>
      <c r="G37" s="155" t="str">
        <f>IF('Employee Input Yr3'!G37="","",'Employee Input Yr3'!G37)</f>
        <v/>
      </c>
      <c r="H37" s="10" t="str">
        <f t="shared" si="0"/>
        <v/>
      </c>
      <c r="I37" s="155" t="str">
        <f>IF('Employee Input Yr3'!I37="","",'Employee Input Yr3'!I37)</f>
        <v/>
      </c>
      <c r="J37" s="155" t="str">
        <f>IF('Employee Input Yr3'!J37="","",'Employee Input Yr3'!J37)</f>
        <v/>
      </c>
      <c r="K37" s="10" t="str">
        <f t="shared" si="1"/>
        <v/>
      </c>
      <c r="L37" s="14" t="str">
        <f>IF('Employee Input Yr3'!L37="","",'Employee Input Yr3'!L37)</f>
        <v/>
      </c>
    </row>
    <row r="38" spans="2:12" hidden="1" outlineLevel="1" x14ac:dyDescent="0.75">
      <c r="B38" s="14" t="str">
        <f>IF('Employee Input Yr3'!B38="","",'Employee Input Yr3'!B38)</f>
        <v/>
      </c>
      <c r="C38" s="14" t="str">
        <f>IF('Employee Input Yr3'!C38="","",'Employee Input Yr3'!C38)</f>
        <v/>
      </c>
      <c r="D38" s="14" t="str">
        <f>IF('Employee Input Yr3'!D38="","",'Employee Input Yr3'!D38)</f>
        <v/>
      </c>
      <c r="E38" s="14" t="str">
        <f>IF('Employee Input Yr3'!E38="","",'Employee Input Yr3'!E38)</f>
        <v/>
      </c>
      <c r="F38" s="14" t="str">
        <f>IF('Employee Input Yr3'!F38="","",'Employee Input Yr3'!F38)</f>
        <v/>
      </c>
      <c r="G38" s="155" t="str">
        <f>IF('Employee Input Yr3'!G38="","",'Employee Input Yr3'!G38)</f>
        <v/>
      </c>
      <c r="H38" s="10" t="str">
        <f t="shared" si="0"/>
        <v/>
      </c>
      <c r="I38" s="155" t="str">
        <f>IF('Employee Input Yr3'!I38="","",'Employee Input Yr3'!I38)</f>
        <v/>
      </c>
      <c r="J38" s="155" t="str">
        <f>IF('Employee Input Yr3'!J38="","",'Employee Input Yr3'!J38)</f>
        <v/>
      </c>
      <c r="K38" s="10" t="str">
        <f t="shared" si="1"/>
        <v/>
      </c>
      <c r="L38" s="14" t="str">
        <f>IF('Employee Input Yr3'!L38="","",'Employee Input Yr3'!L38)</f>
        <v/>
      </c>
    </row>
    <row r="39" spans="2:12" hidden="1" outlineLevel="1" x14ac:dyDescent="0.75">
      <c r="B39" s="14" t="str">
        <f>IF('Employee Input Yr3'!B39="","",'Employee Input Yr3'!B39)</f>
        <v/>
      </c>
      <c r="C39" s="14" t="str">
        <f>IF('Employee Input Yr3'!C39="","",'Employee Input Yr3'!C39)</f>
        <v/>
      </c>
      <c r="D39" s="14" t="str">
        <f>IF('Employee Input Yr3'!D39="","",'Employee Input Yr3'!D39)</f>
        <v/>
      </c>
      <c r="E39" s="14" t="str">
        <f>IF('Employee Input Yr3'!E39="","",'Employee Input Yr3'!E39)</f>
        <v/>
      </c>
      <c r="F39" s="14" t="str">
        <f>IF('Employee Input Yr3'!F39="","",'Employee Input Yr3'!F39)</f>
        <v/>
      </c>
      <c r="G39" s="155" t="str">
        <f>IF('Employee Input Yr3'!G39="","",'Employee Input Yr3'!G39)</f>
        <v/>
      </c>
      <c r="H39" s="10" t="str">
        <f t="shared" si="0"/>
        <v/>
      </c>
      <c r="I39" s="155" t="str">
        <f>IF('Employee Input Yr3'!I39="","",'Employee Input Yr3'!I39)</f>
        <v/>
      </c>
      <c r="J39" s="155" t="str">
        <f>IF('Employee Input Yr3'!J39="","",'Employee Input Yr3'!J39)</f>
        <v/>
      </c>
      <c r="K39" s="10" t="str">
        <f t="shared" si="1"/>
        <v/>
      </c>
      <c r="L39" s="14" t="str">
        <f>IF('Employee Input Yr3'!L39="","",'Employee Input Yr3'!L39)</f>
        <v/>
      </c>
    </row>
    <row r="40" spans="2:12" hidden="1" outlineLevel="1" x14ac:dyDescent="0.75">
      <c r="B40" s="14" t="str">
        <f>IF('Employee Input Yr3'!B40="","",'Employee Input Yr3'!B40)</f>
        <v/>
      </c>
      <c r="C40" s="14" t="str">
        <f>IF('Employee Input Yr3'!C40="","",'Employee Input Yr3'!C40)</f>
        <v/>
      </c>
      <c r="D40" s="14" t="str">
        <f>IF('Employee Input Yr3'!D40="","",'Employee Input Yr3'!D40)</f>
        <v/>
      </c>
      <c r="E40" s="14" t="str">
        <f>IF('Employee Input Yr3'!E40="","",'Employee Input Yr3'!E40)</f>
        <v/>
      </c>
      <c r="F40" s="14" t="str">
        <f>IF('Employee Input Yr3'!F40="","",'Employee Input Yr3'!F40)</f>
        <v/>
      </c>
      <c r="G40" s="155" t="str">
        <f>IF('Employee Input Yr3'!G40="","",'Employee Input Yr3'!G40)</f>
        <v/>
      </c>
      <c r="H40" s="10" t="str">
        <f t="shared" si="0"/>
        <v/>
      </c>
      <c r="I40" s="155" t="str">
        <f>IF('Employee Input Yr3'!I40="","",'Employee Input Yr3'!I40)</f>
        <v/>
      </c>
      <c r="J40" s="155" t="str">
        <f>IF('Employee Input Yr3'!J40="","",'Employee Input Yr3'!J40)</f>
        <v/>
      </c>
      <c r="K40" s="10" t="str">
        <f t="shared" si="1"/>
        <v/>
      </c>
      <c r="L40" s="14" t="str">
        <f>IF('Employee Input Yr3'!L40="","",'Employee Input Yr3'!L40)</f>
        <v/>
      </c>
    </row>
    <row r="41" spans="2:12" hidden="1" outlineLevel="1" x14ac:dyDescent="0.75">
      <c r="B41" s="14" t="str">
        <f>IF('Employee Input Yr3'!B41="","",'Employee Input Yr3'!B41)</f>
        <v/>
      </c>
      <c r="C41" s="14" t="str">
        <f>IF('Employee Input Yr3'!C41="","",'Employee Input Yr3'!C41)</f>
        <v/>
      </c>
      <c r="D41" s="14" t="str">
        <f>IF('Employee Input Yr3'!D41="","",'Employee Input Yr3'!D41)</f>
        <v/>
      </c>
      <c r="E41" s="14" t="str">
        <f>IF('Employee Input Yr3'!E41="","",'Employee Input Yr3'!E41)</f>
        <v/>
      </c>
      <c r="F41" s="14" t="str">
        <f>IF('Employee Input Yr3'!F41="","",'Employee Input Yr3'!F41)</f>
        <v/>
      </c>
      <c r="G41" s="155" t="str">
        <f>IF('Employee Input Yr3'!G41="","",'Employee Input Yr3'!G41)</f>
        <v/>
      </c>
      <c r="H41" s="10" t="str">
        <f t="shared" si="0"/>
        <v/>
      </c>
      <c r="I41" s="155" t="str">
        <f>IF('Employee Input Yr3'!I41="","",'Employee Input Yr3'!I41)</f>
        <v/>
      </c>
      <c r="J41" s="155" t="str">
        <f>IF('Employee Input Yr3'!J41="","",'Employee Input Yr3'!J41)</f>
        <v/>
      </c>
      <c r="K41" s="10" t="str">
        <f t="shared" si="1"/>
        <v/>
      </c>
      <c r="L41" s="14" t="str">
        <f>IF('Employee Input Yr3'!L41="","",'Employee Input Yr3'!L41)</f>
        <v/>
      </c>
    </row>
    <row r="42" spans="2:12" hidden="1" outlineLevel="1" x14ac:dyDescent="0.75">
      <c r="B42" s="14" t="str">
        <f>IF('Employee Input Yr3'!B42="","",'Employee Input Yr3'!B42)</f>
        <v/>
      </c>
      <c r="C42" s="14" t="str">
        <f>IF('Employee Input Yr3'!C42="","",'Employee Input Yr3'!C42)</f>
        <v/>
      </c>
      <c r="D42" s="14" t="str">
        <f>IF('Employee Input Yr3'!D42="","",'Employee Input Yr3'!D42)</f>
        <v/>
      </c>
      <c r="E42" s="14" t="str">
        <f>IF('Employee Input Yr3'!E42="","",'Employee Input Yr3'!E42)</f>
        <v/>
      </c>
      <c r="F42" s="14" t="str">
        <f>IF('Employee Input Yr3'!F42="","",'Employee Input Yr3'!F42)</f>
        <v/>
      </c>
      <c r="G42" s="155" t="str">
        <f>IF('Employee Input Yr3'!G42="","",'Employee Input Yr3'!G42)</f>
        <v/>
      </c>
      <c r="H42" s="10" t="str">
        <f t="shared" si="0"/>
        <v/>
      </c>
      <c r="I42" s="155" t="str">
        <f>IF('Employee Input Yr3'!I42="","",'Employee Input Yr3'!I42)</f>
        <v/>
      </c>
      <c r="J42" s="155" t="str">
        <f>IF('Employee Input Yr3'!J42="","",'Employee Input Yr3'!J42)</f>
        <v/>
      </c>
      <c r="K42" s="10" t="str">
        <f t="shared" si="1"/>
        <v/>
      </c>
      <c r="L42" s="14" t="str">
        <f>IF('Employee Input Yr3'!L42="","",'Employee Input Yr3'!L42)</f>
        <v/>
      </c>
    </row>
    <row r="43" spans="2:12" hidden="1" outlineLevel="1" x14ac:dyDescent="0.75">
      <c r="B43" s="14" t="str">
        <f>IF('Employee Input Yr3'!B43="","",'Employee Input Yr3'!B43)</f>
        <v/>
      </c>
      <c r="C43" s="14" t="str">
        <f>IF('Employee Input Yr3'!C43="","",'Employee Input Yr3'!C43)</f>
        <v/>
      </c>
      <c r="D43" s="14" t="str">
        <f>IF('Employee Input Yr3'!D43="","",'Employee Input Yr3'!D43)</f>
        <v/>
      </c>
      <c r="E43" s="14" t="str">
        <f>IF('Employee Input Yr3'!E43="","",'Employee Input Yr3'!E43)</f>
        <v/>
      </c>
      <c r="F43" s="14" t="str">
        <f>IF('Employee Input Yr3'!F43="","",'Employee Input Yr3'!F43)</f>
        <v/>
      </c>
      <c r="G43" s="155" t="str">
        <f>IF('Employee Input Yr3'!G43="","",'Employee Input Yr3'!G43)</f>
        <v/>
      </c>
      <c r="H43" s="10" t="str">
        <f t="shared" si="0"/>
        <v/>
      </c>
      <c r="I43" s="155" t="str">
        <f>IF('Employee Input Yr3'!I43="","",'Employee Input Yr3'!I43)</f>
        <v/>
      </c>
      <c r="J43" s="155" t="str">
        <f>IF('Employee Input Yr3'!J43="","",'Employee Input Yr3'!J43)</f>
        <v/>
      </c>
      <c r="K43" s="10" t="str">
        <f t="shared" si="1"/>
        <v/>
      </c>
      <c r="L43" s="14" t="str">
        <f>IF('Employee Input Yr3'!L43="","",'Employee Input Yr3'!L43)</f>
        <v/>
      </c>
    </row>
    <row r="44" spans="2:12" hidden="1" outlineLevel="1" x14ac:dyDescent="0.75">
      <c r="B44" s="14" t="str">
        <f>IF('Employee Input Yr3'!B44="","",'Employee Input Yr3'!B44)</f>
        <v/>
      </c>
      <c r="C44" s="14" t="str">
        <f>IF('Employee Input Yr3'!C44="","",'Employee Input Yr3'!C44)</f>
        <v/>
      </c>
      <c r="D44" s="14" t="str">
        <f>IF('Employee Input Yr3'!D44="","",'Employee Input Yr3'!D44)</f>
        <v/>
      </c>
      <c r="E44" s="14" t="str">
        <f>IF('Employee Input Yr3'!E44="","",'Employee Input Yr3'!E44)</f>
        <v/>
      </c>
      <c r="F44" s="14" t="str">
        <f>IF('Employee Input Yr3'!F44="","",'Employee Input Yr3'!F44)</f>
        <v/>
      </c>
      <c r="G44" s="155" t="str">
        <f>IF('Employee Input Yr3'!G44="","",'Employee Input Yr3'!G44)</f>
        <v/>
      </c>
      <c r="H44" s="10" t="str">
        <f t="shared" si="0"/>
        <v/>
      </c>
      <c r="I44" s="155" t="str">
        <f>IF('Employee Input Yr3'!I44="","",'Employee Input Yr3'!I44)</f>
        <v/>
      </c>
      <c r="J44" s="155" t="str">
        <f>IF('Employee Input Yr3'!J44="","",'Employee Input Yr3'!J44)</f>
        <v/>
      </c>
      <c r="K44" s="10" t="str">
        <f t="shared" si="1"/>
        <v/>
      </c>
      <c r="L44" s="14" t="str">
        <f>IF('Employee Input Yr3'!L44="","",'Employee Input Yr3'!L44)</f>
        <v/>
      </c>
    </row>
    <row r="45" spans="2:12" hidden="1" outlineLevel="1" x14ac:dyDescent="0.75">
      <c r="B45" s="14" t="str">
        <f>IF('Employee Input Yr3'!B45="","",'Employee Input Yr3'!B45)</f>
        <v/>
      </c>
      <c r="C45" s="14" t="str">
        <f>IF('Employee Input Yr3'!C45="","",'Employee Input Yr3'!C45)</f>
        <v/>
      </c>
      <c r="D45" s="14" t="str">
        <f>IF('Employee Input Yr3'!D45="","",'Employee Input Yr3'!D45)</f>
        <v/>
      </c>
      <c r="E45" s="14" t="str">
        <f>IF('Employee Input Yr3'!E45="","",'Employee Input Yr3'!E45)</f>
        <v/>
      </c>
      <c r="F45" s="14" t="str">
        <f>IF('Employee Input Yr3'!F45="","",'Employee Input Yr3'!F45)</f>
        <v/>
      </c>
      <c r="G45" s="155" t="str">
        <f>IF('Employee Input Yr3'!G45="","",'Employee Input Yr3'!G45)</f>
        <v/>
      </c>
      <c r="H45" s="10" t="str">
        <f t="shared" si="0"/>
        <v/>
      </c>
      <c r="I45" s="155" t="str">
        <f>IF('Employee Input Yr3'!I45="","",'Employee Input Yr3'!I45)</f>
        <v/>
      </c>
      <c r="J45" s="155" t="str">
        <f>IF('Employee Input Yr3'!J45="","",'Employee Input Yr3'!J45)</f>
        <v/>
      </c>
      <c r="K45" s="10" t="str">
        <f t="shared" si="1"/>
        <v/>
      </c>
      <c r="L45" s="14" t="str">
        <f>IF('Employee Input Yr3'!L45="","",'Employee Input Yr3'!L45)</f>
        <v/>
      </c>
    </row>
    <row r="46" spans="2:12" hidden="1" outlineLevel="1" x14ac:dyDescent="0.75">
      <c r="B46" s="14" t="str">
        <f>IF('Employee Input Yr3'!B46="","",'Employee Input Yr3'!B46)</f>
        <v/>
      </c>
      <c r="C46" s="14" t="str">
        <f>IF('Employee Input Yr3'!C46="","",'Employee Input Yr3'!C46)</f>
        <v/>
      </c>
      <c r="D46" s="14" t="str">
        <f>IF('Employee Input Yr3'!D46="","",'Employee Input Yr3'!D46)</f>
        <v/>
      </c>
      <c r="E46" s="14" t="str">
        <f>IF('Employee Input Yr3'!E46="","",'Employee Input Yr3'!E46)</f>
        <v/>
      </c>
      <c r="F46" s="14" t="str">
        <f>IF('Employee Input Yr3'!F46="","",'Employee Input Yr3'!F46)</f>
        <v/>
      </c>
      <c r="G46" s="155" t="str">
        <f>IF('Employee Input Yr3'!G46="","",'Employee Input Yr3'!G46)</f>
        <v/>
      </c>
      <c r="H46" s="10" t="str">
        <f t="shared" si="0"/>
        <v/>
      </c>
      <c r="I46" s="155" t="str">
        <f>IF('Employee Input Yr3'!I46="","",'Employee Input Yr3'!I46)</f>
        <v/>
      </c>
      <c r="J46" s="155" t="str">
        <f>IF('Employee Input Yr3'!J46="","",'Employee Input Yr3'!J46)</f>
        <v/>
      </c>
      <c r="K46" s="10" t="str">
        <f t="shared" si="1"/>
        <v/>
      </c>
      <c r="L46" s="14" t="str">
        <f>IF('Employee Input Yr3'!L46="","",'Employee Input Yr3'!L46)</f>
        <v/>
      </c>
    </row>
    <row r="47" spans="2:12" hidden="1" outlineLevel="1" x14ac:dyDescent="0.75">
      <c r="B47" s="14" t="str">
        <f>IF('Employee Input Yr3'!B47="","",'Employee Input Yr3'!B47)</f>
        <v/>
      </c>
      <c r="C47" s="14" t="str">
        <f>IF('Employee Input Yr3'!C47="","",'Employee Input Yr3'!C47)</f>
        <v/>
      </c>
      <c r="D47" s="14" t="str">
        <f>IF('Employee Input Yr3'!D47="","",'Employee Input Yr3'!D47)</f>
        <v/>
      </c>
      <c r="E47" s="14" t="str">
        <f>IF('Employee Input Yr3'!E47="","",'Employee Input Yr3'!E47)</f>
        <v/>
      </c>
      <c r="F47" s="14" t="str">
        <f>IF('Employee Input Yr3'!F47="","",'Employee Input Yr3'!F47)</f>
        <v/>
      </c>
      <c r="G47" s="155" t="str">
        <f>IF('Employee Input Yr3'!G47="","",'Employee Input Yr3'!G47)</f>
        <v/>
      </c>
      <c r="H47" s="10" t="str">
        <f t="shared" si="0"/>
        <v/>
      </c>
      <c r="I47" s="155" t="str">
        <f>IF('Employee Input Yr3'!I47="","",'Employee Input Yr3'!I47)</f>
        <v/>
      </c>
      <c r="J47" s="155" t="str">
        <f>IF('Employee Input Yr3'!J47="","",'Employee Input Yr3'!J47)</f>
        <v/>
      </c>
      <c r="K47" s="10" t="str">
        <f t="shared" si="1"/>
        <v/>
      </c>
      <c r="L47" s="14" t="str">
        <f>IF('Employee Input Yr3'!L47="","",'Employee Input Yr3'!L47)</f>
        <v/>
      </c>
    </row>
    <row r="48" spans="2:12" hidden="1" outlineLevel="1" x14ac:dyDescent="0.75">
      <c r="B48" s="14" t="str">
        <f>IF('Employee Input Yr3'!B48="","",'Employee Input Yr3'!B48)</f>
        <v/>
      </c>
      <c r="C48" s="14" t="str">
        <f>IF('Employee Input Yr3'!C48="","",'Employee Input Yr3'!C48)</f>
        <v/>
      </c>
      <c r="D48" s="14" t="str">
        <f>IF('Employee Input Yr3'!D48="","",'Employee Input Yr3'!D48)</f>
        <v/>
      </c>
      <c r="E48" s="14" t="str">
        <f>IF('Employee Input Yr3'!E48="","",'Employee Input Yr3'!E48)</f>
        <v/>
      </c>
      <c r="F48" s="14" t="str">
        <f>IF('Employee Input Yr3'!F48="","",'Employee Input Yr3'!F48)</f>
        <v/>
      </c>
      <c r="G48" s="155" t="str">
        <f>IF('Employee Input Yr3'!G48="","",'Employee Input Yr3'!G48)</f>
        <v/>
      </c>
      <c r="H48" s="10" t="str">
        <f t="shared" si="0"/>
        <v/>
      </c>
      <c r="I48" s="155" t="str">
        <f>IF('Employee Input Yr3'!I48="","",'Employee Input Yr3'!I48)</f>
        <v/>
      </c>
      <c r="J48" s="155" t="str">
        <f>IF('Employee Input Yr3'!J48="","",'Employee Input Yr3'!J48)</f>
        <v/>
      </c>
      <c r="K48" s="10" t="str">
        <f t="shared" si="1"/>
        <v/>
      </c>
      <c r="L48" s="14" t="str">
        <f>IF('Employee Input Yr3'!L48="","",'Employee Input Yr3'!L48)</f>
        <v/>
      </c>
    </row>
    <row r="49" spans="1:24" hidden="1" outlineLevel="1" x14ac:dyDescent="0.75">
      <c r="B49" s="14" t="str">
        <f>IF('Employee Input Yr3'!B49="","",'Employee Input Yr3'!B49)</f>
        <v/>
      </c>
      <c r="C49" s="14" t="str">
        <f>IF('Employee Input Yr3'!C49="","",'Employee Input Yr3'!C49)</f>
        <v/>
      </c>
      <c r="D49" s="14" t="str">
        <f>IF('Employee Input Yr3'!D49="","",'Employee Input Yr3'!D49)</f>
        <v/>
      </c>
      <c r="E49" s="14" t="str">
        <f>IF('Employee Input Yr3'!E49="","",'Employee Input Yr3'!E49)</f>
        <v/>
      </c>
      <c r="F49" s="14" t="str">
        <f>IF('Employee Input Yr3'!F49="","",'Employee Input Yr3'!F49)</f>
        <v/>
      </c>
      <c r="G49" s="155" t="str">
        <f>IF('Employee Input Yr3'!G49="","",'Employee Input Yr3'!G49)</f>
        <v/>
      </c>
      <c r="H49" s="10" t="str">
        <f t="shared" si="0"/>
        <v/>
      </c>
      <c r="I49" s="155" t="str">
        <f>IF('Employee Input Yr3'!I49="","",'Employee Input Yr3'!I49)</f>
        <v/>
      </c>
      <c r="J49" s="155" t="str">
        <f>IF('Employee Input Yr3'!J49="","",'Employee Input Yr3'!J49)</f>
        <v/>
      </c>
      <c r="K49" s="10" t="str">
        <f t="shared" si="1"/>
        <v/>
      </c>
      <c r="L49" s="14" t="str">
        <f>IF('Employee Input Yr3'!L49="","",'Employee Input Yr3'!L49)</f>
        <v/>
      </c>
    </row>
    <row r="50" spans="1:24" hidden="1" outlineLevel="1" x14ac:dyDescent="0.75">
      <c r="B50" s="14" t="str">
        <f>IF('Employee Input Yr3'!B50="","",'Employee Input Yr3'!B50)</f>
        <v/>
      </c>
      <c r="C50" s="14" t="str">
        <f>IF('Employee Input Yr3'!C50="","",'Employee Input Yr3'!C50)</f>
        <v/>
      </c>
      <c r="D50" s="14" t="str">
        <f>IF('Employee Input Yr3'!D50="","",'Employee Input Yr3'!D50)</f>
        <v/>
      </c>
      <c r="E50" s="14" t="str">
        <f>IF('Employee Input Yr3'!E50="","",'Employee Input Yr3'!E50)</f>
        <v/>
      </c>
      <c r="F50" s="14" t="str">
        <f>IF('Employee Input Yr3'!F50="","",'Employee Input Yr3'!F50)</f>
        <v/>
      </c>
      <c r="G50" s="155" t="str">
        <f>IF('Employee Input Yr3'!G50="","",'Employee Input Yr3'!G50)</f>
        <v/>
      </c>
      <c r="H50" s="10" t="str">
        <f t="shared" si="0"/>
        <v/>
      </c>
      <c r="I50" s="155" t="str">
        <f>IF('Employee Input Yr3'!I50="","",'Employee Input Yr3'!I50)</f>
        <v/>
      </c>
      <c r="J50" s="155" t="str">
        <f>IF('Employee Input Yr3'!J50="","",'Employee Input Yr3'!J50)</f>
        <v/>
      </c>
      <c r="K50" s="10" t="str">
        <f t="shared" si="1"/>
        <v/>
      </c>
      <c r="L50" s="14" t="str">
        <f>IF('Employee Input Yr3'!L50="","",'Employee Input Yr3'!L50)</f>
        <v/>
      </c>
    </row>
    <row r="51" spans="1:24" hidden="1" outlineLevel="1" x14ac:dyDescent="0.75">
      <c r="B51" s="14" t="str">
        <f>IF('Employee Input Yr3'!B51="","",'Employee Input Yr3'!B51)</f>
        <v/>
      </c>
      <c r="C51" s="14" t="str">
        <f>IF('Employee Input Yr3'!C51="","",'Employee Input Yr3'!C51)</f>
        <v/>
      </c>
      <c r="D51" s="14" t="str">
        <f>IF('Employee Input Yr3'!D51="","",'Employee Input Yr3'!D51)</f>
        <v/>
      </c>
      <c r="E51" s="14" t="str">
        <f>IF('Employee Input Yr3'!E51="","",'Employee Input Yr3'!E51)</f>
        <v/>
      </c>
      <c r="F51" s="14" t="str">
        <f>IF('Employee Input Yr3'!F51="","",'Employee Input Yr3'!F51)</f>
        <v/>
      </c>
      <c r="G51" s="155" t="str">
        <f>IF('Employee Input Yr3'!G51="","",'Employee Input Yr3'!G51)</f>
        <v/>
      </c>
      <c r="H51" s="10" t="str">
        <f t="shared" si="0"/>
        <v/>
      </c>
      <c r="I51" s="155" t="str">
        <f>IF('Employee Input Yr3'!I51="","",'Employee Input Yr3'!I51)</f>
        <v/>
      </c>
      <c r="J51" s="155" t="str">
        <f>IF('Employee Input Yr3'!J51="","",'Employee Input Yr3'!J51)</f>
        <v/>
      </c>
      <c r="K51" s="10" t="str">
        <f t="shared" si="1"/>
        <v/>
      </c>
      <c r="L51" s="14" t="str">
        <f>IF('Employee Input Yr3'!L51="","",'Employee Input Yr3'!L51)</f>
        <v/>
      </c>
    </row>
    <row r="52" spans="1:24" hidden="1" outlineLevel="1" x14ac:dyDescent="0.75">
      <c r="B52" s="14" t="str">
        <f>IF('Employee Input Yr3'!B52="","",'Employee Input Yr3'!B52)</f>
        <v/>
      </c>
      <c r="C52" s="14" t="str">
        <f>IF('Employee Input Yr3'!C52="","",'Employee Input Yr3'!C52)</f>
        <v/>
      </c>
      <c r="D52" s="14" t="str">
        <f>IF('Employee Input Yr3'!D52="","",'Employee Input Yr3'!D52)</f>
        <v/>
      </c>
      <c r="E52" s="14" t="str">
        <f>IF('Employee Input Yr3'!E52="","",'Employee Input Yr3'!E52)</f>
        <v/>
      </c>
      <c r="F52" s="14" t="str">
        <f>IF('Employee Input Yr3'!F52="","",'Employee Input Yr3'!F52)</f>
        <v/>
      </c>
      <c r="G52" s="155" t="str">
        <f>IF('Employee Input Yr3'!G52="","",'Employee Input Yr3'!G52)</f>
        <v/>
      </c>
      <c r="H52" s="10" t="str">
        <f t="shared" si="0"/>
        <v/>
      </c>
      <c r="I52" s="155" t="str">
        <f>IF('Employee Input Yr3'!I52="","",'Employee Input Yr3'!I52)</f>
        <v/>
      </c>
      <c r="J52" s="155" t="str">
        <f>IF('Employee Input Yr3'!J52="","",'Employee Input Yr3'!J52)</f>
        <v/>
      </c>
      <c r="K52" s="10" t="str">
        <f t="shared" si="1"/>
        <v/>
      </c>
      <c r="L52" s="14" t="str">
        <f>IF('Employee Input Yr3'!L52="","",'Employee Input Yr3'!L52)</f>
        <v/>
      </c>
    </row>
    <row r="53" spans="1:24" hidden="1" outlineLevel="1" x14ac:dyDescent="0.75">
      <c r="B53" s="14" t="str">
        <f>IF('Employee Input Yr3'!B53="","",'Employee Input Yr3'!B53)</f>
        <v/>
      </c>
      <c r="C53" s="14" t="str">
        <f>IF('Employee Input Yr3'!C53="","",'Employee Input Yr3'!C53)</f>
        <v/>
      </c>
      <c r="D53" s="14" t="str">
        <f>IF('Employee Input Yr3'!D53="","",'Employee Input Yr3'!D53)</f>
        <v/>
      </c>
      <c r="E53" s="14" t="str">
        <f>IF('Employee Input Yr3'!E53="","",'Employee Input Yr3'!E53)</f>
        <v/>
      </c>
      <c r="F53" s="14" t="str">
        <f>IF('Employee Input Yr3'!F53="","",'Employee Input Yr3'!F53)</f>
        <v/>
      </c>
      <c r="G53" s="155" t="str">
        <f>IF('Employee Input Yr3'!G53="","",'Employee Input Yr3'!G53)</f>
        <v/>
      </c>
      <c r="H53" s="10" t="str">
        <f t="shared" si="0"/>
        <v/>
      </c>
      <c r="I53" s="155" t="str">
        <f>IF('Employee Input Yr3'!I53="","",'Employee Input Yr3'!I53)</f>
        <v/>
      </c>
      <c r="J53" s="155" t="str">
        <f>IF('Employee Input Yr3'!J53="","",'Employee Input Yr3'!J53)</f>
        <v/>
      </c>
      <c r="K53" s="10" t="str">
        <f t="shared" si="1"/>
        <v/>
      </c>
      <c r="L53" s="14" t="str">
        <f>IF('Employee Input Yr3'!L53="","",'Employee Input Yr3'!L53)</f>
        <v/>
      </c>
    </row>
    <row r="54" spans="1:24" hidden="1" outlineLevel="1" x14ac:dyDescent="0.75">
      <c r="B54" s="14" t="str">
        <f>IF('Employee Input Yr3'!B54="","",'Employee Input Yr3'!B54)</f>
        <v/>
      </c>
      <c r="C54" s="14" t="str">
        <f>IF('Employee Input Yr3'!C54="","",'Employee Input Yr3'!C54)</f>
        <v/>
      </c>
      <c r="D54" s="14" t="str">
        <f>IF('Employee Input Yr3'!D54="","",'Employee Input Yr3'!D54)</f>
        <v/>
      </c>
      <c r="E54" s="14" t="str">
        <f>IF('Employee Input Yr3'!E54="","",'Employee Input Yr3'!E54)</f>
        <v/>
      </c>
      <c r="F54" s="14" t="str">
        <f>IF('Employee Input Yr3'!F54="","",'Employee Input Yr3'!F54)</f>
        <v/>
      </c>
      <c r="G54" s="155" t="str">
        <f>IF('Employee Input Yr3'!G54="","",'Employee Input Yr3'!G54)</f>
        <v/>
      </c>
      <c r="H54" s="10" t="str">
        <f t="shared" si="0"/>
        <v/>
      </c>
      <c r="I54" s="155" t="str">
        <f>IF('Employee Input Yr3'!I54="","",'Employee Input Yr3'!I54)</f>
        <v/>
      </c>
      <c r="J54" s="155" t="str">
        <f>IF('Employee Input Yr3'!J54="","",'Employee Input Yr3'!J54)</f>
        <v/>
      </c>
      <c r="K54" s="10" t="str">
        <f t="shared" si="1"/>
        <v/>
      </c>
      <c r="L54" s="14" t="str">
        <f>IF('Employee Input Yr3'!L54="","",'Employee Input Yr3'!L54)</f>
        <v/>
      </c>
    </row>
    <row r="55" spans="1:24" hidden="1" outlineLevel="1" x14ac:dyDescent="0.75">
      <c r="B55" s="14" t="str">
        <f>IF('Employee Input Yr3'!B55="","",'Employee Input Yr3'!B55)</f>
        <v/>
      </c>
      <c r="C55" s="14" t="str">
        <f>IF('Employee Input Yr3'!C55="","",'Employee Input Yr3'!C55)</f>
        <v/>
      </c>
      <c r="D55" s="14" t="str">
        <f>IF('Employee Input Yr3'!D55="","",'Employee Input Yr3'!D55)</f>
        <v/>
      </c>
      <c r="E55" s="14" t="str">
        <f>IF('Employee Input Yr3'!E55="","",'Employee Input Yr3'!E55)</f>
        <v/>
      </c>
      <c r="F55" s="14" t="str">
        <f>IF('Employee Input Yr3'!F55="","",'Employee Input Yr3'!F55)</f>
        <v/>
      </c>
      <c r="G55" s="155" t="str">
        <f>IF('Employee Input Yr3'!G55="","",'Employee Input Yr3'!G55)</f>
        <v/>
      </c>
      <c r="H55" s="10" t="str">
        <f t="shared" si="0"/>
        <v/>
      </c>
      <c r="I55" s="155" t="str">
        <f>IF('Employee Input Yr3'!I55="","",'Employee Input Yr3'!I55)</f>
        <v/>
      </c>
      <c r="J55" s="155" t="str">
        <f>IF('Employee Input Yr3'!J55="","",'Employee Input Yr3'!J55)</f>
        <v/>
      </c>
      <c r="K55" s="10" t="str">
        <f t="shared" si="1"/>
        <v/>
      </c>
      <c r="L55" s="14" t="str">
        <f>IF('Employee Input Yr3'!L55="","",'Employee Input Yr3'!L55)</f>
        <v/>
      </c>
    </row>
    <row r="56" spans="1:24" hidden="1" outlineLevel="1" x14ac:dyDescent="0.75">
      <c r="B56" s="14" t="str">
        <f>IF('Employee Input Yr3'!B56="","",'Employee Input Yr3'!B56)</f>
        <v/>
      </c>
      <c r="C56" s="14" t="str">
        <f>IF('Employee Input Yr3'!C56="","",'Employee Input Yr3'!C56)</f>
        <v/>
      </c>
      <c r="D56" s="14" t="str">
        <f>IF('Employee Input Yr3'!D56="","",'Employee Input Yr3'!D56)</f>
        <v/>
      </c>
      <c r="E56" s="14" t="str">
        <f>IF('Employee Input Yr3'!E56="","",'Employee Input Yr3'!E56)</f>
        <v/>
      </c>
      <c r="F56" s="14" t="str">
        <f>IF('Employee Input Yr3'!F56="","",'Employee Input Yr3'!F56)</f>
        <v/>
      </c>
      <c r="G56" s="155" t="str">
        <f>IF('Employee Input Yr3'!G56="","",'Employee Input Yr3'!G56)</f>
        <v/>
      </c>
      <c r="H56" s="10" t="str">
        <f t="shared" si="0"/>
        <v/>
      </c>
      <c r="I56" s="155" t="str">
        <f>IF('Employee Input Yr3'!I56="","",'Employee Input Yr3'!I56)</f>
        <v/>
      </c>
      <c r="J56" s="155" t="str">
        <f>IF('Employee Input Yr3'!J56="","",'Employee Input Yr3'!J56)</f>
        <v/>
      </c>
      <c r="K56" s="10" t="str">
        <f t="shared" si="1"/>
        <v/>
      </c>
      <c r="L56" s="14" t="str">
        <f>IF('Employee Input Yr3'!L56="","",'Employee Input Yr3'!L56)</f>
        <v/>
      </c>
    </row>
    <row r="57" spans="1:24" ht="16.5" collapsed="1" thickBot="1" x14ac:dyDescent="0.9">
      <c r="A57" s="23"/>
      <c r="B57" s="38"/>
      <c r="C57" s="38"/>
      <c r="D57" s="38"/>
      <c r="E57" s="38"/>
      <c r="F57" s="38"/>
      <c r="G57" s="38"/>
      <c r="H57" s="38"/>
      <c r="I57" s="38"/>
      <c r="J57" s="38"/>
      <c r="K57" s="23"/>
      <c r="L57" s="38"/>
      <c r="M57" s="23"/>
      <c r="N57" s="23"/>
      <c r="O57" s="23"/>
      <c r="P57" s="23"/>
      <c r="Q57" s="38"/>
      <c r="R57" s="23"/>
      <c r="S57" s="23"/>
      <c r="T57" s="23"/>
      <c r="U57" s="23"/>
      <c r="V57" s="23"/>
      <c r="W57" s="23"/>
      <c r="X57" s="23"/>
    </row>
    <row r="58" spans="1:24" x14ac:dyDescent="0.75">
      <c r="B58" s="34" t="s">
        <v>742</v>
      </c>
      <c r="C58" s="37"/>
      <c r="D58" s="2"/>
      <c r="E58" s="36" t="str">
        <f>IF(SUM(E26,E39,E56)&gt;0,SUM(E26,E39,E56),"")</f>
        <v/>
      </c>
      <c r="F58" s="37">
        <f>SUM(F7:F57)</f>
        <v>0.6</v>
      </c>
      <c r="G58" s="37"/>
      <c r="H58" s="37">
        <f>SUM(H7:H57)</f>
        <v>66856.103999999992</v>
      </c>
      <c r="I58" s="37">
        <f>SUM(I7:I57)</f>
        <v>0</v>
      </c>
      <c r="J58" s="37">
        <f>SUM(J7:J57)</f>
        <v>0</v>
      </c>
      <c r="K58" s="37">
        <f>SUM(K7:K57)</f>
        <v>66856.103999999992</v>
      </c>
      <c r="M58" s="37">
        <f t="shared" ref="M58:X58" si="2">SUM(M7:M57)</f>
        <v>12121.011655199998</v>
      </c>
      <c r="N58" s="37">
        <f t="shared" si="2"/>
        <v>0</v>
      </c>
      <c r="O58" s="37">
        <f t="shared" si="2"/>
        <v>0</v>
      </c>
      <c r="P58" s="37">
        <f t="shared" si="2"/>
        <v>969.41350799999998</v>
      </c>
      <c r="Q58" s="37">
        <f t="shared" si="2"/>
        <v>400</v>
      </c>
      <c r="R58" s="37">
        <f t="shared" si="2"/>
        <v>2880</v>
      </c>
      <c r="S58" s="37">
        <f t="shared" si="2"/>
        <v>240</v>
      </c>
      <c r="T58" s="37">
        <f t="shared" si="2"/>
        <v>1069.6976639999998</v>
      </c>
      <c r="U58" s="37">
        <f t="shared" si="2"/>
        <v>0</v>
      </c>
      <c r="V58" s="37">
        <f t="shared" si="2"/>
        <v>0</v>
      </c>
      <c r="W58" s="37">
        <f t="shared" si="2"/>
        <v>17280.122827199997</v>
      </c>
      <c r="X58" s="37">
        <f t="shared" si="2"/>
        <v>84136.226827199993</v>
      </c>
    </row>
    <row r="60" spans="1:24" x14ac:dyDescent="0.75">
      <c r="B60" s="34" t="s">
        <v>746</v>
      </c>
      <c r="F60" s="37">
        <f>SUMIF($B:$B,1100,F:F)</f>
        <v>0.6</v>
      </c>
      <c r="G60" s="37"/>
      <c r="H60" s="37">
        <f>SUMIF($B:$B,1100,H:H)</f>
        <v>66856.103999999992</v>
      </c>
      <c r="I60" s="37">
        <f>SUMIF($B:$B,1100,I:I)</f>
        <v>0</v>
      </c>
      <c r="J60" s="37">
        <f>SUMIF($B:$B,1100,J:J)</f>
        <v>0</v>
      </c>
      <c r="K60" s="37">
        <f>SUMIF($B:$B,1100,K:K)</f>
        <v>66856.103999999992</v>
      </c>
      <c r="M60" s="37">
        <f>SUMIF($B:$B,1100,M:M)</f>
        <v>12121.011655199998</v>
      </c>
      <c r="N60" s="37">
        <f t="shared" ref="N60:X60" si="3">SUMIF($B:$B,1100,N:N)</f>
        <v>0</v>
      </c>
      <c r="O60" s="37">
        <f t="shared" si="3"/>
        <v>0</v>
      </c>
      <c r="P60" s="37">
        <f t="shared" si="3"/>
        <v>969.41350799999998</v>
      </c>
      <c r="Q60" s="37">
        <f t="shared" si="3"/>
        <v>400</v>
      </c>
      <c r="R60" s="37">
        <f t="shared" si="3"/>
        <v>2880</v>
      </c>
      <c r="S60" s="37">
        <f t="shared" si="3"/>
        <v>240</v>
      </c>
      <c r="T60" s="37">
        <f t="shared" si="3"/>
        <v>1069.6976639999998</v>
      </c>
      <c r="U60" s="37">
        <f t="shared" si="3"/>
        <v>0</v>
      </c>
      <c r="V60" s="37">
        <f t="shared" si="3"/>
        <v>0</v>
      </c>
      <c r="W60" s="37">
        <f t="shared" si="3"/>
        <v>17280.122827199997</v>
      </c>
      <c r="X60" s="37">
        <f t="shared" si="3"/>
        <v>84136.226827199993</v>
      </c>
    </row>
  </sheetData>
  <pageMargins left="0.25" right="0.25" top="0.25" bottom="0.25" header="0.3" footer="0.3"/>
  <pageSetup scale="75" fitToWidth="2"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pageSetUpPr fitToPage="1"/>
  </sheetPr>
  <dimension ref="A1:X60"/>
  <sheetViews>
    <sheetView workbookViewId="0"/>
  </sheetViews>
  <sheetFormatPr defaultColWidth="9.08984375" defaultRowHeight="15.75" outlineLevelRow="1" x14ac:dyDescent="0.75"/>
  <cols>
    <col min="1" max="1" width="2.08984375" style="5" customWidth="1"/>
    <col min="2" max="2" width="6.6796875" style="6" bestFit="1" customWidth="1"/>
    <col min="3" max="6" width="9.08984375" style="6"/>
    <col min="7" max="8" width="14.54296875" style="6" bestFit="1" customWidth="1"/>
    <col min="9" max="9" width="11.54296875" style="6" bestFit="1" customWidth="1"/>
    <col min="10" max="10" width="11.54296875" style="6" customWidth="1"/>
    <col min="11" max="11" width="14.6796875" style="5" bestFit="1" customWidth="1"/>
    <col min="12" max="12" width="17.453125" style="6" bestFit="1" customWidth="1"/>
    <col min="13" max="13" width="17" style="5" bestFit="1" customWidth="1"/>
    <col min="14" max="16" width="12.08984375" style="5" customWidth="1"/>
    <col min="17" max="17" width="12.08984375" style="6" customWidth="1"/>
    <col min="18" max="19" width="15.54296875" style="5" customWidth="1"/>
    <col min="20" max="20" width="19.453125" style="5" customWidth="1"/>
    <col min="21" max="21" width="18.453125" style="5" customWidth="1"/>
    <col min="22" max="22" width="19.6796875" style="5" customWidth="1"/>
    <col min="23" max="24" width="15.54296875" style="5" customWidth="1"/>
    <col min="25" max="16384" width="9.08984375" style="5"/>
  </cols>
  <sheetData>
    <row r="1" spans="1:24" ht="20.25" x14ac:dyDescent="0.85">
      <c r="A1" s="22" t="str">
        <f>'Student Info w MYP'!$A$1</f>
        <v>Compass Charter Schools</v>
      </c>
    </row>
    <row r="2" spans="1:24" ht="17.75" x14ac:dyDescent="0.75">
      <c r="A2" s="21" t="s">
        <v>724</v>
      </c>
      <c r="G2" s="165">
        <v>0.02</v>
      </c>
      <c r="H2" s="166" t="s">
        <v>1063</v>
      </c>
      <c r="M2" s="7">
        <v>0.191</v>
      </c>
      <c r="N2" s="7">
        <v>0.182</v>
      </c>
      <c r="O2" s="7">
        <v>6.2E-2</v>
      </c>
      <c r="P2" s="7">
        <v>1.4500000000000001E-2</v>
      </c>
      <c r="Q2" s="9">
        <f>'Employee Input Yr4'!Q2</f>
        <v>400</v>
      </c>
      <c r="S2" s="9">
        <f>'Employee Input Yr4'!S2</f>
        <v>400</v>
      </c>
      <c r="T2" s="165">
        <f>'Employee Input Yr4'!T2</f>
        <v>1.6E-2</v>
      </c>
      <c r="V2" s="12">
        <f>(0.08*$K2/1000)+(0.025*$K2/1000)+(0.14%*$K2)+(0.05*$K2/10)</f>
        <v>0</v>
      </c>
    </row>
    <row r="3" spans="1:24" ht="17.75" x14ac:dyDescent="0.75">
      <c r="A3" s="21" t="str">
        <f>'Student Info w MYP'!H6</f>
        <v>Los Angeles</v>
      </c>
      <c r="M3" s="8" t="s">
        <v>562</v>
      </c>
      <c r="N3" s="8" t="s">
        <v>563</v>
      </c>
      <c r="O3" s="8" t="s">
        <v>1069</v>
      </c>
      <c r="P3" s="8" t="s">
        <v>670</v>
      </c>
      <c r="Q3" s="8" t="s">
        <v>566</v>
      </c>
      <c r="R3" s="8"/>
      <c r="S3" s="8" t="s">
        <v>668</v>
      </c>
      <c r="T3" s="8" t="s">
        <v>669</v>
      </c>
      <c r="U3" s="8"/>
      <c r="V3" s="8" t="s">
        <v>1076</v>
      </c>
    </row>
    <row r="4" spans="1:24" ht="27" customHeight="1" x14ac:dyDescent="0.75"/>
    <row r="5" spans="1:24" x14ac:dyDescent="0.75">
      <c r="B5" s="13" t="s">
        <v>0</v>
      </c>
      <c r="H5" s="17" t="s">
        <v>675</v>
      </c>
      <c r="I5" s="13" t="s">
        <v>744</v>
      </c>
      <c r="J5" s="18"/>
      <c r="K5" s="17" t="s">
        <v>673</v>
      </c>
      <c r="L5" s="13" t="s">
        <v>728</v>
      </c>
      <c r="M5" s="43" t="s">
        <v>30</v>
      </c>
      <c r="N5" s="43" t="s">
        <v>38</v>
      </c>
      <c r="O5" s="43" t="s">
        <v>1065</v>
      </c>
      <c r="P5" s="43" t="s">
        <v>1067</v>
      </c>
      <c r="Q5" s="44" t="s">
        <v>564</v>
      </c>
      <c r="R5" s="43" t="s">
        <v>716</v>
      </c>
      <c r="S5" s="43" t="s">
        <v>717</v>
      </c>
      <c r="T5" s="43" t="s">
        <v>718</v>
      </c>
      <c r="U5" s="43" t="s">
        <v>1074</v>
      </c>
      <c r="V5" s="43" t="s">
        <v>1073</v>
      </c>
      <c r="W5" s="19" t="s">
        <v>671</v>
      </c>
      <c r="X5" s="17" t="s">
        <v>675</v>
      </c>
    </row>
    <row r="6" spans="1:24" ht="16.5" thickBot="1" x14ac:dyDescent="0.9">
      <c r="A6" s="23"/>
      <c r="B6" s="24"/>
      <c r="C6" s="25" t="s">
        <v>1</v>
      </c>
      <c r="D6" s="25" t="s">
        <v>2</v>
      </c>
      <c r="E6" s="25" t="s">
        <v>4</v>
      </c>
      <c r="F6" s="24" t="s">
        <v>3</v>
      </c>
      <c r="G6" s="24" t="s">
        <v>5</v>
      </c>
      <c r="H6" s="26" t="s">
        <v>738</v>
      </c>
      <c r="I6" s="24" t="s">
        <v>745</v>
      </c>
      <c r="J6" s="24" t="s">
        <v>743</v>
      </c>
      <c r="K6" s="26" t="s">
        <v>674</v>
      </c>
      <c r="L6" s="24" t="s">
        <v>729</v>
      </c>
      <c r="M6" s="27" t="s">
        <v>7</v>
      </c>
      <c r="N6" s="27" t="s">
        <v>8</v>
      </c>
      <c r="O6" s="176" t="s">
        <v>1066</v>
      </c>
      <c r="P6" s="176" t="s">
        <v>1068</v>
      </c>
      <c r="Q6" s="25" t="s">
        <v>565</v>
      </c>
      <c r="R6" s="27" t="s">
        <v>1070</v>
      </c>
      <c r="S6" s="176" t="s">
        <v>1071</v>
      </c>
      <c r="T6" s="176" t="s">
        <v>1072</v>
      </c>
      <c r="U6" s="27" t="s">
        <v>1075</v>
      </c>
      <c r="V6" s="176" t="s">
        <v>1077</v>
      </c>
      <c r="W6" s="28" t="s">
        <v>672</v>
      </c>
      <c r="X6" s="26" t="s">
        <v>674</v>
      </c>
    </row>
    <row r="7" spans="1:24" x14ac:dyDescent="0.75">
      <c r="B7" s="14">
        <f>IF('Employee Input Yr4'!B7="","",'Employee Input Yr4'!B7)</f>
        <v>1100</v>
      </c>
      <c r="C7" s="14" t="str">
        <f>IF('Employee Input Yr4'!C7="","",'Employee Input Yr4'!C7)</f>
        <v>Sample Name</v>
      </c>
      <c r="D7" s="14" t="str">
        <f>IF('Employee Input Yr4'!D7="","",'Employee Input Yr4'!D7)</f>
        <v>VP, Education</v>
      </c>
      <c r="E7" s="14" t="str">
        <f>IF('Employee Input Yr4'!E7="","",'Employee Input Yr4'!E7)</f>
        <v>Education</v>
      </c>
      <c r="F7" s="14">
        <f>IF('Employee Input Yr4'!F7="","",'Employee Input Yr4'!F7)</f>
        <v>0.6</v>
      </c>
      <c r="G7" s="155">
        <f>IF('Employee Input Yr4'!G7="","",'Employee Input Yr4'!G7*(1+$G$2))</f>
        <v>113655.3768</v>
      </c>
      <c r="H7" s="10">
        <f>IF(F7="","",F7*G7)</f>
        <v>68193.226079999993</v>
      </c>
      <c r="I7" s="155" t="str">
        <f>IF('Employee Input Yr4'!I7="","",'Employee Input Yr4'!I7)</f>
        <v/>
      </c>
      <c r="J7" s="155" t="str">
        <f>IF('Employee Input Yr4'!J7="","",'Employee Input Yr4'!J7)</f>
        <v/>
      </c>
      <c r="K7" s="10">
        <f>IF(SUM(H7:J7)&gt;0,SUM(H7:J7),"")</f>
        <v>68193.226079999993</v>
      </c>
      <c r="L7" s="14" t="str">
        <f>IF('Employee Input Yr4'!L7="","",'Employee Input Yr4'!L7)</f>
        <v>STRS</v>
      </c>
      <c r="M7" s="10">
        <f>IF($L7="STRS",$M$2*$K7,"")</f>
        <v>13024.906181279999</v>
      </c>
      <c r="N7" s="10" t="str">
        <f>IF($L7="PERS",$N$2*$K7,"")</f>
        <v/>
      </c>
      <c r="O7" s="10" t="str">
        <f>IF($L7="STRS","",$O$2*$K7)</f>
        <v/>
      </c>
      <c r="P7" s="10">
        <f>$P$2*K7</f>
        <v>988.80177815999991</v>
      </c>
      <c r="Q7" s="11">
        <f>$Q$2</f>
        <v>400</v>
      </c>
      <c r="R7" s="12">
        <f>Q7*12*F7</f>
        <v>2880</v>
      </c>
      <c r="S7" s="12">
        <f>$S$2*F7</f>
        <v>240</v>
      </c>
      <c r="T7" s="12">
        <f>$T$2*$K7</f>
        <v>1091.0916172799998</v>
      </c>
      <c r="U7" s="12"/>
      <c r="V7" s="12"/>
      <c r="W7" s="12">
        <f>SUM(R7:V7,M7:P7)</f>
        <v>18224.799576719997</v>
      </c>
      <c r="X7" s="12">
        <f>W7+K7</f>
        <v>86418.025656719983</v>
      </c>
    </row>
    <row r="8" spans="1:24" x14ac:dyDescent="0.75">
      <c r="B8" s="14" t="str">
        <f>IF('Employee Input Yr4'!B8="","",'Employee Input Yr4'!B8)</f>
        <v/>
      </c>
      <c r="C8" s="14" t="str">
        <f>IF('Employee Input Yr4'!C8="","",'Employee Input Yr4'!C8)</f>
        <v/>
      </c>
      <c r="D8" s="14" t="str">
        <f>IF('Employee Input Yr4'!D8="","",'Employee Input Yr4'!D8)</f>
        <v/>
      </c>
      <c r="E8" s="14" t="str">
        <f>IF('Employee Input Yr4'!E8="","",'Employee Input Yr4'!E8)</f>
        <v/>
      </c>
      <c r="F8" s="14" t="str">
        <f>IF('Employee Input Yr4'!F8="","",'Employee Input Yr4'!F8)</f>
        <v/>
      </c>
      <c r="G8" s="155" t="str">
        <f>IF('Employee Input Yr4'!G8="","",'Employee Input Yr4'!G8*(1+$G$2))</f>
        <v/>
      </c>
      <c r="H8" s="10" t="str">
        <f t="shared" ref="H8:H56" si="0">IF(F8="","",F8*G8)</f>
        <v/>
      </c>
      <c r="I8" s="155" t="str">
        <f>IF('Employee Input Yr4'!I8="","",'Employee Input Yr4'!I8)</f>
        <v/>
      </c>
      <c r="J8" s="155" t="str">
        <f>IF('Employee Input Yr4'!J8="","",'Employee Input Yr4'!J8)</f>
        <v/>
      </c>
      <c r="K8" s="10" t="str">
        <f t="shared" ref="K8:K56" si="1">IF(SUM(H8:J8)&gt;0,SUM(H8:J8),"")</f>
        <v/>
      </c>
      <c r="L8" s="14" t="str">
        <f>IF('Employee Input Yr4'!L8="","",'Employee Input Yr4'!L8)</f>
        <v/>
      </c>
      <c r="M8" s="10"/>
      <c r="N8" s="10"/>
      <c r="O8" s="10"/>
      <c r="P8" s="10"/>
      <c r="Q8" s="11"/>
      <c r="R8" s="12"/>
      <c r="S8" s="12"/>
      <c r="T8" s="12"/>
      <c r="U8" s="12"/>
      <c r="V8" s="12"/>
      <c r="W8" s="12"/>
      <c r="X8" s="12"/>
    </row>
    <row r="9" spans="1:24" x14ac:dyDescent="0.75">
      <c r="B9" s="14" t="str">
        <f>IF('Employee Input Yr4'!B9="","",'Employee Input Yr4'!B9)</f>
        <v/>
      </c>
      <c r="C9" s="14" t="str">
        <f>IF('Employee Input Yr4'!C9="","",'Employee Input Yr4'!C9)</f>
        <v/>
      </c>
      <c r="D9" s="14" t="str">
        <f>IF('Employee Input Yr4'!D9="","",'Employee Input Yr4'!D9)</f>
        <v/>
      </c>
      <c r="E9" s="14" t="str">
        <f>IF('Employee Input Yr4'!E9="","",'Employee Input Yr4'!E9)</f>
        <v/>
      </c>
      <c r="F9" s="14" t="str">
        <f>IF('Employee Input Yr4'!F9="","",'Employee Input Yr4'!F9)</f>
        <v/>
      </c>
      <c r="G9" s="155" t="str">
        <f>IF('Employee Input Yr4'!G9="","",'Employee Input Yr4'!G9*(1+$G$2))</f>
        <v/>
      </c>
      <c r="H9" s="10" t="str">
        <f t="shared" si="0"/>
        <v/>
      </c>
      <c r="I9" s="155" t="str">
        <f>IF('Employee Input Yr4'!I9="","",'Employee Input Yr4'!I9)</f>
        <v/>
      </c>
      <c r="J9" s="155" t="str">
        <f>IF('Employee Input Yr4'!J9="","",'Employee Input Yr4'!J9)</f>
        <v/>
      </c>
      <c r="K9" s="10" t="str">
        <f t="shared" si="1"/>
        <v/>
      </c>
      <c r="L9" s="14" t="str">
        <f>IF('Employee Input Yr4'!L9="","",'Employee Input Yr4'!L9)</f>
        <v/>
      </c>
      <c r="M9" s="10"/>
      <c r="N9" s="10"/>
      <c r="O9" s="10"/>
      <c r="P9" s="10"/>
      <c r="Q9" s="11"/>
      <c r="R9" s="12"/>
      <c r="S9" s="12"/>
      <c r="T9" s="12"/>
      <c r="U9" s="12"/>
      <c r="V9" s="12"/>
      <c r="W9" s="12"/>
      <c r="X9" s="12"/>
    </row>
    <row r="10" spans="1:24" x14ac:dyDescent="0.75">
      <c r="B10" s="14" t="str">
        <f>IF('Employee Input Yr4'!B10="","",'Employee Input Yr4'!B10)</f>
        <v/>
      </c>
      <c r="C10" s="14" t="str">
        <f>IF('Employee Input Yr4'!C10="","",'Employee Input Yr4'!C10)</f>
        <v/>
      </c>
      <c r="D10" s="14" t="str">
        <f>IF('Employee Input Yr4'!D10="","",'Employee Input Yr4'!D10)</f>
        <v/>
      </c>
      <c r="E10" s="14" t="str">
        <f>IF('Employee Input Yr4'!E10="","",'Employee Input Yr4'!E10)</f>
        <v/>
      </c>
      <c r="F10" s="14" t="str">
        <f>IF('Employee Input Yr4'!F10="","",'Employee Input Yr4'!F10)</f>
        <v/>
      </c>
      <c r="G10" s="155" t="str">
        <f>IF('Employee Input Yr4'!G10="","",'Employee Input Yr4'!G10*(1+$G$2))</f>
        <v/>
      </c>
      <c r="H10" s="10" t="str">
        <f t="shared" si="0"/>
        <v/>
      </c>
      <c r="I10" s="155" t="str">
        <f>IF('Employee Input Yr4'!I10="","",'Employee Input Yr4'!I10)</f>
        <v/>
      </c>
      <c r="J10" s="155" t="str">
        <f>IF('Employee Input Yr4'!J10="","",'Employee Input Yr4'!J10)</f>
        <v/>
      </c>
      <c r="K10" s="10" t="str">
        <f t="shared" si="1"/>
        <v/>
      </c>
      <c r="L10" s="14" t="str">
        <f>IF('Employee Input Yr4'!L10="","",'Employee Input Yr4'!L10)</f>
        <v/>
      </c>
      <c r="M10" s="10"/>
      <c r="N10" s="10"/>
      <c r="O10" s="10"/>
      <c r="P10" s="10"/>
      <c r="Q10" s="11"/>
      <c r="R10" s="12"/>
      <c r="S10" s="12"/>
      <c r="T10" s="12"/>
      <c r="U10" s="12"/>
      <c r="V10" s="12"/>
      <c r="W10" s="12"/>
      <c r="X10" s="12"/>
    </row>
    <row r="11" spans="1:24" x14ac:dyDescent="0.75">
      <c r="B11" s="14" t="str">
        <f>IF('Employee Input Yr4'!B11="","",'Employee Input Yr4'!B11)</f>
        <v/>
      </c>
      <c r="C11" s="14" t="str">
        <f>IF('Employee Input Yr4'!C11="","",'Employee Input Yr4'!C11)</f>
        <v/>
      </c>
      <c r="D11" s="14" t="str">
        <f>IF('Employee Input Yr4'!D11="","",'Employee Input Yr4'!D11)</f>
        <v/>
      </c>
      <c r="E11" s="14" t="str">
        <f>IF('Employee Input Yr4'!E11="","",'Employee Input Yr4'!E11)</f>
        <v/>
      </c>
      <c r="F11" s="14" t="str">
        <f>IF('Employee Input Yr4'!F11="","",'Employee Input Yr4'!F11)</f>
        <v/>
      </c>
      <c r="G11" s="155" t="str">
        <f>IF('Employee Input Yr4'!G11="","",'Employee Input Yr4'!G11*(1+$G$2))</f>
        <v/>
      </c>
      <c r="H11" s="10" t="str">
        <f t="shared" si="0"/>
        <v/>
      </c>
      <c r="I11" s="155" t="str">
        <f>IF('Employee Input Yr4'!I11="","",'Employee Input Yr4'!I11)</f>
        <v/>
      </c>
      <c r="J11" s="155" t="str">
        <f>IF('Employee Input Yr4'!J11="","",'Employee Input Yr4'!J11)</f>
        <v/>
      </c>
      <c r="K11" s="10" t="str">
        <f t="shared" si="1"/>
        <v/>
      </c>
      <c r="L11" s="14" t="str">
        <f>IF('Employee Input Yr4'!L11="","",'Employee Input Yr4'!L11)</f>
        <v/>
      </c>
      <c r="M11" s="10"/>
      <c r="N11" s="10"/>
      <c r="O11" s="10"/>
      <c r="P11" s="10"/>
      <c r="Q11" s="11"/>
      <c r="R11" s="12"/>
      <c r="S11" s="12"/>
      <c r="T11" s="12"/>
      <c r="U11" s="12"/>
      <c r="V11" s="12"/>
      <c r="W11" s="12"/>
      <c r="X11" s="12"/>
    </row>
    <row r="12" spans="1:24" x14ac:dyDescent="0.75">
      <c r="B12" s="14" t="str">
        <f>IF('Employee Input Yr4'!B12="","",'Employee Input Yr4'!B12)</f>
        <v/>
      </c>
      <c r="C12" s="14" t="str">
        <f>IF('Employee Input Yr4'!C12="","",'Employee Input Yr4'!C12)</f>
        <v/>
      </c>
      <c r="D12" s="14" t="str">
        <f>IF('Employee Input Yr4'!D12="","",'Employee Input Yr4'!D12)</f>
        <v/>
      </c>
      <c r="E12" s="14" t="str">
        <f>IF('Employee Input Yr4'!E12="","",'Employee Input Yr4'!E12)</f>
        <v/>
      </c>
      <c r="F12" s="14" t="str">
        <f>IF('Employee Input Yr4'!F12="","",'Employee Input Yr4'!F12)</f>
        <v/>
      </c>
      <c r="G12" s="155" t="str">
        <f>IF('Employee Input Yr4'!G12="","",'Employee Input Yr4'!G12*(1+$G$2))</f>
        <v/>
      </c>
      <c r="H12" s="10" t="str">
        <f t="shared" si="0"/>
        <v/>
      </c>
      <c r="I12" s="155" t="str">
        <f>IF('Employee Input Yr4'!I12="","",'Employee Input Yr4'!I12)</f>
        <v/>
      </c>
      <c r="J12" s="155" t="str">
        <f>IF('Employee Input Yr4'!J12="","",'Employee Input Yr4'!J12)</f>
        <v/>
      </c>
      <c r="K12" s="10" t="str">
        <f t="shared" si="1"/>
        <v/>
      </c>
      <c r="L12" s="14" t="str">
        <f>IF('Employee Input Yr4'!L12="","",'Employee Input Yr4'!L12)</f>
        <v/>
      </c>
      <c r="M12" s="10"/>
      <c r="N12" s="10"/>
      <c r="O12" s="10"/>
      <c r="P12" s="10"/>
      <c r="Q12" s="11"/>
      <c r="R12" s="12"/>
      <c r="S12" s="12"/>
      <c r="T12" s="12"/>
      <c r="U12" s="12"/>
      <c r="V12" s="12"/>
      <c r="W12" s="12"/>
      <c r="X12" s="12"/>
    </row>
    <row r="13" spans="1:24" x14ac:dyDescent="0.75">
      <c r="B13" s="14" t="str">
        <f>IF('Employee Input Yr4'!B13="","",'Employee Input Yr4'!B13)</f>
        <v/>
      </c>
      <c r="C13" s="14" t="str">
        <f>IF('Employee Input Yr4'!C13="","",'Employee Input Yr4'!C13)</f>
        <v/>
      </c>
      <c r="D13" s="14" t="str">
        <f>IF('Employee Input Yr4'!D13="","",'Employee Input Yr4'!D13)</f>
        <v/>
      </c>
      <c r="E13" s="14" t="str">
        <f>IF('Employee Input Yr4'!E13="","",'Employee Input Yr4'!E13)</f>
        <v/>
      </c>
      <c r="F13" s="14" t="str">
        <f>IF('Employee Input Yr4'!F13="","",'Employee Input Yr4'!F13)</f>
        <v/>
      </c>
      <c r="G13" s="155" t="str">
        <f>IF('Employee Input Yr4'!G13="","",'Employee Input Yr4'!G13*(1+$G$2))</f>
        <v/>
      </c>
      <c r="H13" s="10" t="str">
        <f t="shared" si="0"/>
        <v/>
      </c>
      <c r="I13" s="155" t="str">
        <f>IF('Employee Input Yr4'!I13="","",'Employee Input Yr4'!I13)</f>
        <v/>
      </c>
      <c r="J13" s="155" t="str">
        <f>IF('Employee Input Yr4'!J13="","",'Employee Input Yr4'!J13)</f>
        <v/>
      </c>
      <c r="K13" s="10" t="str">
        <f t="shared" si="1"/>
        <v/>
      </c>
      <c r="L13" s="14" t="str">
        <f>IF('Employee Input Yr4'!L13="","",'Employee Input Yr4'!L13)</f>
        <v/>
      </c>
      <c r="M13" s="10"/>
      <c r="N13" s="10"/>
      <c r="O13" s="10"/>
      <c r="P13" s="10"/>
      <c r="Q13" s="11"/>
      <c r="R13" s="12"/>
      <c r="S13" s="12"/>
      <c r="T13" s="12"/>
      <c r="U13" s="12"/>
      <c r="V13" s="12"/>
      <c r="W13" s="12"/>
      <c r="X13" s="12"/>
    </row>
    <row r="14" spans="1:24" x14ac:dyDescent="0.75">
      <c r="B14" s="14" t="str">
        <f>IF('Employee Input Yr4'!B14="","",'Employee Input Yr4'!B14)</f>
        <v/>
      </c>
      <c r="C14" s="14" t="str">
        <f>IF('Employee Input Yr4'!C14="","",'Employee Input Yr4'!C14)</f>
        <v/>
      </c>
      <c r="D14" s="14" t="str">
        <f>IF('Employee Input Yr4'!D14="","",'Employee Input Yr4'!D14)</f>
        <v/>
      </c>
      <c r="E14" s="14" t="str">
        <f>IF('Employee Input Yr4'!E14="","",'Employee Input Yr4'!E14)</f>
        <v/>
      </c>
      <c r="F14" s="14" t="str">
        <f>IF('Employee Input Yr4'!F14="","",'Employee Input Yr4'!F14)</f>
        <v/>
      </c>
      <c r="G14" s="155" t="str">
        <f>IF('Employee Input Yr4'!G14="","",'Employee Input Yr4'!G14*(1+$G$2))</f>
        <v/>
      </c>
      <c r="H14" s="10" t="str">
        <f t="shared" si="0"/>
        <v/>
      </c>
      <c r="I14" s="155" t="str">
        <f>IF('Employee Input Yr4'!I14="","",'Employee Input Yr4'!I14)</f>
        <v/>
      </c>
      <c r="J14" s="155" t="str">
        <f>IF('Employee Input Yr4'!J14="","",'Employee Input Yr4'!J14)</f>
        <v/>
      </c>
      <c r="K14" s="10" t="str">
        <f t="shared" si="1"/>
        <v/>
      </c>
      <c r="L14" s="14" t="str">
        <f>IF('Employee Input Yr4'!L14="","",'Employee Input Yr4'!L14)</f>
        <v/>
      </c>
      <c r="M14" s="10"/>
      <c r="N14" s="10"/>
      <c r="O14" s="10"/>
      <c r="P14" s="10"/>
      <c r="Q14" s="11"/>
      <c r="R14" s="12"/>
      <c r="S14" s="12"/>
      <c r="T14" s="12"/>
      <c r="U14" s="12"/>
      <c r="V14" s="12"/>
      <c r="W14" s="12"/>
      <c r="X14" s="12"/>
    </row>
    <row r="15" spans="1:24" x14ac:dyDescent="0.75">
      <c r="B15" s="14" t="str">
        <f>IF('Employee Input Yr4'!B15="","",'Employee Input Yr4'!B15)</f>
        <v/>
      </c>
      <c r="C15" s="14" t="str">
        <f>IF('Employee Input Yr4'!C15="","",'Employee Input Yr4'!C15)</f>
        <v/>
      </c>
      <c r="D15" s="14" t="str">
        <f>IF('Employee Input Yr4'!D15="","",'Employee Input Yr4'!D15)</f>
        <v/>
      </c>
      <c r="E15" s="14" t="str">
        <f>IF('Employee Input Yr4'!E15="","",'Employee Input Yr4'!E15)</f>
        <v/>
      </c>
      <c r="F15" s="14" t="str">
        <f>IF('Employee Input Yr4'!F15="","",'Employee Input Yr4'!F15)</f>
        <v/>
      </c>
      <c r="G15" s="155" t="str">
        <f>IF('Employee Input Yr4'!G15="","",'Employee Input Yr4'!G15*(1+$G$2))</f>
        <v/>
      </c>
      <c r="H15" s="10" t="str">
        <f t="shared" si="0"/>
        <v/>
      </c>
      <c r="I15" s="155" t="str">
        <f>IF('Employee Input Yr4'!I15="","",'Employee Input Yr4'!I15)</f>
        <v/>
      </c>
      <c r="J15" s="155" t="str">
        <f>IF('Employee Input Yr4'!J15="","",'Employee Input Yr4'!J15)</f>
        <v/>
      </c>
      <c r="K15" s="10" t="str">
        <f t="shared" si="1"/>
        <v/>
      </c>
      <c r="L15" s="14" t="str">
        <f>IF('Employee Input Yr4'!L15="","",'Employee Input Yr4'!L15)</f>
        <v/>
      </c>
      <c r="M15" s="10"/>
      <c r="N15" s="10"/>
      <c r="O15" s="10"/>
      <c r="P15" s="10"/>
      <c r="Q15" s="11"/>
      <c r="R15" s="12"/>
      <c r="S15" s="12"/>
      <c r="T15" s="12"/>
      <c r="U15" s="12"/>
      <c r="V15" s="12"/>
      <c r="W15" s="12"/>
      <c r="X15" s="12"/>
    </row>
    <row r="16" spans="1:24" x14ac:dyDescent="0.75">
      <c r="B16" s="14" t="str">
        <f>IF('Employee Input Yr4'!B16="","",'Employee Input Yr4'!B16)</f>
        <v/>
      </c>
      <c r="C16" s="14" t="str">
        <f>IF('Employee Input Yr4'!C16="","",'Employee Input Yr4'!C16)</f>
        <v/>
      </c>
      <c r="D16" s="14" t="str">
        <f>IF('Employee Input Yr4'!D16="","",'Employee Input Yr4'!D16)</f>
        <v/>
      </c>
      <c r="E16" s="14" t="str">
        <f>IF('Employee Input Yr4'!E16="","",'Employee Input Yr4'!E16)</f>
        <v/>
      </c>
      <c r="F16" s="14" t="str">
        <f>IF('Employee Input Yr4'!F16="","",'Employee Input Yr4'!F16)</f>
        <v/>
      </c>
      <c r="G16" s="155" t="str">
        <f>IF('Employee Input Yr4'!G16="","",'Employee Input Yr4'!G16*(1+$G$2))</f>
        <v/>
      </c>
      <c r="H16" s="10" t="str">
        <f t="shared" si="0"/>
        <v/>
      </c>
      <c r="I16" s="155" t="str">
        <f>IF('Employee Input Yr4'!I16="","",'Employee Input Yr4'!I16)</f>
        <v/>
      </c>
      <c r="J16" s="155" t="str">
        <f>IF('Employee Input Yr4'!J16="","",'Employee Input Yr4'!J16)</f>
        <v/>
      </c>
      <c r="K16" s="10" t="str">
        <f t="shared" si="1"/>
        <v/>
      </c>
      <c r="L16" s="14" t="str">
        <f>IF('Employee Input Yr4'!L16="","",'Employee Input Yr4'!L16)</f>
        <v/>
      </c>
      <c r="M16" s="10"/>
      <c r="N16" s="10"/>
      <c r="O16" s="10"/>
      <c r="P16" s="10"/>
      <c r="Q16" s="11"/>
      <c r="R16" s="12"/>
      <c r="S16" s="12"/>
      <c r="T16" s="12"/>
      <c r="U16" s="12"/>
      <c r="V16" s="12"/>
      <c r="W16" s="12"/>
      <c r="X16" s="12"/>
    </row>
    <row r="17" spans="2:24" x14ac:dyDescent="0.75">
      <c r="B17" s="14" t="str">
        <f>IF('Employee Input Yr4'!B17="","",'Employee Input Yr4'!B17)</f>
        <v/>
      </c>
      <c r="C17" s="14" t="str">
        <f>IF('Employee Input Yr4'!C17="","",'Employee Input Yr4'!C17)</f>
        <v/>
      </c>
      <c r="D17" s="14" t="str">
        <f>IF('Employee Input Yr4'!D17="","",'Employee Input Yr4'!D17)</f>
        <v/>
      </c>
      <c r="E17" s="14" t="str">
        <f>IF('Employee Input Yr4'!E17="","",'Employee Input Yr4'!E17)</f>
        <v/>
      </c>
      <c r="F17" s="14" t="str">
        <f>IF('Employee Input Yr4'!F17="","",'Employee Input Yr4'!F17)</f>
        <v/>
      </c>
      <c r="G17" s="155" t="str">
        <f>IF('Employee Input Yr4'!G17="","",'Employee Input Yr4'!G17*(1+$G$2))</f>
        <v/>
      </c>
      <c r="H17" s="10" t="str">
        <f t="shared" si="0"/>
        <v/>
      </c>
      <c r="I17" s="155" t="str">
        <f>IF('Employee Input Yr4'!I17="","",'Employee Input Yr4'!I17)</f>
        <v/>
      </c>
      <c r="J17" s="155" t="str">
        <f>IF('Employee Input Yr4'!J17="","",'Employee Input Yr4'!J17)</f>
        <v/>
      </c>
      <c r="K17" s="10" t="str">
        <f t="shared" si="1"/>
        <v/>
      </c>
      <c r="L17" s="14" t="str">
        <f>IF('Employee Input Yr4'!L17="","",'Employee Input Yr4'!L17)</f>
        <v/>
      </c>
      <c r="M17" s="10"/>
      <c r="N17" s="10"/>
      <c r="O17" s="10"/>
      <c r="P17" s="10"/>
      <c r="Q17" s="11"/>
      <c r="R17" s="12"/>
      <c r="S17" s="12"/>
      <c r="T17" s="12"/>
      <c r="U17" s="12"/>
      <c r="V17" s="12"/>
      <c r="W17" s="12"/>
      <c r="X17" s="12"/>
    </row>
    <row r="18" spans="2:24" x14ac:dyDescent="0.75">
      <c r="B18" s="14" t="str">
        <f>IF('Employee Input Yr4'!B18="","",'Employee Input Yr4'!B18)</f>
        <v/>
      </c>
      <c r="C18" s="14" t="str">
        <f>IF('Employee Input Yr4'!C18="","",'Employee Input Yr4'!C18)</f>
        <v/>
      </c>
      <c r="D18" s="14" t="str">
        <f>IF('Employee Input Yr4'!D18="","",'Employee Input Yr4'!D18)</f>
        <v/>
      </c>
      <c r="E18" s="14" t="str">
        <f>IF('Employee Input Yr4'!E18="","",'Employee Input Yr4'!E18)</f>
        <v/>
      </c>
      <c r="F18" s="14" t="str">
        <f>IF('Employee Input Yr4'!F18="","",'Employee Input Yr4'!F18)</f>
        <v/>
      </c>
      <c r="G18" s="155" t="str">
        <f>IF('Employee Input Yr4'!G18="","",'Employee Input Yr4'!G18*(1+$G$2))</f>
        <v/>
      </c>
      <c r="H18" s="10" t="str">
        <f t="shared" si="0"/>
        <v/>
      </c>
      <c r="I18" s="155" t="str">
        <f>IF('Employee Input Yr4'!I18="","",'Employee Input Yr4'!I18)</f>
        <v/>
      </c>
      <c r="J18" s="155" t="str">
        <f>IF('Employee Input Yr4'!J18="","",'Employee Input Yr4'!J18)</f>
        <v/>
      </c>
      <c r="K18" s="10" t="str">
        <f t="shared" si="1"/>
        <v/>
      </c>
      <c r="L18" s="14" t="str">
        <f>IF('Employee Input Yr4'!L18="","",'Employee Input Yr4'!L18)</f>
        <v/>
      </c>
      <c r="M18" s="10"/>
      <c r="N18" s="10"/>
      <c r="O18" s="10"/>
      <c r="P18" s="10"/>
      <c r="Q18" s="11"/>
      <c r="R18" s="12"/>
      <c r="S18" s="12"/>
      <c r="T18" s="12"/>
      <c r="U18" s="12"/>
      <c r="V18" s="12"/>
      <c r="W18" s="12"/>
      <c r="X18" s="12"/>
    </row>
    <row r="19" spans="2:24" x14ac:dyDescent="0.75">
      <c r="B19" s="14" t="str">
        <f>IF('Employee Input Yr4'!B19="","",'Employee Input Yr4'!B19)</f>
        <v/>
      </c>
      <c r="C19" s="14" t="str">
        <f>IF('Employee Input Yr4'!C19="","",'Employee Input Yr4'!C19)</f>
        <v/>
      </c>
      <c r="D19" s="14" t="str">
        <f>IF('Employee Input Yr4'!D19="","",'Employee Input Yr4'!D19)</f>
        <v/>
      </c>
      <c r="E19" s="14" t="str">
        <f>IF('Employee Input Yr4'!E19="","",'Employee Input Yr4'!E19)</f>
        <v/>
      </c>
      <c r="F19" s="14" t="str">
        <f>IF('Employee Input Yr4'!F19="","",'Employee Input Yr4'!F19)</f>
        <v/>
      </c>
      <c r="G19" s="155" t="str">
        <f>IF('Employee Input Yr4'!G19="","",'Employee Input Yr4'!G19*(1+$G$2))</f>
        <v/>
      </c>
      <c r="H19" s="10" t="str">
        <f t="shared" si="0"/>
        <v/>
      </c>
      <c r="I19" s="155" t="str">
        <f>IF('Employee Input Yr4'!I19="","",'Employee Input Yr4'!I19)</f>
        <v/>
      </c>
      <c r="J19" s="155" t="str">
        <f>IF('Employee Input Yr4'!J19="","",'Employee Input Yr4'!J19)</f>
        <v/>
      </c>
      <c r="K19" s="10" t="str">
        <f t="shared" si="1"/>
        <v/>
      </c>
      <c r="L19" s="14" t="str">
        <f>IF('Employee Input Yr4'!L19="","",'Employee Input Yr4'!L19)</f>
        <v/>
      </c>
      <c r="M19" s="10"/>
      <c r="N19" s="10"/>
      <c r="O19" s="10"/>
      <c r="P19" s="10"/>
      <c r="Q19" s="11"/>
      <c r="R19" s="12"/>
      <c r="S19" s="12"/>
      <c r="T19" s="12"/>
      <c r="U19" s="12"/>
      <c r="V19" s="12"/>
      <c r="W19" s="12"/>
      <c r="X19" s="12"/>
    </row>
    <row r="20" spans="2:24" x14ac:dyDescent="0.75">
      <c r="B20" s="14" t="str">
        <f>IF('Employee Input Yr4'!B20="","",'Employee Input Yr4'!B20)</f>
        <v/>
      </c>
      <c r="C20" s="14" t="str">
        <f>IF('Employee Input Yr4'!C20="","",'Employee Input Yr4'!C20)</f>
        <v/>
      </c>
      <c r="D20" s="14" t="str">
        <f>IF('Employee Input Yr4'!D20="","",'Employee Input Yr4'!D20)</f>
        <v/>
      </c>
      <c r="E20" s="14" t="str">
        <f>IF('Employee Input Yr4'!E20="","",'Employee Input Yr4'!E20)</f>
        <v/>
      </c>
      <c r="F20" s="14" t="str">
        <f>IF('Employee Input Yr4'!F20="","",'Employee Input Yr4'!F20)</f>
        <v/>
      </c>
      <c r="G20" s="155" t="str">
        <f>IF('Employee Input Yr4'!G20="","",'Employee Input Yr4'!G20*(1+$G$2))</f>
        <v/>
      </c>
      <c r="H20" s="10" t="str">
        <f t="shared" si="0"/>
        <v/>
      </c>
      <c r="I20" s="155" t="str">
        <f>IF('Employee Input Yr4'!I20="","",'Employee Input Yr4'!I20)</f>
        <v/>
      </c>
      <c r="J20" s="155" t="str">
        <f>IF('Employee Input Yr4'!J20="","",'Employee Input Yr4'!J20)</f>
        <v/>
      </c>
      <c r="K20" s="10" t="str">
        <f t="shared" si="1"/>
        <v/>
      </c>
      <c r="L20" s="14" t="str">
        <f>IF('Employee Input Yr4'!L20="","",'Employee Input Yr4'!L20)</f>
        <v/>
      </c>
      <c r="M20" s="10"/>
      <c r="N20" s="10"/>
      <c r="O20" s="10"/>
      <c r="P20" s="10"/>
      <c r="Q20" s="11"/>
      <c r="R20" s="12"/>
      <c r="S20" s="12"/>
      <c r="T20" s="12"/>
      <c r="U20" s="12"/>
      <c r="V20" s="12"/>
      <c r="W20" s="12"/>
      <c r="X20" s="12"/>
    </row>
    <row r="21" spans="2:24" x14ac:dyDescent="0.75">
      <c r="B21" s="14" t="str">
        <f>IF('Employee Input Yr4'!B21="","",'Employee Input Yr4'!B21)</f>
        <v/>
      </c>
      <c r="C21" s="14" t="str">
        <f>IF('Employee Input Yr4'!C21="","",'Employee Input Yr4'!C21)</f>
        <v/>
      </c>
      <c r="D21" s="14" t="str">
        <f>IF('Employee Input Yr4'!D21="","",'Employee Input Yr4'!D21)</f>
        <v/>
      </c>
      <c r="E21" s="14" t="str">
        <f>IF('Employee Input Yr4'!E21="","",'Employee Input Yr4'!E21)</f>
        <v/>
      </c>
      <c r="F21" s="14" t="str">
        <f>IF('Employee Input Yr4'!F21="","",'Employee Input Yr4'!F21)</f>
        <v/>
      </c>
      <c r="G21" s="155" t="str">
        <f>IF('Employee Input Yr4'!G21="","",'Employee Input Yr4'!G21*(1+$G$2))</f>
        <v/>
      </c>
      <c r="H21" s="10" t="str">
        <f t="shared" si="0"/>
        <v/>
      </c>
      <c r="I21" s="155" t="str">
        <f>IF('Employee Input Yr4'!I21="","",'Employee Input Yr4'!I21)</f>
        <v/>
      </c>
      <c r="J21" s="155" t="str">
        <f>IF('Employee Input Yr4'!J21="","",'Employee Input Yr4'!J21)</f>
        <v/>
      </c>
      <c r="K21" s="10" t="str">
        <f t="shared" si="1"/>
        <v/>
      </c>
      <c r="L21" s="14" t="str">
        <f>IF('Employee Input Yr4'!L21="","",'Employee Input Yr4'!L21)</f>
        <v/>
      </c>
      <c r="M21" s="10"/>
      <c r="N21" s="10"/>
      <c r="O21" s="10"/>
      <c r="P21" s="10"/>
      <c r="Q21" s="11"/>
      <c r="R21" s="12"/>
      <c r="S21" s="12"/>
      <c r="T21" s="12"/>
      <c r="U21" s="12"/>
      <c r="V21" s="12"/>
      <c r="W21" s="12"/>
      <c r="X21" s="12"/>
    </row>
    <row r="22" spans="2:24" x14ac:dyDescent="0.75">
      <c r="B22" s="14" t="str">
        <f>IF('Employee Input Yr4'!B22="","",'Employee Input Yr4'!B22)</f>
        <v/>
      </c>
      <c r="C22" s="14" t="str">
        <f>IF('Employee Input Yr4'!C22="","",'Employee Input Yr4'!C22)</f>
        <v/>
      </c>
      <c r="D22" s="14" t="str">
        <f>IF('Employee Input Yr4'!D22="","",'Employee Input Yr4'!D22)</f>
        <v/>
      </c>
      <c r="E22" s="14" t="str">
        <f>IF('Employee Input Yr4'!E22="","",'Employee Input Yr4'!E22)</f>
        <v/>
      </c>
      <c r="F22" s="14" t="str">
        <f>IF('Employee Input Yr4'!F22="","",'Employee Input Yr4'!F22)</f>
        <v/>
      </c>
      <c r="G22" s="155" t="str">
        <f>IF('Employee Input Yr4'!G22="","",'Employee Input Yr4'!G22*(1+$G$2))</f>
        <v/>
      </c>
      <c r="H22" s="10" t="str">
        <f t="shared" si="0"/>
        <v/>
      </c>
      <c r="I22" s="155" t="str">
        <f>IF('Employee Input Yr4'!I22="","",'Employee Input Yr4'!I22)</f>
        <v/>
      </c>
      <c r="J22" s="155" t="str">
        <f>IF('Employee Input Yr4'!J22="","",'Employee Input Yr4'!J22)</f>
        <v/>
      </c>
      <c r="K22" s="10" t="str">
        <f t="shared" si="1"/>
        <v/>
      </c>
      <c r="L22" s="14" t="str">
        <f>IF('Employee Input Yr4'!L22="","",'Employee Input Yr4'!L22)</f>
        <v/>
      </c>
      <c r="M22" s="10"/>
      <c r="N22" s="10"/>
      <c r="O22" s="10"/>
      <c r="P22" s="10"/>
      <c r="Q22" s="11"/>
      <c r="R22" s="12"/>
      <c r="S22" s="12"/>
      <c r="T22" s="12"/>
      <c r="U22" s="12"/>
      <c r="V22" s="12"/>
      <c r="W22" s="12"/>
      <c r="X22" s="12"/>
    </row>
    <row r="23" spans="2:24" x14ac:dyDescent="0.75">
      <c r="B23" s="14" t="str">
        <f>IF('Employee Input Yr4'!B23="","",'Employee Input Yr4'!B23)</f>
        <v/>
      </c>
      <c r="C23" s="14" t="str">
        <f>IF('Employee Input Yr4'!C23="","",'Employee Input Yr4'!C23)</f>
        <v/>
      </c>
      <c r="D23" s="14" t="str">
        <f>IF('Employee Input Yr4'!D23="","",'Employee Input Yr4'!D23)</f>
        <v/>
      </c>
      <c r="E23" s="14" t="str">
        <f>IF('Employee Input Yr4'!E23="","",'Employee Input Yr4'!E23)</f>
        <v/>
      </c>
      <c r="F23" s="14" t="str">
        <f>IF('Employee Input Yr4'!F23="","",'Employee Input Yr4'!F23)</f>
        <v/>
      </c>
      <c r="G23" s="155" t="str">
        <f>IF('Employee Input Yr4'!G23="","",'Employee Input Yr4'!G23*(1+$G$2))</f>
        <v/>
      </c>
      <c r="H23" s="10" t="str">
        <f t="shared" si="0"/>
        <v/>
      </c>
      <c r="I23" s="155" t="str">
        <f>IF('Employee Input Yr4'!I23="","",'Employee Input Yr4'!I23)</f>
        <v/>
      </c>
      <c r="J23" s="155" t="str">
        <f>IF('Employee Input Yr4'!J23="","",'Employee Input Yr4'!J23)</f>
        <v/>
      </c>
      <c r="K23" s="10" t="str">
        <f t="shared" si="1"/>
        <v/>
      </c>
      <c r="L23" s="14" t="str">
        <f>IF('Employee Input Yr4'!L23="","",'Employee Input Yr4'!L23)</f>
        <v/>
      </c>
      <c r="M23" s="10"/>
      <c r="N23" s="10"/>
      <c r="O23" s="10"/>
      <c r="P23" s="10"/>
      <c r="Q23" s="11"/>
      <c r="R23" s="12"/>
      <c r="S23" s="12"/>
      <c r="T23" s="12"/>
      <c r="U23" s="12"/>
      <c r="V23" s="12"/>
      <c r="W23" s="12"/>
      <c r="X23" s="12"/>
    </row>
    <row r="24" spans="2:24" x14ac:dyDescent="0.75">
      <c r="B24" s="14" t="str">
        <f>IF('Employee Input Yr4'!B24="","",'Employee Input Yr4'!B24)</f>
        <v/>
      </c>
      <c r="C24" s="14" t="str">
        <f>IF('Employee Input Yr4'!C24="","",'Employee Input Yr4'!C24)</f>
        <v/>
      </c>
      <c r="D24" s="14" t="str">
        <f>IF('Employee Input Yr4'!D24="","",'Employee Input Yr4'!D24)</f>
        <v/>
      </c>
      <c r="E24" s="14" t="str">
        <f>IF('Employee Input Yr4'!E24="","",'Employee Input Yr4'!E24)</f>
        <v/>
      </c>
      <c r="F24" s="14" t="str">
        <f>IF('Employee Input Yr4'!F24="","",'Employee Input Yr4'!F24)</f>
        <v/>
      </c>
      <c r="G24" s="155" t="str">
        <f>IF('Employee Input Yr4'!G24="","",'Employee Input Yr4'!G24*(1+$G$2))</f>
        <v/>
      </c>
      <c r="H24" s="10" t="str">
        <f t="shared" si="0"/>
        <v/>
      </c>
      <c r="I24" s="155" t="str">
        <f>IF('Employee Input Yr4'!I24="","",'Employee Input Yr4'!I24)</f>
        <v/>
      </c>
      <c r="J24" s="155" t="str">
        <f>IF('Employee Input Yr4'!J24="","",'Employee Input Yr4'!J24)</f>
        <v/>
      </c>
      <c r="K24" s="10" t="str">
        <f t="shared" si="1"/>
        <v/>
      </c>
      <c r="L24" s="14" t="str">
        <f>IF('Employee Input Yr4'!L24="","",'Employee Input Yr4'!L24)</f>
        <v/>
      </c>
      <c r="M24" s="10"/>
      <c r="N24" s="10"/>
      <c r="O24" s="10"/>
      <c r="P24" s="10"/>
      <c r="Q24" s="11"/>
      <c r="R24" s="12"/>
      <c r="S24" s="12"/>
      <c r="T24" s="12"/>
      <c r="U24" s="12"/>
      <c r="V24" s="12"/>
      <c r="W24" s="12"/>
      <c r="X24" s="12"/>
    </row>
    <row r="25" spans="2:24" x14ac:dyDescent="0.75">
      <c r="B25" s="14" t="str">
        <f>IF('Employee Input Yr4'!B25="","",'Employee Input Yr4'!B25)</f>
        <v/>
      </c>
      <c r="C25" s="14" t="str">
        <f>IF('Employee Input Yr4'!C25="","",'Employee Input Yr4'!C25)</f>
        <v/>
      </c>
      <c r="D25" s="14" t="str">
        <f>IF('Employee Input Yr4'!D25="","",'Employee Input Yr4'!D25)</f>
        <v/>
      </c>
      <c r="E25" s="14" t="str">
        <f>IF('Employee Input Yr4'!E25="","",'Employee Input Yr4'!E25)</f>
        <v/>
      </c>
      <c r="F25" s="14" t="str">
        <f>IF('Employee Input Yr4'!F25="","",'Employee Input Yr4'!F25)</f>
        <v/>
      </c>
      <c r="G25" s="155" t="str">
        <f>IF('Employee Input Yr4'!G25="","",'Employee Input Yr4'!G25*(1+$G$2))</f>
        <v/>
      </c>
      <c r="H25" s="10" t="str">
        <f t="shared" si="0"/>
        <v/>
      </c>
      <c r="I25" s="155" t="str">
        <f>IF('Employee Input Yr4'!I25="","",'Employee Input Yr4'!I25)</f>
        <v/>
      </c>
      <c r="J25" s="155" t="str">
        <f>IF('Employee Input Yr4'!J25="","",'Employee Input Yr4'!J25)</f>
        <v/>
      </c>
      <c r="K25" s="10" t="str">
        <f t="shared" si="1"/>
        <v/>
      </c>
      <c r="L25" s="14" t="str">
        <f>IF('Employee Input Yr4'!L25="","",'Employee Input Yr4'!L25)</f>
        <v/>
      </c>
      <c r="M25" s="10"/>
      <c r="N25" s="10"/>
      <c r="O25" s="10"/>
      <c r="P25" s="10"/>
      <c r="Q25" s="11"/>
      <c r="R25" s="12"/>
      <c r="S25" s="12"/>
      <c r="T25" s="12"/>
      <c r="U25" s="12"/>
      <c r="V25" s="12"/>
      <c r="W25" s="12"/>
      <c r="X25" s="12"/>
    </row>
    <row r="26" spans="2:24" x14ac:dyDescent="0.75">
      <c r="B26" s="14" t="str">
        <f>IF('Employee Input Yr4'!B26="","",'Employee Input Yr4'!B26)</f>
        <v/>
      </c>
      <c r="C26" s="14" t="str">
        <f>IF('Employee Input Yr4'!C26="","",'Employee Input Yr4'!C26)</f>
        <v/>
      </c>
      <c r="D26" s="14" t="str">
        <f>IF('Employee Input Yr4'!D26="","",'Employee Input Yr4'!D26)</f>
        <v/>
      </c>
      <c r="E26" s="14" t="str">
        <f>IF('Employee Input Yr4'!E26="","",'Employee Input Yr4'!E26)</f>
        <v/>
      </c>
      <c r="F26" s="14" t="str">
        <f>IF('Employee Input Yr4'!F26="","",'Employee Input Yr4'!F26)</f>
        <v/>
      </c>
      <c r="G26" s="155" t="str">
        <f>IF('Employee Input Yr4'!G26="","",'Employee Input Yr4'!G26*(1+$G$2))</f>
        <v/>
      </c>
      <c r="H26" s="10" t="str">
        <f t="shared" si="0"/>
        <v/>
      </c>
      <c r="I26" s="155" t="str">
        <f>IF('Employee Input Yr4'!I26="","",'Employee Input Yr4'!I26)</f>
        <v/>
      </c>
      <c r="J26" s="155" t="str">
        <f>IF('Employee Input Yr4'!J26="","",'Employee Input Yr4'!J26)</f>
        <v/>
      </c>
      <c r="K26" s="10" t="str">
        <f t="shared" si="1"/>
        <v/>
      </c>
      <c r="L26" s="14" t="str">
        <f>IF('Employee Input Yr4'!L26="","",'Employee Input Yr4'!L26)</f>
        <v/>
      </c>
      <c r="M26" s="10"/>
      <c r="N26" s="10"/>
      <c r="O26" s="10"/>
      <c r="P26" s="10"/>
      <c r="Q26" s="11"/>
      <c r="R26" s="12"/>
      <c r="S26" s="12"/>
      <c r="T26" s="12"/>
      <c r="U26" s="12"/>
      <c r="V26" s="12"/>
      <c r="W26" s="12"/>
      <c r="X26" s="12"/>
    </row>
    <row r="27" spans="2:24" x14ac:dyDescent="0.75">
      <c r="B27" s="14" t="str">
        <f>IF('Employee Input Yr4'!B27="","",'Employee Input Yr4'!B27)</f>
        <v/>
      </c>
      <c r="C27" s="14" t="str">
        <f>IF('Employee Input Yr4'!C27="","",'Employee Input Yr4'!C27)</f>
        <v/>
      </c>
      <c r="D27" s="14" t="str">
        <f>IF('Employee Input Yr4'!D27="","",'Employee Input Yr4'!D27)</f>
        <v/>
      </c>
      <c r="E27" s="14" t="str">
        <f>IF('Employee Input Yr4'!E27="","",'Employee Input Yr4'!E27)</f>
        <v/>
      </c>
      <c r="F27" s="14" t="str">
        <f>IF('Employee Input Yr4'!F27="","",'Employee Input Yr4'!F27)</f>
        <v/>
      </c>
      <c r="G27" s="155" t="str">
        <f>IF('Employee Input Yr4'!G27="","",'Employee Input Yr4'!G27*(1+$G$2))</f>
        <v/>
      </c>
      <c r="H27" s="10" t="str">
        <f t="shared" si="0"/>
        <v/>
      </c>
      <c r="I27" s="155" t="str">
        <f>IF('Employee Input Yr4'!I27="","",'Employee Input Yr4'!I27)</f>
        <v/>
      </c>
      <c r="J27" s="155" t="str">
        <f>IF('Employee Input Yr4'!J27="","",'Employee Input Yr4'!J27)</f>
        <v/>
      </c>
      <c r="K27" s="10" t="str">
        <f t="shared" si="1"/>
        <v/>
      </c>
      <c r="L27" s="14" t="str">
        <f>IF('Employee Input Yr4'!L27="","",'Employee Input Yr4'!L27)</f>
        <v/>
      </c>
      <c r="M27" s="10"/>
      <c r="N27" s="10"/>
      <c r="O27" s="10"/>
      <c r="P27" s="10"/>
      <c r="Q27" s="11"/>
      <c r="R27" s="12"/>
      <c r="S27" s="12"/>
      <c r="T27" s="12"/>
      <c r="U27" s="12"/>
      <c r="V27" s="12"/>
      <c r="W27" s="12"/>
      <c r="X27" s="12"/>
    </row>
    <row r="28" spans="2:24" x14ac:dyDescent="0.75">
      <c r="B28" s="14" t="str">
        <f>IF('Employee Input Yr4'!B28="","",'Employee Input Yr4'!B28)</f>
        <v/>
      </c>
      <c r="C28" s="14" t="str">
        <f>IF('Employee Input Yr4'!C28="","",'Employee Input Yr4'!C28)</f>
        <v/>
      </c>
      <c r="D28" s="14" t="str">
        <f>IF('Employee Input Yr4'!D28="","",'Employee Input Yr4'!D28)</f>
        <v/>
      </c>
      <c r="E28" s="14" t="str">
        <f>IF('Employee Input Yr4'!E28="","",'Employee Input Yr4'!E28)</f>
        <v/>
      </c>
      <c r="F28" s="14" t="str">
        <f>IF('Employee Input Yr4'!F28="","",'Employee Input Yr4'!F28)</f>
        <v/>
      </c>
      <c r="G28" s="155" t="str">
        <f>IF('Employee Input Yr4'!G28="","",'Employee Input Yr4'!G28*(1+$G$2))</f>
        <v/>
      </c>
      <c r="H28" s="10" t="str">
        <f t="shared" si="0"/>
        <v/>
      </c>
      <c r="I28" s="155" t="str">
        <f>IF('Employee Input Yr4'!I28="","",'Employee Input Yr4'!I28)</f>
        <v/>
      </c>
      <c r="J28" s="155" t="str">
        <f>IF('Employee Input Yr4'!J28="","",'Employee Input Yr4'!J28)</f>
        <v/>
      </c>
      <c r="K28" s="10" t="str">
        <f t="shared" si="1"/>
        <v/>
      </c>
      <c r="L28" s="14" t="str">
        <f>IF('Employee Input Yr4'!L28="","",'Employee Input Yr4'!L28)</f>
        <v/>
      </c>
      <c r="M28" s="10"/>
      <c r="N28" s="10"/>
      <c r="O28" s="10"/>
      <c r="P28" s="10"/>
      <c r="Q28" s="11"/>
      <c r="R28" s="12"/>
      <c r="S28" s="12"/>
      <c r="T28" s="12"/>
      <c r="U28" s="12"/>
      <c r="V28" s="12"/>
      <c r="W28" s="12"/>
      <c r="X28" s="12"/>
    </row>
    <row r="29" spans="2:24" x14ac:dyDescent="0.75">
      <c r="B29" s="14" t="str">
        <f>IF('Employee Input Yr4'!B29="","",'Employee Input Yr4'!B29)</f>
        <v/>
      </c>
      <c r="C29" s="14" t="str">
        <f>IF('Employee Input Yr4'!C29="","",'Employee Input Yr4'!C29)</f>
        <v/>
      </c>
      <c r="D29" s="14" t="str">
        <f>IF('Employee Input Yr4'!D29="","",'Employee Input Yr4'!D29)</f>
        <v/>
      </c>
      <c r="E29" s="14" t="str">
        <f>IF('Employee Input Yr4'!E29="","",'Employee Input Yr4'!E29)</f>
        <v/>
      </c>
      <c r="F29" s="14" t="str">
        <f>IF('Employee Input Yr4'!F29="","",'Employee Input Yr4'!F29)</f>
        <v/>
      </c>
      <c r="G29" s="155" t="str">
        <f>IF('Employee Input Yr4'!G29="","",'Employee Input Yr4'!G29*(1+$G$2))</f>
        <v/>
      </c>
      <c r="H29" s="10" t="str">
        <f t="shared" si="0"/>
        <v/>
      </c>
      <c r="I29" s="155" t="str">
        <f>IF('Employee Input Yr4'!I29="","",'Employee Input Yr4'!I29)</f>
        <v/>
      </c>
      <c r="J29" s="155" t="str">
        <f>IF('Employee Input Yr4'!J29="","",'Employee Input Yr4'!J29)</f>
        <v/>
      </c>
      <c r="K29" s="10" t="str">
        <f t="shared" si="1"/>
        <v/>
      </c>
      <c r="L29" s="14" t="str">
        <f>IF('Employee Input Yr4'!L29="","",'Employee Input Yr4'!L29)</f>
        <v/>
      </c>
      <c r="M29" s="10"/>
      <c r="N29" s="10"/>
      <c r="O29" s="10"/>
      <c r="P29" s="10"/>
      <c r="Q29" s="11"/>
      <c r="R29" s="12"/>
      <c r="S29" s="12"/>
      <c r="T29" s="12"/>
      <c r="U29" s="12"/>
      <c r="V29" s="12"/>
      <c r="W29" s="12"/>
      <c r="X29" s="12"/>
    </row>
    <row r="30" spans="2:24" x14ac:dyDescent="0.75">
      <c r="B30" s="14" t="str">
        <f>IF('Employee Input Yr4'!B30="","",'Employee Input Yr4'!B30)</f>
        <v/>
      </c>
      <c r="C30" s="14" t="str">
        <f>IF('Employee Input Yr4'!C30="","",'Employee Input Yr4'!C30)</f>
        <v/>
      </c>
      <c r="D30" s="14" t="str">
        <f>IF('Employee Input Yr4'!D30="","",'Employee Input Yr4'!D30)</f>
        <v/>
      </c>
      <c r="E30" s="14" t="str">
        <f>IF('Employee Input Yr4'!E30="","",'Employee Input Yr4'!E30)</f>
        <v/>
      </c>
      <c r="F30" s="14" t="str">
        <f>IF('Employee Input Yr4'!F30="","",'Employee Input Yr4'!F30)</f>
        <v/>
      </c>
      <c r="G30" s="155" t="str">
        <f>IF('Employee Input Yr4'!G30="","",'Employee Input Yr4'!G30*(1+$G$2))</f>
        <v/>
      </c>
      <c r="H30" s="10" t="str">
        <f t="shared" si="0"/>
        <v/>
      </c>
      <c r="I30" s="155" t="str">
        <f>IF('Employee Input Yr4'!I30="","",'Employee Input Yr4'!I30)</f>
        <v/>
      </c>
      <c r="J30" s="155" t="str">
        <f>IF('Employee Input Yr4'!J30="","",'Employee Input Yr4'!J30)</f>
        <v/>
      </c>
      <c r="K30" s="10" t="str">
        <f t="shared" si="1"/>
        <v/>
      </c>
      <c r="L30" s="14" t="str">
        <f>IF('Employee Input Yr4'!L30="","",'Employee Input Yr4'!L30)</f>
        <v/>
      </c>
      <c r="M30" s="10"/>
      <c r="N30" s="10"/>
      <c r="O30" s="10"/>
      <c r="P30" s="10"/>
      <c r="Q30" s="11"/>
      <c r="R30" s="12"/>
      <c r="S30" s="12"/>
      <c r="T30" s="12"/>
      <c r="U30" s="12"/>
      <c r="V30" s="12"/>
      <c r="W30" s="12"/>
      <c r="X30" s="12"/>
    </row>
    <row r="31" spans="2:24" x14ac:dyDescent="0.75">
      <c r="B31" s="14" t="str">
        <f>IF('Employee Input Yr4'!B31="","",'Employee Input Yr4'!B31)</f>
        <v/>
      </c>
      <c r="C31" s="14" t="str">
        <f>IF('Employee Input Yr4'!C31="","",'Employee Input Yr4'!C31)</f>
        <v/>
      </c>
      <c r="D31" s="14" t="str">
        <f>IF('Employee Input Yr4'!D31="","",'Employee Input Yr4'!D31)</f>
        <v/>
      </c>
      <c r="E31" s="14" t="str">
        <f>IF('Employee Input Yr4'!E31="","",'Employee Input Yr4'!E31)</f>
        <v/>
      </c>
      <c r="F31" s="14" t="str">
        <f>IF('Employee Input Yr4'!F31="","",'Employee Input Yr4'!F31)</f>
        <v/>
      </c>
      <c r="G31" s="155" t="str">
        <f>IF('Employee Input Yr4'!G31="","",'Employee Input Yr4'!G31*(1+$G$2))</f>
        <v/>
      </c>
      <c r="H31" s="10" t="str">
        <f t="shared" si="0"/>
        <v/>
      </c>
      <c r="I31" s="155" t="str">
        <f>IF('Employee Input Yr4'!I31="","",'Employee Input Yr4'!I31)</f>
        <v/>
      </c>
      <c r="J31" s="155" t="str">
        <f>IF('Employee Input Yr4'!J31="","",'Employee Input Yr4'!J31)</f>
        <v/>
      </c>
      <c r="K31" s="10" t="str">
        <f t="shared" si="1"/>
        <v/>
      </c>
      <c r="L31" s="14" t="str">
        <f>IF('Employee Input Yr4'!L31="","",'Employee Input Yr4'!L31)</f>
        <v/>
      </c>
    </row>
    <row r="32" spans="2:24" x14ac:dyDescent="0.75">
      <c r="B32" s="14" t="str">
        <f>IF('Employee Input Yr4'!B32="","",'Employee Input Yr4'!B32)</f>
        <v/>
      </c>
      <c r="C32" s="14" t="str">
        <f>IF('Employee Input Yr4'!C32="","",'Employee Input Yr4'!C32)</f>
        <v/>
      </c>
      <c r="D32" s="14" t="str">
        <f>IF('Employee Input Yr4'!D32="","",'Employee Input Yr4'!D32)</f>
        <v/>
      </c>
      <c r="E32" s="14" t="str">
        <f>IF('Employee Input Yr4'!E32="","",'Employee Input Yr4'!E32)</f>
        <v/>
      </c>
      <c r="F32" s="14" t="str">
        <f>IF('Employee Input Yr4'!F32="","",'Employee Input Yr4'!F32)</f>
        <v/>
      </c>
      <c r="G32" s="155" t="str">
        <f>IF('Employee Input Yr4'!G32="","",'Employee Input Yr4'!G32*(1+$G$2))</f>
        <v/>
      </c>
      <c r="H32" s="10" t="str">
        <f t="shared" si="0"/>
        <v/>
      </c>
      <c r="I32" s="155" t="str">
        <f>IF('Employee Input Yr4'!I32="","",'Employee Input Yr4'!I32)</f>
        <v/>
      </c>
      <c r="J32" s="155" t="str">
        <f>IF('Employee Input Yr4'!J32="","",'Employee Input Yr4'!J32)</f>
        <v/>
      </c>
      <c r="K32" s="10" t="str">
        <f t="shared" si="1"/>
        <v/>
      </c>
      <c r="L32" s="14" t="str">
        <f>IF('Employee Input Yr4'!L32="","",'Employee Input Yr4'!L32)</f>
        <v/>
      </c>
    </row>
    <row r="33" spans="2:12" x14ac:dyDescent="0.75">
      <c r="B33" s="14" t="str">
        <f>IF('Employee Input Yr4'!B33="","",'Employee Input Yr4'!B33)</f>
        <v/>
      </c>
      <c r="C33" s="14" t="str">
        <f>IF('Employee Input Yr4'!C33="","",'Employee Input Yr4'!C33)</f>
        <v/>
      </c>
      <c r="D33" s="14" t="str">
        <f>IF('Employee Input Yr4'!D33="","",'Employee Input Yr4'!D33)</f>
        <v/>
      </c>
      <c r="E33" s="14" t="str">
        <f>IF('Employee Input Yr4'!E33="","",'Employee Input Yr4'!E33)</f>
        <v/>
      </c>
      <c r="F33" s="14" t="str">
        <f>IF('Employee Input Yr4'!F33="","",'Employee Input Yr4'!F33)</f>
        <v/>
      </c>
      <c r="G33" s="155" t="str">
        <f>IF('Employee Input Yr4'!G33="","",'Employee Input Yr4'!G33*(1+$G$2))</f>
        <v/>
      </c>
      <c r="H33" s="10" t="str">
        <f t="shared" si="0"/>
        <v/>
      </c>
      <c r="I33" s="155" t="str">
        <f>IF('Employee Input Yr4'!I33="","",'Employee Input Yr4'!I33)</f>
        <v/>
      </c>
      <c r="J33" s="155" t="str">
        <f>IF('Employee Input Yr4'!J33="","",'Employee Input Yr4'!J33)</f>
        <v/>
      </c>
      <c r="K33" s="10" t="str">
        <f t="shared" si="1"/>
        <v/>
      </c>
      <c r="L33" s="14" t="str">
        <f>IF('Employee Input Yr4'!L33="","",'Employee Input Yr4'!L33)</f>
        <v/>
      </c>
    </row>
    <row r="34" spans="2:12" x14ac:dyDescent="0.75">
      <c r="B34" s="14" t="str">
        <f>IF('Employee Input Yr4'!B34="","",'Employee Input Yr4'!B34)</f>
        <v/>
      </c>
      <c r="C34" s="14" t="str">
        <f>IF('Employee Input Yr4'!C34="","",'Employee Input Yr4'!C34)</f>
        <v/>
      </c>
      <c r="D34" s="14" t="str">
        <f>IF('Employee Input Yr4'!D34="","",'Employee Input Yr4'!D34)</f>
        <v/>
      </c>
      <c r="E34" s="14" t="str">
        <f>IF('Employee Input Yr4'!E34="","",'Employee Input Yr4'!E34)</f>
        <v/>
      </c>
      <c r="F34" s="14" t="str">
        <f>IF('Employee Input Yr4'!F34="","",'Employee Input Yr4'!F34)</f>
        <v/>
      </c>
      <c r="G34" s="155" t="str">
        <f>IF('Employee Input Yr4'!G34="","",'Employee Input Yr4'!G34*(1+$G$2))</f>
        <v/>
      </c>
      <c r="H34" s="10" t="str">
        <f t="shared" si="0"/>
        <v/>
      </c>
      <c r="I34" s="155" t="str">
        <f>IF('Employee Input Yr4'!I34="","",'Employee Input Yr4'!I34)</f>
        <v/>
      </c>
      <c r="J34" s="155" t="str">
        <f>IF('Employee Input Yr4'!J34="","",'Employee Input Yr4'!J34)</f>
        <v/>
      </c>
      <c r="K34" s="10" t="str">
        <f t="shared" si="1"/>
        <v/>
      </c>
      <c r="L34" s="14" t="str">
        <f>IF('Employee Input Yr4'!L34="","",'Employee Input Yr4'!L34)</f>
        <v/>
      </c>
    </row>
    <row r="35" spans="2:12" x14ac:dyDescent="0.75">
      <c r="B35" s="14" t="str">
        <f>IF('Employee Input Yr4'!B35="","",'Employee Input Yr4'!B35)</f>
        <v/>
      </c>
      <c r="C35" s="14" t="str">
        <f>IF('Employee Input Yr4'!C35="","",'Employee Input Yr4'!C35)</f>
        <v/>
      </c>
      <c r="D35" s="14" t="str">
        <f>IF('Employee Input Yr4'!D35="","",'Employee Input Yr4'!D35)</f>
        <v/>
      </c>
      <c r="E35" s="14" t="str">
        <f>IF('Employee Input Yr4'!E35="","",'Employee Input Yr4'!E35)</f>
        <v/>
      </c>
      <c r="F35" s="14" t="str">
        <f>IF('Employee Input Yr4'!F35="","",'Employee Input Yr4'!F35)</f>
        <v/>
      </c>
      <c r="G35" s="155" t="str">
        <f>IF('Employee Input Yr4'!G35="","",'Employee Input Yr4'!G35*(1+$G$2))</f>
        <v/>
      </c>
      <c r="H35" s="10" t="str">
        <f t="shared" si="0"/>
        <v/>
      </c>
      <c r="I35" s="155" t="str">
        <f>IF('Employee Input Yr4'!I35="","",'Employee Input Yr4'!I35)</f>
        <v/>
      </c>
      <c r="J35" s="155" t="str">
        <f>IF('Employee Input Yr4'!J35="","",'Employee Input Yr4'!J35)</f>
        <v/>
      </c>
      <c r="K35" s="10" t="str">
        <f t="shared" si="1"/>
        <v/>
      </c>
      <c r="L35" s="14" t="str">
        <f>IF('Employee Input Yr4'!L35="","",'Employee Input Yr4'!L35)</f>
        <v/>
      </c>
    </row>
    <row r="36" spans="2:12" hidden="1" outlineLevel="1" x14ac:dyDescent="0.75">
      <c r="B36" s="14" t="str">
        <f>IF('Employee Input Yr4'!B36="","",'Employee Input Yr4'!B36)</f>
        <v/>
      </c>
      <c r="C36" s="14" t="str">
        <f>IF('Employee Input Yr4'!C36="","",'Employee Input Yr4'!C36)</f>
        <v/>
      </c>
      <c r="D36" s="14" t="str">
        <f>IF('Employee Input Yr4'!D36="","",'Employee Input Yr4'!D36)</f>
        <v/>
      </c>
      <c r="E36" s="14" t="str">
        <f>IF('Employee Input Yr4'!E36="","",'Employee Input Yr4'!E36)</f>
        <v/>
      </c>
      <c r="F36" s="14" t="str">
        <f>IF('Employee Input Yr4'!F36="","",'Employee Input Yr4'!F36)</f>
        <v/>
      </c>
      <c r="G36" s="155" t="str">
        <f>IF('Employee Input Yr4'!G36="","",'Employee Input Yr4'!G36)</f>
        <v/>
      </c>
      <c r="H36" s="10" t="str">
        <f t="shared" si="0"/>
        <v/>
      </c>
      <c r="I36" s="155" t="str">
        <f>IF('Employee Input Yr4'!I36="","",'Employee Input Yr4'!I36)</f>
        <v/>
      </c>
      <c r="J36" s="155" t="str">
        <f>IF('Employee Input Yr4'!J36="","",'Employee Input Yr4'!J36)</f>
        <v/>
      </c>
      <c r="K36" s="10" t="str">
        <f t="shared" si="1"/>
        <v/>
      </c>
      <c r="L36" s="14" t="str">
        <f>IF('Employee Input Yr4'!L36="","",'Employee Input Yr4'!L36)</f>
        <v/>
      </c>
    </row>
    <row r="37" spans="2:12" hidden="1" outlineLevel="1" x14ac:dyDescent="0.75">
      <c r="B37" s="14" t="str">
        <f>IF('Employee Input Yr4'!B37="","",'Employee Input Yr4'!B37)</f>
        <v/>
      </c>
      <c r="C37" s="14" t="str">
        <f>IF('Employee Input Yr4'!C37="","",'Employee Input Yr4'!C37)</f>
        <v/>
      </c>
      <c r="D37" s="14" t="str">
        <f>IF('Employee Input Yr4'!D37="","",'Employee Input Yr4'!D37)</f>
        <v/>
      </c>
      <c r="E37" s="14" t="str">
        <f>IF('Employee Input Yr4'!E37="","",'Employee Input Yr4'!E37)</f>
        <v/>
      </c>
      <c r="F37" s="14" t="str">
        <f>IF('Employee Input Yr4'!F37="","",'Employee Input Yr4'!F37)</f>
        <v/>
      </c>
      <c r="G37" s="155" t="str">
        <f>IF('Employee Input Yr4'!G37="","",'Employee Input Yr4'!G37)</f>
        <v/>
      </c>
      <c r="H37" s="10" t="str">
        <f t="shared" si="0"/>
        <v/>
      </c>
      <c r="I37" s="155" t="str">
        <f>IF('Employee Input Yr4'!I37="","",'Employee Input Yr4'!I37)</f>
        <v/>
      </c>
      <c r="J37" s="155" t="str">
        <f>IF('Employee Input Yr4'!J37="","",'Employee Input Yr4'!J37)</f>
        <v/>
      </c>
      <c r="K37" s="10" t="str">
        <f t="shared" si="1"/>
        <v/>
      </c>
      <c r="L37" s="14" t="str">
        <f>IF('Employee Input Yr4'!L37="","",'Employee Input Yr4'!L37)</f>
        <v/>
      </c>
    </row>
    <row r="38" spans="2:12" hidden="1" outlineLevel="1" x14ac:dyDescent="0.75">
      <c r="B38" s="14" t="str">
        <f>IF('Employee Input Yr4'!B38="","",'Employee Input Yr4'!B38)</f>
        <v/>
      </c>
      <c r="C38" s="14" t="str">
        <f>IF('Employee Input Yr4'!C38="","",'Employee Input Yr4'!C38)</f>
        <v/>
      </c>
      <c r="D38" s="14" t="str">
        <f>IF('Employee Input Yr4'!D38="","",'Employee Input Yr4'!D38)</f>
        <v/>
      </c>
      <c r="E38" s="14" t="str">
        <f>IF('Employee Input Yr4'!E38="","",'Employee Input Yr4'!E38)</f>
        <v/>
      </c>
      <c r="F38" s="14" t="str">
        <f>IF('Employee Input Yr4'!F38="","",'Employee Input Yr4'!F38)</f>
        <v/>
      </c>
      <c r="G38" s="155" t="str">
        <f>IF('Employee Input Yr4'!G38="","",'Employee Input Yr4'!G38)</f>
        <v/>
      </c>
      <c r="H38" s="10" t="str">
        <f t="shared" si="0"/>
        <v/>
      </c>
      <c r="I38" s="155" t="str">
        <f>IF('Employee Input Yr4'!I38="","",'Employee Input Yr4'!I38)</f>
        <v/>
      </c>
      <c r="J38" s="155" t="str">
        <f>IF('Employee Input Yr4'!J38="","",'Employee Input Yr4'!J38)</f>
        <v/>
      </c>
      <c r="K38" s="10" t="str">
        <f t="shared" si="1"/>
        <v/>
      </c>
      <c r="L38" s="14" t="str">
        <f>IF('Employee Input Yr4'!L38="","",'Employee Input Yr4'!L38)</f>
        <v/>
      </c>
    </row>
    <row r="39" spans="2:12" hidden="1" outlineLevel="1" x14ac:dyDescent="0.75">
      <c r="B39" s="14" t="str">
        <f>IF('Employee Input Yr4'!B39="","",'Employee Input Yr4'!B39)</f>
        <v/>
      </c>
      <c r="C39" s="14" t="str">
        <f>IF('Employee Input Yr4'!C39="","",'Employee Input Yr4'!C39)</f>
        <v/>
      </c>
      <c r="D39" s="14" t="str">
        <f>IF('Employee Input Yr4'!D39="","",'Employee Input Yr4'!D39)</f>
        <v/>
      </c>
      <c r="E39" s="14" t="str">
        <f>IF('Employee Input Yr4'!E39="","",'Employee Input Yr4'!E39)</f>
        <v/>
      </c>
      <c r="F39" s="14" t="str">
        <f>IF('Employee Input Yr4'!F39="","",'Employee Input Yr4'!F39)</f>
        <v/>
      </c>
      <c r="G39" s="155" t="str">
        <f>IF('Employee Input Yr4'!G39="","",'Employee Input Yr4'!G39)</f>
        <v/>
      </c>
      <c r="H39" s="10" t="str">
        <f t="shared" si="0"/>
        <v/>
      </c>
      <c r="I39" s="155" t="str">
        <f>IF('Employee Input Yr4'!I39="","",'Employee Input Yr4'!I39)</f>
        <v/>
      </c>
      <c r="J39" s="155" t="str">
        <f>IF('Employee Input Yr4'!J39="","",'Employee Input Yr4'!J39)</f>
        <v/>
      </c>
      <c r="K39" s="10" t="str">
        <f t="shared" si="1"/>
        <v/>
      </c>
      <c r="L39" s="14" t="str">
        <f>IF('Employee Input Yr4'!L39="","",'Employee Input Yr4'!L39)</f>
        <v/>
      </c>
    </row>
    <row r="40" spans="2:12" hidden="1" outlineLevel="1" x14ac:dyDescent="0.75">
      <c r="B40" s="14" t="str">
        <f>IF('Employee Input Yr4'!B40="","",'Employee Input Yr4'!B40)</f>
        <v/>
      </c>
      <c r="C40" s="14" t="str">
        <f>IF('Employee Input Yr4'!C40="","",'Employee Input Yr4'!C40)</f>
        <v/>
      </c>
      <c r="D40" s="14" t="str">
        <f>IF('Employee Input Yr4'!D40="","",'Employee Input Yr4'!D40)</f>
        <v/>
      </c>
      <c r="E40" s="14" t="str">
        <f>IF('Employee Input Yr4'!E40="","",'Employee Input Yr4'!E40)</f>
        <v/>
      </c>
      <c r="F40" s="14" t="str">
        <f>IF('Employee Input Yr4'!F40="","",'Employee Input Yr4'!F40)</f>
        <v/>
      </c>
      <c r="G40" s="155" t="str">
        <f>IF('Employee Input Yr4'!G40="","",'Employee Input Yr4'!G40)</f>
        <v/>
      </c>
      <c r="H40" s="10" t="str">
        <f t="shared" si="0"/>
        <v/>
      </c>
      <c r="I40" s="155" t="str">
        <f>IF('Employee Input Yr4'!I40="","",'Employee Input Yr4'!I40)</f>
        <v/>
      </c>
      <c r="J40" s="155" t="str">
        <f>IF('Employee Input Yr4'!J40="","",'Employee Input Yr4'!J40)</f>
        <v/>
      </c>
      <c r="K40" s="10" t="str">
        <f t="shared" si="1"/>
        <v/>
      </c>
      <c r="L40" s="14" t="str">
        <f>IF('Employee Input Yr4'!L40="","",'Employee Input Yr4'!L40)</f>
        <v/>
      </c>
    </row>
    <row r="41" spans="2:12" hidden="1" outlineLevel="1" x14ac:dyDescent="0.75">
      <c r="B41" s="14" t="str">
        <f>IF('Employee Input Yr4'!B41="","",'Employee Input Yr4'!B41)</f>
        <v/>
      </c>
      <c r="C41" s="14" t="str">
        <f>IF('Employee Input Yr4'!C41="","",'Employee Input Yr4'!C41)</f>
        <v/>
      </c>
      <c r="D41" s="14" t="str">
        <f>IF('Employee Input Yr4'!D41="","",'Employee Input Yr4'!D41)</f>
        <v/>
      </c>
      <c r="E41" s="14" t="str">
        <f>IF('Employee Input Yr4'!E41="","",'Employee Input Yr4'!E41)</f>
        <v/>
      </c>
      <c r="F41" s="14" t="str">
        <f>IF('Employee Input Yr4'!F41="","",'Employee Input Yr4'!F41)</f>
        <v/>
      </c>
      <c r="G41" s="155" t="str">
        <f>IF('Employee Input Yr4'!G41="","",'Employee Input Yr4'!G41)</f>
        <v/>
      </c>
      <c r="H41" s="10" t="str">
        <f t="shared" si="0"/>
        <v/>
      </c>
      <c r="I41" s="155" t="str">
        <f>IF('Employee Input Yr4'!I41="","",'Employee Input Yr4'!I41)</f>
        <v/>
      </c>
      <c r="J41" s="155" t="str">
        <f>IF('Employee Input Yr4'!J41="","",'Employee Input Yr4'!J41)</f>
        <v/>
      </c>
      <c r="K41" s="10" t="str">
        <f t="shared" si="1"/>
        <v/>
      </c>
      <c r="L41" s="14" t="str">
        <f>IF('Employee Input Yr4'!L41="","",'Employee Input Yr4'!L41)</f>
        <v/>
      </c>
    </row>
    <row r="42" spans="2:12" hidden="1" outlineLevel="1" x14ac:dyDescent="0.75">
      <c r="B42" s="14" t="str">
        <f>IF('Employee Input Yr4'!B42="","",'Employee Input Yr4'!B42)</f>
        <v/>
      </c>
      <c r="C42" s="14" t="str">
        <f>IF('Employee Input Yr4'!C42="","",'Employee Input Yr4'!C42)</f>
        <v/>
      </c>
      <c r="D42" s="14" t="str">
        <f>IF('Employee Input Yr4'!D42="","",'Employee Input Yr4'!D42)</f>
        <v/>
      </c>
      <c r="E42" s="14" t="str">
        <f>IF('Employee Input Yr4'!E42="","",'Employee Input Yr4'!E42)</f>
        <v/>
      </c>
      <c r="F42" s="14" t="str">
        <f>IF('Employee Input Yr4'!F42="","",'Employee Input Yr4'!F42)</f>
        <v/>
      </c>
      <c r="G42" s="155" t="str">
        <f>IF('Employee Input Yr4'!G42="","",'Employee Input Yr4'!G42)</f>
        <v/>
      </c>
      <c r="H42" s="10" t="str">
        <f t="shared" si="0"/>
        <v/>
      </c>
      <c r="I42" s="155" t="str">
        <f>IF('Employee Input Yr4'!I42="","",'Employee Input Yr4'!I42)</f>
        <v/>
      </c>
      <c r="J42" s="155" t="str">
        <f>IF('Employee Input Yr4'!J42="","",'Employee Input Yr4'!J42)</f>
        <v/>
      </c>
      <c r="K42" s="10" t="str">
        <f t="shared" si="1"/>
        <v/>
      </c>
      <c r="L42" s="14" t="str">
        <f>IF('Employee Input Yr4'!L42="","",'Employee Input Yr4'!L42)</f>
        <v/>
      </c>
    </row>
    <row r="43" spans="2:12" hidden="1" outlineLevel="1" x14ac:dyDescent="0.75">
      <c r="B43" s="14" t="str">
        <f>IF('Employee Input Yr4'!B43="","",'Employee Input Yr4'!B43)</f>
        <v/>
      </c>
      <c r="C43" s="14" t="str">
        <f>IF('Employee Input Yr4'!C43="","",'Employee Input Yr4'!C43)</f>
        <v/>
      </c>
      <c r="D43" s="14" t="str">
        <f>IF('Employee Input Yr4'!D43="","",'Employee Input Yr4'!D43)</f>
        <v/>
      </c>
      <c r="E43" s="14" t="str">
        <f>IF('Employee Input Yr4'!E43="","",'Employee Input Yr4'!E43)</f>
        <v/>
      </c>
      <c r="F43" s="14" t="str">
        <f>IF('Employee Input Yr4'!F43="","",'Employee Input Yr4'!F43)</f>
        <v/>
      </c>
      <c r="G43" s="155" t="str">
        <f>IF('Employee Input Yr4'!G43="","",'Employee Input Yr4'!G43)</f>
        <v/>
      </c>
      <c r="H43" s="10" t="str">
        <f t="shared" si="0"/>
        <v/>
      </c>
      <c r="I43" s="155" t="str">
        <f>IF('Employee Input Yr4'!I43="","",'Employee Input Yr4'!I43)</f>
        <v/>
      </c>
      <c r="J43" s="155" t="str">
        <f>IF('Employee Input Yr4'!J43="","",'Employee Input Yr4'!J43)</f>
        <v/>
      </c>
      <c r="K43" s="10" t="str">
        <f t="shared" si="1"/>
        <v/>
      </c>
      <c r="L43" s="14" t="str">
        <f>IF('Employee Input Yr4'!L43="","",'Employee Input Yr4'!L43)</f>
        <v/>
      </c>
    </row>
    <row r="44" spans="2:12" hidden="1" outlineLevel="1" x14ac:dyDescent="0.75">
      <c r="B44" s="14" t="str">
        <f>IF('Employee Input Yr4'!B44="","",'Employee Input Yr4'!B44)</f>
        <v/>
      </c>
      <c r="C44" s="14" t="str">
        <f>IF('Employee Input Yr4'!C44="","",'Employee Input Yr4'!C44)</f>
        <v/>
      </c>
      <c r="D44" s="14" t="str">
        <f>IF('Employee Input Yr4'!D44="","",'Employee Input Yr4'!D44)</f>
        <v/>
      </c>
      <c r="E44" s="14" t="str">
        <f>IF('Employee Input Yr4'!E44="","",'Employee Input Yr4'!E44)</f>
        <v/>
      </c>
      <c r="F44" s="14" t="str">
        <f>IF('Employee Input Yr4'!F44="","",'Employee Input Yr4'!F44)</f>
        <v/>
      </c>
      <c r="G44" s="155" t="str">
        <f>IF('Employee Input Yr4'!G44="","",'Employee Input Yr4'!G44)</f>
        <v/>
      </c>
      <c r="H44" s="10" t="str">
        <f t="shared" si="0"/>
        <v/>
      </c>
      <c r="I44" s="155" t="str">
        <f>IF('Employee Input Yr4'!I44="","",'Employee Input Yr4'!I44)</f>
        <v/>
      </c>
      <c r="J44" s="155" t="str">
        <f>IF('Employee Input Yr4'!J44="","",'Employee Input Yr4'!J44)</f>
        <v/>
      </c>
      <c r="K44" s="10" t="str">
        <f t="shared" si="1"/>
        <v/>
      </c>
      <c r="L44" s="14" t="str">
        <f>IF('Employee Input Yr4'!L44="","",'Employee Input Yr4'!L44)</f>
        <v/>
      </c>
    </row>
    <row r="45" spans="2:12" hidden="1" outlineLevel="1" x14ac:dyDescent="0.75">
      <c r="B45" s="14" t="str">
        <f>IF('Employee Input Yr4'!B45="","",'Employee Input Yr4'!B45)</f>
        <v/>
      </c>
      <c r="C45" s="14" t="str">
        <f>IF('Employee Input Yr4'!C45="","",'Employee Input Yr4'!C45)</f>
        <v/>
      </c>
      <c r="D45" s="14" t="str">
        <f>IF('Employee Input Yr4'!D45="","",'Employee Input Yr4'!D45)</f>
        <v/>
      </c>
      <c r="E45" s="14" t="str">
        <f>IF('Employee Input Yr4'!E45="","",'Employee Input Yr4'!E45)</f>
        <v/>
      </c>
      <c r="F45" s="14" t="str">
        <f>IF('Employee Input Yr4'!F45="","",'Employee Input Yr4'!F45)</f>
        <v/>
      </c>
      <c r="G45" s="155" t="str">
        <f>IF('Employee Input Yr4'!G45="","",'Employee Input Yr4'!G45)</f>
        <v/>
      </c>
      <c r="H45" s="10" t="str">
        <f t="shared" si="0"/>
        <v/>
      </c>
      <c r="I45" s="155" t="str">
        <f>IF('Employee Input Yr4'!I45="","",'Employee Input Yr4'!I45)</f>
        <v/>
      </c>
      <c r="J45" s="155" t="str">
        <f>IF('Employee Input Yr4'!J45="","",'Employee Input Yr4'!J45)</f>
        <v/>
      </c>
      <c r="K45" s="10" t="str">
        <f t="shared" si="1"/>
        <v/>
      </c>
      <c r="L45" s="14" t="str">
        <f>IF('Employee Input Yr4'!L45="","",'Employee Input Yr4'!L45)</f>
        <v/>
      </c>
    </row>
    <row r="46" spans="2:12" hidden="1" outlineLevel="1" x14ac:dyDescent="0.75">
      <c r="B46" s="14" t="str">
        <f>IF('Employee Input Yr4'!B46="","",'Employee Input Yr4'!B46)</f>
        <v/>
      </c>
      <c r="C46" s="14" t="str">
        <f>IF('Employee Input Yr4'!C46="","",'Employee Input Yr4'!C46)</f>
        <v/>
      </c>
      <c r="D46" s="14" t="str">
        <f>IF('Employee Input Yr4'!D46="","",'Employee Input Yr4'!D46)</f>
        <v/>
      </c>
      <c r="E46" s="14" t="str">
        <f>IF('Employee Input Yr4'!E46="","",'Employee Input Yr4'!E46)</f>
        <v/>
      </c>
      <c r="F46" s="14" t="str">
        <f>IF('Employee Input Yr4'!F46="","",'Employee Input Yr4'!F46)</f>
        <v/>
      </c>
      <c r="G46" s="155" t="str">
        <f>IF('Employee Input Yr4'!G46="","",'Employee Input Yr4'!G46)</f>
        <v/>
      </c>
      <c r="H46" s="10" t="str">
        <f t="shared" si="0"/>
        <v/>
      </c>
      <c r="I46" s="155" t="str">
        <f>IF('Employee Input Yr4'!I46="","",'Employee Input Yr4'!I46)</f>
        <v/>
      </c>
      <c r="J46" s="155" t="str">
        <f>IF('Employee Input Yr4'!J46="","",'Employee Input Yr4'!J46)</f>
        <v/>
      </c>
      <c r="K46" s="10" t="str">
        <f t="shared" si="1"/>
        <v/>
      </c>
      <c r="L46" s="14" t="str">
        <f>IF('Employee Input Yr4'!L46="","",'Employee Input Yr4'!L46)</f>
        <v/>
      </c>
    </row>
    <row r="47" spans="2:12" hidden="1" outlineLevel="1" x14ac:dyDescent="0.75">
      <c r="B47" s="14" t="str">
        <f>IF('Employee Input Yr4'!B47="","",'Employee Input Yr4'!B47)</f>
        <v/>
      </c>
      <c r="C47" s="14" t="str">
        <f>IF('Employee Input Yr4'!C47="","",'Employee Input Yr4'!C47)</f>
        <v/>
      </c>
      <c r="D47" s="14" t="str">
        <f>IF('Employee Input Yr4'!D47="","",'Employee Input Yr4'!D47)</f>
        <v/>
      </c>
      <c r="E47" s="14" t="str">
        <f>IF('Employee Input Yr4'!E47="","",'Employee Input Yr4'!E47)</f>
        <v/>
      </c>
      <c r="F47" s="14" t="str">
        <f>IF('Employee Input Yr4'!F47="","",'Employee Input Yr4'!F47)</f>
        <v/>
      </c>
      <c r="G47" s="155" t="str">
        <f>IF('Employee Input Yr4'!G47="","",'Employee Input Yr4'!G47)</f>
        <v/>
      </c>
      <c r="H47" s="10" t="str">
        <f t="shared" si="0"/>
        <v/>
      </c>
      <c r="I47" s="155" t="str">
        <f>IF('Employee Input Yr4'!I47="","",'Employee Input Yr4'!I47)</f>
        <v/>
      </c>
      <c r="J47" s="155" t="str">
        <f>IF('Employee Input Yr4'!J47="","",'Employee Input Yr4'!J47)</f>
        <v/>
      </c>
      <c r="K47" s="10" t="str">
        <f t="shared" si="1"/>
        <v/>
      </c>
      <c r="L47" s="14" t="str">
        <f>IF('Employee Input Yr4'!L47="","",'Employee Input Yr4'!L47)</f>
        <v/>
      </c>
    </row>
    <row r="48" spans="2:12" hidden="1" outlineLevel="1" x14ac:dyDescent="0.75">
      <c r="B48" s="14" t="str">
        <f>IF('Employee Input Yr4'!B48="","",'Employee Input Yr4'!B48)</f>
        <v/>
      </c>
      <c r="C48" s="14" t="str">
        <f>IF('Employee Input Yr4'!C48="","",'Employee Input Yr4'!C48)</f>
        <v/>
      </c>
      <c r="D48" s="14" t="str">
        <f>IF('Employee Input Yr4'!D48="","",'Employee Input Yr4'!D48)</f>
        <v/>
      </c>
      <c r="E48" s="14" t="str">
        <f>IF('Employee Input Yr4'!E48="","",'Employee Input Yr4'!E48)</f>
        <v/>
      </c>
      <c r="F48" s="14" t="str">
        <f>IF('Employee Input Yr4'!F48="","",'Employee Input Yr4'!F48)</f>
        <v/>
      </c>
      <c r="G48" s="155" t="str">
        <f>IF('Employee Input Yr4'!G48="","",'Employee Input Yr4'!G48)</f>
        <v/>
      </c>
      <c r="H48" s="10" t="str">
        <f t="shared" si="0"/>
        <v/>
      </c>
      <c r="I48" s="155" t="str">
        <f>IF('Employee Input Yr4'!I48="","",'Employee Input Yr4'!I48)</f>
        <v/>
      </c>
      <c r="J48" s="155" t="str">
        <f>IF('Employee Input Yr4'!J48="","",'Employee Input Yr4'!J48)</f>
        <v/>
      </c>
      <c r="K48" s="10" t="str">
        <f t="shared" si="1"/>
        <v/>
      </c>
      <c r="L48" s="14" t="str">
        <f>IF('Employee Input Yr4'!L48="","",'Employee Input Yr4'!L48)</f>
        <v/>
      </c>
    </row>
    <row r="49" spans="1:24" hidden="1" outlineLevel="1" x14ac:dyDescent="0.75">
      <c r="B49" s="14" t="str">
        <f>IF('Employee Input Yr4'!B49="","",'Employee Input Yr4'!B49)</f>
        <v/>
      </c>
      <c r="C49" s="14" t="str">
        <f>IF('Employee Input Yr4'!C49="","",'Employee Input Yr4'!C49)</f>
        <v/>
      </c>
      <c r="D49" s="14" t="str">
        <f>IF('Employee Input Yr4'!D49="","",'Employee Input Yr4'!D49)</f>
        <v/>
      </c>
      <c r="E49" s="14" t="str">
        <f>IF('Employee Input Yr4'!E49="","",'Employee Input Yr4'!E49)</f>
        <v/>
      </c>
      <c r="F49" s="14" t="str">
        <f>IF('Employee Input Yr4'!F49="","",'Employee Input Yr4'!F49)</f>
        <v/>
      </c>
      <c r="G49" s="155" t="str">
        <f>IF('Employee Input Yr4'!G49="","",'Employee Input Yr4'!G49)</f>
        <v/>
      </c>
      <c r="H49" s="10" t="str">
        <f t="shared" si="0"/>
        <v/>
      </c>
      <c r="I49" s="155" t="str">
        <f>IF('Employee Input Yr4'!I49="","",'Employee Input Yr4'!I49)</f>
        <v/>
      </c>
      <c r="J49" s="155" t="str">
        <f>IF('Employee Input Yr4'!J49="","",'Employee Input Yr4'!J49)</f>
        <v/>
      </c>
      <c r="K49" s="10" t="str">
        <f t="shared" si="1"/>
        <v/>
      </c>
      <c r="L49" s="14" t="str">
        <f>IF('Employee Input Yr4'!L49="","",'Employee Input Yr4'!L49)</f>
        <v/>
      </c>
    </row>
    <row r="50" spans="1:24" hidden="1" outlineLevel="1" x14ac:dyDescent="0.75">
      <c r="B50" s="14" t="str">
        <f>IF('Employee Input Yr4'!B50="","",'Employee Input Yr4'!B50)</f>
        <v/>
      </c>
      <c r="C50" s="14" t="str">
        <f>IF('Employee Input Yr4'!C50="","",'Employee Input Yr4'!C50)</f>
        <v/>
      </c>
      <c r="D50" s="14" t="str">
        <f>IF('Employee Input Yr4'!D50="","",'Employee Input Yr4'!D50)</f>
        <v/>
      </c>
      <c r="E50" s="14" t="str">
        <f>IF('Employee Input Yr4'!E50="","",'Employee Input Yr4'!E50)</f>
        <v/>
      </c>
      <c r="F50" s="14" t="str">
        <f>IF('Employee Input Yr4'!F50="","",'Employee Input Yr4'!F50)</f>
        <v/>
      </c>
      <c r="G50" s="155" t="str">
        <f>IF('Employee Input Yr4'!G50="","",'Employee Input Yr4'!G50)</f>
        <v/>
      </c>
      <c r="H50" s="10" t="str">
        <f t="shared" si="0"/>
        <v/>
      </c>
      <c r="I50" s="155" t="str">
        <f>IF('Employee Input Yr4'!I50="","",'Employee Input Yr4'!I50)</f>
        <v/>
      </c>
      <c r="J50" s="155" t="str">
        <f>IF('Employee Input Yr4'!J50="","",'Employee Input Yr4'!J50)</f>
        <v/>
      </c>
      <c r="K50" s="10" t="str">
        <f t="shared" si="1"/>
        <v/>
      </c>
      <c r="L50" s="14" t="str">
        <f>IF('Employee Input Yr4'!L50="","",'Employee Input Yr4'!L50)</f>
        <v/>
      </c>
    </row>
    <row r="51" spans="1:24" hidden="1" outlineLevel="1" x14ac:dyDescent="0.75">
      <c r="B51" s="14" t="str">
        <f>IF('Employee Input Yr4'!B51="","",'Employee Input Yr4'!B51)</f>
        <v/>
      </c>
      <c r="C51" s="14" t="str">
        <f>IF('Employee Input Yr4'!C51="","",'Employee Input Yr4'!C51)</f>
        <v/>
      </c>
      <c r="D51" s="14" t="str">
        <f>IF('Employee Input Yr4'!D51="","",'Employee Input Yr4'!D51)</f>
        <v/>
      </c>
      <c r="E51" s="14" t="str">
        <f>IF('Employee Input Yr4'!E51="","",'Employee Input Yr4'!E51)</f>
        <v/>
      </c>
      <c r="F51" s="14" t="str">
        <f>IF('Employee Input Yr4'!F51="","",'Employee Input Yr4'!F51)</f>
        <v/>
      </c>
      <c r="G51" s="155" t="str">
        <f>IF('Employee Input Yr4'!G51="","",'Employee Input Yr4'!G51)</f>
        <v/>
      </c>
      <c r="H51" s="10" t="str">
        <f t="shared" si="0"/>
        <v/>
      </c>
      <c r="I51" s="155" t="str">
        <f>IF('Employee Input Yr4'!I51="","",'Employee Input Yr4'!I51)</f>
        <v/>
      </c>
      <c r="J51" s="155" t="str">
        <f>IF('Employee Input Yr4'!J51="","",'Employee Input Yr4'!J51)</f>
        <v/>
      </c>
      <c r="K51" s="10" t="str">
        <f t="shared" si="1"/>
        <v/>
      </c>
      <c r="L51" s="14" t="str">
        <f>IF('Employee Input Yr4'!L51="","",'Employee Input Yr4'!L51)</f>
        <v/>
      </c>
    </row>
    <row r="52" spans="1:24" hidden="1" outlineLevel="1" x14ac:dyDescent="0.75">
      <c r="B52" s="14" t="str">
        <f>IF('Employee Input Yr4'!B52="","",'Employee Input Yr4'!B52)</f>
        <v/>
      </c>
      <c r="C52" s="14" t="str">
        <f>IF('Employee Input Yr4'!C52="","",'Employee Input Yr4'!C52)</f>
        <v/>
      </c>
      <c r="D52" s="14" t="str">
        <f>IF('Employee Input Yr4'!D52="","",'Employee Input Yr4'!D52)</f>
        <v/>
      </c>
      <c r="E52" s="14" t="str">
        <f>IF('Employee Input Yr4'!E52="","",'Employee Input Yr4'!E52)</f>
        <v/>
      </c>
      <c r="F52" s="14" t="str">
        <f>IF('Employee Input Yr4'!F52="","",'Employee Input Yr4'!F52)</f>
        <v/>
      </c>
      <c r="G52" s="155" t="str">
        <f>IF('Employee Input Yr4'!G52="","",'Employee Input Yr4'!G52)</f>
        <v/>
      </c>
      <c r="H52" s="10" t="str">
        <f t="shared" si="0"/>
        <v/>
      </c>
      <c r="I52" s="155" t="str">
        <f>IF('Employee Input Yr4'!I52="","",'Employee Input Yr4'!I52)</f>
        <v/>
      </c>
      <c r="J52" s="155" t="str">
        <f>IF('Employee Input Yr4'!J52="","",'Employee Input Yr4'!J52)</f>
        <v/>
      </c>
      <c r="K52" s="10" t="str">
        <f t="shared" si="1"/>
        <v/>
      </c>
      <c r="L52" s="14" t="str">
        <f>IF('Employee Input Yr4'!L52="","",'Employee Input Yr4'!L52)</f>
        <v/>
      </c>
    </row>
    <row r="53" spans="1:24" hidden="1" outlineLevel="1" x14ac:dyDescent="0.75">
      <c r="B53" s="14" t="str">
        <f>IF('Employee Input Yr4'!B53="","",'Employee Input Yr4'!B53)</f>
        <v/>
      </c>
      <c r="C53" s="14" t="str">
        <f>IF('Employee Input Yr4'!C53="","",'Employee Input Yr4'!C53)</f>
        <v/>
      </c>
      <c r="D53" s="14" t="str">
        <f>IF('Employee Input Yr4'!D53="","",'Employee Input Yr4'!D53)</f>
        <v/>
      </c>
      <c r="E53" s="14" t="str">
        <f>IF('Employee Input Yr4'!E53="","",'Employee Input Yr4'!E53)</f>
        <v/>
      </c>
      <c r="F53" s="14" t="str">
        <f>IF('Employee Input Yr4'!F53="","",'Employee Input Yr4'!F53)</f>
        <v/>
      </c>
      <c r="G53" s="155" t="str">
        <f>IF('Employee Input Yr4'!G53="","",'Employee Input Yr4'!G53)</f>
        <v/>
      </c>
      <c r="H53" s="10" t="str">
        <f t="shared" si="0"/>
        <v/>
      </c>
      <c r="I53" s="155" t="str">
        <f>IF('Employee Input Yr4'!I53="","",'Employee Input Yr4'!I53)</f>
        <v/>
      </c>
      <c r="J53" s="155" t="str">
        <f>IF('Employee Input Yr4'!J53="","",'Employee Input Yr4'!J53)</f>
        <v/>
      </c>
      <c r="K53" s="10" t="str">
        <f t="shared" si="1"/>
        <v/>
      </c>
      <c r="L53" s="14" t="str">
        <f>IF('Employee Input Yr4'!L53="","",'Employee Input Yr4'!L53)</f>
        <v/>
      </c>
    </row>
    <row r="54" spans="1:24" hidden="1" outlineLevel="1" x14ac:dyDescent="0.75">
      <c r="B54" s="14" t="str">
        <f>IF('Employee Input Yr4'!B54="","",'Employee Input Yr4'!B54)</f>
        <v/>
      </c>
      <c r="C54" s="14" t="str">
        <f>IF('Employee Input Yr4'!C54="","",'Employee Input Yr4'!C54)</f>
        <v/>
      </c>
      <c r="D54" s="14" t="str">
        <f>IF('Employee Input Yr4'!D54="","",'Employee Input Yr4'!D54)</f>
        <v/>
      </c>
      <c r="E54" s="14" t="str">
        <f>IF('Employee Input Yr4'!E54="","",'Employee Input Yr4'!E54)</f>
        <v/>
      </c>
      <c r="F54" s="14" t="str">
        <f>IF('Employee Input Yr4'!F54="","",'Employee Input Yr4'!F54)</f>
        <v/>
      </c>
      <c r="G54" s="155" t="str">
        <f>IF('Employee Input Yr4'!G54="","",'Employee Input Yr4'!G54)</f>
        <v/>
      </c>
      <c r="H54" s="10" t="str">
        <f t="shared" si="0"/>
        <v/>
      </c>
      <c r="I54" s="155" t="str">
        <f>IF('Employee Input Yr4'!I54="","",'Employee Input Yr4'!I54)</f>
        <v/>
      </c>
      <c r="J54" s="155" t="str">
        <f>IF('Employee Input Yr4'!J54="","",'Employee Input Yr4'!J54)</f>
        <v/>
      </c>
      <c r="K54" s="10" t="str">
        <f t="shared" si="1"/>
        <v/>
      </c>
      <c r="L54" s="14" t="str">
        <f>IF('Employee Input Yr4'!L54="","",'Employee Input Yr4'!L54)</f>
        <v/>
      </c>
    </row>
    <row r="55" spans="1:24" hidden="1" outlineLevel="1" x14ac:dyDescent="0.75">
      <c r="B55" s="14" t="str">
        <f>IF('Employee Input Yr4'!B55="","",'Employee Input Yr4'!B55)</f>
        <v/>
      </c>
      <c r="C55" s="14" t="str">
        <f>IF('Employee Input Yr4'!C55="","",'Employee Input Yr4'!C55)</f>
        <v/>
      </c>
      <c r="D55" s="14" t="str">
        <f>IF('Employee Input Yr4'!D55="","",'Employee Input Yr4'!D55)</f>
        <v/>
      </c>
      <c r="E55" s="14" t="str">
        <f>IF('Employee Input Yr4'!E55="","",'Employee Input Yr4'!E55)</f>
        <v/>
      </c>
      <c r="F55" s="14" t="str">
        <f>IF('Employee Input Yr4'!F55="","",'Employee Input Yr4'!F55)</f>
        <v/>
      </c>
      <c r="G55" s="155" t="str">
        <f>IF('Employee Input Yr4'!G55="","",'Employee Input Yr4'!G55)</f>
        <v/>
      </c>
      <c r="H55" s="10" t="str">
        <f t="shared" si="0"/>
        <v/>
      </c>
      <c r="I55" s="155" t="str">
        <f>IF('Employee Input Yr4'!I55="","",'Employee Input Yr4'!I55)</f>
        <v/>
      </c>
      <c r="J55" s="155" t="str">
        <f>IF('Employee Input Yr4'!J55="","",'Employee Input Yr4'!J55)</f>
        <v/>
      </c>
      <c r="K55" s="10" t="str">
        <f t="shared" si="1"/>
        <v/>
      </c>
      <c r="L55" s="14" t="str">
        <f>IF('Employee Input Yr4'!L55="","",'Employee Input Yr4'!L55)</f>
        <v/>
      </c>
    </row>
    <row r="56" spans="1:24" hidden="1" outlineLevel="1" x14ac:dyDescent="0.75">
      <c r="B56" s="14" t="str">
        <f>IF('Employee Input Yr4'!B56="","",'Employee Input Yr4'!B56)</f>
        <v/>
      </c>
      <c r="C56" s="14" t="str">
        <f>IF('Employee Input Yr4'!C56="","",'Employee Input Yr4'!C56)</f>
        <v/>
      </c>
      <c r="D56" s="14" t="str">
        <f>IF('Employee Input Yr4'!D56="","",'Employee Input Yr4'!D56)</f>
        <v/>
      </c>
      <c r="E56" s="14" t="str">
        <f>IF('Employee Input Yr4'!E56="","",'Employee Input Yr4'!E56)</f>
        <v/>
      </c>
      <c r="F56" s="14" t="str">
        <f>IF('Employee Input Yr4'!F56="","",'Employee Input Yr4'!F56)</f>
        <v/>
      </c>
      <c r="G56" s="155" t="str">
        <f>IF('Employee Input Yr4'!G56="","",'Employee Input Yr4'!G56)</f>
        <v/>
      </c>
      <c r="H56" s="10" t="str">
        <f t="shared" si="0"/>
        <v/>
      </c>
      <c r="I56" s="155" t="str">
        <f>IF('Employee Input Yr4'!I56="","",'Employee Input Yr4'!I56)</f>
        <v/>
      </c>
      <c r="J56" s="155" t="str">
        <f>IF('Employee Input Yr4'!J56="","",'Employee Input Yr4'!J56)</f>
        <v/>
      </c>
      <c r="K56" s="10" t="str">
        <f t="shared" si="1"/>
        <v/>
      </c>
      <c r="L56" s="14" t="str">
        <f>IF('Employee Input Yr4'!L56="","",'Employee Input Yr4'!L56)</f>
        <v/>
      </c>
    </row>
    <row r="57" spans="1:24" ht="16.5" collapsed="1" thickBot="1" x14ac:dyDescent="0.9">
      <c r="A57" s="23"/>
      <c r="B57" s="38"/>
      <c r="C57" s="38"/>
      <c r="D57" s="38"/>
      <c r="E57" s="38"/>
      <c r="F57" s="38"/>
      <c r="G57" s="38"/>
      <c r="H57" s="38"/>
      <c r="I57" s="38"/>
      <c r="J57" s="38"/>
      <c r="K57" s="23"/>
      <c r="L57" s="38"/>
      <c r="M57" s="23"/>
      <c r="N57" s="23"/>
      <c r="O57" s="23"/>
      <c r="P57" s="23"/>
      <c r="Q57" s="38"/>
      <c r="R57" s="23"/>
      <c r="S57" s="23"/>
      <c r="T57" s="23"/>
      <c r="U57" s="23"/>
      <c r="V57" s="23"/>
      <c r="W57" s="23"/>
      <c r="X57" s="23"/>
    </row>
    <row r="58" spans="1:24" x14ac:dyDescent="0.75">
      <c r="B58" s="34" t="s">
        <v>742</v>
      </c>
      <c r="C58" s="37"/>
      <c r="D58" s="2"/>
      <c r="E58" s="36" t="str">
        <f>IF(SUM(E26,E39,E56)&gt;0,SUM(E26,E39,E56),"")</f>
        <v/>
      </c>
      <c r="F58" s="37">
        <f>SUM(F7:F57)</f>
        <v>0.6</v>
      </c>
      <c r="G58" s="37"/>
      <c r="H58" s="37">
        <f>SUM(H7:H57)</f>
        <v>68193.226079999993</v>
      </c>
      <c r="I58" s="37">
        <f>SUM(I7:I57)</f>
        <v>0</v>
      </c>
      <c r="J58" s="37">
        <f>SUM(J7:J57)</f>
        <v>0</v>
      </c>
      <c r="K58" s="37">
        <f>SUM(K7:K57)</f>
        <v>68193.226079999993</v>
      </c>
      <c r="M58" s="37">
        <f t="shared" ref="M58:X58" si="2">SUM(M7:M57)</f>
        <v>13024.906181279999</v>
      </c>
      <c r="N58" s="37">
        <f t="shared" si="2"/>
        <v>0</v>
      </c>
      <c r="O58" s="37">
        <f t="shared" si="2"/>
        <v>0</v>
      </c>
      <c r="P58" s="37">
        <f t="shared" si="2"/>
        <v>988.80177815999991</v>
      </c>
      <c r="Q58" s="37">
        <f t="shared" si="2"/>
        <v>400</v>
      </c>
      <c r="R58" s="37">
        <f t="shared" si="2"/>
        <v>2880</v>
      </c>
      <c r="S58" s="37">
        <f t="shared" si="2"/>
        <v>240</v>
      </c>
      <c r="T58" s="37">
        <f t="shared" si="2"/>
        <v>1091.0916172799998</v>
      </c>
      <c r="U58" s="37">
        <f t="shared" si="2"/>
        <v>0</v>
      </c>
      <c r="V58" s="37">
        <f t="shared" si="2"/>
        <v>0</v>
      </c>
      <c r="W58" s="37">
        <f t="shared" si="2"/>
        <v>18224.799576719997</v>
      </c>
      <c r="X58" s="37">
        <f t="shared" si="2"/>
        <v>86418.025656719983</v>
      </c>
    </row>
    <row r="60" spans="1:24" x14ac:dyDescent="0.75">
      <c r="B60" s="34" t="s">
        <v>746</v>
      </c>
      <c r="F60" s="37">
        <f>SUMIF($B:$B,1100,F:F)</f>
        <v>0.6</v>
      </c>
      <c r="G60" s="37"/>
      <c r="H60" s="37">
        <f>SUMIF($B:$B,1100,H:H)</f>
        <v>68193.226079999993</v>
      </c>
      <c r="I60" s="37">
        <f>SUMIF($B:$B,1100,I:I)</f>
        <v>0</v>
      </c>
      <c r="J60" s="37">
        <f>SUMIF($B:$B,1100,J:J)</f>
        <v>0</v>
      </c>
      <c r="K60" s="37">
        <f>SUMIF($B:$B,1100,K:K)</f>
        <v>68193.226079999993</v>
      </c>
      <c r="M60" s="37">
        <f>SUMIF($B:$B,1100,M:M)</f>
        <v>13024.906181279999</v>
      </c>
      <c r="N60" s="37">
        <f t="shared" ref="N60:X60" si="3">SUMIF($B:$B,1100,N:N)</f>
        <v>0</v>
      </c>
      <c r="O60" s="37">
        <f t="shared" si="3"/>
        <v>0</v>
      </c>
      <c r="P60" s="37">
        <f t="shared" si="3"/>
        <v>988.80177815999991</v>
      </c>
      <c r="Q60" s="37">
        <f t="shared" si="3"/>
        <v>400</v>
      </c>
      <c r="R60" s="37">
        <f t="shared" si="3"/>
        <v>2880</v>
      </c>
      <c r="S60" s="37">
        <f t="shared" si="3"/>
        <v>240</v>
      </c>
      <c r="T60" s="37">
        <f t="shared" si="3"/>
        <v>1091.0916172799998</v>
      </c>
      <c r="U60" s="37">
        <f t="shared" si="3"/>
        <v>0</v>
      </c>
      <c r="V60" s="37">
        <f t="shared" si="3"/>
        <v>0</v>
      </c>
      <c r="W60" s="37">
        <f t="shared" si="3"/>
        <v>18224.799576719997</v>
      </c>
      <c r="X60" s="37">
        <f t="shared" si="3"/>
        <v>86418.025656719983</v>
      </c>
    </row>
  </sheetData>
  <pageMargins left="0.25" right="0.25" top="0.25" bottom="0.25" header="0.3" footer="0.3"/>
  <pageSetup scale="75" fitToWidth="2"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499984740745262"/>
    <pageSetUpPr fitToPage="1"/>
  </sheetPr>
  <dimension ref="A1:X165"/>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7.86328125" style="84" customWidth="1"/>
    <col min="19" max="19" width="10.31640625" style="1" bestFit="1" customWidth="1"/>
    <col min="20" max="24" width="11.54296875" style="1" customWidth="1"/>
    <col min="25"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c r="D1" s="160" t="s">
        <v>823</v>
      </c>
    </row>
    <row r="2" spans="1:19" ht="17.75" x14ac:dyDescent="0.75">
      <c r="A2" s="21" t="s">
        <v>798</v>
      </c>
    </row>
    <row r="3" spans="1:19" ht="17.75" x14ac:dyDescent="0.75">
      <c r="A3" s="21">
        <f>'Cash Flow $s Yr1'!A3</f>
        <v>0</v>
      </c>
    </row>
    <row r="5" spans="1:19" ht="17.75" x14ac:dyDescent="0.75">
      <c r="A5" s="29"/>
      <c r="B5" s="40"/>
      <c r="C5" s="29"/>
      <c r="D5" s="85"/>
      <c r="E5" s="85"/>
      <c r="F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x14ac:dyDescent="0.75">
      <c r="A8" s="29"/>
      <c r="B8" s="40"/>
      <c r="C8" s="95" t="s">
        <v>811</v>
      </c>
      <c r="D8" s="96" t="s">
        <v>781</v>
      </c>
      <c r="F8" s="85"/>
      <c r="G8" s="85"/>
      <c r="H8" s="85"/>
      <c r="I8" s="31"/>
      <c r="J8" s="31"/>
      <c r="K8" s="85"/>
      <c r="L8" s="85"/>
      <c r="M8" s="85"/>
      <c r="N8" s="85"/>
      <c r="O8" s="85"/>
      <c r="P8" s="85"/>
      <c r="Q8" s="85"/>
      <c r="R8" s="85"/>
    </row>
    <row r="9" spans="1:19" ht="17.75" x14ac:dyDescent="0.75">
      <c r="A9" s="29"/>
      <c r="B9" s="40"/>
      <c r="C9" s="1" t="s">
        <v>812</v>
      </c>
      <c r="D9" s="101">
        <f>(1-$P$9)*0</f>
        <v>0</v>
      </c>
      <c r="E9" s="101">
        <v>0.05</v>
      </c>
      <c r="F9" s="101">
        <v>0.05</v>
      </c>
      <c r="G9" s="101">
        <v>0.09</v>
      </c>
      <c r="H9" s="101">
        <v>0.09</v>
      </c>
      <c r="I9" s="101">
        <v>0.09</v>
      </c>
      <c r="J9" s="101">
        <v>0.09</v>
      </c>
      <c r="K9" s="101">
        <v>0.09</v>
      </c>
      <c r="L9" s="101">
        <v>0.09</v>
      </c>
      <c r="M9" s="101">
        <v>0.09</v>
      </c>
      <c r="N9" s="101">
        <v>0.09</v>
      </c>
      <c r="O9" s="101">
        <v>0.09</v>
      </c>
      <c r="P9" s="101">
        <v>0.09</v>
      </c>
      <c r="Q9" s="101">
        <v>0</v>
      </c>
      <c r="R9" s="101">
        <v>0</v>
      </c>
      <c r="S9" s="97">
        <f>SUM(D9:R9)</f>
        <v>0.99999999999999978</v>
      </c>
    </row>
    <row r="10" spans="1:19" ht="17.75" x14ac:dyDescent="0.75">
      <c r="A10" s="29"/>
      <c r="B10" s="40"/>
      <c r="C10" s="1" t="s">
        <v>813</v>
      </c>
      <c r="D10" s="98"/>
      <c r="E10" s="104"/>
      <c r="F10" s="104"/>
      <c r="G10" s="101">
        <v>0.37</v>
      </c>
      <c r="H10" s="101"/>
      <c r="I10" s="104"/>
      <c r="J10" s="101">
        <v>0.18</v>
      </c>
      <c r="K10" s="104"/>
      <c r="L10" s="101">
        <f>L9</f>
        <v>0.09</v>
      </c>
      <c r="M10" s="101">
        <f t="shared" ref="M10:R10" si="0">M9</f>
        <v>0.09</v>
      </c>
      <c r="N10" s="101">
        <f t="shared" si="0"/>
        <v>0.09</v>
      </c>
      <c r="O10" s="101">
        <f t="shared" si="0"/>
        <v>0.09</v>
      </c>
      <c r="P10" s="101">
        <f t="shared" si="0"/>
        <v>0.09</v>
      </c>
      <c r="Q10" s="101">
        <f t="shared" si="0"/>
        <v>0</v>
      </c>
      <c r="R10" s="101">
        <f t="shared" si="0"/>
        <v>0</v>
      </c>
      <c r="S10" s="97">
        <f>SUM(D10:R10)</f>
        <v>0.99999999999999989</v>
      </c>
    </row>
    <row r="11" spans="1:19" s="31" customFormat="1" ht="17.75" x14ac:dyDescent="0.75">
      <c r="B11" s="68" t="s">
        <v>778</v>
      </c>
      <c r="C11" s="47"/>
      <c r="D11" s="194"/>
      <c r="E11" s="194"/>
      <c r="F11" s="194"/>
      <c r="G11" s="194"/>
      <c r="H11" s="194"/>
      <c r="I11" s="194"/>
      <c r="J11" s="194"/>
      <c r="K11" s="194"/>
      <c r="L11" s="194"/>
      <c r="M11" s="194"/>
      <c r="N11" s="194"/>
      <c r="O11" s="194"/>
      <c r="P11" s="194"/>
      <c r="Q11" s="194"/>
      <c r="R11" s="194"/>
    </row>
    <row r="12" spans="1:19" s="31" customFormat="1" x14ac:dyDescent="0.75">
      <c r="A12" s="48"/>
      <c r="B12" s="63" t="str">
        <f>'Revenue w MYP'!C8</f>
        <v>8011</v>
      </c>
      <c r="C12" s="63" t="str">
        <f>'Revenue w MYP'!D8</f>
        <v>LCFF; state aid portion</v>
      </c>
      <c r="D12" s="98">
        <f t="shared" ref="D12:R12" si="1">IF($D$8="NO",D$9,D$10)</f>
        <v>0</v>
      </c>
      <c r="E12" s="98">
        <f t="shared" si="1"/>
        <v>0.05</v>
      </c>
      <c r="F12" s="98">
        <f t="shared" si="1"/>
        <v>0.05</v>
      </c>
      <c r="G12" s="98">
        <f t="shared" si="1"/>
        <v>0.09</v>
      </c>
      <c r="H12" s="98">
        <f t="shared" si="1"/>
        <v>0.09</v>
      </c>
      <c r="I12" s="98">
        <f t="shared" si="1"/>
        <v>0.09</v>
      </c>
      <c r="J12" s="98">
        <f t="shared" si="1"/>
        <v>0.09</v>
      </c>
      <c r="K12" s="98">
        <f t="shared" si="1"/>
        <v>0.09</v>
      </c>
      <c r="L12" s="98">
        <f t="shared" si="1"/>
        <v>0.09</v>
      </c>
      <c r="M12" s="98">
        <f t="shared" si="1"/>
        <v>0.09</v>
      </c>
      <c r="N12" s="98">
        <f t="shared" si="1"/>
        <v>0.09</v>
      </c>
      <c r="O12" s="98">
        <f t="shared" si="1"/>
        <v>0.09</v>
      </c>
      <c r="P12" s="98">
        <f t="shared" si="1"/>
        <v>0.09</v>
      </c>
      <c r="Q12" s="98">
        <f t="shared" si="1"/>
        <v>0</v>
      </c>
      <c r="R12" s="98">
        <f t="shared" si="1"/>
        <v>0</v>
      </c>
      <c r="S12" s="97">
        <f t="shared" ref="S12:S21" si="2">SUM(D12:R12)</f>
        <v>0.99999999999999978</v>
      </c>
    </row>
    <row r="13" spans="1:19" s="31" customFormat="1" x14ac:dyDescent="0.75">
      <c r="A13" s="48"/>
      <c r="B13" s="63" t="str">
        <f>'Revenue w MYP'!C9</f>
        <v>8012</v>
      </c>
      <c r="C13" s="63" t="str">
        <f>'Revenue w MYP'!D9</f>
        <v>LCFF; EPA portion</v>
      </c>
      <c r="D13" s="87">
        <v>0</v>
      </c>
      <c r="E13" s="87">
        <v>0</v>
      </c>
      <c r="F13" s="87">
        <v>0</v>
      </c>
      <c r="G13" s="87">
        <v>0.25</v>
      </c>
      <c r="H13" s="87">
        <v>0</v>
      </c>
      <c r="I13" s="87">
        <v>0</v>
      </c>
      <c r="J13" s="87">
        <v>0.25</v>
      </c>
      <c r="K13" s="87">
        <v>0</v>
      </c>
      <c r="L13" s="87">
        <v>0</v>
      </c>
      <c r="M13" s="87">
        <v>0.25</v>
      </c>
      <c r="N13" s="87">
        <v>0</v>
      </c>
      <c r="O13" s="87">
        <v>0</v>
      </c>
      <c r="P13" s="87">
        <v>0.25</v>
      </c>
      <c r="Q13" s="87">
        <v>0</v>
      </c>
      <c r="R13" s="87">
        <v>0</v>
      </c>
      <c r="S13" s="97">
        <f t="shared" si="2"/>
        <v>1</v>
      </c>
    </row>
    <row r="14" spans="1:19" s="31" customFormat="1" x14ac:dyDescent="0.75">
      <c r="A14" s="48"/>
      <c r="B14" s="63" t="str">
        <f>'Revenue w MYP'!C10</f>
        <v>8096</v>
      </c>
      <c r="C14" s="63" t="str">
        <f>'Revenue w MYP'!D10</f>
        <v>In-Lieu of Property Taxes, all grades</v>
      </c>
      <c r="D14" s="99">
        <v>0</v>
      </c>
      <c r="E14" s="99">
        <v>0.06</v>
      </c>
      <c r="F14" s="99">
        <v>0.12</v>
      </c>
      <c r="G14" s="99">
        <v>0.08</v>
      </c>
      <c r="H14" s="99">
        <v>0.08</v>
      </c>
      <c r="I14" s="99">
        <v>0.08</v>
      </c>
      <c r="J14" s="99">
        <v>0.08</v>
      </c>
      <c r="K14" s="99">
        <v>0.08</v>
      </c>
      <c r="L14" s="99">
        <v>0.14000000000000001</v>
      </c>
      <c r="M14" s="99">
        <v>7.0000000000000007E-2</v>
      </c>
      <c r="N14" s="99">
        <v>7.0000000000000007E-2</v>
      </c>
      <c r="O14" s="99">
        <v>7.0000000000000007E-2</v>
      </c>
      <c r="P14" s="99">
        <v>7.0000000000000007E-2</v>
      </c>
      <c r="Q14" s="99">
        <v>0</v>
      </c>
      <c r="R14" s="99">
        <v>0</v>
      </c>
      <c r="S14" s="97">
        <f t="shared" si="2"/>
        <v>1.0000000000000002</v>
      </c>
    </row>
    <row r="15" spans="1:19" s="31" customFormat="1" x14ac:dyDescent="0.75">
      <c r="A15" s="48"/>
      <c r="B15" s="63" t="str">
        <f>'Revenue w MYP'!C11</f>
        <v>8019</v>
      </c>
      <c r="C15" s="63" t="str">
        <f>'Revenue w MYP'!D11</f>
        <v>Prior Year Income / Adjustments</v>
      </c>
      <c r="D15" s="98">
        <f>IF($D$8="NO",P9/SUM($P$9:$R$9),"")</f>
        <v>1</v>
      </c>
      <c r="E15" s="98">
        <f>IF($D$8="NO",Q9/SUM($P$9:$R$9),"")</f>
        <v>0</v>
      </c>
      <c r="F15" s="98">
        <f>IF($D$8="NO",R9/SUM($P$9:$R$9),"")</f>
        <v>0</v>
      </c>
      <c r="G15" s="98"/>
      <c r="H15" s="98"/>
      <c r="I15" s="98"/>
      <c r="J15" s="98"/>
      <c r="K15" s="98"/>
      <c r="L15" s="98"/>
      <c r="M15" s="98"/>
      <c r="N15" s="98"/>
      <c r="O15" s="98"/>
      <c r="P15" s="98"/>
      <c r="Q15" s="98"/>
      <c r="R15" s="98"/>
      <c r="S15" s="97">
        <f t="shared" si="2"/>
        <v>1</v>
      </c>
    </row>
    <row r="16" spans="1:19" s="31" customFormat="1" x14ac:dyDescent="0.75">
      <c r="A16" s="48"/>
      <c r="B16" s="63" t="str">
        <f>'Revenue w MYP'!C12</f>
        <v>8520</v>
      </c>
      <c r="C16" s="63" t="str">
        <f>'Revenue w MYP'!D12</f>
        <v>State Child Nutrition program</v>
      </c>
      <c r="D16" s="98">
        <f t="shared" ref="D16:R16" si="3">IF($D$8="NO",D$9,D$10)</f>
        <v>0</v>
      </c>
      <c r="E16" s="98">
        <f t="shared" si="3"/>
        <v>0.05</v>
      </c>
      <c r="F16" s="98">
        <f t="shared" si="3"/>
        <v>0.05</v>
      </c>
      <c r="G16" s="98">
        <f t="shared" si="3"/>
        <v>0.09</v>
      </c>
      <c r="H16" s="98">
        <f t="shared" si="3"/>
        <v>0.09</v>
      </c>
      <c r="I16" s="98">
        <f t="shared" si="3"/>
        <v>0.09</v>
      </c>
      <c r="J16" s="98">
        <f t="shared" si="3"/>
        <v>0.09</v>
      </c>
      <c r="K16" s="98">
        <f t="shared" si="3"/>
        <v>0.09</v>
      </c>
      <c r="L16" s="98">
        <f t="shared" si="3"/>
        <v>0.09</v>
      </c>
      <c r="M16" s="98">
        <f t="shared" si="3"/>
        <v>0.09</v>
      </c>
      <c r="N16" s="98">
        <f t="shared" si="3"/>
        <v>0.09</v>
      </c>
      <c r="O16" s="98">
        <f t="shared" si="3"/>
        <v>0.09</v>
      </c>
      <c r="P16" s="98">
        <f t="shared" si="3"/>
        <v>0.09</v>
      </c>
      <c r="Q16" s="98">
        <f t="shared" si="3"/>
        <v>0</v>
      </c>
      <c r="R16" s="98">
        <f t="shared" si="3"/>
        <v>0</v>
      </c>
      <c r="S16" s="97">
        <f t="shared" si="2"/>
        <v>0.99999999999999978</v>
      </c>
    </row>
    <row r="17" spans="1:20" s="31" customFormat="1" x14ac:dyDescent="0.75">
      <c r="A17" s="48"/>
      <c r="B17" s="63" t="str">
        <f>'Revenue w MYP'!C14</f>
        <v>8560</v>
      </c>
      <c r="C17" s="63" t="str">
        <f>'Revenue w MYP'!D14</f>
        <v>Restricted Lottery</v>
      </c>
      <c r="D17" s="98" t="str">
        <f>IF($D$8="NO","","")</f>
        <v/>
      </c>
      <c r="E17" s="98" t="str">
        <f>IF($D$8="NO","","")</f>
        <v/>
      </c>
      <c r="F17" s="98"/>
      <c r="G17" s="98" t="str">
        <f>IF($D$8="NO","","")</f>
        <v/>
      </c>
      <c r="H17" s="98" t="str">
        <f>IF($D$8="NO","","")</f>
        <v/>
      </c>
      <c r="I17" s="98">
        <f>IF($D$8="NO",0.25,"")</f>
        <v>0.25</v>
      </c>
      <c r="J17" s="98" t="str">
        <f>IF($D$8="NO","","")</f>
        <v/>
      </c>
      <c r="K17" s="98" t="str">
        <f>IF($D$8="NO","","")</f>
        <v/>
      </c>
      <c r="L17" s="98">
        <f>IF($D$8="NO",0.25,"")</f>
        <v>0.25</v>
      </c>
      <c r="M17" s="98" t="str">
        <f>IF($D$8="NO","","")</f>
        <v/>
      </c>
      <c r="N17" s="98" t="str">
        <f>IF($D$8="NO","","")</f>
        <v/>
      </c>
      <c r="O17" s="98">
        <f>IF($D$8="NO",0.25,"")</f>
        <v>0.25</v>
      </c>
      <c r="P17" s="98" t="str">
        <f>IF($D$8="NO","","")</f>
        <v/>
      </c>
      <c r="Q17" s="98" t="str">
        <f>IF($D$8="NO","","")</f>
        <v/>
      </c>
      <c r="R17" s="98">
        <f>IF($D$8="NO",0.25,"")</f>
        <v>0.25</v>
      </c>
      <c r="S17" s="97">
        <f t="shared" si="2"/>
        <v>1</v>
      </c>
      <c r="T17" s="1"/>
    </row>
    <row r="18" spans="1:20" s="31" customFormat="1" x14ac:dyDescent="0.75">
      <c r="A18" s="47"/>
      <c r="B18" s="63" t="str">
        <f>'Revenue w MYP'!C15</f>
        <v>8550</v>
      </c>
      <c r="C18" s="63" t="str">
        <f>'Revenue w MYP'!D15</f>
        <v>Mandate Block Grant</v>
      </c>
      <c r="D18" s="98"/>
      <c r="E18" s="98"/>
      <c r="F18" s="98"/>
      <c r="G18" s="103">
        <v>0.1</v>
      </c>
      <c r="H18" s="103">
        <v>0.1</v>
      </c>
      <c r="I18" s="103">
        <v>0.1</v>
      </c>
      <c r="J18" s="103">
        <v>0.1</v>
      </c>
      <c r="K18" s="103">
        <v>0.1</v>
      </c>
      <c r="L18" s="103">
        <v>0.1</v>
      </c>
      <c r="M18" s="103">
        <v>0.1</v>
      </c>
      <c r="N18" s="103">
        <v>0.1</v>
      </c>
      <c r="O18" s="103">
        <v>0.1</v>
      </c>
      <c r="P18" s="103">
        <v>0.1</v>
      </c>
      <c r="Q18" s="98"/>
      <c r="R18" s="98"/>
      <c r="S18" s="97">
        <f t="shared" si="2"/>
        <v>0.99999999999999989</v>
      </c>
    </row>
    <row r="19" spans="1:20" s="31" customFormat="1" x14ac:dyDescent="0.75">
      <c r="A19" s="48"/>
      <c r="B19" s="63" t="str">
        <f>'Revenue w MYP'!C17</f>
        <v>8590</v>
      </c>
      <c r="C19" s="63" t="str">
        <f>'Revenue w MYP'!D17</f>
        <v>CSEPDBG</v>
      </c>
      <c r="D19" s="98"/>
      <c r="E19" s="98"/>
      <c r="F19" s="98"/>
      <c r="G19" s="98">
        <v>0.5</v>
      </c>
      <c r="H19" s="98"/>
      <c r="I19" s="98"/>
      <c r="J19" s="98"/>
      <c r="K19" s="98"/>
      <c r="L19" s="98">
        <v>0.5</v>
      </c>
      <c r="M19" s="98"/>
      <c r="N19" s="98"/>
      <c r="O19" s="98"/>
      <c r="P19" s="98"/>
      <c r="Q19" s="98"/>
      <c r="R19" s="98"/>
      <c r="S19" s="97">
        <f t="shared" si="2"/>
        <v>1</v>
      </c>
    </row>
    <row r="20" spans="1:20" s="31" customFormat="1" ht="17.75" x14ac:dyDescent="0.75">
      <c r="A20" s="29"/>
      <c r="B20" s="63" t="str">
        <f>'Revenue w MYP'!C18</f>
        <v>8550</v>
      </c>
      <c r="C20" s="63" t="str">
        <f>'Revenue w MYP'!D18</f>
        <v>One Time Mandate Block Grant</v>
      </c>
      <c r="D20" s="98">
        <f>IF($D$8="NO",D$9,D$10)</f>
        <v>0</v>
      </c>
      <c r="E20" s="98">
        <f t="shared" ref="E20:R21" si="4">IF($D$8="NO",E$9,E$10)</f>
        <v>0.05</v>
      </c>
      <c r="F20" s="98">
        <f t="shared" si="4"/>
        <v>0.05</v>
      </c>
      <c r="G20" s="98">
        <f t="shared" si="4"/>
        <v>0.09</v>
      </c>
      <c r="H20" s="98">
        <f t="shared" si="4"/>
        <v>0.09</v>
      </c>
      <c r="I20" s="98">
        <f t="shared" si="4"/>
        <v>0.09</v>
      </c>
      <c r="J20" s="98">
        <f t="shared" si="4"/>
        <v>0.09</v>
      </c>
      <c r="K20" s="98">
        <f t="shared" si="4"/>
        <v>0.09</v>
      </c>
      <c r="L20" s="98">
        <f t="shared" si="4"/>
        <v>0.09</v>
      </c>
      <c r="M20" s="98">
        <f t="shared" si="4"/>
        <v>0.09</v>
      </c>
      <c r="N20" s="98">
        <f t="shared" si="4"/>
        <v>0.09</v>
      </c>
      <c r="O20" s="98">
        <f t="shared" si="4"/>
        <v>0.09</v>
      </c>
      <c r="P20" s="98">
        <f t="shared" si="4"/>
        <v>0.09</v>
      </c>
      <c r="Q20" s="98">
        <f t="shared" si="4"/>
        <v>0</v>
      </c>
      <c r="R20" s="98">
        <f t="shared" si="4"/>
        <v>0</v>
      </c>
      <c r="S20" s="97">
        <f t="shared" si="2"/>
        <v>0.99999999999999978</v>
      </c>
    </row>
    <row r="21" spans="1:20" s="31" customFormat="1" ht="17.75" x14ac:dyDescent="0.75">
      <c r="A21" s="29"/>
      <c r="B21" s="63" t="str">
        <f>'Revenue w MYP'!C19</f>
        <v>8599</v>
      </c>
      <c r="C21" s="63" t="str">
        <f>'Revenue w MYP'!D19</f>
        <v>Prior Year State Income</v>
      </c>
      <c r="D21" s="98">
        <f>IF($D$8="NO",D$9,D$10)</f>
        <v>0</v>
      </c>
      <c r="E21" s="98">
        <f t="shared" si="4"/>
        <v>0.05</v>
      </c>
      <c r="F21" s="98">
        <f t="shared" si="4"/>
        <v>0.05</v>
      </c>
      <c r="G21" s="98">
        <f t="shared" si="4"/>
        <v>0.09</v>
      </c>
      <c r="H21" s="98">
        <f t="shared" si="4"/>
        <v>0.09</v>
      </c>
      <c r="I21" s="98">
        <f t="shared" si="4"/>
        <v>0.09</v>
      </c>
      <c r="J21" s="98">
        <f t="shared" si="4"/>
        <v>0.09</v>
      </c>
      <c r="K21" s="98">
        <f t="shared" si="4"/>
        <v>0.09</v>
      </c>
      <c r="L21" s="98">
        <f t="shared" si="4"/>
        <v>0.09</v>
      </c>
      <c r="M21" s="98">
        <f t="shared" si="4"/>
        <v>0.09</v>
      </c>
      <c r="N21" s="98">
        <f t="shared" si="4"/>
        <v>0.09</v>
      </c>
      <c r="O21" s="98">
        <f t="shared" si="4"/>
        <v>0.09</v>
      </c>
      <c r="P21" s="98">
        <f t="shared" si="4"/>
        <v>0.09</v>
      </c>
      <c r="Q21" s="98">
        <f t="shared" si="4"/>
        <v>0</v>
      </c>
      <c r="R21" s="98">
        <f t="shared" si="4"/>
        <v>0</v>
      </c>
      <c r="S21" s="97">
        <f t="shared" si="2"/>
        <v>0.99999999999999978</v>
      </c>
    </row>
    <row r="22" spans="1:20" s="31" customFormat="1" ht="17.75" x14ac:dyDescent="0.75">
      <c r="A22" s="29"/>
      <c r="B22" s="69"/>
      <c r="C22" s="48"/>
      <c r="D22" s="106"/>
      <c r="E22" s="106"/>
      <c r="F22" s="106"/>
      <c r="G22" s="106"/>
      <c r="H22" s="106"/>
      <c r="I22" s="106"/>
      <c r="J22" s="106"/>
      <c r="K22" s="106"/>
      <c r="L22" s="106"/>
      <c r="M22" s="106"/>
      <c r="N22" s="106"/>
      <c r="O22" s="106"/>
      <c r="P22" s="106"/>
      <c r="Q22" s="106"/>
      <c r="R22" s="107"/>
      <c r="S22" s="97"/>
    </row>
    <row r="23" spans="1:20" s="31" customFormat="1" ht="17.75" x14ac:dyDescent="0.75">
      <c r="A23" s="29"/>
      <c r="B23" s="69"/>
      <c r="C23" s="48"/>
      <c r="D23" s="105"/>
      <c r="E23" s="105"/>
      <c r="F23" s="105"/>
      <c r="G23" s="105"/>
      <c r="H23" s="105"/>
      <c r="I23" s="105"/>
      <c r="J23" s="105"/>
      <c r="K23" s="105"/>
      <c r="L23" s="105"/>
      <c r="M23" s="105"/>
      <c r="N23" s="105"/>
      <c r="O23" s="105"/>
      <c r="P23" s="105"/>
      <c r="Q23" s="105"/>
      <c r="R23" s="105"/>
    </row>
    <row r="24" spans="1:20" s="31" customFormat="1" ht="17.75" x14ac:dyDescent="0.75">
      <c r="B24" s="29" t="s">
        <v>782</v>
      </c>
      <c r="C24" s="48"/>
      <c r="D24" s="105"/>
      <c r="E24" s="105"/>
      <c r="F24" s="105"/>
      <c r="G24" s="105"/>
      <c r="H24" s="105"/>
      <c r="I24" s="105"/>
      <c r="J24" s="105"/>
      <c r="K24" s="105"/>
      <c r="L24" s="105"/>
      <c r="M24" s="105"/>
      <c r="N24" s="105"/>
      <c r="O24" s="105"/>
      <c r="P24" s="105"/>
      <c r="Q24" s="105"/>
      <c r="R24" s="105"/>
    </row>
    <row r="25" spans="1:20" s="31" customFormat="1" ht="17.75" x14ac:dyDescent="0.75">
      <c r="A25" s="29"/>
      <c r="B25" s="63" t="str">
        <f>'Revenue w MYP'!C23</f>
        <v>8181</v>
      </c>
      <c r="C25" s="63" t="str">
        <f>'Revenue w MYP'!D23</f>
        <v>Special Education, federal</v>
      </c>
      <c r="D25" s="103"/>
      <c r="E25" s="103"/>
      <c r="F25" s="103"/>
      <c r="G25" s="103">
        <v>0.1</v>
      </c>
      <c r="H25" s="103">
        <v>0.1</v>
      </c>
      <c r="I25" s="103">
        <v>0.1</v>
      </c>
      <c r="J25" s="103">
        <v>0.1</v>
      </c>
      <c r="K25" s="103">
        <v>0.1</v>
      </c>
      <c r="L25" s="103">
        <v>0.1</v>
      </c>
      <c r="M25" s="103">
        <v>0.1</v>
      </c>
      <c r="N25" s="103">
        <v>0.1</v>
      </c>
      <c r="O25" s="103">
        <v>0.1</v>
      </c>
      <c r="P25" s="103">
        <v>0.1</v>
      </c>
      <c r="Q25" s="98"/>
      <c r="R25" s="98"/>
      <c r="S25" s="94">
        <f t="shared" ref="S25:S32" si="5">SUM(D25:R25)</f>
        <v>0.99999999999999989</v>
      </c>
    </row>
    <row r="26" spans="1:20" s="31" customFormat="1" ht="17.75" x14ac:dyDescent="0.75">
      <c r="A26" s="29"/>
      <c r="B26" s="63" t="str">
        <f>'Revenue w MYP'!C24</f>
        <v>8220</v>
      </c>
      <c r="C26" s="63" t="str">
        <f>'Revenue w MYP'!D24</f>
        <v>Federal Child Nutrition Programs</v>
      </c>
      <c r="D26" s="98"/>
      <c r="E26" s="98"/>
      <c r="F26" s="98"/>
      <c r="G26" s="98"/>
      <c r="H26" s="98"/>
      <c r="I26" s="98"/>
      <c r="J26" s="98">
        <v>0.25</v>
      </c>
      <c r="K26" s="98"/>
      <c r="L26" s="98"/>
      <c r="M26" s="98">
        <v>0.5</v>
      </c>
      <c r="N26" s="98"/>
      <c r="O26" s="98">
        <v>0.25</v>
      </c>
      <c r="P26" s="98"/>
      <c r="Q26" s="98"/>
      <c r="R26" s="98"/>
      <c r="S26" s="94">
        <f t="shared" si="5"/>
        <v>1</v>
      </c>
    </row>
    <row r="27" spans="1:20" s="31" customFormat="1" ht="17.75" x14ac:dyDescent="0.75">
      <c r="A27" s="29"/>
      <c r="B27" s="63" t="str">
        <f>'Revenue w MYP'!C25</f>
        <v>8290</v>
      </c>
      <c r="C27" s="63" t="str">
        <f>'Revenue w MYP'!D25</f>
        <v>All Other Federal Revenue, inc Facilities Incentive Grants program</v>
      </c>
      <c r="D27" s="98"/>
      <c r="E27" s="98"/>
      <c r="F27" s="98"/>
      <c r="G27" s="98"/>
      <c r="H27" s="98"/>
      <c r="I27" s="98"/>
      <c r="J27" s="98">
        <v>0.25</v>
      </c>
      <c r="K27" s="98"/>
      <c r="L27" s="98"/>
      <c r="M27" s="98">
        <v>0.5</v>
      </c>
      <c r="N27" s="98"/>
      <c r="O27" s="98">
        <v>0.25</v>
      </c>
      <c r="P27" s="98"/>
      <c r="Q27" s="98"/>
      <c r="R27" s="98"/>
      <c r="S27" s="94">
        <f t="shared" si="5"/>
        <v>1</v>
      </c>
    </row>
    <row r="28" spans="1:20" s="31" customFormat="1" ht="17.75" x14ac:dyDescent="0.75">
      <c r="A28" s="29"/>
      <c r="B28" s="63" t="str">
        <f>'Revenue w MYP'!C26</f>
        <v>8291</v>
      </c>
      <c r="C28" s="63" t="str">
        <f>'Revenue w MYP'!D26</f>
        <v>Title I</v>
      </c>
      <c r="D28" s="98"/>
      <c r="E28" s="98"/>
      <c r="F28" s="98"/>
      <c r="G28" s="98"/>
      <c r="H28" s="98"/>
      <c r="I28" s="98"/>
      <c r="J28" s="98">
        <v>0.25</v>
      </c>
      <c r="K28" s="98"/>
      <c r="L28" s="98"/>
      <c r="M28" s="98">
        <v>0.5</v>
      </c>
      <c r="N28" s="98"/>
      <c r="O28" s="98">
        <v>0.25</v>
      </c>
      <c r="P28" s="98"/>
      <c r="Q28" s="98"/>
      <c r="R28" s="98"/>
      <c r="S28" s="94">
        <f t="shared" si="5"/>
        <v>1</v>
      </c>
    </row>
    <row r="29" spans="1:20" s="31" customFormat="1" ht="17.75" x14ac:dyDescent="0.75">
      <c r="A29" s="29"/>
      <c r="B29" s="63" t="str">
        <f>'Revenue w MYP'!C27</f>
        <v>8292</v>
      </c>
      <c r="C29" s="63" t="str">
        <f>'Revenue w MYP'!D27</f>
        <v>Title II</v>
      </c>
      <c r="D29" s="98"/>
      <c r="E29" s="98"/>
      <c r="F29" s="98"/>
      <c r="G29" s="98"/>
      <c r="H29" s="98"/>
      <c r="I29" s="98"/>
      <c r="J29" s="98">
        <v>0.25</v>
      </c>
      <c r="K29" s="98"/>
      <c r="L29" s="98"/>
      <c r="M29" s="98">
        <v>0.5</v>
      </c>
      <c r="N29" s="98"/>
      <c r="O29" s="98">
        <v>0.25</v>
      </c>
      <c r="P29" s="98"/>
      <c r="Q29" s="98"/>
      <c r="R29" s="98"/>
      <c r="S29" s="94">
        <f t="shared" si="5"/>
        <v>1</v>
      </c>
    </row>
    <row r="30" spans="1:20" s="31" customFormat="1" ht="17.75" x14ac:dyDescent="0.75">
      <c r="A30" s="29"/>
      <c r="B30" s="63" t="str">
        <f>'Revenue w MYP'!C28</f>
        <v>8293</v>
      </c>
      <c r="C30" s="63" t="str">
        <f>'Revenue w MYP'!D28</f>
        <v>Title III</v>
      </c>
      <c r="D30" s="98"/>
      <c r="E30" s="98"/>
      <c r="F30" s="98"/>
      <c r="G30" s="98"/>
      <c r="H30" s="98"/>
      <c r="I30" s="98"/>
      <c r="J30" s="98">
        <v>0.25</v>
      </c>
      <c r="K30" s="98"/>
      <c r="L30" s="98"/>
      <c r="M30" s="98">
        <v>0.5</v>
      </c>
      <c r="N30" s="98"/>
      <c r="O30" s="98">
        <v>0.25</v>
      </c>
      <c r="P30" s="98"/>
      <c r="Q30" s="98"/>
      <c r="R30" s="98"/>
      <c r="S30" s="94">
        <f t="shared" si="5"/>
        <v>1</v>
      </c>
    </row>
    <row r="31" spans="1:20" s="31" customFormat="1" ht="17.75" x14ac:dyDescent="0.75">
      <c r="A31" s="29"/>
      <c r="B31" s="63" t="str">
        <f>'Revenue w MYP'!C30</f>
        <v>8295</v>
      </c>
      <c r="C31" s="63" t="str">
        <f>'Revenue w MYP'!D30</f>
        <v>Title V</v>
      </c>
      <c r="D31" s="98"/>
      <c r="E31" s="98"/>
      <c r="F31" s="98"/>
      <c r="G31" s="98"/>
      <c r="H31" s="98"/>
      <c r="I31" s="98"/>
      <c r="J31" s="98">
        <v>0.25</v>
      </c>
      <c r="K31" s="98"/>
      <c r="L31" s="98"/>
      <c r="M31" s="98">
        <v>0.5</v>
      </c>
      <c r="N31" s="98"/>
      <c r="O31" s="98">
        <v>0.25</v>
      </c>
      <c r="P31" s="98"/>
      <c r="Q31" s="98"/>
      <c r="R31" s="98"/>
      <c r="S31" s="94">
        <f t="shared" si="5"/>
        <v>1</v>
      </c>
    </row>
    <row r="32" spans="1:20" s="31" customFormat="1" ht="17.75" x14ac:dyDescent="0.75">
      <c r="A32" s="29"/>
      <c r="B32" s="63" t="str">
        <f>'Revenue w MYP'!C31</f>
        <v>8299</v>
      </c>
      <c r="C32" s="63" t="str">
        <f>'Revenue w MYP'!D31</f>
        <v>Prior Year Federal Revenue</v>
      </c>
      <c r="D32" s="98"/>
      <c r="E32" s="98"/>
      <c r="F32" s="98">
        <v>0.5</v>
      </c>
      <c r="G32" s="98"/>
      <c r="H32" s="98"/>
      <c r="I32" s="98"/>
      <c r="J32" s="98"/>
      <c r="K32" s="98">
        <v>0.4</v>
      </c>
      <c r="L32" s="98"/>
      <c r="M32" s="98"/>
      <c r="N32" s="98">
        <v>0.1</v>
      </c>
      <c r="O32" s="98"/>
      <c r="P32" s="98"/>
      <c r="Q32" s="98"/>
      <c r="R32" s="98"/>
      <c r="S32" s="94">
        <f t="shared" si="5"/>
        <v>1</v>
      </c>
    </row>
    <row r="33" spans="1:19" s="31" customFormat="1" ht="17.75" x14ac:dyDescent="0.75">
      <c r="A33" s="29"/>
      <c r="B33" s="69"/>
      <c r="C33" s="48"/>
      <c r="D33" s="106"/>
      <c r="E33" s="106"/>
      <c r="F33" s="106"/>
      <c r="G33" s="106"/>
      <c r="H33" s="106"/>
      <c r="I33" s="106"/>
      <c r="J33" s="106"/>
      <c r="K33" s="106"/>
      <c r="L33" s="106"/>
      <c r="M33" s="106"/>
      <c r="N33" s="106"/>
      <c r="O33" s="106"/>
      <c r="P33" s="106"/>
      <c r="Q33" s="106"/>
      <c r="R33" s="106"/>
      <c r="S33" s="94"/>
    </row>
    <row r="34" spans="1:19" s="31" customFormat="1" ht="17.75" x14ac:dyDescent="0.75">
      <c r="A34" s="29"/>
      <c r="B34" s="69"/>
      <c r="C34" s="48"/>
      <c r="D34" s="108"/>
      <c r="E34" s="108"/>
      <c r="F34" s="108"/>
      <c r="G34" s="108"/>
      <c r="H34" s="108"/>
      <c r="I34" s="108"/>
      <c r="J34" s="108"/>
      <c r="K34" s="108"/>
      <c r="L34" s="108"/>
      <c r="M34" s="108"/>
      <c r="N34" s="108"/>
      <c r="O34" s="108"/>
      <c r="P34" s="108"/>
      <c r="Q34" s="108"/>
      <c r="R34" s="108"/>
    </row>
    <row r="35" spans="1:19" s="31" customFormat="1" ht="17.75" x14ac:dyDescent="0.75">
      <c r="B35" s="29" t="s">
        <v>790</v>
      </c>
      <c r="C35" s="48"/>
      <c r="D35" s="108"/>
      <c r="E35" s="108"/>
      <c r="F35" s="108"/>
      <c r="G35" s="108"/>
      <c r="H35" s="108"/>
      <c r="I35" s="108"/>
      <c r="J35" s="108"/>
      <c r="K35" s="108"/>
      <c r="L35" s="108"/>
      <c r="M35" s="108"/>
      <c r="N35" s="108"/>
      <c r="O35" s="108"/>
      <c r="P35" s="108"/>
      <c r="Q35" s="108"/>
      <c r="R35" s="108"/>
    </row>
    <row r="36" spans="1:19" s="31" customFormat="1" ht="17.75" x14ac:dyDescent="0.75">
      <c r="A36" s="29"/>
      <c r="B36" s="63" t="str">
        <f>'Revenue w MYP'!C35</f>
        <v>8660</v>
      </c>
      <c r="C36" s="63" t="str">
        <f>'Revenue w MYP'!D35</f>
        <v>Interest</v>
      </c>
      <c r="D36" s="103">
        <v>8.3000000000000004E-2</v>
      </c>
      <c r="E36" s="103">
        <v>8.3000000000000004E-2</v>
      </c>
      <c r="F36" s="103">
        <v>8.3000000000000004E-2</v>
      </c>
      <c r="G36" s="103">
        <v>8.3000000000000004E-2</v>
      </c>
      <c r="H36" s="103">
        <v>8.3000000000000004E-2</v>
      </c>
      <c r="I36" s="103">
        <v>8.3000000000000004E-2</v>
      </c>
      <c r="J36" s="103">
        <v>8.3000000000000004E-2</v>
      </c>
      <c r="K36" s="103">
        <v>8.3000000000000004E-2</v>
      </c>
      <c r="L36" s="103">
        <v>8.4000000000000005E-2</v>
      </c>
      <c r="M36" s="103">
        <v>8.4000000000000005E-2</v>
      </c>
      <c r="N36" s="103">
        <v>8.4000000000000005E-2</v>
      </c>
      <c r="O36" s="103">
        <v>8.4000000000000005E-2</v>
      </c>
      <c r="P36" s="98"/>
      <c r="Q36" s="98"/>
      <c r="R36" s="98"/>
      <c r="S36" s="94">
        <f t="shared" ref="S36:S47" si="6">SUM(D36:R36)</f>
        <v>0.99999999999999989</v>
      </c>
    </row>
    <row r="37" spans="1:19" s="31" customFormat="1" ht="17.75" x14ac:dyDescent="0.75">
      <c r="A37" s="29"/>
      <c r="B37" s="63" t="str">
        <f>'Revenue w MYP'!C36</f>
        <v>8682</v>
      </c>
      <c r="C37" s="63" t="str">
        <f>'Revenue w MYP'!D36</f>
        <v>Foundation Grants / Donations</v>
      </c>
      <c r="D37" s="103"/>
      <c r="E37" s="103"/>
      <c r="F37" s="103">
        <v>0.1</v>
      </c>
      <c r="G37" s="103">
        <v>0.1</v>
      </c>
      <c r="H37" s="103">
        <v>0.1</v>
      </c>
      <c r="I37" s="103">
        <v>0.1</v>
      </c>
      <c r="J37" s="103">
        <v>0.1</v>
      </c>
      <c r="K37" s="103">
        <v>0.1</v>
      </c>
      <c r="L37" s="103">
        <v>0.1</v>
      </c>
      <c r="M37" s="103">
        <v>0.1</v>
      </c>
      <c r="N37" s="103">
        <v>0.1</v>
      </c>
      <c r="O37" s="103">
        <v>0.1</v>
      </c>
      <c r="P37" s="98"/>
      <c r="Q37" s="98"/>
      <c r="R37" s="98"/>
      <c r="S37" s="94">
        <f t="shared" si="6"/>
        <v>0.99999999999999989</v>
      </c>
    </row>
    <row r="38" spans="1:19" s="31" customFormat="1" ht="17.75" x14ac:dyDescent="0.75">
      <c r="A38" s="29"/>
      <c r="B38" s="63" t="str">
        <f>'Revenue w MYP'!C37</f>
        <v>8683</v>
      </c>
      <c r="C38" s="63" t="str">
        <f>'Revenue w MYP'!D37</f>
        <v>All Other Local Revenue</v>
      </c>
      <c r="D38" s="103"/>
      <c r="E38" s="103"/>
      <c r="F38" s="103">
        <v>0.1</v>
      </c>
      <c r="G38" s="103">
        <v>0.1</v>
      </c>
      <c r="H38" s="103">
        <v>0.1</v>
      </c>
      <c r="I38" s="103">
        <v>0.1</v>
      </c>
      <c r="J38" s="103">
        <v>0.1</v>
      </c>
      <c r="K38" s="103">
        <v>0.1</v>
      </c>
      <c r="L38" s="103">
        <v>0.1</v>
      </c>
      <c r="M38" s="103">
        <v>0.1</v>
      </c>
      <c r="N38" s="103">
        <v>0.1</v>
      </c>
      <c r="O38" s="103">
        <v>0.1</v>
      </c>
      <c r="P38" s="98"/>
      <c r="Q38" s="98"/>
      <c r="R38" s="98"/>
      <c r="S38" s="94">
        <f t="shared" si="6"/>
        <v>0.99999999999999989</v>
      </c>
    </row>
    <row r="39" spans="1:19" s="31" customFormat="1" x14ac:dyDescent="0.75">
      <c r="A39" s="47"/>
      <c r="B39" s="63" t="str">
        <f>'Revenue w MYP'!C38</f>
        <v>8684</v>
      </c>
      <c r="C39" s="63" t="str">
        <f>'Revenue w MYP'!D38</f>
        <v>Student Body (ASB) Fundraising Revenue</v>
      </c>
      <c r="D39" s="103"/>
      <c r="E39" s="103"/>
      <c r="F39" s="103">
        <v>0.1</v>
      </c>
      <c r="G39" s="103">
        <v>0.1</v>
      </c>
      <c r="H39" s="103">
        <v>0.1</v>
      </c>
      <c r="I39" s="103">
        <v>0.1</v>
      </c>
      <c r="J39" s="103">
        <v>0.1</v>
      </c>
      <c r="K39" s="103">
        <v>0.1</v>
      </c>
      <c r="L39" s="103">
        <v>0.1</v>
      </c>
      <c r="M39" s="103">
        <v>0.1</v>
      </c>
      <c r="N39" s="103">
        <v>0.1</v>
      </c>
      <c r="O39" s="103">
        <v>0.1</v>
      </c>
      <c r="P39" s="98"/>
      <c r="Q39" s="98"/>
      <c r="R39" s="98"/>
      <c r="S39" s="94">
        <f t="shared" si="6"/>
        <v>0.99999999999999989</v>
      </c>
    </row>
    <row r="40" spans="1:19" s="31" customFormat="1" x14ac:dyDescent="0.75">
      <c r="A40" s="48"/>
      <c r="B40" s="63" t="str">
        <f>'Revenue w MYP'!C39</f>
        <v>8685</v>
      </c>
      <c r="C40" s="63" t="str">
        <f>'Revenue w MYP'!D39</f>
        <v>School Site Fundraising</v>
      </c>
      <c r="D40" s="103"/>
      <c r="E40" s="103"/>
      <c r="F40" s="103">
        <v>0.1</v>
      </c>
      <c r="G40" s="103">
        <v>0.1</v>
      </c>
      <c r="H40" s="103">
        <v>0.1</v>
      </c>
      <c r="I40" s="103">
        <v>0.1</v>
      </c>
      <c r="J40" s="103">
        <v>0.1</v>
      </c>
      <c r="K40" s="103">
        <v>0.1</v>
      </c>
      <c r="L40" s="103">
        <v>0.1</v>
      </c>
      <c r="M40" s="103">
        <v>0.1</v>
      </c>
      <c r="N40" s="103">
        <v>0.1</v>
      </c>
      <c r="O40" s="103">
        <v>0.1</v>
      </c>
      <c r="P40" s="98"/>
      <c r="Q40" s="98"/>
      <c r="R40" s="98"/>
      <c r="S40" s="94">
        <f t="shared" si="6"/>
        <v>0.99999999999999989</v>
      </c>
    </row>
    <row r="41" spans="1:19" s="31" customFormat="1" ht="17.75" x14ac:dyDescent="0.75">
      <c r="A41" s="29"/>
      <c r="B41" s="63" t="str">
        <f>'Revenue w MYP'!C40</f>
        <v>8698</v>
      </c>
      <c r="C41" s="63" t="str">
        <f>'Revenue w MYP'!D40</f>
        <v>E-Rate</v>
      </c>
      <c r="D41" s="103"/>
      <c r="E41" s="103"/>
      <c r="F41" s="103">
        <v>0.1</v>
      </c>
      <c r="G41" s="103">
        <v>0.1</v>
      </c>
      <c r="H41" s="103">
        <v>0.1</v>
      </c>
      <c r="I41" s="103">
        <v>0.1</v>
      </c>
      <c r="J41" s="103">
        <v>0.1</v>
      </c>
      <c r="K41" s="103">
        <v>0.1</v>
      </c>
      <c r="L41" s="103">
        <v>0.1</v>
      </c>
      <c r="M41" s="103">
        <v>0.1</v>
      </c>
      <c r="N41" s="103">
        <v>0.1</v>
      </c>
      <c r="O41" s="103">
        <v>0.1</v>
      </c>
      <c r="P41" s="98"/>
      <c r="Q41" s="98"/>
      <c r="R41" s="98"/>
      <c r="S41" s="94">
        <f t="shared" si="6"/>
        <v>0.99999999999999989</v>
      </c>
    </row>
    <row r="42" spans="1:19" s="31" customFormat="1" ht="17.75" x14ac:dyDescent="0.75">
      <c r="A42" s="29"/>
      <c r="B42" s="63" t="str">
        <f>'Revenue w MYP'!C41</f>
        <v>8699</v>
      </c>
      <c r="C42" s="63" t="str">
        <f>'Revenue w MYP'!D41</f>
        <v>All Other Local Revenue</v>
      </c>
      <c r="D42" s="103"/>
      <c r="E42" s="103"/>
      <c r="F42" s="103">
        <v>0.1</v>
      </c>
      <c r="G42" s="103">
        <v>0.1</v>
      </c>
      <c r="H42" s="103">
        <v>0.1</v>
      </c>
      <c r="I42" s="103">
        <v>0.1</v>
      </c>
      <c r="J42" s="103">
        <v>0.1</v>
      </c>
      <c r="K42" s="103">
        <v>0.1</v>
      </c>
      <c r="L42" s="103">
        <v>0.1</v>
      </c>
      <c r="M42" s="103">
        <v>0.1</v>
      </c>
      <c r="N42" s="103">
        <v>0.1</v>
      </c>
      <c r="O42" s="103">
        <v>0.1</v>
      </c>
      <c r="P42" s="98"/>
      <c r="Q42" s="98"/>
      <c r="R42" s="98"/>
      <c r="S42" s="94">
        <f t="shared" si="6"/>
        <v>0.99999999999999989</v>
      </c>
    </row>
    <row r="43" spans="1:19" s="31" customFormat="1" ht="17.75" x14ac:dyDescent="0.75">
      <c r="A43" s="29"/>
      <c r="B43" s="63" t="str">
        <f>'Revenue w MYP'!C42</f>
        <v>8785</v>
      </c>
      <c r="C43" s="63" t="str">
        <f>'Revenue w MYP'!D42</f>
        <v>CMO Management fee</v>
      </c>
      <c r="D43" s="103"/>
      <c r="E43" s="103"/>
      <c r="F43" s="103">
        <v>0.1</v>
      </c>
      <c r="G43" s="103">
        <v>0.1</v>
      </c>
      <c r="H43" s="103">
        <v>0.1</v>
      </c>
      <c r="I43" s="103">
        <v>0.1</v>
      </c>
      <c r="J43" s="103">
        <v>0.1</v>
      </c>
      <c r="K43" s="103">
        <v>0.1</v>
      </c>
      <c r="L43" s="103">
        <v>0.1</v>
      </c>
      <c r="M43" s="103">
        <v>0.1</v>
      </c>
      <c r="N43" s="103">
        <v>0.1</v>
      </c>
      <c r="O43" s="103">
        <v>0.1</v>
      </c>
      <c r="P43" s="98"/>
      <c r="Q43" s="98"/>
      <c r="R43" s="98"/>
      <c r="S43" s="94">
        <f t="shared" si="6"/>
        <v>0.99999999999999989</v>
      </c>
    </row>
    <row r="44" spans="1:19" s="31" customFormat="1" ht="17.75" x14ac:dyDescent="0.75">
      <c r="A44" s="29"/>
      <c r="B44" s="63" t="str">
        <f>'Revenue w MYP'!C43</f>
        <v>8792</v>
      </c>
      <c r="C44" s="63" t="str">
        <f>'Revenue w MYP'!D43</f>
        <v>SPED State / Other Transfers from County</v>
      </c>
      <c r="D44" s="103"/>
      <c r="E44" s="103"/>
      <c r="F44" s="103">
        <v>0.1</v>
      </c>
      <c r="G44" s="103">
        <v>0.1</v>
      </c>
      <c r="H44" s="103">
        <v>0.1</v>
      </c>
      <c r="I44" s="103">
        <v>0.1</v>
      </c>
      <c r="J44" s="103">
        <v>0.1</v>
      </c>
      <c r="K44" s="103">
        <v>0.1</v>
      </c>
      <c r="L44" s="103">
        <v>0.1</v>
      </c>
      <c r="M44" s="103">
        <v>0.1</v>
      </c>
      <c r="N44" s="103">
        <v>0.1</v>
      </c>
      <c r="O44" s="103">
        <v>0.1</v>
      </c>
      <c r="P44" s="98"/>
      <c r="Q44" s="98"/>
      <c r="R44" s="98"/>
      <c r="S44" s="94">
        <f t="shared" si="6"/>
        <v>0.99999999999999989</v>
      </c>
    </row>
    <row r="45" spans="1:19" s="31" customFormat="1" ht="17.75" x14ac:dyDescent="0.75">
      <c r="A45" s="29"/>
      <c r="B45" s="63" t="str">
        <f>'Revenue w MYP'!C44</f>
        <v>8639</v>
      </c>
      <c r="C45" s="63" t="str">
        <f>'Revenue w MYP'!D44</f>
        <v>Student Lunch Revenue</v>
      </c>
      <c r="D45" s="103"/>
      <c r="E45" s="103"/>
      <c r="F45" s="103">
        <v>0.1</v>
      </c>
      <c r="G45" s="103">
        <v>0.1</v>
      </c>
      <c r="H45" s="103">
        <v>0.1</v>
      </c>
      <c r="I45" s="103">
        <v>0.1</v>
      </c>
      <c r="J45" s="103">
        <v>0.1</v>
      </c>
      <c r="K45" s="103">
        <v>0.1</v>
      </c>
      <c r="L45" s="103">
        <v>0.1</v>
      </c>
      <c r="M45" s="103">
        <v>0.1</v>
      </c>
      <c r="N45" s="103">
        <v>0.1</v>
      </c>
      <c r="O45" s="103">
        <v>0.1</v>
      </c>
      <c r="P45" s="98"/>
      <c r="Q45" s="98"/>
      <c r="R45" s="98"/>
      <c r="S45" s="94">
        <f>SUM(D45:R45)</f>
        <v>0.99999999999999989</v>
      </c>
    </row>
    <row r="46" spans="1:19" s="31" customFormat="1" ht="17.75" x14ac:dyDescent="0.75">
      <c r="A46" s="29"/>
      <c r="B46" s="63" t="str">
        <f>'Revenue w MYP'!C45</f>
        <v>8986</v>
      </c>
      <c r="C46" s="63" t="str">
        <f>'Revenue w MYP'!D45</f>
        <v>Rental Income</v>
      </c>
      <c r="D46" s="103"/>
      <c r="E46" s="103"/>
      <c r="F46" s="103">
        <v>0.1</v>
      </c>
      <c r="G46" s="103">
        <v>0.1</v>
      </c>
      <c r="H46" s="103">
        <v>0.1</v>
      </c>
      <c r="I46" s="103">
        <v>0.1</v>
      </c>
      <c r="J46" s="103">
        <v>0.1</v>
      </c>
      <c r="K46" s="103">
        <v>0.1</v>
      </c>
      <c r="L46" s="103">
        <v>0.1</v>
      </c>
      <c r="M46" s="103">
        <v>0.1</v>
      </c>
      <c r="N46" s="103">
        <v>0.1</v>
      </c>
      <c r="O46" s="103">
        <v>0.1</v>
      </c>
      <c r="P46" s="98"/>
      <c r="Q46" s="98"/>
      <c r="R46" s="98"/>
      <c r="S46" s="94">
        <f>SUM(D46:R46)</f>
        <v>0.99999999999999989</v>
      </c>
    </row>
    <row r="47" spans="1:19" s="31" customFormat="1" ht="17.75" x14ac:dyDescent="0.75">
      <c r="A47" s="29"/>
      <c r="B47" s="63" t="str">
        <f>'Revenue w MYP'!C47</f>
        <v>8662</v>
      </c>
      <c r="C47" s="63" t="str">
        <f>'Revenue w MYP'!D47</f>
        <v>Increase/Decrease in Investment</v>
      </c>
      <c r="D47" s="103"/>
      <c r="E47" s="103"/>
      <c r="F47" s="103">
        <v>0.1</v>
      </c>
      <c r="G47" s="103">
        <v>0.1</v>
      </c>
      <c r="H47" s="103">
        <v>0.1</v>
      </c>
      <c r="I47" s="103">
        <v>0.1</v>
      </c>
      <c r="J47" s="103">
        <v>0.1</v>
      </c>
      <c r="K47" s="103">
        <v>0.1</v>
      </c>
      <c r="L47" s="103">
        <v>0.1</v>
      </c>
      <c r="M47" s="103">
        <v>0.1</v>
      </c>
      <c r="N47" s="103">
        <v>0.1</v>
      </c>
      <c r="O47" s="103">
        <v>0.1</v>
      </c>
      <c r="P47" s="98"/>
      <c r="Q47" s="98"/>
      <c r="R47" s="98"/>
      <c r="S47" s="94">
        <f t="shared" si="6"/>
        <v>0.99999999999999989</v>
      </c>
    </row>
    <row r="48" spans="1:19" s="31" customFormat="1" ht="17.75" x14ac:dyDescent="0.75">
      <c r="A48" s="29"/>
      <c r="B48" s="69"/>
      <c r="C48" s="48"/>
      <c r="D48" s="105"/>
      <c r="E48" s="105"/>
      <c r="F48" s="105"/>
      <c r="G48" s="105"/>
      <c r="H48" s="105"/>
      <c r="I48" s="105"/>
      <c r="J48" s="105"/>
      <c r="K48" s="105"/>
      <c r="L48" s="105"/>
      <c r="M48" s="105"/>
      <c r="N48" s="105"/>
      <c r="O48" s="105"/>
      <c r="P48" s="88"/>
      <c r="Q48" s="88"/>
      <c r="R48" s="88"/>
      <c r="S48" s="94"/>
    </row>
    <row r="49" spans="1:19" s="31" customFormat="1" ht="17.75" x14ac:dyDescent="0.75">
      <c r="A49" s="29"/>
      <c r="B49" s="69"/>
      <c r="C49" s="48"/>
      <c r="D49" s="105"/>
      <c r="E49" s="105"/>
      <c r="F49" s="105"/>
      <c r="G49" s="105"/>
      <c r="H49" s="105"/>
      <c r="I49" s="105"/>
      <c r="J49" s="105"/>
      <c r="K49" s="105"/>
      <c r="L49" s="105"/>
      <c r="M49" s="105"/>
      <c r="N49" s="105"/>
      <c r="O49" s="105"/>
      <c r="P49" s="88"/>
      <c r="Q49" s="88"/>
      <c r="R49" s="88"/>
      <c r="S49" s="94"/>
    </row>
    <row r="50" spans="1:19" s="31" customFormat="1" ht="17.75" x14ac:dyDescent="0.75">
      <c r="A50" s="29"/>
      <c r="B50" s="69"/>
      <c r="C50" s="48"/>
      <c r="D50" s="88"/>
      <c r="E50" s="88"/>
      <c r="F50" s="88"/>
      <c r="G50" s="88"/>
      <c r="H50" s="88"/>
      <c r="I50" s="88"/>
      <c r="J50" s="88"/>
      <c r="K50" s="88"/>
      <c r="L50" s="88"/>
      <c r="M50" s="88"/>
      <c r="N50" s="88"/>
      <c r="O50" s="88"/>
      <c r="P50" s="88"/>
      <c r="Q50" s="88"/>
      <c r="R50" s="88"/>
    </row>
    <row r="51" spans="1:19" s="31" customFormat="1" ht="17.75" x14ac:dyDescent="0.75">
      <c r="A51" s="29" t="s">
        <v>796</v>
      </c>
      <c r="B51" s="70"/>
      <c r="C51" s="34"/>
      <c r="D51" s="89"/>
      <c r="E51" s="89"/>
      <c r="F51" s="89"/>
      <c r="G51" s="89"/>
      <c r="H51" s="89"/>
      <c r="I51" s="89"/>
      <c r="J51" s="89"/>
      <c r="K51" s="89"/>
      <c r="L51" s="89"/>
      <c r="M51" s="89"/>
      <c r="N51" s="89"/>
      <c r="O51" s="89"/>
      <c r="P51" s="89"/>
      <c r="Q51" s="89"/>
      <c r="R51" s="89"/>
    </row>
    <row r="52" spans="1:19" x14ac:dyDescent="0.75">
      <c r="A52" s="1"/>
      <c r="B52" s="34" t="s">
        <v>731</v>
      </c>
      <c r="C52" s="2"/>
    </row>
    <row r="53" spans="1:19" x14ac:dyDescent="0.75">
      <c r="A53" s="35"/>
      <c r="B53" s="65" t="str">
        <f>'Expenses w MYP'!C8</f>
        <v>1100</v>
      </c>
      <c r="C53" s="65" t="str">
        <f>'Expenses w MYP'!D8</f>
        <v>Teachers' Salaries</v>
      </c>
      <c r="D53" s="87"/>
      <c r="E53" s="87"/>
      <c r="F53" s="99">
        <v>0.1</v>
      </c>
      <c r="G53" s="99">
        <v>0.1</v>
      </c>
      <c r="H53" s="99">
        <v>0.1</v>
      </c>
      <c r="I53" s="99">
        <v>0.1</v>
      </c>
      <c r="J53" s="99">
        <v>0.1</v>
      </c>
      <c r="K53" s="99">
        <v>0.1</v>
      </c>
      <c r="L53" s="99">
        <v>0.1</v>
      </c>
      <c r="M53" s="99">
        <v>0.1</v>
      </c>
      <c r="N53" s="99">
        <v>0.1</v>
      </c>
      <c r="O53" s="99">
        <v>0.1</v>
      </c>
      <c r="P53" s="87"/>
      <c r="Q53" s="87"/>
      <c r="R53" s="87"/>
      <c r="S53" s="94">
        <f t="shared" ref="S53:S60" si="7">SUM(D53:R53)</f>
        <v>0.99999999999999989</v>
      </c>
    </row>
    <row r="54" spans="1:19" x14ac:dyDescent="0.75">
      <c r="A54" s="35"/>
      <c r="B54" s="65" t="str">
        <f>'Expenses w MYP'!C9</f>
        <v>1105</v>
      </c>
      <c r="C54" s="65" t="str">
        <f>'Expenses w MYP'!D9</f>
        <v>Teachers' Stipends / Bonus</v>
      </c>
      <c r="D54" s="87"/>
      <c r="E54" s="87"/>
      <c r="F54" s="87"/>
      <c r="G54" s="87"/>
      <c r="H54" s="87"/>
      <c r="I54" s="87"/>
      <c r="J54" s="87"/>
      <c r="K54" s="87"/>
      <c r="L54" s="87"/>
      <c r="M54" s="87"/>
      <c r="N54" s="87"/>
      <c r="O54" s="87">
        <v>1</v>
      </c>
      <c r="P54" s="87"/>
      <c r="Q54" s="87"/>
      <c r="R54" s="87"/>
      <c r="S54" s="94">
        <f t="shared" si="7"/>
        <v>1</v>
      </c>
    </row>
    <row r="55" spans="1:19" x14ac:dyDescent="0.75">
      <c r="A55" s="35"/>
      <c r="B55" s="65" t="str">
        <f>'Expenses w MYP'!C10</f>
        <v>1120</v>
      </c>
      <c r="C55" s="65" t="str">
        <f>'Expenses w MYP'!D10</f>
        <v>Substitute Expense</v>
      </c>
      <c r="D55" s="87"/>
      <c r="E55" s="87"/>
      <c r="F55" s="99">
        <v>0.1</v>
      </c>
      <c r="G55" s="99">
        <v>0.1</v>
      </c>
      <c r="H55" s="99">
        <v>0.1</v>
      </c>
      <c r="I55" s="99">
        <v>0.1</v>
      </c>
      <c r="J55" s="99">
        <v>0.1</v>
      </c>
      <c r="K55" s="99">
        <v>0.1</v>
      </c>
      <c r="L55" s="99">
        <v>0.1</v>
      </c>
      <c r="M55" s="99">
        <v>0.1</v>
      </c>
      <c r="N55" s="99">
        <v>0.1</v>
      </c>
      <c r="O55" s="99">
        <v>0.1</v>
      </c>
      <c r="P55" s="87"/>
      <c r="Q55" s="87"/>
      <c r="R55" s="87"/>
      <c r="S55" s="94">
        <f t="shared" si="7"/>
        <v>0.99999999999999989</v>
      </c>
    </row>
    <row r="56" spans="1:19" x14ac:dyDescent="0.75">
      <c r="A56" s="35"/>
      <c r="B56" s="65" t="str">
        <f>'Expenses w MYP'!C11</f>
        <v>1200</v>
      </c>
      <c r="C56" s="65" t="str">
        <f>'Expenses w MYP'!D11</f>
        <v>Certificated Pupil Support Salaries</v>
      </c>
      <c r="D56" s="87"/>
      <c r="E56" s="87"/>
      <c r="F56" s="99">
        <v>0.1</v>
      </c>
      <c r="G56" s="99">
        <v>0.1</v>
      </c>
      <c r="H56" s="99">
        <v>0.1</v>
      </c>
      <c r="I56" s="99">
        <v>0.1</v>
      </c>
      <c r="J56" s="99">
        <v>0.1</v>
      </c>
      <c r="K56" s="99">
        <v>0.1</v>
      </c>
      <c r="L56" s="99">
        <v>0.1</v>
      </c>
      <c r="M56" s="99">
        <v>0.1</v>
      </c>
      <c r="N56" s="99">
        <v>0.1</v>
      </c>
      <c r="O56" s="99">
        <v>0.1</v>
      </c>
      <c r="P56" s="87"/>
      <c r="Q56" s="87"/>
      <c r="R56" s="87"/>
      <c r="S56" s="94">
        <f t="shared" si="7"/>
        <v>0.99999999999999989</v>
      </c>
    </row>
    <row r="57" spans="1:19" x14ac:dyDescent="0.75">
      <c r="A57" s="35"/>
      <c r="B57" s="65" t="str">
        <f>'Expenses w MYP'!C12</f>
        <v>1300</v>
      </c>
      <c r="C57" s="65" t="str">
        <f>'Expenses w MYP'!D12</f>
        <v>Certificated Supervisor and Administrator Salaries</v>
      </c>
      <c r="D57" s="103">
        <v>8.3000000000000004E-2</v>
      </c>
      <c r="E57" s="103">
        <v>8.3000000000000004E-2</v>
      </c>
      <c r="F57" s="103">
        <v>8.3000000000000004E-2</v>
      </c>
      <c r="G57" s="103">
        <v>8.3000000000000004E-2</v>
      </c>
      <c r="H57" s="103">
        <v>8.3000000000000004E-2</v>
      </c>
      <c r="I57" s="103">
        <v>8.3000000000000004E-2</v>
      </c>
      <c r="J57" s="103">
        <v>8.3000000000000004E-2</v>
      </c>
      <c r="K57" s="103">
        <v>8.3000000000000004E-2</v>
      </c>
      <c r="L57" s="103">
        <v>8.4000000000000005E-2</v>
      </c>
      <c r="M57" s="103">
        <v>8.4000000000000005E-2</v>
      </c>
      <c r="N57" s="103">
        <v>8.4000000000000005E-2</v>
      </c>
      <c r="O57" s="103">
        <v>8.4000000000000005E-2</v>
      </c>
      <c r="P57" s="87"/>
      <c r="Q57" s="87"/>
      <c r="R57" s="87"/>
      <c r="S57" s="97">
        <f t="shared" si="7"/>
        <v>0.99999999999999989</v>
      </c>
    </row>
    <row r="58" spans="1:19" x14ac:dyDescent="0.75">
      <c r="A58" s="35"/>
      <c r="B58" s="65" t="str">
        <f>'Expenses w MYP'!C13</f>
        <v>1305</v>
      </c>
      <c r="C58" s="65" t="str">
        <f>'Expenses w MYP'!D13</f>
        <v>Certificated Sup. and Admin. Stipends / Bonus</v>
      </c>
      <c r="D58" s="87"/>
      <c r="E58" s="87"/>
      <c r="F58" s="87"/>
      <c r="G58" s="87"/>
      <c r="H58" s="87"/>
      <c r="I58" s="87"/>
      <c r="J58" s="87"/>
      <c r="K58" s="87"/>
      <c r="L58" s="87"/>
      <c r="M58" s="87"/>
      <c r="N58" s="87"/>
      <c r="O58" s="87">
        <v>1</v>
      </c>
      <c r="P58" s="87"/>
      <c r="Q58" s="87"/>
      <c r="R58" s="87"/>
      <c r="S58" s="94">
        <f t="shared" si="7"/>
        <v>1</v>
      </c>
    </row>
    <row r="59" spans="1:19" x14ac:dyDescent="0.75">
      <c r="A59" s="35"/>
      <c r="B59" s="65" t="str">
        <f>'Expenses w MYP'!C14</f>
        <v>1900</v>
      </c>
      <c r="C59" s="65" t="str">
        <f>'Expenses w MYP'!D14</f>
        <v>Other Certificated Salaries</v>
      </c>
      <c r="D59" s="103">
        <v>8.3000000000000004E-2</v>
      </c>
      <c r="E59" s="103">
        <v>8.3000000000000004E-2</v>
      </c>
      <c r="F59" s="103">
        <v>8.3000000000000004E-2</v>
      </c>
      <c r="G59" s="103">
        <v>8.3000000000000004E-2</v>
      </c>
      <c r="H59" s="103">
        <v>8.3000000000000004E-2</v>
      </c>
      <c r="I59" s="103">
        <v>8.3000000000000004E-2</v>
      </c>
      <c r="J59" s="103">
        <v>8.3000000000000004E-2</v>
      </c>
      <c r="K59" s="103">
        <v>8.3000000000000004E-2</v>
      </c>
      <c r="L59" s="103">
        <v>8.4000000000000005E-2</v>
      </c>
      <c r="M59" s="103">
        <v>8.4000000000000005E-2</v>
      </c>
      <c r="N59" s="103">
        <v>8.4000000000000005E-2</v>
      </c>
      <c r="O59" s="103">
        <v>8.4000000000000005E-2</v>
      </c>
      <c r="P59" s="87"/>
      <c r="Q59" s="87"/>
      <c r="R59" s="87"/>
      <c r="S59" s="97">
        <f t="shared" si="7"/>
        <v>0.99999999999999989</v>
      </c>
    </row>
    <row r="60" spans="1:19" x14ac:dyDescent="0.75">
      <c r="A60" s="35"/>
      <c r="B60" s="65" t="str">
        <f>'Expenses w MYP'!C15</f>
        <v>1910</v>
      </c>
      <c r="C60" s="65" t="str">
        <f>'Expenses w MYP'!D15</f>
        <v>Other Certificated Overtime</v>
      </c>
      <c r="D60" s="87"/>
      <c r="E60" s="87"/>
      <c r="F60" s="99">
        <v>0.1</v>
      </c>
      <c r="G60" s="99">
        <v>0.1</v>
      </c>
      <c r="H60" s="99">
        <v>0.1</v>
      </c>
      <c r="I60" s="99">
        <v>0.1</v>
      </c>
      <c r="J60" s="99">
        <v>0.1</v>
      </c>
      <c r="K60" s="99">
        <v>0.1</v>
      </c>
      <c r="L60" s="99">
        <v>0.1</v>
      </c>
      <c r="M60" s="99">
        <v>0.1</v>
      </c>
      <c r="N60" s="99">
        <v>0.1</v>
      </c>
      <c r="O60" s="99">
        <v>0.1</v>
      </c>
      <c r="P60" s="87"/>
      <c r="Q60" s="87"/>
      <c r="R60" s="87"/>
      <c r="S60" s="94">
        <f t="shared" si="7"/>
        <v>0.99999999999999989</v>
      </c>
    </row>
    <row r="61" spans="1:19" x14ac:dyDescent="0.75">
      <c r="A61" s="35"/>
      <c r="C61" s="2"/>
      <c r="D61" s="88"/>
      <c r="E61" s="88"/>
      <c r="F61" s="105"/>
      <c r="G61" s="105"/>
      <c r="H61" s="105"/>
      <c r="I61" s="105"/>
      <c r="J61" s="105"/>
      <c r="K61" s="105"/>
      <c r="L61" s="105"/>
      <c r="M61" s="105"/>
      <c r="N61" s="105"/>
      <c r="O61" s="105"/>
      <c r="P61" s="88"/>
      <c r="Q61" s="88"/>
      <c r="R61" s="88"/>
      <c r="S61" s="94"/>
    </row>
    <row r="62" spans="1:19" s="31" customFormat="1" x14ac:dyDescent="0.75">
      <c r="A62" s="35"/>
      <c r="B62" s="39"/>
      <c r="C62" s="2"/>
      <c r="D62" s="88"/>
      <c r="E62" s="88"/>
      <c r="F62" s="88"/>
      <c r="G62" s="88"/>
      <c r="H62" s="88"/>
      <c r="I62" s="88"/>
      <c r="J62" s="88"/>
      <c r="K62" s="88"/>
      <c r="L62" s="88"/>
      <c r="M62" s="88"/>
      <c r="N62" s="88"/>
      <c r="O62" s="88"/>
      <c r="P62" s="88"/>
      <c r="Q62" s="88"/>
      <c r="R62" s="88"/>
    </row>
    <row r="63" spans="1:19" s="31" customFormat="1" x14ac:dyDescent="0.75">
      <c r="B63" s="4" t="s">
        <v>732</v>
      </c>
      <c r="C63" s="2"/>
      <c r="D63" s="88"/>
      <c r="E63" s="88"/>
      <c r="F63" s="88"/>
      <c r="G63" s="88"/>
      <c r="H63" s="88"/>
      <c r="I63" s="88"/>
      <c r="J63" s="88"/>
      <c r="K63" s="88"/>
      <c r="L63" s="88"/>
      <c r="M63" s="88"/>
      <c r="N63" s="88"/>
      <c r="O63" s="88"/>
      <c r="P63" s="88"/>
      <c r="Q63" s="88"/>
      <c r="R63" s="88"/>
    </row>
    <row r="64" spans="1:19" s="31" customFormat="1" x14ac:dyDescent="0.75">
      <c r="A64" s="35"/>
      <c r="B64" s="65" t="str">
        <f>'Expenses w MYP'!C19</f>
        <v>2100</v>
      </c>
      <c r="C64" s="65" t="str">
        <f>'Expenses w MYP'!D19</f>
        <v>Instructional Aide Salaries</v>
      </c>
      <c r="D64" s="87"/>
      <c r="E64" s="87"/>
      <c r="F64" s="99">
        <v>0.1</v>
      </c>
      <c r="G64" s="99">
        <v>0.1</v>
      </c>
      <c r="H64" s="99">
        <v>0.1</v>
      </c>
      <c r="I64" s="99">
        <v>0.1</v>
      </c>
      <c r="J64" s="99">
        <v>0.1</v>
      </c>
      <c r="K64" s="99">
        <v>0.1</v>
      </c>
      <c r="L64" s="99">
        <v>0.1</v>
      </c>
      <c r="M64" s="99">
        <v>0.1</v>
      </c>
      <c r="N64" s="99">
        <v>0.1</v>
      </c>
      <c r="O64" s="99">
        <v>0.1</v>
      </c>
      <c r="P64" s="87"/>
      <c r="Q64" s="87"/>
      <c r="R64" s="87"/>
      <c r="S64" s="94">
        <f t="shared" ref="S64:S73" si="8">SUM(D64:R64)</f>
        <v>0.99999999999999989</v>
      </c>
    </row>
    <row r="65" spans="1:19" s="31" customFormat="1" x14ac:dyDescent="0.75">
      <c r="A65" s="35"/>
      <c r="B65" s="65" t="str">
        <f>'Expenses w MYP'!C20</f>
        <v>2110</v>
      </c>
      <c r="C65" s="65" t="str">
        <f>'Expenses w MYP'!D20</f>
        <v>Instructional Aide Overtime</v>
      </c>
      <c r="D65" s="87"/>
      <c r="E65" s="87"/>
      <c r="F65" s="99">
        <v>0.1</v>
      </c>
      <c r="G65" s="99">
        <v>0.1</v>
      </c>
      <c r="H65" s="99">
        <v>0.1</v>
      </c>
      <c r="I65" s="99">
        <v>0.1</v>
      </c>
      <c r="J65" s="99">
        <v>0.1</v>
      </c>
      <c r="K65" s="99">
        <v>0.1</v>
      </c>
      <c r="L65" s="99">
        <v>0.1</v>
      </c>
      <c r="M65" s="99">
        <v>0.1</v>
      </c>
      <c r="N65" s="99">
        <v>0.1</v>
      </c>
      <c r="O65" s="99">
        <v>0.1</v>
      </c>
      <c r="P65" s="87"/>
      <c r="Q65" s="87"/>
      <c r="R65" s="87"/>
      <c r="S65" s="94">
        <f t="shared" si="8"/>
        <v>0.99999999999999989</v>
      </c>
    </row>
    <row r="66" spans="1:19" s="31" customFormat="1" x14ac:dyDescent="0.75">
      <c r="A66" s="35"/>
      <c r="B66" s="65" t="str">
        <f>'Expenses w MYP'!C21</f>
        <v>2200</v>
      </c>
      <c r="C66" s="65" t="str">
        <f>'Expenses w MYP'!D21</f>
        <v>Classified Support Salaries (Maintenance / Food)</v>
      </c>
      <c r="D66" s="87"/>
      <c r="E66" s="87"/>
      <c r="F66" s="99">
        <v>0.1</v>
      </c>
      <c r="G66" s="99">
        <v>0.1</v>
      </c>
      <c r="H66" s="99">
        <v>0.1</v>
      </c>
      <c r="I66" s="99">
        <v>0.1</v>
      </c>
      <c r="J66" s="99">
        <v>0.1</v>
      </c>
      <c r="K66" s="99">
        <v>0.1</v>
      </c>
      <c r="L66" s="99">
        <v>0.1</v>
      </c>
      <c r="M66" s="99">
        <v>0.1</v>
      </c>
      <c r="N66" s="99">
        <v>0.1</v>
      </c>
      <c r="O66" s="99">
        <v>0.1</v>
      </c>
      <c r="P66" s="87"/>
      <c r="Q66" s="87"/>
      <c r="R66" s="87"/>
      <c r="S66" s="94">
        <f t="shared" si="8"/>
        <v>0.99999999999999989</v>
      </c>
    </row>
    <row r="67" spans="1:19" s="31" customFormat="1" x14ac:dyDescent="0.75">
      <c r="A67" s="35"/>
      <c r="B67" s="65" t="str">
        <f>'Expenses w MYP'!C22</f>
        <v>2210</v>
      </c>
      <c r="C67" s="65" t="str">
        <f>'Expenses w MYP'!D22</f>
        <v>Classified Support Overtime</v>
      </c>
      <c r="D67" s="87"/>
      <c r="E67" s="87"/>
      <c r="F67" s="99">
        <v>0.1</v>
      </c>
      <c r="G67" s="99">
        <v>0.1</v>
      </c>
      <c r="H67" s="99">
        <v>0.1</v>
      </c>
      <c r="I67" s="99">
        <v>0.1</v>
      </c>
      <c r="J67" s="99">
        <v>0.1</v>
      </c>
      <c r="K67" s="99">
        <v>0.1</v>
      </c>
      <c r="L67" s="99">
        <v>0.1</v>
      </c>
      <c r="M67" s="99">
        <v>0.1</v>
      </c>
      <c r="N67" s="99">
        <v>0.1</v>
      </c>
      <c r="O67" s="99">
        <v>0.1</v>
      </c>
      <c r="P67" s="87"/>
      <c r="Q67" s="87"/>
      <c r="R67" s="87"/>
      <c r="S67" s="94">
        <f t="shared" si="8"/>
        <v>0.99999999999999989</v>
      </c>
    </row>
    <row r="68" spans="1:19" s="31" customFormat="1" x14ac:dyDescent="0.75">
      <c r="A68" s="35"/>
      <c r="B68" s="65" t="str">
        <f>'Expenses w MYP'!C23</f>
        <v>2300</v>
      </c>
      <c r="C68" s="65" t="str">
        <f>'Expenses w MYP'!D23</f>
        <v>Classified Supervisor and Administrator Salaries</v>
      </c>
      <c r="D68" s="103">
        <v>8.3000000000000004E-2</v>
      </c>
      <c r="E68" s="103">
        <v>8.3000000000000004E-2</v>
      </c>
      <c r="F68" s="103">
        <v>8.3000000000000004E-2</v>
      </c>
      <c r="G68" s="103">
        <v>8.3000000000000004E-2</v>
      </c>
      <c r="H68" s="103">
        <v>8.3000000000000004E-2</v>
      </c>
      <c r="I68" s="103">
        <v>8.3000000000000004E-2</v>
      </c>
      <c r="J68" s="103">
        <v>8.3000000000000004E-2</v>
      </c>
      <c r="K68" s="103">
        <v>8.3000000000000004E-2</v>
      </c>
      <c r="L68" s="103">
        <v>8.4000000000000005E-2</v>
      </c>
      <c r="M68" s="103">
        <v>8.4000000000000005E-2</v>
      </c>
      <c r="N68" s="103">
        <v>8.4000000000000005E-2</v>
      </c>
      <c r="O68" s="103">
        <v>8.4000000000000005E-2</v>
      </c>
      <c r="P68" s="87"/>
      <c r="Q68" s="87"/>
      <c r="R68" s="87"/>
      <c r="S68" s="97">
        <f t="shared" si="8"/>
        <v>0.99999999999999989</v>
      </c>
    </row>
    <row r="69" spans="1:19" s="31" customFormat="1" x14ac:dyDescent="0.75">
      <c r="A69" s="35"/>
      <c r="B69" s="65" t="str">
        <f>'Expenses w MYP'!C24</f>
        <v>2400</v>
      </c>
      <c r="C69" s="65" t="str">
        <f>'Expenses w MYP'!D24</f>
        <v>Clerical, Technical, and Office Staff Salaries</v>
      </c>
      <c r="D69" s="103">
        <v>8.3000000000000004E-2</v>
      </c>
      <c r="E69" s="103">
        <v>8.3000000000000004E-2</v>
      </c>
      <c r="F69" s="103">
        <v>8.3000000000000004E-2</v>
      </c>
      <c r="G69" s="103">
        <v>8.3000000000000004E-2</v>
      </c>
      <c r="H69" s="103">
        <v>8.3000000000000004E-2</v>
      </c>
      <c r="I69" s="103">
        <v>8.3000000000000004E-2</v>
      </c>
      <c r="J69" s="103">
        <v>8.3000000000000004E-2</v>
      </c>
      <c r="K69" s="103">
        <v>8.3000000000000004E-2</v>
      </c>
      <c r="L69" s="103">
        <v>8.4000000000000005E-2</v>
      </c>
      <c r="M69" s="103">
        <v>8.4000000000000005E-2</v>
      </c>
      <c r="N69" s="103">
        <v>8.4000000000000005E-2</v>
      </c>
      <c r="O69" s="103">
        <v>8.4000000000000005E-2</v>
      </c>
      <c r="P69" s="87"/>
      <c r="Q69" s="87"/>
      <c r="R69" s="87"/>
      <c r="S69" s="97">
        <f t="shared" si="8"/>
        <v>0.99999999999999989</v>
      </c>
    </row>
    <row r="70" spans="1:19" s="31" customFormat="1" x14ac:dyDescent="0.75">
      <c r="A70" s="35"/>
      <c r="B70" s="65" t="str">
        <f>'Expenses w MYP'!C25</f>
        <v>2410</v>
      </c>
      <c r="C70" s="65" t="str">
        <f>'Expenses w MYP'!D25</f>
        <v>Clerical, Technical, and Office Staff Overtime</v>
      </c>
      <c r="D70" s="87"/>
      <c r="E70" s="87"/>
      <c r="F70" s="99">
        <v>0.1</v>
      </c>
      <c r="G70" s="99">
        <v>0.1</v>
      </c>
      <c r="H70" s="99">
        <v>0.1</v>
      </c>
      <c r="I70" s="99">
        <v>0.1</v>
      </c>
      <c r="J70" s="99">
        <v>0.1</v>
      </c>
      <c r="K70" s="99">
        <v>0.1</v>
      </c>
      <c r="L70" s="99">
        <v>0.1</v>
      </c>
      <c r="M70" s="99">
        <v>0.1</v>
      </c>
      <c r="N70" s="99">
        <v>0.1</v>
      </c>
      <c r="O70" s="99">
        <v>0.1</v>
      </c>
      <c r="P70" s="87"/>
      <c r="Q70" s="87"/>
      <c r="R70" s="87"/>
      <c r="S70" s="94">
        <f t="shared" si="8"/>
        <v>0.99999999999999989</v>
      </c>
    </row>
    <row r="71" spans="1:19" s="31" customFormat="1" x14ac:dyDescent="0.75">
      <c r="A71" s="35"/>
      <c r="B71" s="65" t="str">
        <f>'Expenses w MYP'!C26</f>
        <v>2900</v>
      </c>
      <c r="C71" s="65" t="str">
        <f>'Expenses w MYP'!D26</f>
        <v>Other Classified Salaries</v>
      </c>
      <c r="D71" s="87"/>
      <c r="E71" s="87"/>
      <c r="F71" s="99">
        <v>0.1</v>
      </c>
      <c r="G71" s="99">
        <v>0.1</v>
      </c>
      <c r="H71" s="99">
        <v>0.1</v>
      </c>
      <c r="I71" s="99">
        <v>0.1</v>
      </c>
      <c r="J71" s="99">
        <v>0.1</v>
      </c>
      <c r="K71" s="99">
        <v>0.1</v>
      </c>
      <c r="L71" s="99">
        <v>0.1</v>
      </c>
      <c r="M71" s="99">
        <v>0.1</v>
      </c>
      <c r="N71" s="99">
        <v>0.1</v>
      </c>
      <c r="O71" s="99">
        <v>0.1</v>
      </c>
      <c r="P71" s="87"/>
      <c r="Q71" s="87"/>
      <c r="R71" s="87"/>
      <c r="S71" s="94">
        <f t="shared" si="8"/>
        <v>0.99999999999999989</v>
      </c>
    </row>
    <row r="72" spans="1:19" s="31" customFormat="1" x14ac:dyDescent="0.75">
      <c r="A72" s="35"/>
      <c r="B72" s="65" t="str">
        <f>'Expenses w MYP'!C27</f>
        <v>2905</v>
      </c>
      <c r="C72" s="65" t="str">
        <f>'Expenses w MYP'!D27</f>
        <v>Other Stipends</v>
      </c>
      <c r="D72" s="87"/>
      <c r="E72" s="87"/>
      <c r="F72" s="99">
        <v>0.1</v>
      </c>
      <c r="G72" s="99">
        <v>0.1</v>
      </c>
      <c r="H72" s="99">
        <v>0.1</v>
      </c>
      <c r="I72" s="99">
        <v>0.1</v>
      </c>
      <c r="J72" s="99">
        <v>0.1</v>
      </c>
      <c r="K72" s="99">
        <v>0.1</v>
      </c>
      <c r="L72" s="99">
        <v>0.1</v>
      </c>
      <c r="M72" s="99">
        <v>0.1</v>
      </c>
      <c r="N72" s="99">
        <v>0.1</v>
      </c>
      <c r="O72" s="99">
        <v>0.1</v>
      </c>
      <c r="P72" s="87"/>
      <c r="Q72" s="87"/>
      <c r="R72" s="87"/>
      <c r="S72" s="94">
        <f t="shared" si="8"/>
        <v>0.99999999999999989</v>
      </c>
    </row>
    <row r="73" spans="1:19" s="31" customFormat="1" x14ac:dyDescent="0.75">
      <c r="A73" s="35"/>
      <c r="B73" s="65" t="str">
        <f>'Expenses w MYP'!C28</f>
        <v>2910</v>
      </c>
      <c r="C73" s="65" t="str">
        <f>'Expenses w MYP'!D28</f>
        <v>Other Classified Overtime</v>
      </c>
      <c r="D73" s="87"/>
      <c r="E73" s="87"/>
      <c r="F73" s="99">
        <v>0.1</v>
      </c>
      <c r="G73" s="99">
        <v>0.1</v>
      </c>
      <c r="H73" s="99">
        <v>0.1</v>
      </c>
      <c r="I73" s="99">
        <v>0.1</v>
      </c>
      <c r="J73" s="99">
        <v>0.1</v>
      </c>
      <c r="K73" s="99">
        <v>0.1</v>
      </c>
      <c r="L73" s="99">
        <v>0.1</v>
      </c>
      <c r="M73" s="99">
        <v>0.1</v>
      </c>
      <c r="N73" s="99">
        <v>0.1</v>
      </c>
      <c r="O73" s="99">
        <v>0.1</v>
      </c>
      <c r="P73" s="87"/>
      <c r="Q73" s="87"/>
      <c r="R73" s="87"/>
      <c r="S73" s="94">
        <f t="shared" si="8"/>
        <v>0.99999999999999989</v>
      </c>
    </row>
    <row r="74" spans="1:19" s="31" customFormat="1" x14ac:dyDescent="0.75">
      <c r="A74" s="35"/>
      <c r="B74" s="39"/>
      <c r="C74" s="2"/>
      <c r="D74" s="88"/>
      <c r="E74" s="88"/>
      <c r="F74" s="105"/>
      <c r="G74" s="105"/>
      <c r="H74" s="105"/>
      <c r="I74" s="105"/>
      <c r="J74" s="105"/>
      <c r="K74" s="105"/>
      <c r="L74" s="105"/>
      <c r="M74" s="105"/>
      <c r="N74" s="105"/>
      <c r="O74" s="105"/>
      <c r="P74" s="88"/>
      <c r="Q74" s="88"/>
      <c r="R74" s="88"/>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87">
        <v>0.02</v>
      </c>
      <c r="E77" s="87">
        <v>0.02</v>
      </c>
      <c r="F77" s="99">
        <v>0.1</v>
      </c>
      <c r="G77" s="99">
        <v>0.1</v>
      </c>
      <c r="H77" s="99">
        <v>0.1</v>
      </c>
      <c r="I77" s="99">
        <v>0.1</v>
      </c>
      <c r="J77" s="99">
        <v>0.1</v>
      </c>
      <c r="K77" s="99">
        <v>0.1</v>
      </c>
      <c r="L77" s="99">
        <v>0.1</v>
      </c>
      <c r="M77" s="99">
        <v>0.1</v>
      </c>
      <c r="N77" s="99">
        <v>0.1</v>
      </c>
      <c r="O77" s="99">
        <v>0.06</v>
      </c>
      <c r="P77" s="87"/>
      <c r="Q77" s="87"/>
      <c r="R77" s="87"/>
      <c r="S77" s="94">
        <f t="shared" ref="S77:S85" si="9">SUM(D77:R77)</f>
        <v>1</v>
      </c>
    </row>
    <row r="78" spans="1:19" s="31" customFormat="1" x14ac:dyDescent="0.75">
      <c r="A78" s="35"/>
      <c r="B78" s="65" t="str">
        <f>'Expenses w MYP'!C45</f>
        <v>3602</v>
      </c>
      <c r="C78" s="65" t="str">
        <f>'Expenses w MYP'!D45</f>
        <v>Worker's Comp - Classified</v>
      </c>
      <c r="D78" s="87">
        <v>0.02</v>
      </c>
      <c r="E78" s="87">
        <v>0.02</v>
      </c>
      <c r="F78" s="99">
        <v>0.1</v>
      </c>
      <c r="G78" s="99">
        <v>0.1</v>
      </c>
      <c r="H78" s="99">
        <v>0.1</v>
      </c>
      <c r="I78" s="99">
        <v>0.1</v>
      </c>
      <c r="J78" s="99">
        <v>0.1</v>
      </c>
      <c r="K78" s="99">
        <v>0.1</v>
      </c>
      <c r="L78" s="99">
        <v>0.1</v>
      </c>
      <c r="M78" s="99">
        <v>0.1</v>
      </c>
      <c r="N78" s="99">
        <v>0.1</v>
      </c>
      <c r="O78" s="99">
        <v>0.06</v>
      </c>
      <c r="P78" s="87"/>
      <c r="Q78" s="87"/>
      <c r="R78" s="87"/>
      <c r="S78" s="97">
        <f t="shared" si="9"/>
        <v>1</v>
      </c>
    </row>
    <row r="79" spans="1:19" s="31" customFormat="1" x14ac:dyDescent="0.75">
      <c r="A79" s="35"/>
      <c r="B79" s="65" t="str">
        <f>'Expenses w MYP'!C46</f>
        <v>3603</v>
      </c>
      <c r="C79" s="65" t="str">
        <f>'Expenses w MYP'!D46</f>
        <v>Worker Compensation Insurance</v>
      </c>
      <c r="D79" s="87">
        <v>0.02</v>
      </c>
      <c r="E79" s="87">
        <v>0.02</v>
      </c>
      <c r="F79" s="99">
        <v>0.1</v>
      </c>
      <c r="G79" s="99">
        <v>0.1</v>
      </c>
      <c r="H79" s="99">
        <v>0.1</v>
      </c>
      <c r="I79" s="99">
        <v>0.1</v>
      </c>
      <c r="J79" s="99">
        <v>0.1</v>
      </c>
      <c r="K79" s="99">
        <v>0.1</v>
      </c>
      <c r="L79" s="99">
        <v>0.1</v>
      </c>
      <c r="M79" s="99">
        <v>0.1</v>
      </c>
      <c r="N79" s="99">
        <v>0.1</v>
      </c>
      <c r="O79" s="99">
        <v>0.06</v>
      </c>
      <c r="P79" s="87"/>
      <c r="Q79" s="87"/>
      <c r="R79" s="87"/>
      <c r="S79" s="97">
        <f t="shared" si="9"/>
        <v>1</v>
      </c>
    </row>
    <row r="80" spans="1:19" s="31" customFormat="1" x14ac:dyDescent="0.75">
      <c r="A80" s="35"/>
      <c r="B80" s="65" t="str">
        <f>'Expenses w MYP'!C47</f>
        <v>3703</v>
      </c>
      <c r="C80" s="65">
        <f>'Expenses w MYP'!D47</f>
        <v>0</v>
      </c>
      <c r="D80" s="87">
        <v>0.02</v>
      </c>
      <c r="E80" s="87">
        <v>0.02</v>
      </c>
      <c r="F80" s="99">
        <v>0.1</v>
      </c>
      <c r="G80" s="99">
        <v>0.1</v>
      </c>
      <c r="H80" s="99">
        <v>0.1</v>
      </c>
      <c r="I80" s="99">
        <v>0.1</v>
      </c>
      <c r="J80" s="99">
        <v>0.1</v>
      </c>
      <c r="K80" s="99">
        <v>0.1</v>
      </c>
      <c r="L80" s="99">
        <v>0.1</v>
      </c>
      <c r="M80" s="99">
        <v>0.1</v>
      </c>
      <c r="N80" s="99">
        <v>0.1</v>
      </c>
      <c r="O80" s="99">
        <v>0.06</v>
      </c>
      <c r="P80" s="87"/>
      <c r="Q80" s="87"/>
      <c r="R80" s="87"/>
      <c r="S80" s="97">
        <f t="shared" si="9"/>
        <v>1</v>
      </c>
    </row>
    <row r="81" spans="1:19" s="31" customFormat="1" x14ac:dyDescent="0.75">
      <c r="A81" s="35"/>
      <c r="B81" s="65" t="str">
        <f>'Expenses w MYP'!C48</f>
        <v>3901</v>
      </c>
      <c r="C81" s="65" t="str">
        <f>'Expenses w MYP'!D48</f>
        <v>Other Employee Benefits - Certificated</v>
      </c>
      <c r="D81" s="87">
        <v>0.02</v>
      </c>
      <c r="E81" s="87">
        <v>0.02</v>
      </c>
      <c r="F81" s="99">
        <v>0.1</v>
      </c>
      <c r="G81" s="99">
        <v>0.1</v>
      </c>
      <c r="H81" s="99">
        <v>0.1</v>
      </c>
      <c r="I81" s="99">
        <v>0.1</v>
      </c>
      <c r="J81" s="99">
        <v>0.1</v>
      </c>
      <c r="K81" s="99">
        <v>0.1</v>
      </c>
      <c r="L81" s="99">
        <v>0.1</v>
      </c>
      <c r="M81" s="99">
        <v>0.1</v>
      </c>
      <c r="N81" s="99">
        <v>0.1</v>
      </c>
      <c r="O81" s="99">
        <v>0.06</v>
      </c>
      <c r="P81" s="87"/>
      <c r="Q81" s="87"/>
      <c r="R81" s="87"/>
      <c r="S81" s="97">
        <f t="shared" si="9"/>
        <v>1</v>
      </c>
    </row>
    <row r="82" spans="1:19" s="31" customFormat="1" x14ac:dyDescent="0.75">
      <c r="A82" s="35"/>
      <c r="B82" s="65" t="str">
        <f>'Expenses w MYP'!C49</f>
        <v>3902</v>
      </c>
      <c r="C82" s="65" t="str">
        <f>'Expenses w MYP'!D49</f>
        <v>Other Employee Benefits - Classified</v>
      </c>
      <c r="D82" s="87">
        <v>0.02</v>
      </c>
      <c r="E82" s="87">
        <v>0.02</v>
      </c>
      <c r="F82" s="99">
        <v>0.1</v>
      </c>
      <c r="G82" s="99">
        <v>0.1</v>
      </c>
      <c r="H82" s="99">
        <v>0.1</v>
      </c>
      <c r="I82" s="99">
        <v>0.1</v>
      </c>
      <c r="J82" s="99">
        <v>0.1</v>
      </c>
      <c r="K82" s="99">
        <v>0.1</v>
      </c>
      <c r="L82" s="99">
        <v>0.1</v>
      </c>
      <c r="M82" s="99">
        <v>0.1</v>
      </c>
      <c r="N82" s="99">
        <v>0.1</v>
      </c>
      <c r="O82" s="99">
        <v>0.06</v>
      </c>
      <c r="P82" s="87"/>
      <c r="Q82" s="87"/>
      <c r="R82" s="87"/>
      <c r="S82" s="97">
        <f t="shared" si="9"/>
        <v>1</v>
      </c>
    </row>
    <row r="83" spans="1:19" s="31" customFormat="1" x14ac:dyDescent="0.75">
      <c r="A83" s="35"/>
      <c r="B83" s="65" t="str">
        <f>'Expenses w MYP'!C50</f>
        <v>3903</v>
      </c>
      <c r="C83" s="65" t="str">
        <f>'Expenses w MYP'!D50</f>
        <v>Other Post Employment Benefits</v>
      </c>
      <c r="D83" s="87">
        <v>0.02</v>
      </c>
      <c r="E83" s="87">
        <v>0.02</v>
      </c>
      <c r="F83" s="99">
        <v>0.1</v>
      </c>
      <c r="G83" s="99">
        <v>0.1</v>
      </c>
      <c r="H83" s="99">
        <v>0.1</v>
      </c>
      <c r="I83" s="99">
        <v>0.1</v>
      </c>
      <c r="J83" s="99">
        <v>0.1</v>
      </c>
      <c r="K83" s="99">
        <v>0.1</v>
      </c>
      <c r="L83" s="99">
        <v>0.1</v>
      </c>
      <c r="M83" s="99">
        <v>0.1</v>
      </c>
      <c r="N83" s="99">
        <v>0.1</v>
      </c>
      <c r="O83" s="99">
        <v>0.06</v>
      </c>
      <c r="P83" s="87"/>
      <c r="Q83" s="87"/>
      <c r="R83" s="87"/>
      <c r="S83" s="97">
        <f t="shared" si="9"/>
        <v>1</v>
      </c>
    </row>
    <row r="84" spans="1:19" s="31" customFormat="1" x14ac:dyDescent="0.75">
      <c r="A84" s="35"/>
      <c r="B84" s="65">
        <f>'Expenses w MYP'!C51</f>
        <v>0</v>
      </c>
      <c r="C84" s="65">
        <f>'Expenses w MYP'!D51</f>
        <v>0</v>
      </c>
      <c r="D84" s="87">
        <v>0.02</v>
      </c>
      <c r="E84" s="87">
        <v>0.02</v>
      </c>
      <c r="F84" s="99">
        <v>0.1</v>
      </c>
      <c r="G84" s="99">
        <v>0.1</v>
      </c>
      <c r="H84" s="99">
        <v>0.1</v>
      </c>
      <c r="I84" s="99">
        <v>0.1</v>
      </c>
      <c r="J84" s="99">
        <v>0.1</v>
      </c>
      <c r="K84" s="99">
        <v>0.1</v>
      </c>
      <c r="L84" s="99">
        <v>0.1</v>
      </c>
      <c r="M84" s="99">
        <v>0.1</v>
      </c>
      <c r="N84" s="99">
        <v>0.1</v>
      </c>
      <c r="O84" s="99">
        <v>0.06</v>
      </c>
      <c r="P84" s="87"/>
      <c r="Q84" s="87"/>
      <c r="R84" s="87"/>
      <c r="S84" s="97">
        <f t="shared" si="9"/>
        <v>1</v>
      </c>
    </row>
    <row r="85" spans="1:19" s="31" customFormat="1" x14ac:dyDescent="0.75">
      <c r="A85" s="35"/>
      <c r="B85" s="65">
        <f>'Expenses w MYP'!C52</f>
        <v>0</v>
      </c>
      <c r="C85" s="65">
        <f>'Expenses w MYP'!D52</f>
        <v>0</v>
      </c>
      <c r="D85" s="87">
        <v>0.02</v>
      </c>
      <c r="E85" s="87">
        <v>0.02</v>
      </c>
      <c r="F85" s="99">
        <v>0.1</v>
      </c>
      <c r="G85" s="99">
        <v>0.1</v>
      </c>
      <c r="H85" s="99">
        <v>0.1</v>
      </c>
      <c r="I85" s="99">
        <v>0.1</v>
      </c>
      <c r="J85" s="99">
        <v>0.1</v>
      </c>
      <c r="K85" s="99">
        <v>0.1</v>
      </c>
      <c r="L85" s="99">
        <v>0.1</v>
      </c>
      <c r="M85" s="99">
        <v>0.1</v>
      </c>
      <c r="N85" s="99">
        <v>0.1</v>
      </c>
      <c r="O85" s="99">
        <v>0.06</v>
      </c>
      <c r="P85" s="87"/>
      <c r="Q85" s="87"/>
      <c r="R85" s="87"/>
      <c r="S85" s="97">
        <f t="shared" si="9"/>
        <v>1</v>
      </c>
    </row>
    <row r="86" spans="1:19" s="31" customFormat="1" x14ac:dyDescent="0.75">
      <c r="A86" s="35"/>
      <c r="B86" s="5"/>
      <c r="C86" s="5"/>
      <c r="D86" s="108"/>
      <c r="E86" s="108"/>
      <c r="F86" s="108"/>
      <c r="G86" s="108"/>
      <c r="H86" s="108"/>
      <c r="I86" s="108"/>
      <c r="J86" s="108"/>
      <c r="K86" s="108"/>
      <c r="L86" s="108"/>
      <c r="M86" s="108"/>
      <c r="N86" s="108"/>
      <c r="O86" s="108"/>
      <c r="P86" s="88"/>
      <c r="Q86" s="88"/>
      <c r="R86" s="88"/>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64" t="str">
        <f>'Expenses w MYP'!C58</f>
        <v>4100</v>
      </c>
      <c r="C89" s="64" t="str">
        <f>'Expenses w MYP'!D58</f>
        <v>Approved Textbooks and Core Curricula Materials</v>
      </c>
      <c r="D89" s="87"/>
      <c r="E89" s="87"/>
      <c r="F89" s="87">
        <v>0.6</v>
      </c>
      <c r="G89" s="87"/>
      <c r="H89" s="87"/>
      <c r="I89" s="90"/>
      <c r="J89" s="90">
        <v>0.4</v>
      </c>
      <c r="K89" s="90"/>
      <c r="L89" s="90"/>
      <c r="M89" s="90"/>
      <c r="N89" s="90"/>
      <c r="O89" s="90"/>
      <c r="P89" s="90"/>
      <c r="Q89" s="90"/>
      <c r="R89" s="90"/>
      <c r="S89" s="94">
        <f t="shared" ref="S89:S94" si="10">SUM(D89:R89)</f>
        <v>1</v>
      </c>
    </row>
    <row r="90" spans="1:19" x14ac:dyDescent="0.75">
      <c r="A90" s="35"/>
      <c r="B90" s="64" t="str">
        <f>'Expenses w MYP'!C61</f>
        <v>4200</v>
      </c>
      <c r="C90" s="64" t="str">
        <f>'Expenses w MYP'!D61</f>
        <v>Books and Other Reference Materials</v>
      </c>
      <c r="D90" s="87"/>
      <c r="E90" s="87"/>
      <c r="F90" s="87">
        <v>0.3</v>
      </c>
      <c r="G90" s="87">
        <v>0.1</v>
      </c>
      <c r="H90" s="87">
        <v>0.1</v>
      </c>
      <c r="I90" s="87">
        <v>0.1</v>
      </c>
      <c r="J90" s="87">
        <v>0.1</v>
      </c>
      <c r="K90" s="87">
        <v>0.1</v>
      </c>
      <c r="L90" s="87">
        <v>0.1</v>
      </c>
      <c r="M90" s="87">
        <v>0.1</v>
      </c>
      <c r="N90" s="87"/>
      <c r="O90" s="90"/>
      <c r="P90" s="90"/>
      <c r="Q90" s="90"/>
      <c r="R90" s="90"/>
      <c r="S90" s="94">
        <f t="shared" si="10"/>
        <v>0.99999999999999989</v>
      </c>
    </row>
    <row r="91" spans="1:19" x14ac:dyDescent="0.75">
      <c r="A91" s="35"/>
      <c r="B91" s="64" t="str">
        <f>'Expenses w MYP'!C63</f>
        <v>4300</v>
      </c>
      <c r="C91" s="64" t="str">
        <f>'Expenses w MYP'!D63</f>
        <v>Materials and Supplies</v>
      </c>
      <c r="D91" s="87"/>
      <c r="E91" s="87"/>
      <c r="F91" s="87">
        <v>0.4</v>
      </c>
      <c r="G91" s="87">
        <v>0.3</v>
      </c>
      <c r="H91" s="87"/>
      <c r="I91" s="90"/>
      <c r="J91" s="90">
        <v>0.3</v>
      </c>
      <c r="K91" s="90"/>
      <c r="L91" s="90"/>
      <c r="M91" s="90"/>
      <c r="N91" s="90"/>
      <c r="O91" s="90"/>
      <c r="P91" s="90"/>
      <c r="Q91" s="90"/>
      <c r="R91" s="90"/>
      <c r="S91" s="94">
        <f t="shared" si="10"/>
        <v>1</v>
      </c>
    </row>
    <row r="92" spans="1:19" x14ac:dyDescent="0.75">
      <c r="A92" s="35"/>
      <c r="B92" s="64" t="str">
        <f>'Expenses w MYP'!C64</f>
        <v>4315</v>
      </c>
      <c r="C92" s="64" t="str">
        <f>'Expenses w MYP'!D64</f>
        <v>Classroom Materials and Supplies</v>
      </c>
      <c r="D92" s="87"/>
      <c r="E92" s="87"/>
      <c r="F92" s="87">
        <v>0.3</v>
      </c>
      <c r="G92" s="87">
        <v>0.1</v>
      </c>
      <c r="H92" s="87">
        <v>0.1</v>
      </c>
      <c r="I92" s="87">
        <v>0.1</v>
      </c>
      <c r="J92" s="87">
        <v>0.1</v>
      </c>
      <c r="K92" s="87">
        <v>0.1</v>
      </c>
      <c r="L92" s="87">
        <v>0.1</v>
      </c>
      <c r="M92" s="87">
        <v>0.1</v>
      </c>
      <c r="N92" s="90"/>
      <c r="O92" s="90"/>
      <c r="P92" s="90"/>
      <c r="Q92" s="90"/>
      <c r="R92" s="90"/>
      <c r="S92" s="94">
        <f t="shared" si="10"/>
        <v>0.99999999999999989</v>
      </c>
    </row>
    <row r="93" spans="1:19" x14ac:dyDescent="0.75">
      <c r="A93" s="35"/>
      <c r="B93" s="64" t="str">
        <f>'Expenses w MYP'!C65</f>
        <v>4381</v>
      </c>
      <c r="C93" s="64" t="str">
        <f>'Expenses w MYP'!D65</f>
        <v>Materials for Plant &amp; Equipment</v>
      </c>
      <c r="D93" s="103">
        <v>8.3000000000000004E-2</v>
      </c>
      <c r="E93" s="103">
        <v>8.3000000000000004E-2</v>
      </c>
      <c r="F93" s="103">
        <v>8.3000000000000004E-2</v>
      </c>
      <c r="G93" s="103">
        <v>8.3000000000000004E-2</v>
      </c>
      <c r="H93" s="103">
        <v>8.3000000000000004E-2</v>
      </c>
      <c r="I93" s="103">
        <v>8.3000000000000004E-2</v>
      </c>
      <c r="J93" s="103">
        <v>8.3000000000000004E-2</v>
      </c>
      <c r="K93" s="103">
        <v>8.3000000000000004E-2</v>
      </c>
      <c r="L93" s="103">
        <v>8.4000000000000005E-2</v>
      </c>
      <c r="M93" s="103">
        <v>8.4000000000000005E-2</v>
      </c>
      <c r="N93" s="103">
        <v>8.4000000000000005E-2</v>
      </c>
      <c r="O93" s="103">
        <v>8.4000000000000005E-2</v>
      </c>
      <c r="P93" s="87"/>
      <c r="Q93" s="87"/>
      <c r="R93" s="87"/>
      <c r="S93" s="97">
        <f t="shared" si="10"/>
        <v>0.99999999999999989</v>
      </c>
    </row>
    <row r="94" spans="1:19" x14ac:dyDescent="0.75">
      <c r="A94" s="35"/>
      <c r="B94" s="64" t="str">
        <f>'Expenses w MYP'!C66</f>
        <v>4400</v>
      </c>
      <c r="C94" s="64" t="str">
        <f>'Expenses w MYP'!D66</f>
        <v>Noncapitalized Equipment</v>
      </c>
      <c r="D94" s="87"/>
      <c r="E94" s="87"/>
      <c r="F94" s="87">
        <v>0.6</v>
      </c>
      <c r="G94" s="87"/>
      <c r="H94" s="87"/>
      <c r="I94" s="90"/>
      <c r="J94" s="90">
        <v>0.4</v>
      </c>
      <c r="K94" s="90"/>
      <c r="L94" s="90"/>
      <c r="M94" s="90"/>
      <c r="N94" s="90"/>
      <c r="O94" s="90"/>
      <c r="P94" s="90"/>
      <c r="Q94" s="90"/>
      <c r="R94" s="90"/>
      <c r="S94" s="94">
        <f t="shared" si="10"/>
        <v>1</v>
      </c>
    </row>
    <row r="95" spans="1:19" hidden="1" outlineLevel="1" x14ac:dyDescent="0.75">
      <c r="A95" s="35"/>
      <c r="B95" s="64" t="str">
        <f>'Expenses w MYP'!C68</f>
        <v>4430</v>
      </c>
      <c r="C95" s="64" t="str">
        <f>'Expenses w MYP'!D68</f>
        <v>General Student Equipment</v>
      </c>
      <c r="D95" s="87"/>
      <c r="E95" s="87"/>
      <c r="F95" s="99">
        <v>0.1</v>
      </c>
      <c r="G95" s="99">
        <v>0.1</v>
      </c>
      <c r="H95" s="99">
        <v>0.1</v>
      </c>
      <c r="I95" s="99">
        <v>0.1</v>
      </c>
      <c r="J95" s="99">
        <v>0.1</v>
      </c>
      <c r="K95" s="99">
        <v>0.1</v>
      </c>
      <c r="L95" s="99">
        <v>0.1</v>
      </c>
      <c r="M95" s="99">
        <v>0.1</v>
      </c>
      <c r="N95" s="99">
        <v>0.1</v>
      </c>
      <c r="O95" s="99">
        <v>0.1</v>
      </c>
      <c r="P95" s="90"/>
      <c r="Q95" s="90"/>
      <c r="R95" s="90"/>
      <c r="S95" s="94">
        <f t="shared" ref="S95:S104" si="11">SUM(D95:R95)</f>
        <v>0.99999999999999989</v>
      </c>
    </row>
    <row r="96" spans="1:19" hidden="1" outlineLevel="1" x14ac:dyDescent="0.75">
      <c r="A96" s="35"/>
      <c r="B96" s="64" t="e">
        <f>'Expenses w MYP'!#REF!</f>
        <v>#REF!</v>
      </c>
      <c r="C96" s="64" t="e">
        <f>'Expenses w MYP'!#REF!</f>
        <v>#REF!</v>
      </c>
      <c r="D96" s="87"/>
      <c r="E96" s="87"/>
      <c r="F96" s="99">
        <v>0.1</v>
      </c>
      <c r="G96" s="99">
        <v>0.1</v>
      </c>
      <c r="H96" s="99">
        <v>0.1</v>
      </c>
      <c r="I96" s="99">
        <v>0.1</v>
      </c>
      <c r="J96" s="99">
        <v>0.1</v>
      </c>
      <c r="K96" s="99">
        <v>0.1</v>
      </c>
      <c r="L96" s="99">
        <v>0.1</v>
      </c>
      <c r="M96" s="99">
        <v>0.1</v>
      </c>
      <c r="N96" s="99">
        <v>0.1</v>
      </c>
      <c r="O96" s="99">
        <v>0.1</v>
      </c>
      <c r="P96" s="90"/>
      <c r="Q96" s="90"/>
      <c r="R96" s="90"/>
      <c r="S96" s="94">
        <f t="shared" si="11"/>
        <v>0.99999999999999989</v>
      </c>
    </row>
    <row r="97" spans="1:19" hidden="1" outlineLevel="1" x14ac:dyDescent="0.75">
      <c r="A97" s="35"/>
      <c r="B97" s="64" t="e">
        <f>'Expenses w MYP'!#REF!</f>
        <v>#REF!</v>
      </c>
      <c r="C97" s="64" t="e">
        <f>'Expenses w MYP'!#REF!</f>
        <v>#REF!</v>
      </c>
      <c r="D97" s="87"/>
      <c r="E97" s="87"/>
      <c r="F97" s="99">
        <v>0.1</v>
      </c>
      <c r="G97" s="99">
        <v>0.1</v>
      </c>
      <c r="H97" s="99">
        <v>0.1</v>
      </c>
      <c r="I97" s="99">
        <v>0.1</v>
      </c>
      <c r="J97" s="99">
        <v>0.1</v>
      </c>
      <c r="K97" s="99">
        <v>0.1</v>
      </c>
      <c r="L97" s="99">
        <v>0.1</v>
      </c>
      <c r="M97" s="99">
        <v>0.1</v>
      </c>
      <c r="N97" s="99">
        <v>0.1</v>
      </c>
      <c r="O97" s="99">
        <v>0.1</v>
      </c>
      <c r="P97" s="90"/>
      <c r="Q97" s="90"/>
      <c r="R97" s="90"/>
      <c r="S97" s="94">
        <f t="shared" si="11"/>
        <v>0.99999999999999989</v>
      </c>
    </row>
    <row r="98" spans="1:19" hidden="1" outlineLevel="1" x14ac:dyDescent="0.75">
      <c r="A98" s="35"/>
      <c r="B98" s="64" t="e">
        <f>'Expenses w MYP'!#REF!</f>
        <v>#REF!</v>
      </c>
      <c r="C98" s="64" t="e">
        <f>'Expenses w MYP'!#REF!</f>
        <v>#REF!</v>
      </c>
      <c r="D98" s="87"/>
      <c r="E98" s="87"/>
      <c r="F98" s="99">
        <v>0.1</v>
      </c>
      <c r="G98" s="99">
        <v>0.1</v>
      </c>
      <c r="H98" s="99">
        <v>0.1</v>
      </c>
      <c r="I98" s="99">
        <v>0.1</v>
      </c>
      <c r="J98" s="99">
        <v>0.1</v>
      </c>
      <c r="K98" s="99">
        <v>0.1</v>
      </c>
      <c r="L98" s="99">
        <v>0.1</v>
      </c>
      <c r="M98" s="99">
        <v>0.1</v>
      </c>
      <c r="N98" s="99">
        <v>0.1</v>
      </c>
      <c r="O98" s="99">
        <v>0.1</v>
      </c>
      <c r="P98" s="90"/>
      <c r="Q98" s="90"/>
      <c r="R98" s="90"/>
      <c r="S98" s="94">
        <f t="shared" si="11"/>
        <v>0.99999999999999989</v>
      </c>
    </row>
    <row r="99" spans="1:19" hidden="1" outlineLevel="1" x14ac:dyDescent="0.75">
      <c r="A99" s="35"/>
      <c r="B99" s="64" t="e">
        <f>'Expenses w MYP'!#REF!</f>
        <v>#REF!</v>
      </c>
      <c r="C99" s="64" t="e">
        <f>'Expenses w MYP'!#REF!</f>
        <v>#REF!</v>
      </c>
      <c r="D99" s="87"/>
      <c r="E99" s="87"/>
      <c r="F99" s="99">
        <v>0.1</v>
      </c>
      <c r="G99" s="99">
        <v>0.1</v>
      </c>
      <c r="H99" s="99">
        <v>0.1</v>
      </c>
      <c r="I99" s="99">
        <v>0.1</v>
      </c>
      <c r="J99" s="99">
        <v>0.1</v>
      </c>
      <c r="K99" s="99">
        <v>0.1</v>
      </c>
      <c r="L99" s="99">
        <v>0.1</v>
      </c>
      <c r="M99" s="99">
        <v>0.1</v>
      </c>
      <c r="N99" s="99">
        <v>0.1</v>
      </c>
      <c r="O99" s="99">
        <v>0.1</v>
      </c>
      <c r="P99" s="90"/>
      <c r="Q99" s="90"/>
      <c r="R99" s="90"/>
      <c r="S99" s="94">
        <f t="shared" si="11"/>
        <v>0.99999999999999989</v>
      </c>
    </row>
    <row r="100" spans="1:19" hidden="1" outlineLevel="1" x14ac:dyDescent="0.75">
      <c r="A100" s="35"/>
      <c r="B100" s="64" t="e">
        <f>'Expenses w MYP'!#REF!</f>
        <v>#REF!</v>
      </c>
      <c r="C100" s="64" t="e">
        <f>'Expenses w MYP'!#REF!</f>
        <v>#REF!</v>
      </c>
      <c r="D100" s="87"/>
      <c r="E100" s="87"/>
      <c r="F100" s="99">
        <v>0.1</v>
      </c>
      <c r="G100" s="99">
        <v>0.1</v>
      </c>
      <c r="H100" s="99">
        <v>0.1</v>
      </c>
      <c r="I100" s="99">
        <v>0.1</v>
      </c>
      <c r="J100" s="99">
        <v>0.1</v>
      </c>
      <c r="K100" s="99">
        <v>0.1</v>
      </c>
      <c r="L100" s="99">
        <v>0.1</v>
      </c>
      <c r="M100" s="99">
        <v>0.1</v>
      </c>
      <c r="N100" s="99">
        <v>0.1</v>
      </c>
      <c r="O100" s="99">
        <v>0.1</v>
      </c>
      <c r="P100" s="90"/>
      <c r="Q100" s="90"/>
      <c r="R100" s="90"/>
      <c r="S100" s="94">
        <f t="shared" si="11"/>
        <v>0.99999999999999989</v>
      </c>
    </row>
    <row r="101" spans="1:19" hidden="1" outlineLevel="1" x14ac:dyDescent="0.75">
      <c r="A101" s="35"/>
      <c r="B101" s="64" t="e">
        <f>'Expenses w MYP'!#REF!</f>
        <v>#REF!</v>
      </c>
      <c r="C101" s="64" t="e">
        <f>'Expenses w MYP'!#REF!</f>
        <v>#REF!</v>
      </c>
      <c r="D101" s="87"/>
      <c r="E101" s="87"/>
      <c r="F101" s="99">
        <v>0.1</v>
      </c>
      <c r="G101" s="99">
        <v>0.1</v>
      </c>
      <c r="H101" s="99">
        <v>0.1</v>
      </c>
      <c r="I101" s="99">
        <v>0.1</v>
      </c>
      <c r="J101" s="99">
        <v>0.1</v>
      </c>
      <c r="K101" s="99">
        <v>0.1</v>
      </c>
      <c r="L101" s="99">
        <v>0.1</v>
      </c>
      <c r="M101" s="99">
        <v>0.1</v>
      </c>
      <c r="N101" s="99">
        <v>0.1</v>
      </c>
      <c r="O101" s="99">
        <v>0.1</v>
      </c>
      <c r="P101" s="90"/>
      <c r="Q101" s="90"/>
      <c r="R101" s="90"/>
      <c r="S101" s="94">
        <f t="shared" si="11"/>
        <v>0.99999999999999989</v>
      </c>
    </row>
    <row r="102" spans="1:19" hidden="1" outlineLevel="1" x14ac:dyDescent="0.75">
      <c r="A102" s="35"/>
      <c r="B102" s="64" t="e">
        <f>'Expenses w MYP'!#REF!</f>
        <v>#REF!</v>
      </c>
      <c r="C102" s="64" t="e">
        <f>'Expenses w MYP'!#REF!</f>
        <v>#REF!</v>
      </c>
      <c r="D102" s="87"/>
      <c r="E102" s="87"/>
      <c r="F102" s="99">
        <v>0.1</v>
      </c>
      <c r="G102" s="99">
        <v>0.1</v>
      </c>
      <c r="H102" s="99">
        <v>0.1</v>
      </c>
      <c r="I102" s="99">
        <v>0.1</v>
      </c>
      <c r="J102" s="99">
        <v>0.1</v>
      </c>
      <c r="K102" s="99">
        <v>0.1</v>
      </c>
      <c r="L102" s="99">
        <v>0.1</v>
      </c>
      <c r="M102" s="99">
        <v>0.1</v>
      </c>
      <c r="N102" s="99">
        <v>0.1</v>
      </c>
      <c r="O102" s="99">
        <v>0.1</v>
      </c>
      <c r="P102" s="90"/>
      <c r="Q102" s="90"/>
      <c r="R102" s="90"/>
      <c r="S102" s="94">
        <f t="shared" si="11"/>
        <v>0.99999999999999989</v>
      </c>
    </row>
    <row r="103" spans="1:19" hidden="1" outlineLevel="1" x14ac:dyDescent="0.75">
      <c r="A103" s="35"/>
      <c r="B103" s="64" t="e">
        <f>'Expenses w MYP'!#REF!</f>
        <v>#REF!</v>
      </c>
      <c r="C103" s="64" t="e">
        <f>'Expenses w MYP'!#REF!</f>
        <v>#REF!</v>
      </c>
      <c r="D103" s="87"/>
      <c r="E103" s="87"/>
      <c r="F103" s="99">
        <v>0.1</v>
      </c>
      <c r="G103" s="99">
        <v>0.1</v>
      </c>
      <c r="H103" s="99">
        <v>0.1</v>
      </c>
      <c r="I103" s="99">
        <v>0.1</v>
      </c>
      <c r="J103" s="99">
        <v>0.1</v>
      </c>
      <c r="K103" s="99">
        <v>0.1</v>
      </c>
      <c r="L103" s="99">
        <v>0.1</v>
      </c>
      <c r="M103" s="99">
        <v>0.1</v>
      </c>
      <c r="N103" s="99">
        <v>0.1</v>
      </c>
      <c r="O103" s="99">
        <v>0.1</v>
      </c>
      <c r="P103" s="90"/>
      <c r="Q103" s="90"/>
      <c r="R103" s="90"/>
      <c r="S103" s="94">
        <f t="shared" si="11"/>
        <v>0.99999999999999989</v>
      </c>
    </row>
    <row r="104" spans="1:19" hidden="1" outlineLevel="1" x14ac:dyDescent="0.75">
      <c r="A104" s="35"/>
      <c r="B104" s="64" t="e">
        <f>'Expenses w MYP'!#REF!</f>
        <v>#REF!</v>
      </c>
      <c r="C104" s="64" t="e">
        <f>'Expenses w MYP'!#REF!</f>
        <v>#REF!</v>
      </c>
      <c r="D104" s="87"/>
      <c r="E104" s="87"/>
      <c r="F104" s="99">
        <v>0.1</v>
      </c>
      <c r="G104" s="99">
        <v>0.1</v>
      </c>
      <c r="H104" s="99">
        <v>0.1</v>
      </c>
      <c r="I104" s="99">
        <v>0.1</v>
      </c>
      <c r="J104" s="99">
        <v>0.1</v>
      </c>
      <c r="K104" s="99">
        <v>0.1</v>
      </c>
      <c r="L104" s="99">
        <v>0.1</v>
      </c>
      <c r="M104" s="99">
        <v>0.1</v>
      </c>
      <c r="N104" s="99">
        <v>0.1</v>
      </c>
      <c r="O104" s="99">
        <v>0.1</v>
      </c>
      <c r="P104" s="90"/>
      <c r="Q104" s="90"/>
      <c r="R104" s="90"/>
      <c r="S104" s="94">
        <f t="shared" si="11"/>
        <v>0.99999999999999989</v>
      </c>
    </row>
    <row r="105" spans="1:19" s="31" customFormat="1" collapsed="1" x14ac:dyDescent="0.75">
      <c r="A105" s="35"/>
      <c r="B105" s="64" t="str">
        <f>'Expenses w MYP'!C69</f>
        <v>4700</v>
      </c>
      <c r="C105" s="64" t="str">
        <f>'Expenses w MYP'!D69</f>
        <v>Food and Food Supplies</v>
      </c>
      <c r="D105" s="87"/>
      <c r="E105" s="87"/>
      <c r="F105" s="99">
        <v>0.1</v>
      </c>
      <c r="G105" s="99">
        <v>0.1</v>
      </c>
      <c r="H105" s="99">
        <v>0.1</v>
      </c>
      <c r="I105" s="99">
        <v>0.1</v>
      </c>
      <c r="J105" s="99">
        <v>0.1</v>
      </c>
      <c r="K105" s="99">
        <v>0.1</v>
      </c>
      <c r="L105" s="99">
        <v>0.1</v>
      </c>
      <c r="M105" s="99">
        <v>0.1</v>
      </c>
      <c r="N105" s="99">
        <v>0.1</v>
      </c>
      <c r="O105" s="99">
        <v>0.1</v>
      </c>
      <c r="P105" s="90"/>
      <c r="Q105" s="90"/>
      <c r="R105" s="90"/>
      <c r="S105" s="94">
        <f>SUM(D105:R105)</f>
        <v>0.99999999999999989</v>
      </c>
    </row>
    <row r="106" spans="1:19" s="31" customFormat="1" x14ac:dyDescent="0.75">
      <c r="A106" s="35"/>
      <c r="B106" s="3"/>
      <c r="C106" s="2"/>
      <c r="D106" s="88"/>
      <c r="E106" s="88"/>
      <c r="F106" s="105"/>
      <c r="G106" s="105"/>
      <c r="H106" s="105"/>
      <c r="I106" s="105"/>
      <c r="J106" s="105"/>
      <c r="K106" s="105"/>
      <c r="L106" s="105"/>
      <c r="M106" s="105"/>
      <c r="N106" s="105"/>
      <c r="O106" s="105"/>
      <c r="P106" s="84"/>
      <c r="Q106" s="84"/>
      <c r="R106" s="84"/>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64" t="str">
        <f>'Expenses w MYP'!C73</f>
        <v>5200</v>
      </c>
      <c r="C109" s="64" t="str">
        <f>'Expenses w MYP'!D73</f>
        <v>Travel and Conferences</v>
      </c>
      <c r="D109" s="87"/>
      <c r="E109" s="87"/>
      <c r="F109" s="87">
        <v>0.3</v>
      </c>
      <c r="G109" s="87">
        <v>0.1</v>
      </c>
      <c r="H109" s="87">
        <v>0.1</v>
      </c>
      <c r="I109" s="87">
        <v>0.1</v>
      </c>
      <c r="J109" s="87">
        <v>0.1</v>
      </c>
      <c r="K109" s="87">
        <v>0.1</v>
      </c>
      <c r="L109" s="87">
        <v>0.1</v>
      </c>
      <c r="M109" s="87">
        <v>0.1</v>
      </c>
      <c r="N109" s="90"/>
      <c r="O109" s="90"/>
      <c r="P109" s="90"/>
      <c r="Q109" s="90"/>
      <c r="R109" s="90"/>
      <c r="S109" s="94">
        <f t="shared" ref="S109:S128" si="12">SUM(D109:R109)</f>
        <v>0.99999999999999989</v>
      </c>
    </row>
    <row r="110" spans="1:19" s="31" customFormat="1" x14ac:dyDescent="0.75">
      <c r="A110" s="35"/>
      <c r="B110" s="64" t="str">
        <f>'Expenses w MYP'!C74</f>
        <v>5210</v>
      </c>
      <c r="C110" s="64" t="str">
        <f>'Expenses w MYP'!D74</f>
        <v>Training and Development Expense</v>
      </c>
      <c r="D110" s="87"/>
      <c r="E110" s="87"/>
      <c r="F110" s="87">
        <v>0.3</v>
      </c>
      <c r="G110" s="87">
        <v>0.1</v>
      </c>
      <c r="H110" s="87">
        <v>0.1</v>
      </c>
      <c r="I110" s="87">
        <v>0.1</v>
      </c>
      <c r="J110" s="87">
        <v>0.1</v>
      </c>
      <c r="K110" s="87">
        <v>0.1</v>
      </c>
      <c r="L110" s="87">
        <v>0.1</v>
      </c>
      <c r="M110" s="87">
        <v>0.1</v>
      </c>
      <c r="N110" s="90"/>
      <c r="O110" s="90"/>
      <c r="P110" s="90"/>
      <c r="Q110" s="90"/>
      <c r="R110" s="90"/>
      <c r="S110" s="94">
        <f t="shared" si="12"/>
        <v>0.99999999999999989</v>
      </c>
    </row>
    <row r="111" spans="1:19" s="31" customFormat="1" x14ac:dyDescent="0.75">
      <c r="A111" s="35"/>
      <c r="B111" s="64" t="str">
        <f>'Expenses w MYP'!C75</f>
        <v>5300</v>
      </c>
      <c r="C111" s="64" t="str">
        <f>'Expenses w MYP'!D75</f>
        <v>Dues and Memberships</v>
      </c>
      <c r="D111" s="87"/>
      <c r="E111" s="87"/>
      <c r="F111" s="87">
        <v>0.3</v>
      </c>
      <c r="G111" s="87">
        <v>0.1</v>
      </c>
      <c r="H111" s="87">
        <v>0.1</v>
      </c>
      <c r="I111" s="87">
        <v>0.1</v>
      </c>
      <c r="J111" s="87">
        <v>0.1</v>
      </c>
      <c r="K111" s="87">
        <v>0.1</v>
      </c>
      <c r="L111" s="87">
        <v>0.1</v>
      </c>
      <c r="M111" s="87">
        <v>0.1</v>
      </c>
      <c r="N111" s="90"/>
      <c r="O111" s="90"/>
      <c r="P111" s="90"/>
      <c r="Q111" s="90"/>
      <c r="R111" s="90"/>
      <c r="S111" s="94">
        <f t="shared" si="12"/>
        <v>0.99999999999999989</v>
      </c>
    </row>
    <row r="112" spans="1:19" s="31" customFormat="1" x14ac:dyDescent="0.75">
      <c r="A112" s="35"/>
      <c r="B112" s="64" t="str">
        <f>'Expenses w MYP'!C76</f>
        <v>5400</v>
      </c>
      <c r="C112" s="64" t="str">
        <f>'Expenses w MYP'!D76</f>
        <v>Insurance</v>
      </c>
      <c r="D112" s="87"/>
      <c r="E112" s="87"/>
      <c r="F112" s="87">
        <v>0.3</v>
      </c>
      <c r="G112" s="87">
        <v>0.1</v>
      </c>
      <c r="H112" s="87">
        <v>0.1</v>
      </c>
      <c r="I112" s="87">
        <v>0.1</v>
      </c>
      <c r="J112" s="87">
        <v>0.1</v>
      </c>
      <c r="K112" s="87">
        <v>0.1</v>
      </c>
      <c r="L112" s="87">
        <v>0.1</v>
      </c>
      <c r="M112" s="87">
        <v>0.1</v>
      </c>
      <c r="N112" s="90"/>
      <c r="O112" s="90"/>
      <c r="P112" s="90"/>
      <c r="Q112" s="90"/>
      <c r="R112" s="90"/>
      <c r="S112" s="94">
        <f t="shared" si="12"/>
        <v>0.99999999999999989</v>
      </c>
    </row>
    <row r="113" spans="1:19" s="31" customFormat="1" x14ac:dyDescent="0.75">
      <c r="A113" s="35"/>
      <c r="B113" s="64" t="str">
        <f>'Expenses w MYP'!C77</f>
        <v>5500</v>
      </c>
      <c r="C113" s="64" t="str">
        <f>'Expenses w MYP'!D77</f>
        <v>Operation and Housekeeping Services/Supplies</v>
      </c>
      <c r="D113" s="87"/>
      <c r="E113" s="87"/>
      <c r="F113" s="87">
        <v>0.6</v>
      </c>
      <c r="G113" s="87"/>
      <c r="H113" s="87"/>
      <c r="I113" s="90"/>
      <c r="J113" s="90">
        <v>0.4</v>
      </c>
      <c r="K113" s="90"/>
      <c r="L113" s="90"/>
      <c r="M113" s="90"/>
      <c r="N113" s="90"/>
      <c r="O113" s="90"/>
      <c r="P113" s="90"/>
      <c r="Q113" s="90"/>
      <c r="R113" s="90"/>
      <c r="S113" s="94">
        <f t="shared" si="12"/>
        <v>1</v>
      </c>
    </row>
    <row r="114" spans="1:19" s="31" customFormat="1" x14ac:dyDescent="0.75">
      <c r="A114" s="35"/>
      <c r="B114" s="64" t="str">
        <f>'Expenses w MYP'!C78</f>
        <v>5501</v>
      </c>
      <c r="C114" s="64" t="str">
        <f>'Expenses w MYP'!D78</f>
        <v>Utilities</v>
      </c>
      <c r="D114" s="87"/>
      <c r="E114" s="87"/>
      <c r="F114" s="99">
        <v>0.1</v>
      </c>
      <c r="G114" s="99">
        <v>0.1</v>
      </c>
      <c r="H114" s="99">
        <v>0.1</v>
      </c>
      <c r="I114" s="99">
        <v>0.1</v>
      </c>
      <c r="J114" s="99">
        <v>0.1</v>
      </c>
      <c r="K114" s="99">
        <v>0.1</v>
      </c>
      <c r="L114" s="99">
        <v>0.1</v>
      </c>
      <c r="M114" s="99">
        <v>0.1</v>
      </c>
      <c r="N114" s="99">
        <v>0.1</v>
      </c>
      <c r="O114" s="99">
        <v>0.1</v>
      </c>
      <c r="P114" s="90"/>
      <c r="Q114" s="90"/>
      <c r="R114" s="90"/>
      <c r="S114" s="94">
        <f t="shared" si="12"/>
        <v>0.99999999999999989</v>
      </c>
    </row>
    <row r="115" spans="1:19" s="31" customFormat="1" x14ac:dyDescent="0.75">
      <c r="A115" s="35"/>
      <c r="B115" s="64" t="str">
        <f>'Expenses w MYP'!C79</f>
        <v>5505</v>
      </c>
      <c r="C115" s="64" t="str">
        <f>'Expenses w MYP'!D79</f>
        <v>Student Transportation / Field Trips</v>
      </c>
      <c r="D115" s="87"/>
      <c r="E115" s="87"/>
      <c r="F115" s="99">
        <v>0.1</v>
      </c>
      <c r="G115" s="99">
        <v>0.1</v>
      </c>
      <c r="H115" s="99">
        <v>0.1</v>
      </c>
      <c r="I115" s="99">
        <v>0.1</v>
      </c>
      <c r="J115" s="99">
        <v>0.1</v>
      </c>
      <c r="K115" s="99">
        <v>0.1</v>
      </c>
      <c r="L115" s="99">
        <v>0.1</v>
      </c>
      <c r="M115" s="99">
        <v>0.1</v>
      </c>
      <c r="N115" s="99">
        <v>0.1</v>
      </c>
      <c r="O115" s="99">
        <v>0.1</v>
      </c>
      <c r="P115" s="90"/>
      <c r="Q115" s="90"/>
      <c r="R115" s="90"/>
      <c r="S115" s="94">
        <f t="shared" si="12"/>
        <v>0.99999999999999989</v>
      </c>
    </row>
    <row r="116" spans="1:19" s="31" customFormat="1" x14ac:dyDescent="0.75">
      <c r="A116" s="35"/>
      <c r="B116" s="64" t="str">
        <f>'Expenses w MYP'!C80</f>
        <v>5600</v>
      </c>
      <c r="C116" s="64" t="str">
        <f>'Expenses w MYP'!D80</f>
        <v>Space Rental/Leases Expense</v>
      </c>
      <c r="D116" s="87"/>
      <c r="E116" s="87"/>
      <c r="F116" s="99">
        <v>0.1</v>
      </c>
      <c r="G116" s="99">
        <v>0.1</v>
      </c>
      <c r="H116" s="99">
        <v>0.1</v>
      </c>
      <c r="I116" s="99">
        <v>0.1</v>
      </c>
      <c r="J116" s="99">
        <v>0.1</v>
      </c>
      <c r="K116" s="99">
        <v>0.1</v>
      </c>
      <c r="L116" s="99">
        <v>0.1</v>
      </c>
      <c r="M116" s="99">
        <v>0.1</v>
      </c>
      <c r="N116" s="99">
        <v>0.1</v>
      </c>
      <c r="O116" s="99">
        <v>0.1</v>
      </c>
      <c r="P116" s="90"/>
      <c r="Q116" s="90"/>
      <c r="R116" s="90"/>
      <c r="S116" s="94">
        <f t="shared" si="12"/>
        <v>0.99999999999999989</v>
      </c>
    </row>
    <row r="117" spans="1:19" s="31" customFormat="1" x14ac:dyDescent="0.75">
      <c r="A117" s="35"/>
      <c r="B117" s="64" t="str">
        <f>'Expenses w MYP'!C81</f>
        <v>5601</v>
      </c>
      <c r="C117" s="64" t="str">
        <f>'Expenses w MYP'!D81</f>
        <v>Building Maintenance</v>
      </c>
      <c r="D117" s="87">
        <v>0.05</v>
      </c>
      <c r="E117" s="87">
        <v>0.05</v>
      </c>
      <c r="F117" s="87">
        <v>0.09</v>
      </c>
      <c r="G117" s="87">
        <v>0.09</v>
      </c>
      <c r="H117" s="87">
        <v>0.09</v>
      </c>
      <c r="I117" s="87">
        <v>0.09</v>
      </c>
      <c r="J117" s="87">
        <v>0.09</v>
      </c>
      <c r="K117" s="87">
        <v>0.09</v>
      </c>
      <c r="L117" s="87">
        <v>0.09</v>
      </c>
      <c r="M117" s="87">
        <v>0.09</v>
      </c>
      <c r="N117" s="87">
        <v>0.09</v>
      </c>
      <c r="O117" s="87">
        <v>0.09</v>
      </c>
      <c r="P117" s="90"/>
      <c r="Q117" s="90"/>
      <c r="R117" s="90"/>
      <c r="S117" s="94">
        <f t="shared" si="12"/>
        <v>0.99999999999999978</v>
      </c>
    </row>
    <row r="118" spans="1:19" s="31" customFormat="1" x14ac:dyDescent="0.75">
      <c r="A118" s="35"/>
      <c r="B118" s="64" t="str">
        <f>'Expenses w MYP'!C82</f>
        <v>5602</v>
      </c>
      <c r="C118" s="64" t="str">
        <f>'Expenses w MYP'!D82</f>
        <v>Other Space Rental</v>
      </c>
      <c r="D118" s="87">
        <v>0.05</v>
      </c>
      <c r="E118" s="87">
        <v>0.05</v>
      </c>
      <c r="F118" s="87">
        <v>0.09</v>
      </c>
      <c r="G118" s="87">
        <v>0.09</v>
      </c>
      <c r="H118" s="87">
        <v>0.09</v>
      </c>
      <c r="I118" s="87">
        <v>0.09</v>
      </c>
      <c r="J118" s="87">
        <v>0.09</v>
      </c>
      <c r="K118" s="87">
        <v>0.09</v>
      </c>
      <c r="L118" s="87">
        <v>0.09</v>
      </c>
      <c r="M118" s="87">
        <v>0.09</v>
      </c>
      <c r="N118" s="87">
        <v>0.09</v>
      </c>
      <c r="O118" s="87">
        <v>0.09</v>
      </c>
      <c r="P118" s="90"/>
      <c r="Q118" s="90"/>
      <c r="R118" s="90"/>
      <c r="S118" s="94">
        <f t="shared" si="12"/>
        <v>0.99999999999999978</v>
      </c>
    </row>
    <row r="119" spans="1:19" s="31" customFormat="1" x14ac:dyDescent="0.75">
      <c r="A119" s="35"/>
      <c r="B119" s="64" t="str">
        <f>'Expenses w MYP'!C83</f>
        <v>5603</v>
      </c>
      <c r="C119" s="64" t="str">
        <f>'Expenses w MYP'!D83</f>
        <v>Engagement Space Rental</v>
      </c>
      <c r="D119" s="87"/>
      <c r="E119" s="87"/>
      <c r="F119" s="99">
        <v>0.1</v>
      </c>
      <c r="G119" s="99">
        <v>0.1</v>
      </c>
      <c r="H119" s="99">
        <v>0.1</v>
      </c>
      <c r="I119" s="99">
        <v>0.1</v>
      </c>
      <c r="J119" s="99">
        <v>0.1</v>
      </c>
      <c r="K119" s="99">
        <v>0.1</v>
      </c>
      <c r="L119" s="99">
        <v>0.1</v>
      </c>
      <c r="M119" s="99">
        <v>0.1</v>
      </c>
      <c r="N119" s="99">
        <v>0.1</v>
      </c>
      <c r="O119" s="99">
        <v>0.1</v>
      </c>
      <c r="P119" s="90"/>
      <c r="Q119" s="90"/>
      <c r="R119" s="90"/>
      <c r="S119" s="94">
        <f t="shared" si="12"/>
        <v>0.99999999999999989</v>
      </c>
    </row>
    <row r="120" spans="1:19" s="31" customFormat="1" x14ac:dyDescent="0.75">
      <c r="A120" s="35"/>
      <c r="B120" s="64" t="str">
        <f>'Expenses w MYP'!C84</f>
        <v>5610</v>
      </c>
      <c r="C120" s="64" t="str">
        <f>'Expenses w MYP'!D84</f>
        <v>Equipment Repair</v>
      </c>
      <c r="D120" s="87"/>
      <c r="E120" s="87"/>
      <c r="F120" s="99">
        <v>0.1</v>
      </c>
      <c r="G120" s="99">
        <v>0.1</v>
      </c>
      <c r="H120" s="99">
        <v>0.1</v>
      </c>
      <c r="I120" s="99">
        <v>0.1</v>
      </c>
      <c r="J120" s="99">
        <v>0.1</v>
      </c>
      <c r="K120" s="99">
        <v>0.1</v>
      </c>
      <c r="L120" s="99">
        <v>0.1</v>
      </c>
      <c r="M120" s="99">
        <v>0.1</v>
      </c>
      <c r="N120" s="99">
        <v>0.1</v>
      </c>
      <c r="O120" s="99">
        <v>0.1</v>
      </c>
      <c r="P120" s="90"/>
      <c r="Q120" s="90"/>
      <c r="R120" s="90"/>
      <c r="S120" s="94">
        <f t="shared" si="12"/>
        <v>0.99999999999999989</v>
      </c>
    </row>
    <row r="121" spans="1:19" s="31" customFormat="1" x14ac:dyDescent="0.75">
      <c r="A121" s="35"/>
      <c r="B121" s="64" t="str">
        <f>'Expenses w MYP'!C85</f>
        <v>5800</v>
      </c>
      <c r="C121" s="64" t="str">
        <f>'Expenses w MYP'!D85</f>
        <v>Professional/Consulting Services and Operating Expenditures</v>
      </c>
      <c r="D121" s="87"/>
      <c r="E121" s="87"/>
      <c r="F121" s="99">
        <v>0.1</v>
      </c>
      <c r="G121" s="99">
        <v>0.1</v>
      </c>
      <c r="H121" s="99">
        <v>0.1</v>
      </c>
      <c r="I121" s="99">
        <v>0.1</v>
      </c>
      <c r="J121" s="99">
        <v>0.1</v>
      </c>
      <c r="K121" s="99">
        <v>0.1</v>
      </c>
      <c r="L121" s="99">
        <v>0.1</v>
      </c>
      <c r="M121" s="99">
        <v>0.1</v>
      </c>
      <c r="N121" s="99">
        <v>0.1</v>
      </c>
      <c r="O121" s="99">
        <v>0.1</v>
      </c>
      <c r="P121" s="90"/>
      <c r="Q121" s="90"/>
      <c r="R121" s="90"/>
      <c r="S121" s="94">
        <f t="shared" si="12"/>
        <v>0.99999999999999989</v>
      </c>
    </row>
    <row r="122" spans="1:19" s="31" customFormat="1" x14ac:dyDescent="0.75">
      <c r="A122" s="35"/>
      <c r="B122" s="64" t="str">
        <f>'Expenses w MYP'!C86</f>
        <v>5803</v>
      </c>
      <c r="C122" s="64" t="str">
        <f>'Expenses w MYP'!D86</f>
        <v>Banking and Payroll Service Fees</v>
      </c>
      <c r="D122" s="87">
        <v>0.05</v>
      </c>
      <c r="E122" s="87">
        <v>0.05</v>
      </c>
      <c r="F122" s="87">
        <v>0.09</v>
      </c>
      <c r="G122" s="87">
        <v>0.09</v>
      </c>
      <c r="H122" s="87">
        <v>0.09</v>
      </c>
      <c r="I122" s="87">
        <v>0.09</v>
      </c>
      <c r="J122" s="87">
        <v>0.09</v>
      </c>
      <c r="K122" s="87">
        <v>0.09</v>
      </c>
      <c r="L122" s="87">
        <v>0.09</v>
      </c>
      <c r="M122" s="87">
        <v>0.09</v>
      </c>
      <c r="N122" s="87">
        <v>0.09</v>
      </c>
      <c r="O122" s="87">
        <v>0.09</v>
      </c>
      <c r="P122" s="90"/>
      <c r="Q122" s="90"/>
      <c r="R122" s="90"/>
      <c r="S122" s="94">
        <f t="shared" si="12"/>
        <v>0.99999999999999978</v>
      </c>
    </row>
    <row r="123" spans="1:19" s="31" customFormat="1" x14ac:dyDescent="0.75">
      <c r="A123" s="35"/>
      <c r="B123" s="64" t="str">
        <f>'Expenses w MYP'!C87</f>
        <v>5805</v>
      </c>
      <c r="C123" s="64" t="str">
        <f>'Expenses w MYP'!D87</f>
        <v>Legal Fees</v>
      </c>
      <c r="D123" s="87">
        <v>0.05</v>
      </c>
      <c r="E123" s="87">
        <v>0.05</v>
      </c>
      <c r="F123" s="87">
        <v>0.09</v>
      </c>
      <c r="G123" s="87">
        <v>0.09</v>
      </c>
      <c r="H123" s="87">
        <v>0.09</v>
      </c>
      <c r="I123" s="87">
        <v>0.09</v>
      </c>
      <c r="J123" s="87">
        <v>0.09</v>
      </c>
      <c r="K123" s="87">
        <v>0.09</v>
      </c>
      <c r="L123" s="87">
        <v>0.09</v>
      </c>
      <c r="M123" s="87">
        <v>0.09</v>
      </c>
      <c r="N123" s="87">
        <v>0.09</v>
      </c>
      <c r="O123" s="87">
        <v>0.09</v>
      </c>
      <c r="P123" s="90"/>
      <c r="Q123" s="90"/>
      <c r="R123" s="90"/>
      <c r="S123" s="94">
        <f t="shared" si="12"/>
        <v>0.99999999999999978</v>
      </c>
    </row>
    <row r="124" spans="1:19" s="31" customFormat="1" x14ac:dyDescent="0.75">
      <c r="A124" s="35"/>
      <c r="B124" s="64" t="str">
        <f>'Expenses w MYP'!C88</f>
        <v>5806</v>
      </c>
      <c r="C124" s="64" t="str">
        <f>'Expenses w MYP'!D88</f>
        <v>Audit Services</v>
      </c>
      <c r="D124" s="87">
        <v>0.05</v>
      </c>
      <c r="E124" s="87">
        <v>0.05</v>
      </c>
      <c r="F124" s="87">
        <v>0.09</v>
      </c>
      <c r="G124" s="87">
        <v>0.09</v>
      </c>
      <c r="H124" s="87">
        <v>0.09</v>
      </c>
      <c r="I124" s="87">
        <v>0.09</v>
      </c>
      <c r="J124" s="87">
        <v>0.09</v>
      </c>
      <c r="K124" s="87">
        <v>0.09</v>
      </c>
      <c r="L124" s="87">
        <v>0.09</v>
      </c>
      <c r="M124" s="87">
        <v>0.09</v>
      </c>
      <c r="N124" s="87">
        <v>0.09</v>
      </c>
      <c r="O124" s="87">
        <v>0.09</v>
      </c>
      <c r="P124" s="90"/>
      <c r="Q124" s="90"/>
      <c r="R124" s="90"/>
      <c r="S124" s="94">
        <f t="shared" si="12"/>
        <v>0.99999999999999978</v>
      </c>
    </row>
    <row r="125" spans="1:19" s="31" customFormat="1" x14ac:dyDescent="0.75">
      <c r="A125" s="35"/>
      <c r="B125" s="64" t="str">
        <f>'Expenses w MYP'!C91</f>
        <v>5810</v>
      </c>
      <c r="C125" s="64" t="str">
        <f>'Expenses w MYP'!D91</f>
        <v>Educational Consultants</v>
      </c>
      <c r="D125" s="87">
        <v>0.05</v>
      </c>
      <c r="E125" s="87">
        <v>0.05</v>
      </c>
      <c r="F125" s="87">
        <v>0.09</v>
      </c>
      <c r="G125" s="87">
        <v>0.09</v>
      </c>
      <c r="H125" s="87">
        <v>0.09</v>
      </c>
      <c r="I125" s="87">
        <v>0.09</v>
      </c>
      <c r="J125" s="87">
        <v>0.09</v>
      </c>
      <c r="K125" s="87">
        <v>0.09</v>
      </c>
      <c r="L125" s="87">
        <v>0.09</v>
      </c>
      <c r="M125" s="87">
        <v>0.09</v>
      </c>
      <c r="N125" s="87">
        <v>0.09</v>
      </c>
      <c r="O125" s="87">
        <v>0.09</v>
      </c>
      <c r="P125" s="90"/>
      <c r="Q125" s="90"/>
      <c r="R125" s="90"/>
      <c r="S125" s="94">
        <f t="shared" si="12"/>
        <v>0.99999999999999978</v>
      </c>
    </row>
    <row r="126" spans="1:19" s="31" customFormat="1" x14ac:dyDescent="0.75">
      <c r="A126" s="35"/>
      <c r="B126" s="64" t="str">
        <f>'Expenses w MYP'!C92</f>
        <v>5811</v>
      </c>
      <c r="C126" s="64" t="str">
        <f>'Expenses w MYP'!D92</f>
        <v>Student Transportation / Field Trips</v>
      </c>
      <c r="D126" s="87">
        <v>0.05</v>
      </c>
      <c r="E126" s="87">
        <v>0.05</v>
      </c>
      <c r="F126" s="87">
        <v>0.09</v>
      </c>
      <c r="G126" s="87">
        <v>0.09</v>
      </c>
      <c r="H126" s="87">
        <v>0.09</v>
      </c>
      <c r="I126" s="87">
        <v>0.09</v>
      </c>
      <c r="J126" s="87">
        <v>0.09</v>
      </c>
      <c r="K126" s="87">
        <v>0.09</v>
      </c>
      <c r="L126" s="87">
        <v>0.09</v>
      </c>
      <c r="M126" s="87">
        <v>0.09</v>
      </c>
      <c r="N126" s="87">
        <v>0.09</v>
      </c>
      <c r="O126" s="87">
        <v>0.09</v>
      </c>
      <c r="P126" s="90"/>
      <c r="Q126" s="90"/>
      <c r="R126" s="90"/>
      <c r="S126" s="94">
        <f t="shared" si="12"/>
        <v>0.99999999999999978</v>
      </c>
    </row>
    <row r="127" spans="1:19" s="31" customFormat="1" x14ac:dyDescent="0.75">
      <c r="A127" s="35"/>
      <c r="B127" s="64" t="str">
        <f>'Expenses w MYP'!C94</f>
        <v>5815</v>
      </c>
      <c r="C127" s="64" t="str">
        <f>'Expenses w MYP'!D94</f>
        <v>Advertising / Recruiting</v>
      </c>
      <c r="D127" s="87"/>
      <c r="E127" s="87"/>
      <c r="F127" s="99">
        <v>0.1</v>
      </c>
      <c r="G127" s="99">
        <v>0.1</v>
      </c>
      <c r="H127" s="99">
        <v>0.1</v>
      </c>
      <c r="I127" s="99">
        <v>0.1</v>
      </c>
      <c r="J127" s="99">
        <v>0.1</v>
      </c>
      <c r="K127" s="99">
        <v>0.1</v>
      </c>
      <c r="L127" s="99">
        <v>0.1</v>
      </c>
      <c r="M127" s="99">
        <v>0.1</v>
      </c>
      <c r="N127" s="99">
        <v>0.1</v>
      </c>
      <c r="O127" s="99">
        <v>0.1</v>
      </c>
      <c r="P127" s="90"/>
      <c r="Q127" s="90"/>
      <c r="R127" s="90"/>
      <c r="S127" s="94">
        <f t="shared" si="12"/>
        <v>0.99999999999999989</v>
      </c>
    </row>
    <row r="128" spans="1:19" s="31" customFormat="1" x14ac:dyDescent="0.75">
      <c r="A128" s="35"/>
      <c r="B128" s="64" t="str">
        <f>'Expenses w MYP'!C95</f>
        <v>5820</v>
      </c>
      <c r="C128" s="64" t="str">
        <f>'Expenses w MYP'!D95</f>
        <v>Fundraising Expense</v>
      </c>
      <c r="D128" s="87"/>
      <c r="E128" s="87"/>
      <c r="F128" s="99">
        <v>0.1</v>
      </c>
      <c r="G128" s="99">
        <v>0.1</v>
      </c>
      <c r="H128" s="99">
        <v>0.1</v>
      </c>
      <c r="I128" s="99">
        <v>0.1</v>
      </c>
      <c r="J128" s="99">
        <v>0.1</v>
      </c>
      <c r="K128" s="99">
        <v>0.1</v>
      </c>
      <c r="L128" s="99">
        <v>0.1</v>
      </c>
      <c r="M128" s="99">
        <v>0.1</v>
      </c>
      <c r="N128" s="99">
        <v>0.1</v>
      </c>
      <c r="O128" s="99">
        <v>0.1</v>
      </c>
      <c r="P128" s="90"/>
      <c r="Q128" s="90"/>
      <c r="R128" s="90"/>
      <c r="S128" s="94">
        <f t="shared" si="12"/>
        <v>0.99999999999999989</v>
      </c>
    </row>
    <row r="129" spans="1:19" s="31" customFormat="1" x14ac:dyDescent="0.75">
      <c r="A129" s="35"/>
      <c r="B129" s="64" t="str">
        <f>'Expenses w MYP'!C97</f>
        <v>5873</v>
      </c>
      <c r="C129" s="64" t="str">
        <f>'Expenses w MYP'!D97</f>
        <v>Financial Services</v>
      </c>
      <c r="D129" s="103">
        <v>8.3000000000000004E-2</v>
      </c>
      <c r="E129" s="103">
        <v>8.3000000000000004E-2</v>
      </c>
      <c r="F129" s="103">
        <v>8.3000000000000004E-2</v>
      </c>
      <c r="G129" s="103">
        <v>8.3000000000000004E-2</v>
      </c>
      <c r="H129" s="103">
        <v>8.3000000000000004E-2</v>
      </c>
      <c r="I129" s="103">
        <v>8.3000000000000004E-2</v>
      </c>
      <c r="J129" s="103">
        <v>8.3000000000000004E-2</v>
      </c>
      <c r="K129" s="103">
        <v>8.3000000000000004E-2</v>
      </c>
      <c r="L129" s="103">
        <v>8.4000000000000005E-2</v>
      </c>
      <c r="M129" s="103">
        <v>8.4000000000000005E-2</v>
      </c>
      <c r="N129" s="103">
        <v>8.4000000000000005E-2</v>
      </c>
      <c r="O129" s="103">
        <v>8.4000000000000005E-2</v>
      </c>
      <c r="P129" s="87"/>
      <c r="Q129" s="87"/>
      <c r="R129" s="87"/>
      <c r="S129" s="97">
        <f t="shared" ref="S129:S139" si="13">SUM(D129:R129)</f>
        <v>0.99999999999999989</v>
      </c>
    </row>
    <row r="130" spans="1:19" s="31" customFormat="1" x14ac:dyDescent="0.75">
      <c r="A130" s="35"/>
      <c r="B130" s="64" t="str">
        <f>'Expenses w MYP'!C98</f>
        <v>5874</v>
      </c>
      <c r="C130" s="64" t="str">
        <f>'Expenses w MYP'!D98</f>
        <v>Personnel Services</v>
      </c>
      <c r="D130" s="103">
        <v>8.3000000000000004E-2</v>
      </c>
      <c r="E130" s="103">
        <v>8.3000000000000004E-2</v>
      </c>
      <c r="F130" s="103">
        <v>8.3000000000000004E-2</v>
      </c>
      <c r="G130" s="103">
        <v>8.3000000000000004E-2</v>
      </c>
      <c r="H130" s="103">
        <v>8.3000000000000004E-2</v>
      </c>
      <c r="I130" s="103">
        <v>8.3000000000000004E-2</v>
      </c>
      <c r="J130" s="103">
        <v>8.3000000000000004E-2</v>
      </c>
      <c r="K130" s="103">
        <v>8.3000000000000004E-2</v>
      </c>
      <c r="L130" s="103">
        <v>8.4000000000000005E-2</v>
      </c>
      <c r="M130" s="103">
        <v>8.4000000000000005E-2</v>
      </c>
      <c r="N130" s="103">
        <v>8.4000000000000005E-2</v>
      </c>
      <c r="O130" s="103">
        <v>8.4000000000000005E-2</v>
      </c>
      <c r="P130" s="87"/>
      <c r="Q130" s="87"/>
      <c r="R130" s="87"/>
      <c r="S130" s="97">
        <f t="shared" si="13"/>
        <v>0.99999999999999989</v>
      </c>
    </row>
    <row r="131" spans="1:19" s="31" customFormat="1" hidden="1" outlineLevel="1" x14ac:dyDescent="0.75">
      <c r="A131" s="35"/>
      <c r="B131" s="64" t="str">
        <f>'Expenses w MYP'!C99</f>
        <v>5875</v>
      </c>
      <c r="C131" s="64" t="str">
        <f>'Expenses w MYP'!D99</f>
        <v>District Oversight Fee</v>
      </c>
      <c r="D131" s="87"/>
      <c r="E131" s="87"/>
      <c r="F131" s="99">
        <v>0.1</v>
      </c>
      <c r="G131" s="99">
        <v>0.1</v>
      </c>
      <c r="H131" s="99">
        <v>0.1</v>
      </c>
      <c r="I131" s="99">
        <v>0.1</v>
      </c>
      <c r="J131" s="99">
        <v>0.1</v>
      </c>
      <c r="K131" s="99">
        <v>0.1</v>
      </c>
      <c r="L131" s="99">
        <v>0.1</v>
      </c>
      <c r="M131" s="99">
        <v>0.1</v>
      </c>
      <c r="N131" s="99">
        <v>0.1</v>
      </c>
      <c r="O131" s="99">
        <v>0.1</v>
      </c>
      <c r="P131" s="90"/>
      <c r="Q131" s="90"/>
      <c r="R131" s="90"/>
      <c r="S131" s="94">
        <f t="shared" si="13"/>
        <v>0.99999999999999989</v>
      </c>
    </row>
    <row r="132" spans="1:19" s="31" customFormat="1" hidden="1" outlineLevel="1" x14ac:dyDescent="0.75">
      <c r="A132" s="35"/>
      <c r="B132" s="64" t="str">
        <f>'Expenses w MYP'!C100</f>
        <v>5877</v>
      </c>
      <c r="C132" s="64" t="str">
        <f>'Expenses w MYP'!D100</f>
        <v>IT Services</v>
      </c>
      <c r="D132" s="87"/>
      <c r="E132" s="87"/>
      <c r="F132" s="99">
        <v>0.1</v>
      </c>
      <c r="G132" s="99">
        <v>0.1</v>
      </c>
      <c r="H132" s="99">
        <v>0.1</v>
      </c>
      <c r="I132" s="99">
        <v>0.1</v>
      </c>
      <c r="J132" s="99">
        <v>0.1</v>
      </c>
      <c r="K132" s="99">
        <v>0.1</v>
      </c>
      <c r="L132" s="99">
        <v>0.1</v>
      </c>
      <c r="M132" s="99">
        <v>0.1</v>
      </c>
      <c r="N132" s="99">
        <v>0.1</v>
      </c>
      <c r="O132" s="99">
        <v>0.1</v>
      </c>
      <c r="P132" s="90"/>
      <c r="Q132" s="90"/>
      <c r="R132" s="90"/>
      <c r="S132" s="94">
        <f t="shared" si="13"/>
        <v>0.99999999999999989</v>
      </c>
    </row>
    <row r="133" spans="1:19" s="31" customFormat="1" hidden="1" outlineLevel="1" x14ac:dyDescent="0.75">
      <c r="A133" s="35"/>
      <c r="B133" s="64" t="str">
        <f>'Expenses w MYP'!C101</f>
        <v>5890</v>
      </c>
      <c r="C133" s="64" t="str">
        <f>'Expenses w MYP'!D101</f>
        <v>Interest Expense / Misc. Fees</v>
      </c>
      <c r="D133" s="87"/>
      <c r="E133" s="87"/>
      <c r="F133" s="99">
        <v>0.1</v>
      </c>
      <c r="G133" s="99">
        <v>0.1</v>
      </c>
      <c r="H133" s="99">
        <v>0.1</v>
      </c>
      <c r="I133" s="99">
        <v>0.1</v>
      </c>
      <c r="J133" s="99">
        <v>0.1</v>
      </c>
      <c r="K133" s="99">
        <v>0.1</v>
      </c>
      <c r="L133" s="99">
        <v>0.1</v>
      </c>
      <c r="M133" s="99">
        <v>0.1</v>
      </c>
      <c r="N133" s="99">
        <v>0.1</v>
      </c>
      <c r="O133" s="99">
        <v>0.1</v>
      </c>
      <c r="P133" s="90"/>
      <c r="Q133" s="90"/>
      <c r="R133" s="90"/>
      <c r="S133" s="94">
        <f t="shared" si="13"/>
        <v>0.99999999999999989</v>
      </c>
    </row>
    <row r="134" spans="1:19" s="31" customFormat="1" hidden="1" outlineLevel="1" x14ac:dyDescent="0.75">
      <c r="A134" s="35"/>
      <c r="B134" s="64" t="str">
        <f>'Expenses w MYP'!C102</f>
        <v>5891</v>
      </c>
      <c r="C134" s="64" t="str">
        <f>'Expenses w MYP'!D102</f>
        <v>CSC Borrowing Fees</v>
      </c>
      <c r="D134" s="87"/>
      <c r="E134" s="87"/>
      <c r="F134" s="99">
        <v>0.1</v>
      </c>
      <c r="G134" s="99">
        <v>0.1</v>
      </c>
      <c r="H134" s="99">
        <v>0.1</v>
      </c>
      <c r="I134" s="99">
        <v>0.1</v>
      </c>
      <c r="J134" s="99">
        <v>0.1</v>
      </c>
      <c r="K134" s="99">
        <v>0.1</v>
      </c>
      <c r="L134" s="99">
        <v>0.1</v>
      </c>
      <c r="M134" s="99">
        <v>0.1</v>
      </c>
      <c r="N134" s="99">
        <v>0.1</v>
      </c>
      <c r="O134" s="99">
        <v>0.1</v>
      </c>
      <c r="P134" s="90"/>
      <c r="Q134" s="90"/>
      <c r="R134" s="90"/>
      <c r="S134" s="94">
        <f t="shared" si="13"/>
        <v>0.99999999999999989</v>
      </c>
    </row>
    <row r="135" spans="1:19" s="31" customFormat="1" hidden="1" outlineLevel="1" x14ac:dyDescent="0.75">
      <c r="A135" s="35"/>
      <c r="B135" s="64" t="str">
        <f>'Expenses w MYP'!C103</f>
        <v>5900</v>
      </c>
      <c r="C135" s="64" t="str">
        <f>'Expenses w MYP'!D103</f>
        <v>Communications</v>
      </c>
      <c r="D135" s="87"/>
      <c r="E135" s="87"/>
      <c r="F135" s="99">
        <v>0.1</v>
      </c>
      <c r="G135" s="99">
        <v>0.1</v>
      </c>
      <c r="H135" s="99">
        <v>0.1</v>
      </c>
      <c r="I135" s="99">
        <v>0.1</v>
      </c>
      <c r="J135" s="99">
        <v>0.1</v>
      </c>
      <c r="K135" s="99">
        <v>0.1</v>
      </c>
      <c r="L135" s="99">
        <v>0.1</v>
      </c>
      <c r="M135" s="99">
        <v>0.1</v>
      </c>
      <c r="N135" s="99">
        <v>0.1</v>
      </c>
      <c r="O135" s="99">
        <v>0.1</v>
      </c>
      <c r="P135" s="90"/>
      <c r="Q135" s="90"/>
      <c r="R135" s="90"/>
      <c r="S135" s="94">
        <f t="shared" si="13"/>
        <v>0.99999999999999989</v>
      </c>
    </row>
    <row r="136" spans="1:19" s="31" customFormat="1" hidden="1" outlineLevel="1" x14ac:dyDescent="0.75">
      <c r="A136" s="35"/>
      <c r="B136" s="64">
        <f>'Expenses w MYP'!C104</f>
        <v>0</v>
      </c>
      <c r="C136" s="64">
        <f>'Expenses w MYP'!D104</f>
        <v>0</v>
      </c>
      <c r="D136" s="87"/>
      <c r="E136" s="87"/>
      <c r="F136" s="99">
        <v>0.1</v>
      </c>
      <c r="G136" s="99">
        <v>0.1</v>
      </c>
      <c r="H136" s="99">
        <v>0.1</v>
      </c>
      <c r="I136" s="99">
        <v>0.1</v>
      </c>
      <c r="J136" s="99">
        <v>0.1</v>
      </c>
      <c r="K136" s="99">
        <v>0.1</v>
      </c>
      <c r="L136" s="99">
        <v>0.1</v>
      </c>
      <c r="M136" s="99">
        <v>0.1</v>
      </c>
      <c r="N136" s="99">
        <v>0.1</v>
      </c>
      <c r="O136" s="99">
        <v>0.1</v>
      </c>
      <c r="P136" s="90"/>
      <c r="Q136" s="90"/>
      <c r="R136" s="90"/>
      <c r="S136" s="94">
        <f t="shared" si="13"/>
        <v>0.99999999999999989</v>
      </c>
    </row>
    <row r="137" spans="1:19" s="31" customFormat="1" hidden="1" outlineLevel="1" x14ac:dyDescent="0.75">
      <c r="A137" s="35"/>
      <c r="B137" s="64">
        <f>'Expenses w MYP'!C105</f>
        <v>0</v>
      </c>
      <c r="C137" s="64">
        <f>'Expenses w MYP'!D105</f>
        <v>0</v>
      </c>
      <c r="D137" s="87"/>
      <c r="E137" s="87"/>
      <c r="F137" s="99">
        <v>0.1</v>
      </c>
      <c r="G137" s="99">
        <v>0.1</v>
      </c>
      <c r="H137" s="99">
        <v>0.1</v>
      </c>
      <c r="I137" s="99">
        <v>0.1</v>
      </c>
      <c r="J137" s="99">
        <v>0.1</v>
      </c>
      <c r="K137" s="99">
        <v>0.1</v>
      </c>
      <c r="L137" s="99">
        <v>0.1</v>
      </c>
      <c r="M137" s="99">
        <v>0.1</v>
      </c>
      <c r="N137" s="99">
        <v>0.1</v>
      </c>
      <c r="O137" s="99">
        <v>0.1</v>
      </c>
      <c r="P137" s="90"/>
      <c r="Q137" s="90"/>
      <c r="R137" s="90"/>
      <c r="S137" s="94">
        <f t="shared" si="13"/>
        <v>0.99999999999999989</v>
      </c>
    </row>
    <row r="138" spans="1:19" s="31" customFormat="1" hidden="1" outlineLevel="1" x14ac:dyDescent="0.75">
      <c r="A138" s="35"/>
      <c r="B138" s="64">
        <f>'Expenses w MYP'!C106</f>
        <v>0</v>
      </c>
      <c r="C138" s="64">
        <f>'Expenses w MYP'!D106</f>
        <v>0</v>
      </c>
      <c r="D138" s="87"/>
      <c r="E138" s="87"/>
      <c r="F138" s="99">
        <v>0.1</v>
      </c>
      <c r="G138" s="99">
        <v>0.1</v>
      </c>
      <c r="H138" s="99">
        <v>0.1</v>
      </c>
      <c r="I138" s="99">
        <v>0.1</v>
      </c>
      <c r="J138" s="99">
        <v>0.1</v>
      </c>
      <c r="K138" s="99">
        <v>0.1</v>
      </c>
      <c r="L138" s="99">
        <v>0.1</v>
      </c>
      <c r="M138" s="99">
        <v>0.1</v>
      </c>
      <c r="N138" s="99">
        <v>0.1</v>
      </c>
      <c r="O138" s="99">
        <v>0.1</v>
      </c>
      <c r="P138" s="90"/>
      <c r="Q138" s="90"/>
      <c r="R138" s="90"/>
      <c r="S138" s="94">
        <f t="shared" si="13"/>
        <v>0.99999999999999989</v>
      </c>
    </row>
    <row r="139" spans="1:19" s="31" customFormat="1" hidden="1" outlineLevel="1" x14ac:dyDescent="0.75">
      <c r="A139" s="35"/>
      <c r="B139" s="64">
        <f>'Expenses w MYP'!C107</f>
        <v>0</v>
      </c>
      <c r="C139" s="64">
        <f>'Expenses w MYP'!D107</f>
        <v>0</v>
      </c>
      <c r="D139" s="87"/>
      <c r="E139" s="87"/>
      <c r="F139" s="99">
        <v>0.1</v>
      </c>
      <c r="G139" s="99">
        <v>0.1</v>
      </c>
      <c r="H139" s="99">
        <v>0.1</v>
      </c>
      <c r="I139" s="99">
        <v>0.1</v>
      </c>
      <c r="J139" s="99">
        <v>0.1</v>
      </c>
      <c r="K139" s="99">
        <v>0.1</v>
      </c>
      <c r="L139" s="99">
        <v>0.1</v>
      </c>
      <c r="M139" s="99">
        <v>0.1</v>
      </c>
      <c r="N139" s="99">
        <v>0.1</v>
      </c>
      <c r="O139" s="99">
        <v>0.1</v>
      </c>
      <c r="P139" s="90"/>
      <c r="Q139" s="90"/>
      <c r="R139" s="90"/>
      <c r="S139" s="94">
        <f t="shared" si="13"/>
        <v>0.99999999999999989</v>
      </c>
    </row>
    <row r="140" spans="1:19" s="31" customFormat="1" hidden="1" outlineLevel="1" x14ac:dyDescent="0.75">
      <c r="A140" s="35"/>
      <c r="B140" s="64">
        <f>'Expenses w MYP'!C108</f>
        <v>0</v>
      </c>
      <c r="C140" s="64">
        <f>'Expenses w MYP'!D108</f>
        <v>0</v>
      </c>
      <c r="D140" s="87"/>
      <c r="E140" s="87"/>
      <c r="F140" s="99">
        <v>0.1</v>
      </c>
      <c r="G140" s="99">
        <v>0.1</v>
      </c>
      <c r="H140" s="99">
        <v>0.1</v>
      </c>
      <c r="I140" s="99">
        <v>0.1</v>
      </c>
      <c r="J140" s="99">
        <v>0.1</v>
      </c>
      <c r="K140" s="99">
        <v>0.1</v>
      </c>
      <c r="L140" s="99">
        <v>0.1</v>
      </c>
      <c r="M140" s="99">
        <v>0.1</v>
      </c>
      <c r="N140" s="99">
        <v>0.1</v>
      </c>
      <c r="O140" s="99">
        <v>0.1</v>
      </c>
      <c r="P140" s="90"/>
      <c r="Q140" s="90"/>
      <c r="R140" s="90"/>
      <c r="S140" s="94">
        <f>SUM(D140:R140)</f>
        <v>0.99999999999999989</v>
      </c>
    </row>
    <row r="141" spans="1:19" s="31" customFormat="1" collapsed="1" x14ac:dyDescent="0.75">
      <c r="A141" s="35"/>
      <c r="B141" s="64" t="str">
        <f>'Expenses w MYP'!C109</f>
        <v>5901</v>
      </c>
      <c r="C141" s="64" t="str">
        <f>'Expenses w MYP'!D109</f>
        <v>Scholar Internet Reimbursement</v>
      </c>
      <c r="D141" s="87">
        <v>0.05</v>
      </c>
      <c r="E141" s="87">
        <v>0.05</v>
      </c>
      <c r="F141" s="87">
        <v>0.09</v>
      </c>
      <c r="G141" s="87">
        <v>0.09</v>
      </c>
      <c r="H141" s="87">
        <v>0.09</v>
      </c>
      <c r="I141" s="87">
        <v>0.09</v>
      </c>
      <c r="J141" s="87">
        <v>0.09</v>
      </c>
      <c r="K141" s="87">
        <v>0.09</v>
      </c>
      <c r="L141" s="87">
        <v>0.09</v>
      </c>
      <c r="M141" s="87">
        <v>0.09</v>
      </c>
      <c r="N141" s="87">
        <v>0.09</v>
      </c>
      <c r="O141" s="87">
        <v>0.09</v>
      </c>
      <c r="P141" s="90"/>
      <c r="Q141" s="90"/>
      <c r="R141" s="90"/>
      <c r="S141" s="94">
        <f>SUM(D141:R141)</f>
        <v>0.99999999999999978</v>
      </c>
    </row>
    <row r="142" spans="1:19" s="31" customFormat="1" x14ac:dyDescent="0.75">
      <c r="A142" s="35"/>
      <c r="B142" s="3"/>
      <c r="C142" s="2"/>
      <c r="D142" s="88"/>
      <c r="E142" s="88"/>
      <c r="F142" s="88"/>
      <c r="G142" s="88"/>
      <c r="H142" s="88"/>
      <c r="I142" s="88"/>
      <c r="J142" s="88"/>
      <c r="K142" s="88"/>
      <c r="L142" s="88"/>
      <c r="M142" s="88"/>
      <c r="N142" s="88"/>
      <c r="O142" s="88"/>
      <c r="P142" s="84"/>
      <c r="Q142" s="84"/>
      <c r="R142" s="84"/>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24" s="31" customFormat="1" x14ac:dyDescent="0.75">
      <c r="A145" s="35"/>
      <c r="B145" s="64" t="str">
        <f>'Expenses w MYP'!C113</f>
        <v>6900</v>
      </c>
      <c r="C145" s="64" t="str">
        <f>'Expenses w MYP'!D113</f>
        <v xml:space="preserve">Depreciation Expense                                                            </v>
      </c>
      <c r="D145" s="87">
        <v>0.33</v>
      </c>
      <c r="E145" s="87">
        <v>0.34</v>
      </c>
      <c r="F145" s="87">
        <v>0.33</v>
      </c>
      <c r="G145" s="87"/>
      <c r="H145" s="87"/>
      <c r="I145" s="90"/>
      <c r="J145" s="90"/>
      <c r="K145" s="90"/>
      <c r="L145" s="90"/>
      <c r="M145" s="90"/>
      <c r="N145" s="90"/>
      <c r="O145" s="90"/>
      <c r="P145" s="90"/>
      <c r="Q145" s="90"/>
      <c r="R145" s="90"/>
      <c r="S145" s="94">
        <f>SUM(D145:R145)</f>
        <v>1</v>
      </c>
    </row>
    <row r="146" spans="1:24" s="31" customFormat="1" x14ac:dyDescent="0.75">
      <c r="A146" s="35"/>
      <c r="B146" s="3"/>
      <c r="C146" s="2"/>
      <c r="D146" s="88"/>
      <c r="E146" s="88"/>
      <c r="F146" s="88"/>
      <c r="G146" s="88"/>
      <c r="H146" s="88"/>
      <c r="I146" s="84"/>
      <c r="J146" s="84"/>
      <c r="K146" s="84"/>
      <c r="L146" s="84"/>
      <c r="M146" s="84"/>
      <c r="N146" s="84"/>
      <c r="O146" s="84"/>
      <c r="P146" s="84"/>
      <c r="Q146" s="84"/>
      <c r="R146" s="84"/>
      <c r="S146" s="94"/>
    </row>
    <row r="147" spans="1:24" s="31" customFormat="1" x14ac:dyDescent="0.75">
      <c r="A147" s="35"/>
      <c r="B147" s="3"/>
      <c r="C147" s="2"/>
      <c r="D147" s="84"/>
      <c r="E147" s="91"/>
      <c r="F147" s="91"/>
      <c r="G147" s="84"/>
      <c r="H147" s="84"/>
      <c r="I147" s="84"/>
      <c r="J147" s="84"/>
      <c r="K147" s="84"/>
      <c r="L147" s="84"/>
      <c r="M147" s="84"/>
      <c r="N147" s="84"/>
      <c r="O147" s="84"/>
      <c r="P147" s="84"/>
      <c r="Q147" s="84"/>
      <c r="R147" s="84"/>
    </row>
    <row r="148" spans="1:24" s="31" customFormat="1" x14ac:dyDescent="0.75">
      <c r="B148" s="34" t="s">
        <v>722</v>
      </c>
      <c r="C148" s="2"/>
      <c r="D148" s="84"/>
      <c r="E148" s="91"/>
      <c r="F148" s="91"/>
      <c r="G148" s="84"/>
      <c r="H148" s="84"/>
      <c r="I148" s="84"/>
      <c r="J148" s="84"/>
      <c r="K148" s="84"/>
      <c r="L148" s="84"/>
      <c r="M148" s="84"/>
      <c r="N148" s="84"/>
      <c r="O148" s="84"/>
      <c r="P148" s="84"/>
      <c r="Q148" s="84"/>
      <c r="R148" s="84"/>
    </row>
    <row r="149" spans="1:24" s="31" customFormat="1" x14ac:dyDescent="0.75">
      <c r="A149" s="35"/>
      <c r="B149" s="64" t="str">
        <f>'Expenses w MYP'!C117</f>
        <v>7010</v>
      </c>
      <c r="C149" s="64" t="str">
        <f>'Expenses w MYP'!D117</f>
        <v>Special Education Encroachment</v>
      </c>
      <c r="D149" s="87"/>
      <c r="E149" s="87"/>
      <c r="F149" s="99">
        <v>0.1</v>
      </c>
      <c r="G149" s="99">
        <v>0.1</v>
      </c>
      <c r="H149" s="99">
        <v>0.1</v>
      </c>
      <c r="I149" s="99">
        <v>0.1</v>
      </c>
      <c r="J149" s="99">
        <v>0.1</v>
      </c>
      <c r="K149" s="99">
        <v>0.1</v>
      </c>
      <c r="L149" s="99">
        <v>0.1</v>
      </c>
      <c r="M149" s="99">
        <v>0.1</v>
      </c>
      <c r="N149" s="99">
        <v>0.1</v>
      </c>
      <c r="O149" s="99">
        <v>0.1</v>
      </c>
      <c r="P149" s="90"/>
      <c r="Q149" s="90"/>
      <c r="R149" s="90"/>
      <c r="S149" s="94">
        <f>SUM(D149:R149)</f>
        <v>0.99999999999999989</v>
      </c>
    </row>
    <row r="150" spans="1:24" s="31" customFormat="1" x14ac:dyDescent="0.75">
      <c r="A150" s="35"/>
      <c r="B150" s="64" t="str">
        <f>'Expenses w MYP'!C118</f>
        <v>7438</v>
      </c>
      <c r="C150" s="64" t="str">
        <f>'Expenses w MYP'!D118</f>
        <v>Debt Service - Interest</v>
      </c>
      <c r="D150" s="87"/>
      <c r="E150" s="87"/>
      <c r="F150" s="99">
        <v>0.1</v>
      </c>
      <c r="G150" s="99">
        <v>0.1</v>
      </c>
      <c r="H150" s="99">
        <v>0.1</v>
      </c>
      <c r="I150" s="99">
        <v>0.1</v>
      </c>
      <c r="J150" s="99">
        <v>0.1</v>
      </c>
      <c r="K150" s="99">
        <v>0.1</v>
      </c>
      <c r="L150" s="99">
        <v>0.1</v>
      </c>
      <c r="M150" s="99">
        <v>0.1</v>
      </c>
      <c r="N150" s="99">
        <v>0.1</v>
      </c>
      <c r="O150" s="99">
        <v>0.1</v>
      </c>
      <c r="P150" s="90"/>
      <c r="Q150" s="90"/>
      <c r="R150" s="90"/>
      <c r="S150" s="94">
        <f>SUM(D150:R150)</f>
        <v>0.99999999999999989</v>
      </c>
    </row>
    <row r="151" spans="1:24" s="31" customFormat="1" x14ac:dyDescent="0.75">
      <c r="A151" s="35"/>
      <c r="B151" s="39"/>
      <c r="C151" s="1"/>
      <c r="D151" s="92"/>
      <c r="E151" s="92"/>
      <c r="F151" s="92"/>
      <c r="G151" s="92"/>
      <c r="H151" s="92"/>
      <c r="I151" s="92"/>
      <c r="J151" s="92"/>
      <c r="K151" s="92"/>
      <c r="L151" s="92"/>
      <c r="M151" s="92"/>
      <c r="N151" s="92"/>
      <c r="O151" s="92"/>
      <c r="P151" s="92"/>
      <c r="Q151" s="92"/>
      <c r="R151" s="92"/>
    </row>
    <row r="152" spans="1:24" s="31" customFormat="1" x14ac:dyDescent="0.75">
      <c r="A152" s="35"/>
      <c r="B152" s="39"/>
      <c r="C152" s="1"/>
      <c r="D152" s="84"/>
      <c r="E152" s="84"/>
      <c r="F152" s="84"/>
      <c r="G152" s="84"/>
      <c r="H152" s="84"/>
      <c r="I152" s="84"/>
      <c r="J152" s="84"/>
      <c r="K152" s="84"/>
      <c r="L152" s="84"/>
      <c r="M152" s="84"/>
      <c r="N152" s="84"/>
      <c r="O152" s="84"/>
      <c r="P152" s="84"/>
      <c r="Q152" s="84"/>
      <c r="R152" s="84"/>
      <c r="T152" s="134" t="s">
        <v>824</v>
      </c>
    </row>
    <row r="153" spans="1:24" s="31" customFormat="1" x14ac:dyDescent="0.75">
      <c r="A153" s="35"/>
      <c r="B153" s="34" t="s">
        <v>818</v>
      </c>
      <c r="C153" s="2"/>
      <c r="D153" s="84"/>
      <c r="E153" s="91"/>
      <c r="F153" s="91"/>
      <c r="G153" s="84"/>
      <c r="H153" s="84"/>
      <c r="I153" s="84"/>
      <c r="J153" s="84"/>
      <c r="K153" s="84"/>
      <c r="L153" s="84"/>
      <c r="M153" s="84"/>
      <c r="N153" s="84"/>
      <c r="O153" s="84"/>
      <c r="P153" s="84"/>
      <c r="Q153" s="84"/>
      <c r="R153" s="84"/>
      <c r="T153" s="31">
        <f>A3</f>
        <v>0</v>
      </c>
    </row>
    <row r="154" spans="1:24" s="31" customFormat="1" x14ac:dyDescent="0.75">
      <c r="A154" s="35"/>
      <c r="B154" s="64"/>
      <c r="C154" s="117" t="s">
        <v>819</v>
      </c>
      <c r="D154" s="87">
        <v>1</v>
      </c>
      <c r="E154" s="87"/>
      <c r="F154" s="87"/>
      <c r="G154" s="87"/>
      <c r="H154" s="87"/>
      <c r="I154" s="87"/>
      <c r="J154" s="87"/>
      <c r="K154" s="87"/>
      <c r="L154" s="87"/>
      <c r="M154" s="87"/>
      <c r="N154" s="87"/>
      <c r="O154" s="87"/>
      <c r="P154" s="90"/>
      <c r="Q154" s="90"/>
      <c r="R154" s="90"/>
      <c r="S154" s="94">
        <f>SUM(D154:R154)</f>
        <v>1</v>
      </c>
      <c r="T154" s="130">
        <v>200000</v>
      </c>
      <c r="U154" s="130"/>
      <c r="V154" s="130"/>
      <c r="W154" s="130"/>
      <c r="X154" s="130"/>
    </row>
    <row r="155" spans="1:24" s="31" customFormat="1" x14ac:dyDescent="0.75">
      <c r="A155" s="35"/>
      <c r="B155" s="64"/>
      <c r="C155" s="117" t="s">
        <v>1245</v>
      </c>
      <c r="D155" s="87">
        <v>0.5</v>
      </c>
      <c r="E155" s="87">
        <v>0.35</v>
      </c>
      <c r="F155" s="99">
        <v>0.15</v>
      </c>
      <c r="G155" s="99"/>
      <c r="H155" s="99"/>
      <c r="I155" s="99"/>
      <c r="J155" s="99"/>
      <c r="K155" s="99"/>
      <c r="L155" s="99"/>
      <c r="M155" s="99"/>
      <c r="N155" s="99"/>
      <c r="O155" s="99"/>
      <c r="P155" s="90"/>
      <c r="Q155" s="90"/>
      <c r="R155" s="90"/>
      <c r="S155" s="94">
        <f>SUM(D155:R155)</f>
        <v>1</v>
      </c>
      <c r="T155" s="130">
        <v>25000</v>
      </c>
      <c r="U155" s="130"/>
      <c r="V155" s="130"/>
      <c r="W155" s="130"/>
      <c r="X155" s="130"/>
    </row>
    <row r="156" spans="1:24" s="31" customFormat="1" x14ac:dyDescent="0.75">
      <c r="A156" s="35"/>
      <c r="B156" s="64"/>
      <c r="C156" s="117" t="s">
        <v>1246</v>
      </c>
      <c r="D156" s="87">
        <v>0.75</v>
      </c>
      <c r="E156" s="87">
        <v>0.2</v>
      </c>
      <c r="F156" s="87">
        <v>0.05</v>
      </c>
      <c r="G156" s="87"/>
      <c r="H156" s="87"/>
      <c r="I156" s="90"/>
      <c r="J156" s="90"/>
      <c r="K156" s="90"/>
      <c r="L156" s="90"/>
      <c r="M156" s="90"/>
      <c r="N156" s="90"/>
      <c r="O156" s="90"/>
      <c r="P156" s="90"/>
      <c r="Q156" s="90"/>
      <c r="R156" s="90"/>
      <c r="S156" s="94">
        <f>SUM(D156:R156)</f>
        <v>1</v>
      </c>
      <c r="T156" s="130">
        <v>35000</v>
      </c>
      <c r="U156" s="200" t="s">
        <v>1247</v>
      </c>
      <c r="V156" s="130"/>
      <c r="W156" s="130"/>
      <c r="X156" s="130"/>
    </row>
    <row r="157" spans="1:24" s="39" customFormat="1" x14ac:dyDescent="0.75">
      <c r="A157" s="35"/>
      <c r="B157" s="64"/>
      <c r="C157" s="117" t="s">
        <v>1248</v>
      </c>
      <c r="D157" s="87"/>
      <c r="E157" s="87"/>
      <c r="F157" s="102">
        <f>F150</f>
        <v>0.1</v>
      </c>
      <c r="G157" s="102">
        <f t="shared" ref="G157:O157" si="14">G150</f>
        <v>0.1</v>
      </c>
      <c r="H157" s="102">
        <f t="shared" si="14"/>
        <v>0.1</v>
      </c>
      <c r="I157" s="102">
        <f t="shared" si="14"/>
        <v>0.1</v>
      </c>
      <c r="J157" s="102">
        <f t="shared" si="14"/>
        <v>0.1</v>
      </c>
      <c r="K157" s="102">
        <f t="shared" si="14"/>
        <v>0.1</v>
      </c>
      <c r="L157" s="102">
        <f t="shared" si="14"/>
        <v>0.1</v>
      </c>
      <c r="M157" s="102">
        <f t="shared" si="14"/>
        <v>0.1</v>
      </c>
      <c r="N157" s="102">
        <f t="shared" si="14"/>
        <v>0.1</v>
      </c>
      <c r="O157" s="102">
        <f t="shared" si="14"/>
        <v>0.1</v>
      </c>
      <c r="P157" s="90"/>
      <c r="Q157" s="90"/>
      <c r="R157" s="90"/>
      <c r="S157" s="94">
        <f>SUM(D157:R157)</f>
        <v>0.99999999999999989</v>
      </c>
      <c r="T157" s="130">
        <v>50000</v>
      </c>
      <c r="U157" s="200" t="s">
        <v>1249</v>
      </c>
      <c r="V157" s="130"/>
      <c r="W157" s="130"/>
      <c r="X157" s="130"/>
    </row>
    <row r="158" spans="1:24" s="39" customFormat="1" x14ac:dyDescent="0.75">
      <c r="A158" s="35"/>
      <c r="C158" s="1"/>
      <c r="D158" s="84"/>
      <c r="E158" s="84"/>
      <c r="F158" s="84"/>
      <c r="G158" s="84"/>
      <c r="H158" s="84"/>
      <c r="I158" s="84"/>
      <c r="J158" s="84"/>
      <c r="K158" s="84"/>
      <c r="L158" s="84"/>
      <c r="M158" s="84"/>
      <c r="N158" s="84"/>
      <c r="O158" s="84"/>
      <c r="P158" s="84"/>
      <c r="Q158" s="84"/>
      <c r="R158" s="84"/>
    </row>
    <row r="159" spans="1:24" s="39" customFormat="1" x14ac:dyDescent="0.75">
      <c r="A159" s="35"/>
      <c r="C159" s="1"/>
      <c r="D159" s="84"/>
      <c r="E159" s="84"/>
      <c r="F159" s="84"/>
      <c r="G159" s="84"/>
      <c r="H159" s="84"/>
      <c r="I159" s="84"/>
      <c r="J159" s="84"/>
      <c r="K159" s="84"/>
      <c r="L159" s="84"/>
      <c r="M159" s="84"/>
      <c r="N159" s="84"/>
      <c r="O159" s="84"/>
      <c r="P159" s="84"/>
      <c r="Q159" s="84"/>
      <c r="R159" s="84"/>
    </row>
    <row r="160" spans="1:24" s="39" customFormat="1" x14ac:dyDescent="0.75">
      <c r="A160" s="35"/>
      <c r="C160" s="1"/>
      <c r="D160" s="84"/>
      <c r="E160" s="84"/>
      <c r="F160" s="84"/>
      <c r="G160" s="84"/>
      <c r="H160" s="84"/>
      <c r="I160" s="84"/>
      <c r="J160" s="84"/>
      <c r="K160" s="84"/>
      <c r="L160" s="84"/>
      <c r="M160" s="84"/>
      <c r="N160" s="84"/>
      <c r="O160" s="84"/>
      <c r="P160" s="84"/>
      <c r="Q160" s="84"/>
      <c r="R160" s="84"/>
    </row>
    <row r="161" spans="1:18" s="39" customFormat="1" x14ac:dyDescent="0.75">
      <c r="A161" s="35"/>
      <c r="C161" s="1"/>
      <c r="D161" s="84"/>
      <c r="E161" s="84"/>
      <c r="F161" s="84"/>
      <c r="G161" s="84"/>
      <c r="H161" s="84"/>
      <c r="I161" s="84"/>
      <c r="J161" s="84"/>
      <c r="K161" s="84"/>
      <c r="L161" s="84"/>
      <c r="M161" s="84"/>
      <c r="N161" s="84"/>
      <c r="O161" s="84"/>
      <c r="P161" s="84"/>
      <c r="Q161" s="84"/>
      <c r="R161" s="84"/>
    </row>
    <row r="162" spans="1:18" s="39" customFormat="1" x14ac:dyDescent="0.75">
      <c r="A162" s="35"/>
      <c r="C162" s="1"/>
      <c r="D162" s="84"/>
      <c r="E162" s="84"/>
      <c r="F162" s="84"/>
      <c r="G162" s="84"/>
      <c r="H162" s="84"/>
      <c r="I162" s="84"/>
      <c r="J162" s="84"/>
      <c r="K162" s="84"/>
      <c r="L162" s="84"/>
      <c r="M162" s="84"/>
      <c r="N162" s="84"/>
      <c r="O162" s="84"/>
      <c r="P162" s="84"/>
      <c r="Q162" s="84"/>
      <c r="R162" s="84"/>
    </row>
    <row r="163" spans="1:18" s="39" customFormat="1" x14ac:dyDescent="0.75">
      <c r="A163" s="35"/>
      <c r="C163" s="1"/>
      <c r="D163" s="84"/>
      <c r="E163" s="84"/>
      <c r="F163" s="84"/>
      <c r="G163" s="84"/>
      <c r="H163" s="84"/>
      <c r="I163" s="84"/>
      <c r="J163" s="84"/>
      <c r="K163" s="84"/>
      <c r="L163" s="84"/>
      <c r="M163" s="84"/>
      <c r="N163" s="84"/>
      <c r="O163" s="84"/>
      <c r="P163" s="84"/>
      <c r="Q163" s="84"/>
      <c r="R163" s="84"/>
    </row>
    <row r="164" spans="1:18" s="39" customFormat="1" x14ac:dyDescent="0.75">
      <c r="A164" s="35"/>
      <c r="C164" s="1"/>
      <c r="D164" s="84"/>
      <c r="E164" s="84"/>
      <c r="F164" s="84"/>
      <c r="G164" s="84"/>
      <c r="H164" s="84"/>
      <c r="I164" s="84"/>
      <c r="J164" s="84"/>
      <c r="K164" s="84"/>
      <c r="L164" s="84"/>
      <c r="M164" s="84"/>
      <c r="N164" s="84"/>
      <c r="O164" s="84"/>
      <c r="P164" s="84"/>
      <c r="Q164" s="84"/>
      <c r="R164" s="84"/>
    </row>
    <row r="165" spans="1:18" s="39" customFormat="1" x14ac:dyDescent="0.75">
      <c r="A165" s="35"/>
      <c r="C165" s="1"/>
      <c r="D165" s="84"/>
      <c r="E165" s="84"/>
      <c r="F165" s="84"/>
      <c r="G165" s="84"/>
      <c r="H165" s="84"/>
      <c r="I165" s="84"/>
      <c r="J165" s="84"/>
      <c r="K165" s="84"/>
      <c r="L165" s="84"/>
      <c r="M165" s="84"/>
      <c r="N165" s="84"/>
      <c r="O165" s="84"/>
      <c r="P165" s="84"/>
      <c r="Q165" s="84"/>
      <c r="R165" s="84"/>
    </row>
  </sheetData>
  <pageMargins left="0.25" right="0.25" top="0.5" bottom="0.5" header="0.25" footer="0.25"/>
  <pageSetup scale="64" fitToHeight="3" orientation="landscape" r:id="rId1"/>
  <headerFooter alignWithMargins="0">
    <oddHeader>&amp;A</oddHeader>
    <oddFooter>Page &amp;P</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249977111117893"/>
    <pageSetUpPr fitToPage="1"/>
  </sheetPr>
  <dimension ref="A1:X169"/>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7.86328125" style="84" customWidth="1"/>
    <col min="19" max="19" width="10.31640625" style="1" bestFit="1" customWidth="1"/>
    <col min="20" max="24" width="11.54296875" style="1" customWidth="1"/>
    <col min="25"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c r="D1" s="160" t="s">
        <v>1061</v>
      </c>
    </row>
    <row r="2" spans="1:19" ht="17.75" x14ac:dyDescent="0.75">
      <c r="A2" s="21" t="s">
        <v>798</v>
      </c>
      <c r="D2" s="160" t="s">
        <v>1060</v>
      </c>
    </row>
    <row r="3" spans="1:19" ht="17.75" x14ac:dyDescent="0.75">
      <c r="A3" s="21">
        <f>'Cash Flow $s Yr2'!A3</f>
        <v>0</v>
      </c>
    </row>
    <row r="5" spans="1:19" ht="17.75" x14ac:dyDescent="0.75">
      <c r="A5" s="29"/>
      <c r="B5" s="40"/>
      <c r="C5" s="29"/>
      <c r="D5" s="85"/>
      <c r="E5" s="85"/>
      <c r="F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95" t="s">
        <v>811</v>
      </c>
      <c r="D8" s="96" t="s">
        <v>781</v>
      </c>
      <c r="F8" s="85"/>
      <c r="G8" s="85"/>
      <c r="H8" s="85"/>
      <c r="I8" s="31"/>
      <c r="J8" s="31"/>
      <c r="K8" s="85"/>
      <c r="L8" s="85"/>
      <c r="M8" s="85"/>
      <c r="N8" s="85"/>
      <c r="O8" s="85"/>
      <c r="P8" s="85"/>
      <c r="Q8" s="85"/>
      <c r="R8" s="85"/>
    </row>
    <row r="9" spans="1:19" ht="17.75" x14ac:dyDescent="0.75">
      <c r="A9" s="29"/>
      <c r="B9" s="40"/>
      <c r="C9" s="1" t="s">
        <v>812</v>
      </c>
      <c r="D9" s="101">
        <f>'Cash Flow %s Yr1'!D9</f>
        <v>0</v>
      </c>
      <c r="E9" s="101">
        <f>'Cash Flow %s Yr1'!E9</f>
        <v>0.05</v>
      </c>
      <c r="F9" s="101">
        <f>'Cash Flow %s Yr1'!F9</f>
        <v>0.05</v>
      </c>
      <c r="G9" s="101">
        <f>'Cash Flow %s Yr1'!G9</f>
        <v>0.09</v>
      </c>
      <c r="H9" s="101">
        <f>'Cash Flow %s Yr1'!H9</f>
        <v>0.09</v>
      </c>
      <c r="I9" s="101">
        <f>'Cash Flow %s Yr1'!I9</f>
        <v>0.09</v>
      </c>
      <c r="J9" s="101">
        <f>'Cash Flow %s Yr1'!J9</f>
        <v>0.09</v>
      </c>
      <c r="K9" s="101">
        <f>'Cash Flow %s Yr1'!K9</f>
        <v>0.09</v>
      </c>
      <c r="L9" s="101">
        <f>'Cash Flow %s Yr1'!L9</f>
        <v>0.09</v>
      </c>
      <c r="M9" s="101">
        <f>'Cash Flow %s Yr1'!M9</f>
        <v>0.09</v>
      </c>
      <c r="N9" s="101">
        <f>'Cash Flow %s Yr1'!N9</f>
        <v>0.09</v>
      </c>
      <c r="O9" s="101">
        <f>'Cash Flow %s Yr1'!O9</f>
        <v>0.09</v>
      </c>
      <c r="P9" s="101">
        <v>0.09</v>
      </c>
      <c r="Q9" s="101">
        <v>0</v>
      </c>
      <c r="R9" s="101">
        <v>0</v>
      </c>
      <c r="S9" s="97">
        <f>SUM(D9:R9)</f>
        <v>0.99999999999999978</v>
      </c>
    </row>
    <row r="10" spans="1:19" ht="17.75" hidden="1" x14ac:dyDescent="0.75">
      <c r="A10" s="29"/>
      <c r="B10" s="40"/>
      <c r="C10" s="1" t="s">
        <v>813</v>
      </c>
      <c r="D10" s="101">
        <f>'Cash Flow %s Yr1'!D10</f>
        <v>0</v>
      </c>
      <c r="E10" s="101">
        <f>'Cash Flow %s Yr1'!E10</f>
        <v>0</v>
      </c>
      <c r="F10" s="101">
        <f>'Cash Flow %s Yr1'!F10</f>
        <v>0</v>
      </c>
      <c r="G10" s="101">
        <f>'Cash Flow %s Yr1'!G10</f>
        <v>0.37</v>
      </c>
      <c r="H10" s="101">
        <f>'Cash Flow %s Yr1'!H10</f>
        <v>0</v>
      </c>
      <c r="I10" s="101">
        <f>'Cash Flow %s Yr1'!I10</f>
        <v>0</v>
      </c>
      <c r="J10" s="101">
        <f>'Cash Flow %s Yr1'!J10</f>
        <v>0.18</v>
      </c>
      <c r="K10" s="101">
        <f>'Cash Flow %s Yr1'!K10</f>
        <v>0</v>
      </c>
      <c r="L10" s="101">
        <f>'Cash Flow %s Yr1'!L10</f>
        <v>0.09</v>
      </c>
      <c r="M10" s="101">
        <f>'Cash Flow %s Yr1'!M10</f>
        <v>0.09</v>
      </c>
      <c r="N10" s="101">
        <f>'Cash Flow %s Yr1'!N10</f>
        <v>0.09</v>
      </c>
      <c r="O10" s="101">
        <f>'Cash Flow %s Yr1'!O10</f>
        <v>0.09</v>
      </c>
      <c r="P10" s="101">
        <f>'Cash Flow %s Yr1'!P10</f>
        <v>0.09</v>
      </c>
      <c r="Q10" s="101">
        <f>'Cash Flow %s Yr1'!Q10</f>
        <v>0</v>
      </c>
      <c r="R10" s="101">
        <f>'Cash Flow %s Yr1'!R10</f>
        <v>0</v>
      </c>
      <c r="S10" s="97">
        <f>SUM(D10:R10)</f>
        <v>0.99999999999999989</v>
      </c>
    </row>
    <row r="11" spans="1:19" s="31" customFormat="1" ht="17.75" x14ac:dyDescent="0.75">
      <c r="B11" s="68" t="s">
        <v>778</v>
      </c>
      <c r="C11" s="47"/>
      <c r="D11" s="194"/>
      <c r="E11" s="194"/>
      <c r="F11" s="194"/>
      <c r="G11" s="194"/>
      <c r="H11" s="194"/>
      <c r="I11" s="194"/>
      <c r="J11" s="194"/>
      <c r="K11" s="194"/>
      <c r="L11" s="194"/>
      <c r="M11" s="194"/>
      <c r="N11" s="194"/>
      <c r="O11" s="194"/>
      <c r="P11" s="194"/>
      <c r="Q11" s="194"/>
      <c r="R11" s="194"/>
      <c r="S11" s="97"/>
    </row>
    <row r="12" spans="1:19" s="31" customFormat="1" x14ac:dyDescent="0.75">
      <c r="A12" s="48"/>
      <c r="B12" s="63" t="str">
        <f>'Revenue w MYP'!C8</f>
        <v>8011</v>
      </c>
      <c r="C12" s="63" t="str">
        <f>'Revenue w MYP'!D8</f>
        <v>LCFF; state aid portion</v>
      </c>
      <c r="D12" s="101">
        <f>D$9</f>
        <v>0</v>
      </c>
      <c r="E12" s="101">
        <f t="shared" ref="E12:R12" si="0">E$9</f>
        <v>0.05</v>
      </c>
      <c r="F12" s="101">
        <f t="shared" si="0"/>
        <v>0.05</v>
      </c>
      <c r="G12" s="101">
        <f t="shared" si="0"/>
        <v>0.09</v>
      </c>
      <c r="H12" s="101">
        <f t="shared" si="0"/>
        <v>0.09</v>
      </c>
      <c r="I12" s="101">
        <f t="shared" si="0"/>
        <v>0.09</v>
      </c>
      <c r="J12" s="101">
        <f t="shared" si="0"/>
        <v>0.09</v>
      </c>
      <c r="K12" s="101">
        <f t="shared" si="0"/>
        <v>0.09</v>
      </c>
      <c r="L12" s="101">
        <f t="shared" si="0"/>
        <v>0.09</v>
      </c>
      <c r="M12" s="101">
        <f t="shared" si="0"/>
        <v>0.09</v>
      </c>
      <c r="N12" s="101">
        <f t="shared" si="0"/>
        <v>0.09</v>
      </c>
      <c r="O12" s="101">
        <f t="shared" si="0"/>
        <v>0.09</v>
      </c>
      <c r="P12" s="101">
        <f t="shared" si="0"/>
        <v>0.09</v>
      </c>
      <c r="Q12" s="101">
        <f t="shared" si="0"/>
        <v>0</v>
      </c>
      <c r="R12" s="101">
        <f t="shared" si="0"/>
        <v>0</v>
      </c>
      <c r="S12" s="97">
        <f t="shared" ref="S12:S21" si="1">SUM(D12:R12)</f>
        <v>0.99999999999999978</v>
      </c>
    </row>
    <row r="13" spans="1:19" s="31" customFormat="1" x14ac:dyDescent="0.75">
      <c r="A13" s="48"/>
      <c r="B13" s="63" t="str">
        <f>'Revenue w MYP'!C9</f>
        <v>8012</v>
      </c>
      <c r="C13" s="63" t="str">
        <f>'Revenue w MYP'!D9</f>
        <v>LCFF; EPA portion</v>
      </c>
      <c r="D13" s="100">
        <v>0</v>
      </c>
      <c r="E13" s="100">
        <v>0</v>
      </c>
      <c r="F13" s="100">
        <v>0</v>
      </c>
      <c r="G13" s="100">
        <v>0.25</v>
      </c>
      <c r="H13" s="100">
        <v>0</v>
      </c>
      <c r="I13" s="100">
        <v>0</v>
      </c>
      <c r="J13" s="100">
        <v>0.25</v>
      </c>
      <c r="K13" s="100">
        <v>0</v>
      </c>
      <c r="L13" s="100">
        <v>0</v>
      </c>
      <c r="M13" s="100">
        <v>0.25</v>
      </c>
      <c r="N13" s="100">
        <v>0</v>
      </c>
      <c r="O13" s="100">
        <v>0</v>
      </c>
      <c r="P13" s="100">
        <v>0.25</v>
      </c>
      <c r="Q13" s="100">
        <v>0</v>
      </c>
      <c r="R13" s="100">
        <v>0</v>
      </c>
      <c r="S13" s="97">
        <f t="shared" si="1"/>
        <v>1</v>
      </c>
    </row>
    <row r="14" spans="1:19" s="31" customFormat="1" x14ac:dyDescent="0.75">
      <c r="A14" s="48"/>
      <c r="B14" s="63" t="str">
        <f>'Revenue w MYP'!C10</f>
        <v>8096</v>
      </c>
      <c r="C14" s="63" t="str">
        <f>'Revenue w MYP'!D10</f>
        <v>In-Lieu of Property Taxes, all grades</v>
      </c>
      <c r="D14" s="100">
        <v>0</v>
      </c>
      <c r="E14" s="100">
        <f>'Cash Flow %s Yr1'!E14</f>
        <v>0.06</v>
      </c>
      <c r="F14" s="100">
        <f>'Cash Flow %s Yr1'!F14</f>
        <v>0.12</v>
      </c>
      <c r="G14" s="100">
        <f>'Cash Flow %s Yr1'!G14</f>
        <v>0.08</v>
      </c>
      <c r="H14" s="100">
        <f>'Cash Flow %s Yr1'!H14</f>
        <v>0.08</v>
      </c>
      <c r="I14" s="100">
        <f>'Cash Flow %s Yr1'!I14</f>
        <v>0.08</v>
      </c>
      <c r="J14" s="100">
        <f>'Cash Flow %s Yr1'!J14</f>
        <v>0.08</v>
      </c>
      <c r="K14" s="100">
        <f>'Cash Flow %s Yr1'!K14</f>
        <v>0.08</v>
      </c>
      <c r="L14" s="100">
        <f>'Cash Flow %s Yr1'!L14</f>
        <v>0.14000000000000001</v>
      </c>
      <c r="M14" s="100">
        <f>'Cash Flow %s Yr1'!M14</f>
        <v>7.0000000000000007E-2</v>
      </c>
      <c r="N14" s="100">
        <f>'Cash Flow %s Yr1'!N14</f>
        <v>7.0000000000000007E-2</v>
      </c>
      <c r="O14" s="100">
        <f>'Cash Flow %s Yr1'!O14</f>
        <v>7.0000000000000007E-2</v>
      </c>
      <c r="P14" s="100">
        <f>'Cash Flow %s Yr1'!P14</f>
        <v>7.0000000000000007E-2</v>
      </c>
      <c r="Q14" s="100">
        <v>0</v>
      </c>
      <c r="R14" s="100">
        <v>0</v>
      </c>
      <c r="S14" s="97">
        <f t="shared" si="1"/>
        <v>1.0000000000000002</v>
      </c>
    </row>
    <row r="15" spans="1:19" s="31" customFormat="1" x14ac:dyDescent="0.75">
      <c r="A15" s="48"/>
      <c r="B15" s="63" t="str">
        <f>'Revenue w MYP'!C11</f>
        <v>8019</v>
      </c>
      <c r="C15" s="63" t="str">
        <f>'Revenue w MYP'!D11</f>
        <v>Prior Year Income / Adjustments</v>
      </c>
      <c r="D15" s="101">
        <f>'Cash Flow %s Yr1'!D15</f>
        <v>1</v>
      </c>
      <c r="E15" s="101">
        <f>'Cash Flow %s Yr1'!E15</f>
        <v>0</v>
      </c>
      <c r="F15" s="101">
        <f>'Cash Flow %s Yr1'!F15</f>
        <v>0</v>
      </c>
      <c r="G15" s="101">
        <f>'Cash Flow %s Yr1'!G15</f>
        <v>0</v>
      </c>
      <c r="H15" s="101">
        <f>'Cash Flow %s Yr1'!H15</f>
        <v>0</v>
      </c>
      <c r="I15" s="101">
        <f>'Cash Flow %s Yr1'!I15</f>
        <v>0</v>
      </c>
      <c r="J15" s="101">
        <f>'Cash Flow %s Yr1'!J15</f>
        <v>0</v>
      </c>
      <c r="K15" s="101">
        <f>'Cash Flow %s Yr1'!K15</f>
        <v>0</v>
      </c>
      <c r="L15" s="101">
        <f>'Cash Flow %s Yr1'!L15</f>
        <v>0</v>
      </c>
      <c r="M15" s="101">
        <f>'Cash Flow %s Yr1'!M15</f>
        <v>0</v>
      </c>
      <c r="N15" s="101">
        <f>'Cash Flow %s Yr1'!N15</f>
        <v>0</v>
      </c>
      <c r="O15" s="101">
        <f>'Cash Flow %s Yr1'!O15</f>
        <v>0</v>
      </c>
      <c r="P15" s="101">
        <f>'Cash Flow %s Yr1'!P15</f>
        <v>0</v>
      </c>
      <c r="Q15" s="101">
        <f>'Cash Flow %s Yr1'!Q15</f>
        <v>0</v>
      </c>
      <c r="R15" s="101">
        <f>'Cash Flow %s Yr1'!R15</f>
        <v>0</v>
      </c>
      <c r="S15" s="97">
        <f t="shared" si="1"/>
        <v>1</v>
      </c>
    </row>
    <row r="16" spans="1:19" s="31" customFormat="1" x14ac:dyDescent="0.75">
      <c r="A16" s="48"/>
      <c r="B16" s="63" t="str">
        <f>'Revenue w MYP'!C12</f>
        <v>8520</v>
      </c>
      <c r="C16" s="63" t="str">
        <f>'Revenue w MYP'!D12</f>
        <v>State Child Nutrition program</v>
      </c>
      <c r="D16" s="101">
        <f>'Cash Flow %s Yr1'!D16</f>
        <v>0</v>
      </c>
      <c r="E16" s="101">
        <f>'Cash Flow %s Yr1'!E16</f>
        <v>0.05</v>
      </c>
      <c r="F16" s="101">
        <f>'Cash Flow %s Yr1'!F16</f>
        <v>0.05</v>
      </c>
      <c r="G16" s="101">
        <f>'Cash Flow %s Yr1'!G16</f>
        <v>0.09</v>
      </c>
      <c r="H16" s="101">
        <f>'Cash Flow %s Yr1'!H16</f>
        <v>0.09</v>
      </c>
      <c r="I16" s="101">
        <f>'Cash Flow %s Yr1'!I16</f>
        <v>0.09</v>
      </c>
      <c r="J16" s="101">
        <f>'Cash Flow %s Yr1'!J16</f>
        <v>0.09</v>
      </c>
      <c r="K16" s="101">
        <f>'Cash Flow %s Yr1'!K16</f>
        <v>0.09</v>
      </c>
      <c r="L16" s="101">
        <f>'Cash Flow %s Yr1'!L16</f>
        <v>0.09</v>
      </c>
      <c r="M16" s="101">
        <f>'Cash Flow %s Yr1'!M16</f>
        <v>0.09</v>
      </c>
      <c r="N16" s="101">
        <f>'Cash Flow %s Yr1'!N16</f>
        <v>0.09</v>
      </c>
      <c r="O16" s="101">
        <f>'Cash Flow %s Yr1'!O16</f>
        <v>0.09</v>
      </c>
      <c r="P16" s="101">
        <f>'Cash Flow %s Yr1'!P16</f>
        <v>0.09</v>
      </c>
      <c r="Q16" s="101">
        <f>'Cash Flow %s Yr1'!Q16</f>
        <v>0</v>
      </c>
      <c r="R16" s="101">
        <f>'Cash Flow %s Yr1'!R16</f>
        <v>0</v>
      </c>
      <c r="S16" s="97">
        <f t="shared" si="1"/>
        <v>0.99999999999999978</v>
      </c>
    </row>
    <row r="17" spans="1:20" s="31" customFormat="1" x14ac:dyDescent="0.75">
      <c r="A17" s="48"/>
      <c r="B17" s="63" t="str">
        <f>'Revenue w MYP'!C14</f>
        <v>8560</v>
      </c>
      <c r="C17" s="63" t="str">
        <f>'Revenue w MYP'!D14</f>
        <v>Restricted Lottery</v>
      </c>
      <c r="D17" s="101" t="str">
        <f>'Cash Flow %s Yr1'!D17</f>
        <v/>
      </c>
      <c r="E17" s="101" t="str">
        <f>'Cash Flow %s Yr1'!E17</f>
        <v/>
      </c>
      <c r="F17" s="101">
        <f>'Cash Flow %s Yr1'!F17</f>
        <v>0</v>
      </c>
      <c r="G17" s="101" t="str">
        <f>'Cash Flow %s Yr1'!G17</f>
        <v/>
      </c>
      <c r="H17" s="101" t="str">
        <f>'Cash Flow %s Yr1'!H17</f>
        <v/>
      </c>
      <c r="I17" s="101">
        <f>'Cash Flow %s Yr1'!I17</f>
        <v>0.25</v>
      </c>
      <c r="J17" s="101" t="str">
        <f>'Cash Flow %s Yr1'!J17</f>
        <v/>
      </c>
      <c r="K17" s="101" t="str">
        <f>'Cash Flow %s Yr1'!K17</f>
        <v/>
      </c>
      <c r="L17" s="101">
        <f>'Cash Flow %s Yr1'!L17</f>
        <v>0.25</v>
      </c>
      <c r="M17" s="101" t="str">
        <f>'Cash Flow %s Yr1'!M17</f>
        <v/>
      </c>
      <c r="N17" s="101" t="str">
        <f>'Cash Flow %s Yr1'!N17</f>
        <v/>
      </c>
      <c r="O17" s="101">
        <f>'Cash Flow %s Yr1'!O17</f>
        <v>0.25</v>
      </c>
      <c r="P17" s="101" t="str">
        <f>'Cash Flow %s Yr1'!P17</f>
        <v/>
      </c>
      <c r="Q17" s="101" t="str">
        <f>'Cash Flow %s Yr1'!Q17</f>
        <v/>
      </c>
      <c r="R17" s="101">
        <f>'Cash Flow %s Yr1'!R17</f>
        <v>0.25</v>
      </c>
      <c r="S17" s="97">
        <f t="shared" si="1"/>
        <v>1</v>
      </c>
      <c r="T17" s="1"/>
    </row>
    <row r="18" spans="1:20" s="31" customFormat="1" x14ac:dyDescent="0.75">
      <c r="A18" s="47"/>
      <c r="B18" s="63" t="str">
        <f>'Revenue w MYP'!C15</f>
        <v>8550</v>
      </c>
      <c r="C18" s="63" t="str">
        <f>'Revenue w MYP'!D15</f>
        <v>Mandate Block Grant</v>
      </c>
      <c r="D18" s="101">
        <f>'Cash Flow %s Yr1'!D18</f>
        <v>0</v>
      </c>
      <c r="E18" s="101">
        <f>'Cash Flow %s Yr1'!E18</f>
        <v>0</v>
      </c>
      <c r="F18" s="101">
        <f>'Cash Flow %s Yr1'!F18</f>
        <v>0</v>
      </c>
      <c r="G18" s="101">
        <f>'Cash Flow %s Yr1'!G18</f>
        <v>0.1</v>
      </c>
      <c r="H18" s="101">
        <f>'Cash Flow %s Yr1'!H18</f>
        <v>0.1</v>
      </c>
      <c r="I18" s="101">
        <f>'Cash Flow %s Yr1'!I18</f>
        <v>0.1</v>
      </c>
      <c r="J18" s="101">
        <f>'Cash Flow %s Yr1'!J18</f>
        <v>0.1</v>
      </c>
      <c r="K18" s="101">
        <f>'Cash Flow %s Yr1'!K18</f>
        <v>0.1</v>
      </c>
      <c r="L18" s="101">
        <f>'Cash Flow %s Yr1'!L18</f>
        <v>0.1</v>
      </c>
      <c r="M18" s="101">
        <f>'Cash Flow %s Yr1'!M18</f>
        <v>0.1</v>
      </c>
      <c r="N18" s="101">
        <f>'Cash Flow %s Yr1'!N18</f>
        <v>0.1</v>
      </c>
      <c r="O18" s="101">
        <f>'Cash Flow %s Yr1'!O18</f>
        <v>0.1</v>
      </c>
      <c r="P18" s="101">
        <f>'Cash Flow %s Yr1'!P18</f>
        <v>0.1</v>
      </c>
      <c r="Q18" s="101">
        <f>'Cash Flow %s Yr1'!Q18</f>
        <v>0</v>
      </c>
      <c r="R18" s="101">
        <f>'Cash Flow %s Yr1'!R18</f>
        <v>0</v>
      </c>
      <c r="S18" s="97">
        <f t="shared" si="1"/>
        <v>0.99999999999999989</v>
      </c>
    </row>
    <row r="19" spans="1:20" s="31" customFormat="1" x14ac:dyDescent="0.75">
      <c r="A19" s="48"/>
      <c r="B19" s="63" t="str">
        <f>'Revenue w MYP'!C17</f>
        <v>8590</v>
      </c>
      <c r="C19" s="63" t="str">
        <f>'Revenue w MYP'!D17</f>
        <v>CSEPDBG</v>
      </c>
      <c r="D19" s="101">
        <f>'Cash Flow %s Yr1'!D19</f>
        <v>0</v>
      </c>
      <c r="E19" s="101">
        <f>'Cash Flow %s Yr1'!E19</f>
        <v>0</v>
      </c>
      <c r="F19" s="101">
        <f>'Cash Flow %s Yr1'!F19</f>
        <v>0</v>
      </c>
      <c r="G19" s="101">
        <f>'Cash Flow %s Yr1'!G19</f>
        <v>0.5</v>
      </c>
      <c r="H19" s="101">
        <f>'Cash Flow %s Yr1'!H19</f>
        <v>0</v>
      </c>
      <c r="I19" s="101">
        <f>'Cash Flow %s Yr1'!I19</f>
        <v>0</v>
      </c>
      <c r="J19" s="101">
        <f>'Cash Flow %s Yr1'!J19</f>
        <v>0</v>
      </c>
      <c r="K19" s="101">
        <f>'Cash Flow %s Yr1'!K19</f>
        <v>0</v>
      </c>
      <c r="L19" s="101">
        <f>'Cash Flow %s Yr1'!L19</f>
        <v>0.5</v>
      </c>
      <c r="M19" s="101">
        <f>'Cash Flow %s Yr1'!M19</f>
        <v>0</v>
      </c>
      <c r="N19" s="101">
        <f>'Cash Flow %s Yr1'!N19</f>
        <v>0</v>
      </c>
      <c r="O19" s="101">
        <f>'Cash Flow %s Yr1'!O19</f>
        <v>0</v>
      </c>
      <c r="P19" s="101">
        <f>'Cash Flow %s Yr1'!P19</f>
        <v>0</v>
      </c>
      <c r="Q19" s="101">
        <f>'Cash Flow %s Yr1'!Q19</f>
        <v>0</v>
      </c>
      <c r="R19" s="101">
        <f>'Cash Flow %s Yr1'!R19</f>
        <v>0</v>
      </c>
      <c r="S19" s="97">
        <f t="shared" si="1"/>
        <v>1</v>
      </c>
    </row>
    <row r="20" spans="1:20" s="31" customFormat="1" ht="17.75" x14ac:dyDescent="0.75">
      <c r="A20" s="29"/>
      <c r="B20" s="63" t="str">
        <f>'Revenue w MYP'!C18</f>
        <v>8550</v>
      </c>
      <c r="C20" s="63" t="str">
        <f>'Revenue w MYP'!D18</f>
        <v>One Time Mandate Block Grant</v>
      </c>
      <c r="D20" s="101">
        <f>'Cash Flow %s Yr1'!D20</f>
        <v>0</v>
      </c>
      <c r="E20" s="101">
        <f>'Cash Flow %s Yr1'!E20</f>
        <v>0.05</v>
      </c>
      <c r="F20" s="101">
        <f>'Cash Flow %s Yr1'!F20</f>
        <v>0.05</v>
      </c>
      <c r="G20" s="101">
        <f>'Cash Flow %s Yr1'!G20</f>
        <v>0.09</v>
      </c>
      <c r="H20" s="101">
        <f>'Cash Flow %s Yr1'!H20</f>
        <v>0.09</v>
      </c>
      <c r="I20" s="101">
        <f>'Cash Flow %s Yr1'!I20</f>
        <v>0.09</v>
      </c>
      <c r="J20" s="101">
        <f>'Cash Flow %s Yr1'!J20</f>
        <v>0.09</v>
      </c>
      <c r="K20" s="101">
        <f>'Cash Flow %s Yr1'!K20</f>
        <v>0.09</v>
      </c>
      <c r="L20" s="101">
        <f>'Cash Flow %s Yr1'!L20</f>
        <v>0.09</v>
      </c>
      <c r="M20" s="101">
        <f>'Cash Flow %s Yr1'!M20</f>
        <v>0.09</v>
      </c>
      <c r="N20" s="101">
        <f>'Cash Flow %s Yr1'!N20</f>
        <v>0.09</v>
      </c>
      <c r="O20" s="101">
        <f>'Cash Flow %s Yr1'!O20</f>
        <v>0.09</v>
      </c>
      <c r="P20" s="101">
        <f>'Cash Flow %s Yr1'!P20</f>
        <v>0.09</v>
      </c>
      <c r="Q20" s="101">
        <f>'Cash Flow %s Yr1'!Q20</f>
        <v>0</v>
      </c>
      <c r="R20" s="101">
        <f>'Cash Flow %s Yr1'!R20</f>
        <v>0</v>
      </c>
      <c r="S20" s="97">
        <f t="shared" si="1"/>
        <v>0.99999999999999978</v>
      </c>
    </row>
    <row r="21" spans="1:20" s="31" customFormat="1" ht="17.75" x14ac:dyDescent="0.75">
      <c r="A21" s="29"/>
      <c r="B21" s="63" t="str">
        <f>'Revenue w MYP'!C19</f>
        <v>8599</v>
      </c>
      <c r="C21" s="63" t="str">
        <f>'Revenue w MYP'!D19</f>
        <v>Prior Year State Income</v>
      </c>
      <c r="D21" s="101">
        <f>'Cash Flow %s Yr1'!D21</f>
        <v>0</v>
      </c>
      <c r="E21" s="101">
        <f>'Cash Flow %s Yr1'!E21</f>
        <v>0.05</v>
      </c>
      <c r="F21" s="101">
        <f>'Cash Flow %s Yr1'!F21</f>
        <v>0.05</v>
      </c>
      <c r="G21" s="101">
        <f>'Cash Flow %s Yr1'!G21</f>
        <v>0.09</v>
      </c>
      <c r="H21" s="101">
        <f>'Cash Flow %s Yr1'!H21</f>
        <v>0.09</v>
      </c>
      <c r="I21" s="101">
        <f>'Cash Flow %s Yr1'!I21</f>
        <v>0.09</v>
      </c>
      <c r="J21" s="101">
        <f>'Cash Flow %s Yr1'!J21</f>
        <v>0.09</v>
      </c>
      <c r="K21" s="101">
        <f>'Cash Flow %s Yr1'!K21</f>
        <v>0.09</v>
      </c>
      <c r="L21" s="101">
        <f>'Cash Flow %s Yr1'!L21</f>
        <v>0.09</v>
      </c>
      <c r="M21" s="101">
        <f>'Cash Flow %s Yr1'!M21</f>
        <v>0.09</v>
      </c>
      <c r="N21" s="101">
        <f>'Cash Flow %s Yr1'!N21</f>
        <v>0.09</v>
      </c>
      <c r="O21" s="101">
        <f>'Cash Flow %s Yr1'!O21</f>
        <v>0.09</v>
      </c>
      <c r="P21" s="101">
        <f>'Cash Flow %s Yr1'!P21</f>
        <v>0.09</v>
      </c>
      <c r="Q21" s="101">
        <f>'Cash Flow %s Yr1'!Q21</f>
        <v>0</v>
      </c>
      <c r="R21" s="101">
        <f>'Cash Flow %s Yr1'!R21</f>
        <v>0</v>
      </c>
      <c r="S21" s="97">
        <f t="shared" si="1"/>
        <v>0.99999999999999978</v>
      </c>
    </row>
    <row r="22" spans="1:20" s="31" customFormat="1" ht="17.75" x14ac:dyDescent="0.75">
      <c r="A22" s="29"/>
      <c r="B22" s="69"/>
      <c r="C22" s="48"/>
      <c r="D22" s="106"/>
      <c r="E22" s="106"/>
      <c r="F22" s="106"/>
      <c r="G22" s="106"/>
      <c r="H22" s="106"/>
      <c r="I22" s="106"/>
      <c r="J22" s="106"/>
      <c r="K22" s="106"/>
      <c r="L22" s="106"/>
      <c r="M22" s="106"/>
      <c r="N22" s="106"/>
      <c r="O22" s="106"/>
      <c r="P22" s="106"/>
      <c r="Q22" s="106"/>
      <c r="R22" s="107"/>
      <c r="S22" s="97"/>
    </row>
    <row r="23" spans="1:20" s="31" customFormat="1" ht="17.75" x14ac:dyDescent="0.75">
      <c r="A23" s="29"/>
      <c r="B23" s="69"/>
      <c r="C23" s="48"/>
      <c r="D23" s="105"/>
      <c r="E23" s="105"/>
      <c r="F23" s="105"/>
      <c r="G23" s="105"/>
      <c r="H23" s="105"/>
      <c r="I23" s="105"/>
      <c r="J23" s="105"/>
      <c r="K23" s="105"/>
      <c r="L23" s="105"/>
      <c r="M23" s="105"/>
      <c r="N23" s="105"/>
      <c r="O23" s="105"/>
      <c r="P23" s="105"/>
      <c r="Q23" s="105"/>
      <c r="R23" s="105"/>
      <c r="S23" s="97"/>
    </row>
    <row r="24" spans="1:20" s="31" customFormat="1" ht="17.75" x14ac:dyDescent="0.75">
      <c r="B24" s="29" t="s">
        <v>782</v>
      </c>
      <c r="C24" s="48"/>
      <c r="D24" s="105"/>
      <c r="E24" s="105"/>
      <c r="F24" s="105"/>
      <c r="G24" s="105"/>
      <c r="H24" s="105"/>
      <c r="I24" s="105"/>
      <c r="J24" s="105"/>
      <c r="K24" s="105"/>
      <c r="L24" s="105"/>
      <c r="M24" s="105"/>
      <c r="N24" s="105"/>
      <c r="O24" s="105"/>
      <c r="P24" s="105"/>
      <c r="Q24" s="105"/>
      <c r="R24" s="105"/>
      <c r="S24" s="97"/>
    </row>
    <row r="25" spans="1:20" s="31" customFormat="1" ht="17.75" x14ac:dyDescent="0.75">
      <c r="A25" s="29"/>
      <c r="B25" s="63" t="str">
        <f>'Revenue w MYP'!C23</f>
        <v>8181</v>
      </c>
      <c r="C25" s="63" t="str">
        <f>'Revenue w MYP'!D23</f>
        <v>Special Education, federal</v>
      </c>
      <c r="D25" s="101">
        <f>'Cash Flow %s Yr1'!D25</f>
        <v>0</v>
      </c>
      <c r="E25" s="101">
        <f>'Cash Flow %s Yr1'!E25</f>
        <v>0</v>
      </c>
      <c r="F25" s="101">
        <f>'Cash Flow %s Yr1'!F25</f>
        <v>0</v>
      </c>
      <c r="G25" s="101">
        <f>'Cash Flow %s Yr1'!G25</f>
        <v>0.1</v>
      </c>
      <c r="H25" s="101">
        <f>'Cash Flow %s Yr1'!H25</f>
        <v>0.1</v>
      </c>
      <c r="I25" s="101">
        <f>'Cash Flow %s Yr1'!I25</f>
        <v>0.1</v>
      </c>
      <c r="J25" s="101">
        <f>'Cash Flow %s Yr1'!J25</f>
        <v>0.1</v>
      </c>
      <c r="K25" s="101">
        <f>'Cash Flow %s Yr1'!K25</f>
        <v>0.1</v>
      </c>
      <c r="L25" s="101">
        <f>'Cash Flow %s Yr1'!L25</f>
        <v>0.1</v>
      </c>
      <c r="M25" s="101">
        <f>'Cash Flow %s Yr1'!M25</f>
        <v>0.1</v>
      </c>
      <c r="N25" s="101">
        <f>'Cash Flow %s Yr1'!N25</f>
        <v>0.1</v>
      </c>
      <c r="O25" s="101">
        <f>'Cash Flow %s Yr1'!O25</f>
        <v>0.1</v>
      </c>
      <c r="P25" s="101">
        <f>'Cash Flow %s Yr1'!P25</f>
        <v>0.1</v>
      </c>
      <c r="Q25" s="101">
        <f>'Cash Flow %s Yr1'!Q25</f>
        <v>0</v>
      </c>
      <c r="R25" s="101">
        <f>'Cash Flow %s Yr1'!R25</f>
        <v>0</v>
      </c>
      <c r="S25" s="97">
        <f t="shared" ref="S25:S32" si="2">SUM(D25:R25)</f>
        <v>0.99999999999999989</v>
      </c>
    </row>
    <row r="26" spans="1:20" s="31" customFormat="1" ht="17.75" x14ac:dyDescent="0.75">
      <c r="A26" s="29"/>
      <c r="B26" s="63" t="str">
        <f>'Revenue w MYP'!C24</f>
        <v>8220</v>
      </c>
      <c r="C26" s="63" t="str">
        <f>'Revenue w MYP'!D24</f>
        <v>Federal Child Nutrition Programs</v>
      </c>
      <c r="D26" s="101">
        <f>'Cash Flow %s Yr1'!D26</f>
        <v>0</v>
      </c>
      <c r="E26" s="101">
        <f>'Cash Flow %s Yr1'!E26</f>
        <v>0</v>
      </c>
      <c r="F26" s="101">
        <f>'Cash Flow %s Yr1'!F26</f>
        <v>0</v>
      </c>
      <c r="G26" s="101">
        <f>'Cash Flow %s Yr1'!G26</f>
        <v>0</v>
      </c>
      <c r="H26" s="101">
        <f>'Cash Flow %s Yr1'!H26</f>
        <v>0</v>
      </c>
      <c r="I26" s="101">
        <f>'Cash Flow %s Yr1'!I26</f>
        <v>0</v>
      </c>
      <c r="J26" s="101">
        <f>'Cash Flow %s Yr1'!J26</f>
        <v>0.25</v>
      </c>
      <c r="K26" s="101">
        <f>'Cash Flow %s Yr1'!K26</f>
        <v>0</v>
      </c>
      <c r="L26" s="101">
        <f>'Cash Flow %s Yr1'!L26</f>
        <v>0</v>
      </c>
      <c r="M26" s="101">
        <f>'Cash Flow %s Yr1'!M26</f>
        <v>0.5</v>
      </c>
      <c r="N26" s="101">
        <f>'Cash Flow %s Yr1'!N26</f>
        <v>0</v>
      </c>
      <c r="O26" s="101">
        <f>'Cash Flow %s Yr1'!O26</f>
        <v>0.25</v>
      </c>
      <c r="P26" s="101">
        <f>'Cash Flow %s Yr1'!P26</f>
        <v>0</v>
      </c>
      <c r="Q26" s="101">
        <f>'Cash Flow %s Yr1'!Q26</f>
        <v>0</v>
      </c>
      <c r="R26" s="101">
        <f>'Cash Flow %s Yr1'!R26</f>
        <v>0</v>
      </c>
      <c r="S26" s="97">
        <f t="shared" si="2"/>
        <v>1</v>
      </c>
    </row>
    <row r="27" spans="1:20" s="31" customFormat="1" ht="17.75" x14ac:dyDescent="0.75">
      <c r="A27" s="29"/>
      <c r="B27" s="63" t="str">
        <f>'Revenue w MYP'!C25</f>
        <v>8290</v>
      </c>
      <c r="C27" s="63" t="str">
        <f>'Revenue w MYP'!D25</f>
        <v>All Other Federal Revenue, inc Facilities Incentive Grants program</v>
      </c>
      <c r="D27" s="101">
        <f>'Cash Flow %s Yr1'!D27</f>
        <v>0</v>
      </c>
      <c r="E27" s="101">
        <f>'Cash Flow %s Yr1'!E27</f>
        <v>0</v>
      </c>
      <c r="F27" s="101">
        <f>'Cash Flow %s Yr1'!F27</f>
        <v>0</v>
      </c>
      <c r="G27" s="101">
        <f>'Cash Flow %s Yr1'!G27</f>
        <v>0</v>
      </c>
      <c r="H27" s="101">
        <f>'Cash Flow %s Yr1'!H27</f>
        <v>0</v>
      </c>
      <c r="I27" s="101">
        <f>'Cash Flow %s Yr1'!I27</f>
        <v>0</v>
      </c>
      <c r="J27" s="101">
        <f>'Cash Flow %s Yr1'!J27</f>
        <v>0.25</v>
      </c>
      <c r="K27" s="101">
        <f>'Cash Flow %s Yr1'!K27</f>
        <v>0</v>
      </c>
      <c r="L27" s="101">
        <f>'Cash Flow %s Yr1'!L27</f>
        <v>0</v>
      </c>
      <c r="M27" s="101">
        <f>'Cash Flow %s Yr1'!M27</f>
        <v>0.5</v>
      </c>
      <c r="N27" s="101">
        <f>'Cash Flow %s Yr1'!N27</f>
        <v>0</v>
      </c>
      <c r="O27" s="101">
        <f>'Cash Flow %s Yr1'!O27</f>
        <v>0.25</v>
      </c>
      <c r="P27" s="101">
        <f>'Cash Flow %s Yr1'!P27</f>
        <v>0</v>
      </c>
      <c r="Q27" s="101">
        <f>'Cash Flow %s Yr1'!Q27</f>
        <v>0</v>
      </c>
      <c r="R27" s="101">
        <f>'Cash Flow %s Yr1'!R27</f>
        <v>0</v>
      </c>
      <c r="S27" s="97">
        <f t="shared" si="2"/>
        <v>1</v>
      </c>
    </row>
    <row r="28" spans="1:20" s="31" customFormat="1" ht="17.75" x14ac:dyDescent="0.75">
      <c r="A28" s="29"/>
      <c r="B28" s="63" t="str">
        <f>'Revenue w MYP'!C26</f>
        <v>8291</v>
      </c>
      <c r="C28" s="63" t="str">
        <f>'Revenue w MYP'!D26</f>
        <v>Title I</v>
      </c>
      <c r="D28" s="101">
        <f>'Cash Flow %s Yr1'!D28</f>
        <v>0</v>
      </c>
      <c r="E28" s="101">
        <f>'Cash Flow %s Yr1'!E28</f>
        <v>0</v>
      </c>
      <c r="F28" s="101">
        <f>'Cash Flow %s Yr1'!F28</f>
        <v>0</v>
      </c>
      <c r="G28" s="101">
        <f>'Cash Flow %s Yr1'!G28</f>
        <v>0</v>
      </c>
      <c r="H28" s="101">
        <f>'Cash Flow %s Yr1'!H28</f>
        <v>0</v>
      </c>
      <c r="I28" s="101">
        <f>'Cash Flow %s Yr1'!I28</f>
        <v>0</v>
      </c>
      <c r="J28" s="101">
        <f>'Cash Flow %s Yr1'!J28</f>
        <v>0.25</v>
      </c>
      <c r="K28" s="101">
        <f>'Cash Flow %s Yr1'!K28</f>
        <v>0</v>
      </c>
      <c r="L28" s="101">
        <f>'Cash Flow %s Yr1'!L28</f>
        <v>0</v>
      </c>
      <c r="M28" s="101">
        <f>'Cash Flow %s Yr1'!M28</f>
        <v>0.5</v>
      </c>
      <c r="N28" s="101">
        <f>'Cash Flow %s Yr1'!N28</f>
        <v>0</v>
      </c>
      <c r="O28" s="101">
        <f>'Cash Flow %s Yr1'!O28</f>
        <v>0.25</v>
      </c>
      <c r="P28" s="101">
        <f>'Cash Flow %s Yr1'!P28</f>
        <v>0</v>
      </c>
      <c r="Q28" s="101">
        <f>'Cash Flow %s Yr1'!Q28</f>
        <v>0</v>
      </c>
      <c r="R28" s="101">
        <f>'Cash Flow %s Yr1'!R28</f>
        <v>0</v>
      </c>
      <c r="S28" s="97">
        <f t="shared" si="2"/>
        <v>1</v>
      </c>
    </row>
    <row r="29" spans="1:20" s="31" customFormat="1" ht="17.75" x14ac:dyDescent="0.75">
      <c r="A29" s="29"/>
      <c r="B29" s="63" t="str">
        <f>'Revenue w MYP'!C27</f>
        <v>8292</v>
      </c>
      <c r="C29" s="63" t="str">
        <f>'Revenue w MYP'!D27</f>
        <v>Title II</v>
      </c>
      <c r="D29" s="101">
        <f>'Cash Flow %s Yr1'!D29</f>
        <v>0</v>
      </c>
      <c r="E29" s="101">
        <f>'Cash Flow %s Yr1'!E29</f>
        <v>0</v>
      </c>
      <c r="F29" s="101">
        <f>'Cash Flow %s Yr1'!F29</f>
        <v>0</v>
      </c>
      <c r="G29" s="101">
        <f>'Cash Flow %s Yr1'!G29</f>
        <v>0</v>
      </c>
      <c r="H29" s="101">
        <f>'Cash Flow %s Yr1'!H29</f>
        <v>0</v>
      </c>
      <c r="I29" s="101">
        <f>'Cash Flow %s Yr1'!I29</f>
        <v>0</v>
      </c>
      <c r="J29" s="101">
        <f>'Cash Flow %s Yr1'!J29</f>
        <v>0.25</v>
      </c>
      <c r="K29" s="101">
        <f>'Cash Flow %s Yr1'!K29</f>
        <v>0</v>
      </c>
      <c r="L29" s="101">
        <f>'Cash Flow %s Yr1'!L29</f>
        <v>0</v>
      </c>
      <c r="M29" s="101">
        <f>'Cash Flow %s Yr1'!M29</f>
        <v>0.5</v>
      </c>
      <c r="N29" s="101">
        <f>'Cash Flow %s Yr1'!N29</f>
        <v>0</v>
      </c>
      <c r="O29" s="101">
        <f>'Cash Flow %s Yr1'!O29</f>
        <v>0.25</v>
      </c>
      <c r="P29" s="101">
        <f>'Cash Flow %s Yr1'!P29</f>
        <v>0</v>
      </c>
      <c r="Q29" s="101">
        <f>'Cash Flow %s Yr1'!Q29</f>
        <v>0</v>
      </c>
      <c r="R29" s="101">
        <f>'Cash Flow %s Yr1'!R29</f>
        <v>0</v>
      </c>
      <c r="S29" s="97">
        <f t="shared" si="2"/>
        <v>1</v>
      </c>
    </row>
    <row r="30" spans="1:20" s="31" customFormat="1" ht="17.75" x14ac:dyDescent="0.75">
      <c r="A30" s="29"/>
      <c r="B30" s="63" t="str">
        <f>'Revenue w MYP'!C28</f>
        <v>8293</v>
      </c>
      <c r="C30" s="63" t="str">
        <f>'Revenue w MYP'!D28</f>
        <v>Title III</v>
      </c>
      <c r="D30" s="101">
        <f>'Cash Flow %s Yr1'!D30</f>
        <v>0</v>
      </c>
      <c r="E30" s="101">
        <f>'Cash Flow %s Yr1'!E30</f>
        <v>0</v>
      </c>
      <c r="F30" s="101">
        <f>'Cash Flow %s Yr1'!F30</f>
        <v>0</v>
      </c>
      <c r="G30" s="101">
        <f>'Cash Flow %s Yr1'!G30</f>
        <v>0</v>
      </c>
      <c r="H30" s="101">
        <f>'Cash Flow %s Yr1'!H30</f>
        <v>0</v>
      </c>
      <c r="I30" s="101">
        <f>'Cash Flow %s Yr1'!I30</f>
        <v>0</v>
      </c>
      <c r="J30" s="101">
        <f>'Cash Flow %s Yr1'!J30</f>
        <v>0.25</v>
      </c>
      <c r="K30" s="101">
        <f>'Cash Flow %s Yr1'!K30</f>
        <v>0</v>
      </c>
      <c r="L30" s="101">
        <f>'Cash Flow %s Yr1'!L30</f>
        <v>0</v>
      </c>
      <c r="M30" s="101">
        <f>'Cash Flow %s Yr1'!M30</f>
        <v>0.5</v>
      </c>
      <c r="N30" s="101">
        <f>'Cash Flow %s Yr1'!N30</f>
        <v>0</v>
      </c>
      <c r="O30" s="101">
        <f>'Cash Flow %s Yr1'!O30</f>
        <v>0.25</v>
      </c>
      <c r="P30" s="101">
        <f>'Cash Flow %s Yr1'!P30</f>
        <v>0</v>
      </c>
      <c r="Q30" s="101">
        <f>'Cash Flow %s Yr1'!Q30</f>
        <v>0</v>
      </c>
      <c r="R30" s="101">
        <f>'Cash Flow %s Yr1'!R30</f>
        <v>0</v>
      </c>
      <c r="S30" s="97">
        <f t="shared" si="2"/>
        <v>1</v>
      </c>
    </row>
    <row r="31" spans="1:20" s="31" customFormat="1" ht="17.75" x14ac:dyDescent="0.75">
      <c r="A31" s="29"/>
      <c r="B31" s="63" t="str">
        <f>'Revenue w MYP'!C30</f>
        <v>8295</v>
      </c>
      <c r="C31" s="63" t="str">
        <f>'Revenue w MYP'!D30</f>
        <v>Title V</v>
      </c>
      <c r="D31" s="101">
        <f>'Cash Flow %s Yr1'!D31</f>
        <v>0</v>
      </c>
      <c r="E31" s="101">
        <f>'Cash Flow %s Yr1'!E31</f>
        <v>0</v>
      </c>
      <c r="F31" s="101">
        <f>'Cash Flow %s Yr1'!F31</f>
        <v>0</v>
      </c>
      <c r="G31" s="101">
        <f>'Cash Flow %s Yr1'!G31</f>
        <v>0</v>
      </c>
      <c r="H31" s="101">
        <f>'Cash Flow %s Yr1'!H31</f>
        <v>0</v>
      </c>
      <c r="I31" s="101">
        <f>'Cash Flow %s Yr1'!I31</f>
        <v>0</v>
      </c>
      <c r="J31" s="101">
        <f>'Cash Flow %s Yr1'!J31</f>
        <v>0.25</v>
      </c>
      <c r="K31" s="101">
        <f>'Cash Flow %s Yr1'!K31</f>
        <v>0</v>
      </c>
      <c r="L31" s="101">
        <f>'Cash Flow %s Yr1'!L31</f>
        <v>0</v>
      </c>
      <c r="M31" s="101">
        <f>'Cash Flow %s Yr1'!M31</f>
        <v>0.5</v>
      </c>
      <c r="N31" s="101">
        <f>'Cash Flow %s Yr1'!N31</f>
        <v>0</v>
      </c>
      <c r="O31" s="101">
        <f>'Cash Flow %s Yr1'!O31</f>
        <v>0.25</v>
      </c>
      <c r="P31" s="101">
        <f>'Cash Flow %s Yr1'!P31</f>
        <v>0</v>
      </c>
      <c r="Q31" s="101">
        <f>'Cash Flow %s Yr1'!Q31</f>
        <v>0</v>
      </c>
      <c r="R31" s="101">
        <f>'Cash Flow %s Yr1'!R31</f>
        <v>0</v>
      </c>
      <c r="S31" s="97">
        <f t="shared" si="2"/>
        <v>1</v>
      </c>
    </row>
    <row r="32" spans="1:20" s="31" customFormat="1" ht="17.75" x14ac:dyDescent="0.75">
      <c r="A32" s="29"/>
      <c r="B32" s="63" t="str">
        <f>'Revenue w MYP'!C31</f>
        <v>8299</v>
      </c>
      <c r="C32" s="63" t="str">
        <f>'Revenue w MYP'!D31</f>
        <v>Prior Year Federal Revenue</v>
      </c>
      <c r="D32" s="101">
        <f>'Cash Flow %s Yr1'!D32</f>
        <v>0</v>
      </c>
      <c r="E32" s="101">
        <f>'Cash Flow %s Yr1'!E32</f>
        <v>0</v>
      </c>
      <c r="F32" s="101">
        <f>'Cash Flow %s Yr1'!F32</f>
        <v>0.5</v>
      </c>
      <c r="G32" s="101">
        <f>'Cash Flow %s Yr1'!G32</f>
        <v>0</v>
      </c>
      <c r="H32" s="101">
        <f>'Cash Flow %s Yr1'!H32</f>
        <v>0</v>
      </c>
      <c r="I32" s="101">
        <f>'Cash Flow %s Yr1'!I32</f>
        <v>0</v>
      </c>
      <c r="J32" s="101">
        <f>'Cash Flow %s Yr1'!J32</f>
        <v>0</v>
      </c>
      <c r="K32" s="101">
        <f>'Cash Flow %s Yr1'!K32</f>
        <v>0.4</v>
      </c>
      <c r="L32" s="101">
        <f>'Cash Flow %s Yr1'!L32</f>
        <v>0</v>
      </c>
      <c r="M32" s="101">
        <f>'Cash Flow %s Yr1'!M32</f>
        <v>0</v>
      </c>
      <c r="N32" s="101">
        <f>'Cash Flow %s Yr1'!N32</f>
        <v>0.1</v>
      </c>
      <c r="O32" s="101">
        <f>'Cash Flow %s Yr1'!O32</f>
        <v>0</v>
      </c>
      <c r="P32" s="101">
        <f>'Cash Flow %s Yr1'!P32</f>
        <v>0</v>
      </c>
      <c r="Q32" s="101">
        <f>'Cash Flow %s Yr1'!Q32</f>
        <v>0</v>
      </c>
      <c r="R32" s="101">
        <f>'Cash Flow %s Yr1'!R32</f>
        <v>0</v>
      </c>
      <c r="S32" s="97">
        <f t="shared" si="2"/>
        <v>1</v>
      </c>
    </row>
    <row r="33" spans="1:19" s="31" customFormat="1" ht="17.75" x14ac:dyDescent="0.75">
      <c r="A33" s="29"/>
      <c r="B33" s="69"/>
      <c r="C33" s="48"/>
      <c r="D33" s="106"/>
      <c r="E33" s="106"/>
      <c r="F33" s="106"/>
      <c r="G33" s="106"/>
      <c r="H33" s="106"/>
      <c r="I33" s="106"/>
      <c r="J33" s="106"/>
      <c r="K33" s="106"/>
      <c r="L33" s="106"/>
      <c r="M33" s="106"/>
      <c r="N33" s="106"/>
      <c r="O33" s="106"/>
      <c r="P33" s="106"/>
      <c r="Q33" s="106"/>
      <c r="R33" s="106"/>
      <c r="S33" s="97"/>
    </row>
    <row r="34" spans="1:19" s="31" customFormat="1" ht="17.75" x14ac:dyDescent="0.75">
      <c r="A34" s="29"/>
      <c r="B34" s="69"/>
      <c r="C34" s="48"/>
      <c r="D34" s="108"/>
      <c r="E34" s="108"/>
      <c r="F34" s="108"/>
      <c r="G34" s="108"/>
      <c r="H34" s="108"/>
      <c r="I34" s="108"/>
      <c r="J34" s="108"/>
      <c r="K34" s="108"/>
      <c r="L34" s="108"/>
      <c r="M34" s="108"/>
      <c r="N34" s="108"/>
      <c r="O34" s="108"/>
      <c r="P34" s="108"/>
      <c r="Q34" s="108"/>
      <c r="R34" s="108"/>
      <c r="S34" s="97"/>
    </row>
    <row r="35" spans="1:19" s="31" customFormat="1" ht="17.75" x14ac:dyDescent="0.75">
      <c r="B35" s="29" t="s">
        <v>790</v>
      </c>
      <c r="C35" s="48"/>
      <c r="D35" s="108"/>
      <c r="E35" s="108"/>
      <c r="F35" s="108"/>
      <c r="G35" s="108"/>
      <c r="H35" s="108"/>
      <c r="I35" s="108"/>
      <c r="J35" s="108"/>
      <c r="K35" s="108"/>
      <c r="L35" s="108"/>
      <c r="M35" s="108"/>
      <c r="N35" s="108"/>
      <c r="O35" s="108"/>
      <c r="P35" s="108"/>
      <c r="Q35" s="108"/>
      <c r="R35" s="108"/>
      <c r="S35" s="97"/>
    </row>
    <row r="36" spans="1:19" s="31" customFormat="1" ht="17.75" x14ac:dyDescent="0.75">
      <c r="A36" s="29"/>
      <c r="B36" s="63" t="str">
        <f>'Revenue w MYP'!C35</f>
        <v>8660</v>
      </c>
      <c r="C36" s="63" t="str">
        <f>'Revenue w MYP'!D35</f>
        <v>Interest</v>
      </c>
      <c r="D36" s="101">
        <f>'Cash Flow %s Yr1'!D36</f>
        <v>8.3000000000000004E-2</v>
      </c>
      <c r="E36" s="101">
        <f>'Cash Flow %s Yr1'!E36</f>
        <v>8.3000000000000004E-2</v>
      </c>
      <c r="F36" s="101">
        <f>'Cash Flow %s Yr1'!F36</f>
        <v>8.3000000000000004E-2</v>
      </c>
      <c r="G36" s="101">
        <f>'Cash Flow %s Yr1'!G36</f>
        <v>8.3000000000000004E-2</v>
      </c>
      <c r="H36" s="101">
        <f>'Cash Flow %s Yr1'!H36</f>
        <v>8.3000000000000004E-2</v>
      </c>
      <c r="I36" s="101">
        <f>'Cash Flow %s Yr1'!I36</f>
        <v>8.3000000000000004E-2</v>
      </c>
      <c r="J36" s="101">
        <f>'Cash Flow %s Yr1'!J36</f>
        <v>8.3000000000000004E-2</v>
      </c>
      <c r="K36" s="101">
        <f>'Cash Flow %s Yr1'!K36</f>
        <v>8.3000000000000004E-2</v>
      </c>
      <c r="L36" s="101">
        <f>'Cash Flow %s Yr1'!L36</f>
        <v>8.4000000000000005E-2</v>
      </c>
      <c r="M36" s="101">
        <f>'Cash Flow %s Yr1'!M36</f>
        <v>8.4000000000000005E-2</v>
      </c>
      <c r="N36" s="101">
        <f>'Cash Flow %s Yr1'!N36</f>
        <v>8.4000000000000005E-2</v>
      </c>
      <c r="O36" s="101">
        <f>'Cash Flow %s Yr1'!O36</f>
        <v>8.4000000000000005E-2</v>
      </c>
      <c r="P36" s="101">
        <f>'Cash Flow %s Yr1'!P36</f>
        <v>0</v>
      </c>
      <c r="Q36" s="101">
        <f>'Cash Flow %s Yr1'!Q36</f>
        <v>0</v>
      </c>
      <c r="R36" s="101">
        <f>'Cash Flow %s Yr1'!R36</f>
        <v>0</v>
      </c>
      <c r="S36" s="97">
        <f t="shared" ref="S36:S47" si="3">SUM(D36:R36)</f>
        <v>0.99999999999999989</v>
      </c>
    </row>
    <row r="37" spans="1:19" s="31" customFormat="1" ht="17.75" x14ac:dyDescent="0.75">
      <c r="A37" s="29"/>
      <c r="B37" s="63" t="str">
        <f>'Revenue w MYP'!C36</f>
        <v>8682</v>
      </c>
      <c r="C37" s="63" t="str">
        <f>'Revenue w MYP'!D36</f>
        <v>Foundation Grants / Donations</v>
      </c>
      <c r="D37" s="101">
        <f>'Cash Flow %s Yr1'!D37</f>
        <v>0</v>
      </c>
      <c r="E37" s="101">
        <f>'Cash Flow %s Yr1'!E37</f>
        <v>0</v>
      </c>
      <c r="F37" s="101">
        <f>'Cash Flow %s Yr1'!F37</f>
        <v>0.1</v>
      </c>
      <c r="G37" s="101">
        <f>'Cash Flow %s Yr1'!G37</f>
        <v>0.1</v>
      </c>
      <c r="H37" s="101">
        <f>'Cash Flow %s Yr1'!H37</f>
        <v>0.1</v>
      </c>
      <c r="I37" s="101">
        <f>'Cash Flow %s Yr1'!I37</f>
        <v>0.1</v>
      </c>
      <c r="J37" s="101">
        <f>'Cash Flow %s Yr1'!J37</f>
        <v>0.1</v>
      </c>
      <c r="K37" s="101">
        <f>'Cash Flow %s Yr1'!K37</f>
        <v>0.1</v>
      </c>
      <c r="L37" s="101">
        <f>'Cash Flow %s Yr1'!L37</f>
        <v>0.1</v>
      </c>
      <c r="M37" s="101">
        <f>'Cash Flow %s Yr1'!M37</f>
        <v>0.1</v>
      </c>
      <c r="N37" s="101">
        <f>'Cash Flow %s Yr1'!N37</f>
        <v>0.1</v>
      </c>
      <c r="O37" s="101">
        <f>'Cash Flow %s Yr1'!O37</f>
        <v>0.1</v>
      </c>
      <c r="P37" s="101">
        <f>'Cash Flow %s Yr1'!P37</f>
        <v>0</v>
      </c>
      <c r="Q37" s="101">
        <f>'Cash Flow %s Yr1'!Q37</f>
        <v>0</v>
      </c>
      <c r="R37" s="101">
        <f>'Cash Flow %s Yr1'!R37</f>
        <v>0</v>
      </c>
      <c r="S37" s="97">
        <f t="shared" si="3"/>
        <v>0.99999999999999989</v>
      </c>
    </row>
    <row r="38" spans="1:19" s="31" customFormat="1" ht="17.75" x14ac:dyDescent="0.75">
      <c r="A38" s="29"/>
      <c r="B38" s="63" t="str">
        <f>'Revenue w MYP'!C37</f>
        <v>8683</v>
      </c>
      <c r="C38" s="63" t="str">
        <f>'Revenue w MYP'!D37</f>
        <v>All Other Local Revenue</v>
      </c>
      <c r="D38" s="101">
        <f>'Cash Flow %s Yr1'!D38</f>
        <v>0</v>
      </c>
      <c r="E38" s="101">
        <f>'Cash Flow %s Yr1'!E38</f>
        <v>0</v>
      </c>
      <c r="F38" s="101">
        <f>'Cash Flow %s Yr1'!F38</f>
        <v>0.1</v>
      </c>
      <c r="G38" s="101">
        <f>'Cash Flow %s Yr1'!G38</f>
        <v>0.1</v>
      </c>
      <c r="H38" s="101">
        <f>'Cash Flow %s Yr1'!H38</f>
        <v>0.1</v>
      </c>
      <c r="I38" s="101">
        <f>'Cash Flow %s Yr1'!I38</f>
        <v>0.1</v>
      </c>
      <c r="J38" s="101">
        <f>'Cash Flow %s Yr1'!J38</f>
        <v>0.1</v>
      </c>
      <c r="K38" s="101">
        <f>'Cash Flow %s Yr1'!K38</f>
        <v>0.1</v>
      </c>
      <c r="L38" s="101">
        <f>'Cash Flow %s Yr1'!L38</f>
        <v>0.1</v>
      </c>
      <c r="M38" s="101">
        <f>'Cash Flow %s Yr1'!M38</f>
        <v>0.1</v>
      </c>
      <c r="N38" s="101">
        <f>'Cash Flow %s Yr1'!N38</f>
        <v>0.1</v>
      </c>
      <c r="O38" s="101">
        <f>'Cash Flow %s Yr1'!O38</f>
        <v>0.1</v>
      </c>
      <c r="P38" s="101">
        <f>'Cash Flow %s Yr1'!P38</f>
        <v>0</v>
      </c>
      <c r="Q38" s="101">
        <f>'Cash Flow %s Yr1'!Q38</f>
        <v>0</v>
      </c>
      <c r="R38" s="101">
        <f>'Cash Flow %s Yr1'!R38</f>
        <v>0</v>
      </c>
      <c r="S38" s="97">
        <f t="shared" si="3"/>
        <v>0.99999999999999989</v>
      </c>
    </row>
    <row r="39" spans="1:19" s="31" customFormat="1" x14ac:dyDescent="0.75">
      <c r="A39" s="47"/>
      <c r="B39" s="63" t="str">
        <f>'Revenue w MYP'!C38</f>
        <v>8684</v>
      </c>
      <c r="C39" s="63" t="str">
        <f>'Revenue w MYP'!D38</f>
        <v>Student Body (ASB) Fundraising Revenue</v>
      </c>
      <c r="D39" s="101">
        <f>'Cash Flow %s Yr1'!D39</f>
        <v>0</v>
      </c>
      <c r="E39" s="101">
        <f>'Cash Flow %s Yr1'!E39</f>
        <v>0</v>
      </c>
      <c r="F39" s="101">
        <f>'Cash Flow %s Yr1'!F39</f>
        <v>0.1</v>
      </c>
      <c r="G39" s="101">
        <f>'Cash Flow %s Yr1'!G39</f>
        <v>0.1</v>
      </c>
      <c r="H39" s="101">
        <f>'Cash Flow %s Yr1'!H39</f>
        <v>0.1</v>
      </c>
      <c r="I39" s="101">
        <f>'Cash Flow %s Yr1'!I39</f>
        <v>0.1</v>
      </c>
      <c r="J39" s="101">
        <f>'Cash Flow %s Yr1'!J39</f>
        <v>0.1</v>
      </c>
      <c r="K39" s="101">
        <f>'Cash Flow %s Yr1'!K39</f>
        <v>0.1</v>
      </c>
      <c r="L39" s="101">
        <f>'Cash Flow %s Yr1'!L39</f>
        <v>0.1</v>
      </c>
      <c r="M39" s="101">
        <f>'Cash Flow %s Yr1'!M39</f>
        <v>0.1</v>
      </c>
      <c r="N39" s="101">
        <f>'Cash Flow %s Yr1'!N39</f>
        <v>0.1</v>
      </c>
      <c r="O39" s="101">
        <f>'Cash Flow %s Yr1'!O39</f>
        <v>0.1</v>
      </c>
      <c r="P39" s="101">
        <f>'Cash Flow %s Yr1'!P39</f>
        <v>0</v>
      </c>
      <c r="Q39" s="101">
        <f>'Cash Flow %s Yr1'!Q39</f>
        <v>0</v>
      </c>
      <c r="R39" s="101">
        <f>'Cash Flow %s Yr1'!R39</f>
        <v>0</v>
      </c>
      <c r="S39" s="97">
        <f t="shared" si="3"/>
        <v>0.99999999999999989</v>
      </c>
    </row>
    <row r="40" spans="1:19" s="31" customFormat="1" x14ac:dyDescent="0.75">
      <c r="A40" s="48"/>
      <c r="B40" s="63" t="str">
        <f>'Revenue w MYP'!C39</f>
        <v>8685</v>
      </c>
      <c r="C40" s="63" t="str">
        <f>'Revenue w MYP'!D39</f>
        <v>School Site Fundraising</v>
      </c>
      <c r="D40" s="101">
        <f>'Cash Flow %s Yr1'!D40</f>
        <v>0</v>
      </c>
      <c r="E40" s="101">
        <f>'Cash Flow %s Yr1'!E40</f>
        <v>0</v>
      </c>
      <c r="F40" s="101">
        <f>'Cash Flow %s Yr1'!F40</f>
        <v>0.1</v>
      </c>
      <c r="G40" s="101">
        <f>'Cash Flow %s Yr1'!G40</f>
        <v>0.1</v>
      </c>
      <c r="H40" s="101">
        <f>'Cash Flow %s Yr1'!H40</f>
        <v>0.1</v>
      </c>
      <c r="I40" s="101">
        <f>'Cash Flow %s Yr1'!I40</f>
        <v>0.1</v>
      </c>
      <c r="J40" s="101">
        <f>'Cash Flow %s Yr1'!J40</f>
        <v>0.1</v>
      </c>
      <c r="K40" s="101">
        <f>'Cash Flow %s Yr1'!K40</f>
        <v>0.1</v>
      </c>
      <c r="L40" s="101">
        <f>'Cash Flow %s Yr1'!L40</f>
        <v>0.1</v>
      </c>
      <c r="M40" s="101">
        <f>'Cash Flow %s Yr1'!M40</f>
        <v>0.1</v>
      </c>
      <c r="N40" s="101">
        <f>'Cash Flow %s Yr1'!N40</f>
        <v>0.1</v>
      </c>
      <c r="O40" s="101">
        <f>'Cash Flow %s Yr1'!O40</f>
        <v>0.1</v>
      </c>
      <c r="P40" s="101">
        <f>'Cash Flow %s Yr1'!P40</f>
        <v>0</v>
      </c>
      <c r="Q40" s="101">
        <f>'Cash Flow %s Yr1'!Q40</f>
        <v>0</v>
      </c>
      <c r="R40" s="101">
        <f>'Cash Flow %s Yr1'!R40</f>
        <v>0</v>
      </c>
      <c r="S40" s="97">
        <f t="shared" si="3"/>
        <v>0.99999999999999989</v>
      </c>
    </row>
    <row r="41" spans="1:19" s="31" customFormat="1" ht="17.75" x14ac:dyDescent="0.75">
      <c r="A41" s="29"/>
      <c r="B41" s="63" t="str">
        <f>'Revenue w MYP'!C40</f>
        <v>8698</v>
      </c>
      <c r="C41" s="63" t="str">
        <f>'Revenue w MYP'!D40</f>
        <v>E-Rate</v>
      </c>
      <c r="D41" s="101">
        <f>'Cash Flow %s Yr1'!D41</f>
        <v>0</v>
      </c>
      <c r="E41" s="101">
        <f>'Cash Flow %s Yr1'!E41</f>
        <v>0</v>
      </c>
      <c r="F41" s="101">
        <f>'Cash Flow %s Yr1'!F41</f>
        <v>0.1</v>
      </c>
      <c r="G41" s="101">
        <f>'Cash Flow %s Yr1'!G41</f>
        <v>0.1</v>
      </c>
      <c r="H41" s="101">
        <f>'Cash Flow %s Yr1'!H41</f>
        <v>0.1</v>
      </c>
      <c r="I41" s="101">
        <f>'Cash Flow %s Yr1'!I41</f>
        <v>0.1</v>
      </c>
      <c r="J41" s="101">
        <f>'Cash Flow %s Yr1'!J41</f>
        <v>0.1</v>
      </c>
      <c r="K41" s="101">
        <f>'Cash Flow %s Yr1'!K41</f>
        <v>0.1</v>
      </c>
      <c r="L41" s="101">
        <f>'Cash Flow %s Yr1'!L41</f>
        <v>0.1</v>
      </c>
      <c r="M41" s="101">
        <f>'Cash Flow %s Yr1'!M41</f>
        <v>0.1</v>
      </c>
      <c r="N41" s="101">
        <f>'Cash Flow %s Yr1'!N41</f>
        <v>0.1</v>
      </c>
      <c r="O41" s="101">
        <f>'Cash Flow %s Yr1'!O41</f>
        <v>0.1</v>
      </c>
      <c r="P41" s="101">
        <f>'Cash Flow %s Yr1'!P41</f>
        <v>0</v>
      </c>
      <c r="Q41" s="101">
        <f>'Cash Flow %s Yr1'!Q41</f>
        <v>0</v>
      </c>
      <c r="R41" s="101">
        <f>'Cash Flow %s Yr1'!R41</f>
        <v>0</v>
      </c>
      <c r="S41" s="97">
        <f t="shared" si="3"/>
        <v>0.99999999999999989</v>
      </c>
    </row>
    <row r="42" spans="1:19" s="31" customFormat="1" ht="17.75" x14ac:dyDescent="0.75">
      <c r="A42" s="29"/>
      <c r="B42" s="63" t="str">
        <f>'Revenue w MYP'!C41</f>
        <v>8699</v>
      </c>
      <c r="C42" s="63" t="str">
        <f>'Revenue w MYP'!D41</f>
        <v>All Other Local Revenue</v>
      </c>
      <c r="D42" s="101">
        <f>'Cash Flow %s Yr1'!D42</f>
        <v>0</v>
      </c>
      <c r="E42" s="101">
        <f>'Cash Flow %s Yr1'!E42</f>
        <v>0</v>
      </c>
      <c r="F42" s="101">
        <f>'Cash Flow %s Yr1'!F42</f>
        <v>0.1</v>
      </c>
      <c r="G42" s="101">
        <f>'Cash Flow %s Yr1'!G42</f>
        <v>0.1</v>
      </c>
      <c r="H42" s="101">
        <f>'Cash Flow %s Yr1'!H42</f>
        <v>0.1</v>
      </c>
      <c r="I42" s="101">
        <f>'Cash Flow %s Yr1'!I42</f>
        <v>0.1</v>
      </c>
      <c r="J42" s="101">
        <f>'Cash Flow %s Yr1'!J42</f>
        <v>0.1</v>
      </c>
      <c r="K42" s="101">
        <f>'Cash Flow %s Yr1'!K42</f>
        <v>0.1</v>
      </c>
      <c r="L42" s="101">
        <f>'Cash Flow %s Yr1'!L42</f>
        <v>0.1</v>
      </c>
      <c r="M42" s="101">
        <f>'Cash Flow %s Yr1'!M42</f>
        <v>0.1</v>
      </c>
      <c r="N42" s="101">
        <f>'Cash Flow %s Yr1'!N42</f>
        <v>0.1</v>
      </c>
      <c r="O42" s="101">
        <f>'Cash Flow %s Yr1'!O42</f>
        <v>0.1</v>
      </c>
      <c r="P42" s="101">
        <f>'Cash Flow %s Yr1'!P42</f>
        <v>0</v>
      </c>
      <c r="Q42" s="101">
        <f>'Cash Flow %s Yr1'!Q42</f>
        <v>0</v>
      </c>
      <c r="R42" s="101">
        <f>'Cash Flow %s Yr1'!R42</f>
        <v>0</v>
      </c>
      <c r="S42" s="97">
        <f t="shared" si="3"/>
        <v>0.99999999999999989</v>
      </c>
    </row>
    <row r="43" spans="1:19" s="31" customFormat="1" ht="17.75" x14ac:dyDescent="0.75">
      <c r="A43" s="29"/>
      <c r="B43" s="63" t="str">
        <f>'Revenue w MYP'!C42</f>
        <v>8785</v>
      </c>
      <c r="C43" s="63" t="str">
        <f>'Revenue w MYP'!D42</f>
        <v>CMO Management fee</v>
      </c>
      <c r="D43" s="101">
        <f>'Cash Flow %s Yr1'!D43</f>
        <v>0</v>
      </c>
      <c r="E43" s="101">
        <f>'Cash Flow %s Yr1'!E43</f>
        <v>0</v>
      </c>
      <c r="F43" s="101">
        <f>'Cash Flow %s Yr1'!F43</f>
        <v>0.1</v>
      </c>
      <c r="G43" s="101">
        <f>'Cash Flow %s Yr1'!G43</f>
        <v>0.1</v>
      </c>
      <c r="H43" s="101">
        <f>'Cash Flow %s Yr1'!H43</f>
        <v>0.1</v>
      </c>
      <c r="I43" s="101">
        <f>'Cash Flow %s Yr1'!I43</f>
        <v>0.1</v>
      </c>
      <c r="J43" s="101">
        <f>'Cash Flow %s Yr1'!J43</f>
        <v>0.1</v>
      </c>
      <c r="K43" s="101">
        <f>'Cash Flow %s Yr1'!K43</f>
        <v>0.1</v>
      </c>
      <c r="L43" s="101">
        <f>'Cash Flow %s Yr1'!L43</f>
        <v>0.1</v>
      </c>
      <c r="M43" s="101">
        <f>'Cash Flow %s Yr1'!M43</f>
        <v>0.1</v>
      </c>
      <c r="N43" s="101">
        <f>'Cash Flow %s Yr1'!N43</f>
        <v>0.1</v>
      </c>
      <c r="O43" s="101">
        <f>'Cash Flow %s Yr1'!O43</f>
        <v>0.1</v>
      </c>
      <c r="P43" s="101">
        <f>'Cash Flow %s Yr1'!P43</f>
        <v>0</v>
      </c>
      <c r="Q43" s="101">
        <f>'Cash Flow %s Yr1'!Q43</f>
        <v>0</v>
      </c>
      <c r="R43" s="101">
        <f>'Cash Flow %s Yr1'!R43</f>
        <v>0</v>
      </c>
      <c r="S43" s="97">
        <f t="shared" si="3"/>
        <v>0.99999999999999989</v>
      </c>
    </row>
    <row r="44" spans="1:19" s="31" customFormat="1" ht="17.75" x14ac:dyDescent="0.75">
      <c r="A44" s="29"/>
      <c r="B44" s="63" t="str">
        <f>'Revenue w MYP'!C43</f>
        <v>8792</v>
      </c>
      <c r="C44" s="63" t="str">
        <f>'Revenue w MYP'!D43</f>
        <v>SPED State / Other Transfers from County</v>
      </c>
      <c r="D44" s="101">
        <f>'Cash Flow %s Yr1'!D44</f>
        <v>0</v>
      </c>
      <c r="E44" s="101">
        <f>'Cash Flow %s Yr1'!E44</f>
        <v>0</v>
      </c>
      <c r="F44" s="101">
        <f>'Cash Flow %s Yr1'!F44</f>
        <v>0.1</v>
      </c>
      <c r="G44" s="101">
        <f>'Cash Flow %s Yr1'!G44</f>
        <v>0.1</v>
      </c>
      <c r="H44" s="101">
        <f>'Cash Flow %s Yr1'!H44</f>
        <v>0.1</v>
      </c>
      <c r="I44" s="101">
        <f>'Cash Flow %s Yr1'!I44</f>
        <v>0.1</v>
      </c>
      <c r="J44" s="101">
        <f>'Cash Flow %s Yr1'!J44</f>
        <v>0.1</v>
      </c>
      <c r="K44" s="101">
        <f>'Cash Flow %s Yr1'!K44</f>
        <v>0.1</v>
      </c>
      <c r="L44" s="101">
        <f>'Cash Flow %s Yr1'!L44</f>
        <v>0.1</v>
      </c>
      <c r="M44" s="101">
        <f>'Cash Flow %s Yr1'!M44</f>
        <v>0.1</v>
      </c>
      <c r="N44" s="101">
        <f>'Cash Flow %s Yr1'!N44</f>
        <v>0.1</v>
      </c>
      <c r="O44" s="101">
        <f>'Cash Flow %s Yr1'!O44</f>
        <v>0.1</v>
      </c>
      <c r="P44" s="101">
        <f>'Cash Flow %s Yr1'!P44</f>
        <v>0</v>
      </c>
      <c r="Q44" s="101">
        <f>'Cash Flow %s Yr1'!Q44</f>
        <v>0</v>
      </c>
      <c r="R44" s="101">
        <f>'Cash Flow %s Yr1'!R44</f>
        <v>0</v>
      </c>
      <c r="S44" s="97">
        <f t="shared" si="3"/>
        <v>0.99999999999999989</v>
      </c>
    </row>
    <row r="45" spans="1:19" s="31" customFormat="1" ht="17.75" x14ac:dyDescent="0.75">
      <c r="A45" s="29"/>
      <c r="B45" s="63" t="str">
        <f>'Revenue w MYP'!C44</f>
        <v>8639</v>
      </c>
      <c r="C45" s="63" t="str">
        <f>'Revenue w MYP'!D44</f>
        <v>Student Lunch Revenue</v>
      </c>
      <c r="D45" s="101">
        <f>'Cash Flow %s Yr1'!D45</f>
        <v>0</v>
      </c>
      <c r="E45" s="101">
        <f>'Cash Flow %s Yr1'!E45</f>
        <v>0</v>
      </c>
      <c r="F45" s="101">
        <f>'Cash Flow %s Yr1'!F45</f>
        <v>0.1</v>
      </c>
      <c r="G45" s="101">
        <f>'Cash Flow %s Yr1'!G45</f>
        <v>0.1</v>
      </c>
      <c r="H45" s="101">
        <f>'Cash Flow %s Yr1'!H45</f>
        <v>0.1</v>
      </c>
      <c r="I45" s="101">
        <f>'Cash Flow %s Yr1'!I45</f>
        <v>0.1</v>
      </c>
      <c r="J45" s="101">
        <f>'Cash Flow %s Yr1'!J45</f>
        <v>0.1</v>
      </c>
      <c r="K45" s="101">
        <f>'Cash Flow %s Yr1'!K45</f>
        <v>0.1</v>
      </c>
      <c r="L45" s="101">
        <f>'Cash Flow %s Yr1'!L45</f>
        <v>0.1</v>
      </c>
      <c r="M45" s="101">
        <f>'Cash Flow %s Yr1'!M45</f>
        <v>0.1</v>
      </c>
      <c r="N45" s="101">
        <f>'Cash Flow %s Yr1'!N45</f>
        <v>0.1</v>
      </c>
      <c r="O45" s="101">
        <f>'Cash Flow %s Yr1'!O45</f>
        <v>0.1</v>
      </c>
      <c r="P45" s="101">
        <f>'Cash Flow %s Yr1'!P45</f>
        <v>0</v>
      </c>
      <c r="Q45" s="101">
        <f>'Cash Flow %s Yr1'!Q45</f>
        <v>0</v>
      </c>
      <c r="R45" s="101">
        <f>'Cash Flow %s Yr1'!R45</f>
        <v>0</v>
      </c>
      <c r="S45" s="97">
        <f>SUM(D45:R45)</f>
        <v>0.99999999999999989</v>
      </c>
    </row>
    <row r="46" spans="1:19" s="31" customFormat="1" ht="17.75" x14ac:dyDescent="0.75">
      <c r="A46" s="29"/>
      <c r="B46" s="63" t="str">
        <f>'Revenue w MYP'!C45</f>
        <v>8986</v>
      </c>
      <c r="C46" s="63" t="str">
        <f>'Revenue w MYP'!D45</f>
        <v>Rental Income</v>
      </c>
      <c r="D46" s="101">
        <f>'Cash Flow %s Yr1'!D46</f>
        <v>0</v>
      </c>
      <c r="E46" s="101">
        <f>'Cash Flow %s Yr1'!E46</f>
        <v>0</v>
      </c>
      <c r="F46" s="101">
        <f>'Cash Flow %s Yr1'!F46</f>
        <v>0.1</v>
      </c>
      <c r="G46" s="101">
        <f>'Cash Flow %s Yr1'!G46</f>
        <v>0.1</v>
      </c>
      <c r="H46" s="101">
        <f>'Cash Flow %s Yr1'!H46</f>
        <v>0.1</v>
      </c>
      <c r="I46" s="101">
        <f>'Cash Flow %s Yr1'!I46</f>
        <v>0.1</v>
      </c>
      <c r="J46" s="101">
        <f>'Cash Flow %s Yr1'!J46</f>
        <v>0.1</v>
      </c>
      <c r="K46" s="101">
        <f>'Cash Flow %s Yr1'!K46</f>
        <v>0.1</v>
      </c>
      <c r="L46" s="101">
        <f>'Cash Flow %s Yr1'!L46</f>
        <v>0.1</v>
      </c>
      <c r="M46" s="101">
        <f>'Cash Flow %s Yr1'!M46</f>
        <v>0.1</v>
      </c>
      <c r="N46" s="101">
        <f>'Cash Flow %s Yr1'!N46</f>
        <v>0.1</v>
      </c>
      <c r="O46" s="101">
        <f>'Cash Flow %s Yr1'!O46</f>
        <v>0.1</v>
      </c>
      <c r="P46" s="101">
        <f>'Cash Flow %s Yr1'!P46</f>
        <v>0</v>
      </c>
      <c r="Q46" s="101">
        <f>'Cash Flow %s Yr1'!Q46</f>
        <v>0</v>
      </c>
      <c r="R46" s="101">
        <f>'Cash Flow %s Yr1'!R46</f>
        <v>0</v>
      </c>
      <c r="S46" s="97">
        <f>SUM(D46:R46)</f>
        <v>0.99999999999999989</v>
      </c>
    </row>
    <row r="47" spans="1:19" s="31" customFormat="1" ht="17.75" x14ac:dyDescent="0.75">
      <c r="A47" s="29"/>
      <c r="B47" s="63" t="str">
        <f>'Revenue w MYP'!C47</f>
        <v>8662</v>
      </c>
      <c r="C47" s="63" t="str">
        <f>'Revenue w MYP'!D47</f>
        <v>Increase/Decrease in Investment</v>
      </c>
      <c r="D47" s="101">
        <f>'Cash Flow %s Yr1'!D47</f>
        <v>0</v>
      </c>
      <c r="E47" s="101">
        <f>'Cash Flow %s Yr1'!E47</f>
        <v>0</v>
      </c>
      <c r="F47" s="101">
        <f>'Cash Flow %s Yr1'!F47</f>
        <v>0.1</v>
      </c>
      <c r="G47" s="101">
        <f>'Cash Flow %s Yr1'!G47</f>
        <v>0.1</v>
      </c>
      <c r="H47" s="101">
        <f>'Cash Flow %s Yr1'!H47</f>
        <v>0.1</v>
      </c>
      <c r="I47" s="101">
        <f>'Cash Flow %s Yr1'!I47</f>
        <v>0.1</v>
      </c>
      <c r="J47" s="101">
        <f>'Cash Flow %s Yr1'!J47</f>
        <v>0.1</v>
      </c>
      <c r="K47" s="101">
        <f>'Cash Flow %s Yr1'!K47</f>
        <v>0.1</v>
      </c>
      <c r="L47" s="101">
        <f>'Cash Flow %s Yr1'!L47</f>
        <v>0.1</v>
      </c>
      <c r="M47" s="101">
        <f>'Cash Flow %s Yr1'!M47</f>
        <v>0.1</v>
      </c>
      <c r="N47" s="101">
        <f>'Cash Flow %s Yr1'!N47</f>
        <v>0.1</v>
      </c>
      <c r="O47" s="101">
        <f>'Cash Flow %s Yr1'!O47</f>
        <v>0.1</v>
      </c>
      <c r="P47" s="101">
        <f>'Cash Flow %s Yr1'!P47</f>
        <v>0</v>
      </c>
      <c r="Q47" s="101">
        <f>'Cash Flow %s Yr1'!Q47</f>
        <v>0</v>
      </c>
      <c r="R47" s="101">
        <f>'Cash Flow %s Yr1'!R47</f>
        <v>0</v>
      </c>
      <c r="S47" s="97">
        <f t="shared" si="3"/>
        <v>0.99999999999999989</v>
      </c>
    </row>
    <row r="48" spans="1:19" s="31" customFormat="1" ht="17.75" x14ac:dyDescent="0.75">
      <c r="A48" s="29"/>
      <c r="B48" s="69"/>
      <c r="C48" s="48"/>
      <c r="D48" s="105"/>
      <c r="E48" s="105"/>
      <c r="F48" s="105"/>
      <c r="G48" s="105"/>
      <c r="H48" s="105"/>
      <c r="I48" s="105"/>
      <c r="J48" s="105"/>
      <c r="K48" s="105"/>
      <c r="L48" s="105"/>
      <c r="M48" s="105"/>
      <c r="N48" s="105"/>
      <c r="O48" s="105"/>
      <c r="P48" s="88"/>
      <c r="Q48" s="88"/>
      <c r="R48" s="88"/>
      <c r="S48" s="97"/>
    </row>
    <row r="49" spans="1:19" s="31" customFormat="1" ht="17.75" x14ac:dyDescent="0.75">
      <c r="A49" s="29"/>
      <c r="B49" s="69"/>
      <c r="C49" s="48"/>
      <c r="D49" s="105"/>
      <c r="E49" s="105"/>
      <c r="F49" s="105"/>
      <c r="G49" s="105"/>
      <c r="H49" s="105"/>
      <c r="I49" s="105"/>
      <c r="J49" s="105"/>
      <c r="K49" s="105"/>
      <c r="L49" s="105"/>
      <c r="M49" s="105"/>
      <c r="N49" s="105"/>
      <c r="O49" s="105"/>
      <c r="P49" s="88"/>
      <c r="Q49" s="88"/>
      <c r="R49" s="88"/>
      <c r="S49" s="97"/>
    </row>
    <row r="50" spans="1:19" s="31" customFormat="1" ht="17.75" x14ac:dyDescent="0.75">
      <c r="A50" s="29"/>
      <c r="B50" s="69"/>
      <c r="C50" s="48"/>
      <c r="D50" s="88"/>
      <c r="E50" s="88"/>
      <c r="F50" s="88"/>
      <c r="G50" s="88"/>
      <c r="H50" s="88"/>
      <c r="I50" s="88"/>
      <c r="J50" s="88"/>
      <c r="K50" s="88"/>
      <c r="L50" s="88"/>
      <c r="M50" s="88"/>
      <c r="N50" s="88"/>
      <c r="O50" s="88"/>
      <c r="P50" s="88"/>
      <c r="Q50" s="88"/>
      <c r="R50" s="88"/>
      <c r="S50" s="97"/>
    </row>
    <row r="51" spans="1:19" s="31" customFormat="1" ht="17.75" x14ac:dyDescent="0.75">
      <c r="A51" s="29" t="s">
        <v>796</v>
      </c>
      <c r="B51" s="70"/>
      <c r="C51" s="34"/>
      <c r="D51" s="89"/>
      <c r="E51" s="89"/>
      <c r="F51" s="89"/>
      <c r="G51" s="89"/>
      <c r="H51" s="89"/>
      <c r="I51" s="89"/>
      <c r="J51" s="89"/>
      <c r="K51" s="89"/>
      <c r="L51" s="89"/>
      <c r="M51" s="89"/>
      <c r="N51" s="89"/>
      <c r="O51" s="89"/>
      <c r="P51" s="89"/>
      <c r="Q51" s="89"/>
      <c r="R51" s="89"/>
      <c r="S51" s="97"/>
    </row>
    <row r="52" spans="1:19" x14ac:dyDescent="0.75">
      <c r="A52" s="1"/>
      <c r="B52" s="34" t="s">
        <v>731</v>
      </c>
      <c r="C52" s="2"/>
      <c r="S52" s="161"/>
    </row>
    <row r="53" spans="1:19" x14ac:dyDescent="0.75">
      <c r="A53" s="35"/>
      <c r="B53" s="65" t="str">
        <f>'Expenses w MYP'!C8</f>
        <v>1100</v>
      </c>
      <c r="C53" s="65" t="str">
        <f>'Expenses w MYP'!D8</f>
        <v>Teachers' Salaries</v>
      </c>
      <c r="D53" s="98">
        <f>'Cash Flow %s Yr1'!D53</f>
        <v>0</v>
      </c>
      <c r="E53" s="98">
        <f>'Cash Flow %s Yr1'!E53</f>
        <v>0</v>
      </c>
      <c r="F53" s="98">
        <f>'Cash Flow %s Yr1'!F53</f>
        <v>0.1</v>
      </c>
      <c r="G53" s="98">
        <f>'Cash Flow %s Yr1'!G53</f>
        <v>0.1</v>
      </c>
      <c r="H53" s="98">
        <f>'Cash Flow %s Yr1'!H53</f>
        <v>0.1</v>
      </c>
      <c r="I53" s="98">
        <f>'Cash Flow %s Yr1'!I53</f>
        <v>0.1</v>
      </c>
      <c r="J53" s="98">
        <f>'Cash Flow %s Yr1'!J53</f>
        <v>0.1</v>
      </c>
      <c r="K53" s="98">
        <f>'Cash Flow %s Yr1'!K53</f>
        <v>0.1</v>
      </c>
      <c r="L53" s="98">
        <f>'Cash Flow %s Yr1'!L53</f>
        <v>0.1</v>
      </c>
      <c r="M53" s="98">
        <f>'Cash Flow %s Yr1'!M53</f>
        <v>0.1</v>
      </c>
      <c r="N53" s="98">
        <f>'Cash Flow %s Yr1'!N53</f>
        <v>0.1</v>
      </c>
      <c r="O53" s="98">
        <f>'Cash Flow %s Yr1'!O53</f>
        <v>0.1</v>
      </c>
      <c r="P53" s="98">
        <f>'Cash Flow %s Yr1'!P53</f>
        <v>0</v>
      </c>
      <c r="Q53" s="98">
        <f>'Cash Flow %s Yr1'!Q53</f>
        <v>0</v>
      </c>
      <c r="R53" s="98">
        <f>'Cash Flow %s Yr1'!R53</f>
        <v>0</v>
      </c>
      <c r="S53" s="97">
        <f t="shared" ref="S53:S60" si="4">SUM(D53:R53)</f>
        <v>0.99999999999999989</v>
      </c>
    </row>
    <row r="54" spans="1:19" x14ac:dyDescent="0.75">
      <c r="A54" s="35"/>
      <c r="B54" s="65" t="str">
        <f>'Expenses w MYP'!C9</f>
        <v>1105</v>
      </c>
      <c r="C54" s="65" t="str">
        <f>'Expenses w MYP'!D9</f>
        <v>Teachers' Stipends / Bonus</v>
      </c>
      <c r="D54" s="98">
        <f>'Cash Flow %s Yr1'!D54</f>
        <v>0</v>
      </c>
      <c r="E54" s="98">
        <f>'Cash Flow %s Yr1'!E54</f>
        <v>0</v>
      </c>
      <c r="F54" s="98">
        <f>'Cash Flow %s Yr1'!F54</f>
        <v>0</v>
      </c>
      <c r="G54" s="98">
        <f>'Cash Flow %s Yr1'!G54</f>
        <v>0</v>
      </c>
      <c r="H54" s="98">
        <f>'Cash Flow %s Yr1'!H54</f>
        <v>0</v>
      </c>
      <c r="I54" s="98">
        <f>'Cash Flow %s Yr1'!I54</f>
        <v>0</v>
      </c>
      <c r="J54" s="98">
        <f>'Cash Flow %s Yr1'!J54</f>
        <v>0</v>
      </c>
      <c r="K54" s="98">
        <f>'Cash Flow %s Yr1'!K54</f>
        <v>0</v>
      </c>
      <c r="L54" s="98">
        <f>'Cash Flow %s Yr1'!L54</f>
        <v>0</v>
      </c>
      <c r="M54" s="98">
        <f>'Cash Flow %s Yr1'!M54</f>
        <v>0</v>
      </c>
      <c r="N54" s="98">
        <f>'Cash Flow %s Yr1'!N54</f>
        <v>0</v>
      </c>
      <c r="O54" s="98">
        <f>'Cash Flow %s Yr1'!O54</f>
        <v>1</v>
      </c>
      <c r="P54" s="98">
        <f>'Cash Flow %s Yr1'!P54</f>
        <v>0</v>
      </c>
      <c r="Q54" s="98">
        <f>'Cash Flow %s Yr1'!Q54</f>
        <v>0</v>
      </c>
      <c r="R54" s="98">
        <f>'Cash Flow %s Yr1'!R54</f>
        <v>0</v>
      </c>
      <c r="S54" s="97">
        <f t="shared" si="4"/>
        <v>1</v>
      </c>
    </row>
    <row r="55" spans="1:19" x14ac:dyDescent="0.75">
      <c r="A55" s="35"/>
      <c r="B55" s="65" t="str">
        <f>'Expenses w MYP'!C10</f>
        <v>1120</v>
      </c>
      <c r="C55" s="65" t="str">
        <f>'Expenses w MYP'!D10</f>
        <v>Substitute Expense</v>
      </c>
      <c r="D55" s="98">
        <f>'Cash Flow %s Yr1'!D55</f>
        <v>0</v>
      </c>
      <c r="E55" s="98">
        <f>'Cash Flow %s Yr1'!E55</f>
        <v>0</v>
      </c>
      <c r="F55" s="98">
        <f>'Cash Flow %s Yr1'!F55</f>
        <v>0.1</v>
      </c>
      <c r="G55" s="98">
        <f>'Cash Flow %s Yr1'!G55</f>
        <v>0.1</v>
      </c>
      <c r="H55" s="98">
        <f>'Cash Flow %s Yr1'!H55</f>
        <v>0.1</v>
      </c>
      <c r="I55" s="98">
        <f>'Cash Flow %s Yr1'!I55</f>
        <v>0.1</v>
      </c>
      <c r="J55" s="98">
        <f>'Cash Flow %s Yr1'!J55</f>
        <v>0.1</v>
      </c>
      <c r="K55" s="98">
        <f>'Cash Flow %s Yr1'!K55</f>
        <v>0.1</v>
      </c>
      <c r="L55" s="98">
        <f>'Cash Flow %s Yr1'!L55</f>
        <v>0.1</v>
      </c>
      <c r="M55" s="98">
        <f>'Cash Flow %s Yr1'!M55</f>
        <v>0.1</v>
      </c>
      <c r="N55" s="98">
        <f>'Cash Flow %s Yr1'!N55</f>
        <v>0.1</v>
      </c>
      <c r="O55" s="98">
        <f>'Cash Flow %s Yr1'!O55</f>
        <v>0.1</v>
      </c>
      <c r="P55" s="98">
        <f>'Cash Flow %s Yr1'!P55</f>
        <v>0</v>
      </c>
      <c r="Q55" s="98">
        <f>'Cash Flow %s Yr1'!Q55</f>
        <v>0</v>
      </c>
      <c r="R55" s="98">
        <f>'Cash Flow %s Yr1'!R55</f>
        <v>0</v>
      </c>
      <c r="S55" s="97">
        <f t="shared" si="4"/>
        <v>0.99999999999999989</v>
      </c>
    </row>
    <row r="56" spans="1:19" x14ac:dyDescent="0.75">
      <c r="A56" s="35"/>
      <c r="B56" s="65" t="str">
        <f>'Expenses w MYP'!C11</f>
        <v>1200</v>
      </c>
      <c r="C56" s="65" t="str">
        <f>'Expenses w MYP'!D11</f>
        <v>Certificated Pupil Support Salaries</v>
      </c>
      <c r="D56" s="98">
        <f>'Cash Flow %s Yr1'!D56</f>
        <v>0</v>
      </c>
      <c r="E56" s="98">
        <f>'Cash Flow %s Yr1'!E56</f>
        <v>0</v>
      </c>
      <c r="F56" s="98">
        <f>'Cash Flow %s Yr1'!F56</f>
        <v>0.1</v>
      </c>
      <c r="G56" s="98">
        <f>'Cash Flow %s Yr1'!G56</f>
        <v>0.1</v>
      </c>
      <c r="H56" s="98">
        <f>'Cash Flow %s Yr1'!H56</f>
        <v>0.1</v>
      </c>
      <c r="I56" s="98">
        <f>'Cash Flow %s Yr1'!I56</f>
        <v>0.1</v>
      </c>
      <c r="J56" s="98">
        <f>'Cash Flow %s Yr1'!J56</f>
        <v>0.1</v>
      </c>
      <c r="K56" s="98">
        <f>'Cash Flow %s Yr1'!K56</f>
        <v>0.1</v>
      </c>
      <c r="L56" s="98">
        <f>'Cash Flow %s Yr1'!L56</f>
        <v>0.1</v>
      </c>
      <c r="M56" s="98">
        <f>'Cash Flow %s Yr1'!M56</f>
        <v>0.1</v>
      </c>
      <c r="N56" s="98">
        <f>'Cash Flow %s Yr1'!N56</f>
        <v>0.1</v>
      </c>
      <c r="O56" s="98">
        <f>'Cash Flow %s Yr1'!O56</f>
        <v>0.1</v>
      </c>
      <c r="P56" s="98">
        <f>'Cash Flow %s Yr1'!P56</f>
        <v>0</v>
      </c>
      <c r="Q56" s="98">
        <f>'Cash Flow %s Yr1'!Q56</f>
        <v>0</v>
      </c>
      <c r="R56" s="98">
        <f>'Cash Flow %s Yr1'!R56</f>
        <v>0</v>
      </c>
      <c r="S56" s="97">
        <f t="shared" si="4"/>
        <v>0.99999999999999989</v>
      </c>
    </row>
    <row r="57" spans="1:19" x14ac:dyDescent="0.75">
      <c r="A57" s="35"/>
      <c r="B57" s="65" t="str">
        <f>'Expenses w MYP'!C12</f>
        <v>1300</v>
      </c>
      <c r="C57" s="65" t="str">
        <f>'Expenses w MYP'!D12</f>
        <v>Certificated Supervisor and Administrator Salaries</v>
      </c>
      <c r="D57" s="98">
        <f>'Cash Flow %s Yr1'!D57</f>
        <v>8.3000000000000004E-2</v>
      </c>
      <c r="E57" s="98">
        <f>'Cash Flow %s Yr1'!E57</f>
        <v>8.3000000000000004E-2</v>
      </c>
      <c r="F57" s="98">
        <f>'Cash Flow %s Yr1'!F57</f>
        <v>8.3000000000000004E-2</v>
      </c>
      <c r="G57" s="98">
        <f>'Cash Flow %s Yr1'!G57</f>
        <v>8.3000000000000004E-2</v>
      </c>
      <c r="H57" s="98">
        <f>'Cash Flow %s Yr1'!H57</f>
        <v>8.3000000000000004E-2</v>
      </c>
      <c r="I57" s="98">
        <f>'Cash Flow %s Yr1'!I57</f>
        <v>8.3000000000000004E-2</v>
      </c>
      <c r="J57" s="98">
        <f>'Cash Flow %s Yr1'!J57</f>
        <v>8.3000000000000004E-2</v>
      </c>
      <c r="K57" s="98">
        <f>'Cash Flow %s Yr1'!K57</f>
        <v>8.3000000000000004E-2</v>
      </c>
      <c r="L57" s="98">
        <f>'Cash Flow %s Yr1'!L57</f>
        <v>8.4000000000000005E-2</v>
      </c>
      <c r="M57" s="98">
        <f>'Cash Flow %s Yr1'!M57</f>
        <v>8.4000000000000005E-2</v>
      </c>
      <c r="N57" s="98">
        <f>'Cash Flow %s Yr1'!N57</f>
        <v>8.4000000000000005E-2</v>
      </c>
      <c r="O57" s="98">
        <f>'Cash Flow %s Yr1'!O57</f>
        <v>8.4000000000000005E-2</v>
      </c>
      <c r="P57" s="98">
        <f>'Cash Flow %s Yr1'!P57</f>
        <v>0</v>
      </c>
      <c r="Q57" s="98">
        <f>'Cash Flow %s Yr1'!Q57</f>
        <v>0</v>
      </c>
      <c r="R57" s="98">
        <f>'Cash Flow %s Yr1'!R57</f>
        <v>0</v>
      </c>
      <c r="S57" s="97">
        <f t="shared" si="4"/>
        <v>0.99999999999999989</v>
      </c>
    </row>
    <row r="58" spans="1:19" x14ac:dyDescent="0.75">
      <c r="A58" s="35"/>
      <c r="B58" s="65" t="str">
        <f>'Expenses w MYP'!C13</f>
        <v>1305</v>
      </c>
      <c r="C58" s="65" t="str">
        <f>'Expenses w MYP'!D13</f>
        <v>Certificated Sup. and Admin. Stipends / Bonus</v>
      </c>
      <c r="D58" s="98">
        <f>'Cash Flow %s Yr1'!D58</f>
        <v>0</v>
      </c>
      <c r="E58" s="98">
        <f>'Cash Flow %s Yr1'!E58</f>
        <v>0</v>
      </c>
      <c r="F58" s="98">
        <f>'Cash Flow %s Yr1'!F58</f>
        <v>0</v>
      </c>
      <c r="G58" s="98">
        <f>'Cash Flow %s Yr1'!G58</f>
        <v>0</v>
      </c>
      <c r="H58" s="98">
        <f>'Cash Flow %s Yr1'!H58</f>
        <v>0</v>
      </c>
      <c r="I58" s="98">
        <f>'Cash Flow %s Yr1'!I58</f>
        <v>0</v>
      </c>
      <c r="J58" s="98">
        <f>'Cash Flow %s Yr1'!J58</f>
        <v>0</v>
      </c>
      <c r="K58" s="98">
        <f>'Cash Flow %s Yr1'!K58</f>
        <v>0</v>
      </c>
      <c r="L58" s="98">
        <f>'Cash Flow %s Yr1'!L58</f>
        <v>0</v>
      </c>
      <c r="M58" s="98">
        <f>'Cash Flow %s Yr1'!M58</f>
        <v>0</v>
      </c>
      <c r="N58" s="98">
        <f>'Cash Flow %s Yr1'!N58</f>
        <v>0</v>
      </c>
      <c r="O58" s="98">
        <f>'Cash Flow %s Yr1'!O58</f>
        <v>1</v>
      </c>
      <c r="P58" s="98">
        <f>'Cash Flow %s Yr1'!P58</f>
        <v>0</v>
      </c>
      <c r="Q58" s="98">
        <f>'Cash Flow %s Yr1'!Q58</f>
        <v>0</v>
      </c>
      <c r="R58" s="98">
        <f>'Cash Flow %s Yr1'!R58</f>
        <v>0</v>
      </c>
      <c r="S58" s="97">
        <f t="shared" si="4"/>
        <v>1</v>
      </c>
    </row>
    <row r="59" spans="1:19" x14ac:dyDescent="0.75">
      <c r="A59" s="35"/>
      <c r="B59" s="65" t="str">
        <f>'Expenses w MYP'!C14</f>
        <v>1900</v>
      </c>
      <c r="C59" s="65" t="str">
        <f>'Expenses w MYP'!D14</f>
        <v>Other Certificated Salaries</v>
      </c>
      <c r="D59" s="98">
        <f>'Cash Flow %s Yr1'!D59</f>
        <v>8.3000000000000004E-2</v>
      </c>
      <c r="E59" s="98">
        <f>'Cash Flow %s Yr1'!E59</f>
        <v>8.3000000000000004E-2</v>
      </c>
      <c r="F59" s="98">
        <f>'Cash Flow %s Yr1'!F59</f>
        <v>8.3000000000000004E-2</v>
      </c>
      <c r="G59" s="98">
        <f>'Cash Flow %s Yr1'!G59</f>
        <v>8.3000000000000004E-2</v>
      </c>
      <c r="H59" s="98">
        <f>'Cash Flow %s Yr1'!H59</f>
        <v>8.3000000000000004E-2</v>
      </c>
      <c r="I59" s="98">
        <f>'Cash Flow %s Yr1'!I59</f>
        <v>8.3000000000000004E-2</v>
      </c>
      <c r="J59" s="98">
        <f>'Cash Flow %s Yr1'!J59</f>
        <v>8.3000000000000004E-2</v>
      </c>
      <c r="K59" s="98">
        <f>'Cash Flow %s Yr1'!K59</f>
        <v>8.3000000000000004E-2</v>
      </c>
      <c r="L59" s="98">
        <f>'Cash Flow %s Yr1'!L59</f>
        <v>8.4000000000000005E-2</v>
      </c>
      <c r="M59" s="98">
        <f>'Cash Flow %s Yr1'!M59</f>
        <v>8.4000000000000005E-2</v>
      </c>
      <c r="N59" s="98">
        <f>'Cash Flow %s Yr1'!N59</f>
        <v>8.4000000000000005E-2</v>
      </c>
      <c r="O59" s="98">
        <f>'Cash Flow %s Yr1'!O59</f>
        <v>8.4000000000000005E-2</v>
      </c>
      <c r="P59" s="98">
        <f>'Cash Flow %s Yr1'!P59</f>
        <v>0</v>
      </c>
      <c r="Q59" s="98">
        <f>'Cash Flow %s Yr1'!Q59</f>
        <v>0</v>
      </c>
      <c r="R59" s="98">
        <f>'Cash Flow %s Yr1'!R59</f>
        <v>0</v>
      </c>
      <c r="S59" s="97">
        <f t="shared" si="4"/>
        <v>0.99999999999999989</v>
      </c>
    </row>
    <row r="60" spans="1:19" x14ac:dyDescent="0.75">
      <c r="A60" s="35"/>
      <c r="B60" s="65" t="str">
        <f>'Expenses w MYP'!C15</f>
        <v>1910</v>
      </c>
      <c r="C60" s="65" t="str">
        <f>'Expenses w MYP'!D15</f>
        <v>Other Certificated Overtime</v>
      </c>
      <c r="D60" s="98">
        <f>'Cash Flow %s Yr1'!D60</f>
        <v>0</v>
      </c>
      <c r="E60" s="98">
        <f>'Cash Flow %s Yr1'!E60</f>
        <v>0</v>
      </c>
      <c r="F60" s="98">
        <f>'Cash Flow %s Yr1'!F60</f>
        <v>0.1</v>
      </c>
      <c r="G60" s="98">
        <f>'Cash Flow %s Yr1'!G60</f>
        <v>0.1</v>
      </c>
      <c r="H60" s="98">
        <f>'Cash Flow %s Yr1'!H60</f>
        <v>0.1</v>
      </c>
      <c r="I60" s="98">
        <f>'Cash Flow %s Yr1'!I60</f>
        <v>0.1</v>
      </c>
      <c r="J60" s="98">
        <f>'Cash Flow %s Yr1'!J60</f>
        <v>0.1</v>
      </c>
      <c r="K60" s="98">
        <f>'Cash Flow %s Yr1'!K60</f>
        <v>0.1</v>
      </c>
      <c r="L60" s="98">
        <f>'Cash Flow %s Yr1'!L60</f>
        <v>0.1</v>
      </c>
      <c r="M60" s="98">
        <f>'Cash Flow %s Yr1'!M60</f>
        <v>0.1</v>
      </c>
      <c r="N60" s="98">
        <f>'Cash Flow %s Yr1'!N60</f>
        <v>0.1</v>
      </c>
      <c r="O60" s="98">
        <f>'Cash Flow %s Yr1'!O60</f>
        <v>0.1</v>
      </c>
      <c r="P60" s="98">
        <f>'Cash Flow %s Yr1'!P60</f>
        <v>0</v>
      </c>
      <c r="Q60" s="98">
        <f>'Cash Flow %s Yr1'!Q60</f>
        <v>0</v>
      </c>
      <c r="R60" s="98">
        <f>'Cash Flow %s Yr1'!R60</f>
        <v>0</v>
      </c>
      <c r="S60" s="97">
        <f t="shared" si="4"/>
        <v>0.99999999999999989</v>
      </c>
    </row>
    <row r="61" spans="1:19" x14ac:dyDescent="0.75">
      <c r="A61" s="35"/>
      <c r="C61" s="2"/>
      <c r="D61" s="88"/>
      <c r="E61" s="88"/>
      <c r="F61" s="105"/>
      <c r="G61" s="105"/>
      <c r="H61" s="105"/>
      <c r="I61" s="105"/>
      <c r="J61" s="105"/>
      <c r="K61" s="105"/>
      <c r="L61" s="105"/>
      <c r="M61" s="105"/>
      <c r="N61" s="105"/>
      <c r="O61" s="105"/>
      <c r="P61" s="88"/>
      <c r="Q61" s="88"/>
      <c r="R61" s="88"/>
      <c r="S61" s="97"/>
    </row>
    <row r="62" spans="1:19" s="31" customFormat="1" x14ac:dyDescent="0.75">
      <c r="A62" s="35"/>
      <c r="B62" s="39"/>
      <c r="C62" s="2"/>
      <c r="D62" s="88"/>
      <c r="E62" s="88"/>
      <c r="F62" s="88"/>
      <c r="G62" s="88"/>
      <c r="H62" s="88"/>
      <c r="I62" s="88"/>
      <c r="J62" s="88"/>
      <c r="K62" s="88"/>
      <c r="L62" s="88"/>
      <c r="M62" s="88"/>
      <c r="N62" s="88"/>
      <c r="O62" s="88"/>
      <c r="P62" s="88"/>
      <c r="Q62" s="88"/>
      <c r="R62" s="88"/>
      <c r="S62" s="97"/>
    </row>
    <row r="63" spans="1:19" s="31" customFormat="1" x14ac:dyDescent="0.75">
      <c r="B63" s="4" t="s">
        <v>732</v>
      </c>
      <c r="C63" s="2"/>
      <c r="D63" s="88"/>
      <c r="E63" s="88"/>
      <c r="F63" s="88"/>
      <c r="G63" s="88"/>
      <c r="H63" s="88"/>
      <c r="I63" s="88"/>
      <c r="J63" s="88"/>
      <c r="K63" s="88"/>
      <c r="L63" s="88"/>
      <c r="M63" s="88"/>
      <c r="N63" s="88"/>
      <c r="O63" s="88"/>
      <c r="P63" s="88"/>
      <c r="Q63" s="88"/>
      <c r="R63" s="88"/>
      <c r="S63" s="97"/>
    </row>
    <row r="64" spans="1:19" s="31" customFormat="1" x14ac:dyDescent="0.75">
      <c r="A64" s="35"/>
      <c r="B64" s="65" t="str">
        <f>'Expenses w MYP'!C19</f>
        <v>2100</v>
      </c>
      <c r="C64" s="65" t="str">
        <f>'Expenses w MYP'!D19</f>
        <v>Instructional Aide Salaries</v>
      </c>
      <c r="D64" s="98">
        <f>'Cash Flow %s Yr1'!D64</f>
        <v>0</v>
      </c>
      <c r="E64" s="98">
        <f>'Cash Flow %s Yr1'!E64</f>
        <v>0</v>
      </c>
      <c r="F64" s="98">
        <f>'Cash Flow %s Yr1'!F64</f>
        <v>0.1</v>
      </c>
      <c r="G64" s="98">
        <f>'Cash Flow %s Yr1'!G64</f>
        <v>0.1</v>
      </c>
      <c r="H64" s="98">
        <f>'Cash Flow %s Yr1'!H64</f>
        <v>0.1</v>
      </c>
      <c r="I64" s="98">
        <f>'Cash Flow %s Yr1'!I64</f>
        <v>0.1</v>
      </c>
      <c r="J64" s="98">
        <f>'Cash Flow %s Yr1'!J64</f>
        <v>0.1</v>
      </c>
      <c r="K64" s="98">
        <f>'Cash Flow %s Yr1'!K64</f>
        <v>0.1</v>
      </c>
      <c r="L64" s="98">
        <f>'Cash Flow %s Yr1'!L64</f>
        <v>0.1</v>
      </c>
      <c r="M64" s="98">
        <f>'Cash Flow %s Yr1'!M64</f>
        <v>0.1</v>
      </c>
      <c r="N64" s="98">
        <f>'Cash Flow %s Yr1'!N64</f>
        <v>0.1</v>
      </c>
      <c r="O64" s="98">
        <f>'Cash Flow %s Yr1'!O64</f>
        <v>0.1</v>
      </c>
      <c r="P64" s="98">
        <f>'Cash Flow %s Yr1'!P64</f>
        <v>0</v>
      </c>
      <c r="Q64" s="98">
        <f>'Cash Flow %s Yr1'!Q64</f>
        <v>0</v>
      </c>
      <c r="R64" s="98">
        <f>'Cash Flow %s Yr1'!R64</f>
        <v>0</v>
      </c>
      <c r="S64" s="97">
        <f t="shared" ref="S64:S73" si="5">SUM(D64:R64)</f>
        <v>0.99999999999999989</v>
      </c>
    </row>
    <row r="65" spans="1:19" s="31" customFormat="1" x14ac:dyDescent="0.75">
      <c r="A65" s="35"/>
      <c r="B65" s="65" t="str">
        <f>'Expenses w MYP'!C20</f>
        <v>2110</v>
      </c>
      <c r="C65" s="65" t="str">
        <f>'Expenses w MYP'!D20</f>
        <v>Instructional Aide Overtime</v>
      </c>
      <c r="D65" s="98">
        <f>'Cash Flow %s Yr1'!D65</f>
        <v>0</v>
      </c>
      <c r="E65" s="98">
        <f>'Cash Flow %s Yr1'!E65</f>
        <v>0</v>
      </c>
      <c r="F65" s="98">
        <f>'Cash Flow %s Yr1'!F65</f>
        <v>0.1</v>
      </c>
      <c r="G65" s="98">
        <f>'Cash Flow %s Yr1'!G65</f>
        <v>0.1</v>
      </c>
      <c r="H65" s="98">
        <f>'Cash Flow %s Yr1'!H65</f>
        <v>0.1</v>
      </c>
      <c r="I65" s="98">
        <f>'Cash Flow %s Yr1'!I65</f>
        <v>0.1</v>
      </c>
      <c r="J65" s="98">
        <f>'Cash Flow %s Yr1'!J65</f>
        <v>0.1</v>
      </c>
      <c r="K65" s="98">
        <f>'Cash Flow %s Yr1'!K65</f>
        <v>0.1</v>
      </c>
      <c r="L65" s="98">
        <f>'Cash Flow %s Yr1'!L65</f>
        <v>0.1</v>
      </c>
      <c r="M65" s="98">
        <f>'Cash Flow %s Yr1'!M65</f>
        <v>0.1</v>
      </c>
      <c r="N65" s="98">
        <f>'Cash Flow %s Yr1'!N65</f>
        <v>0.1</v>
      </c>
      <c r="O65" s="98">
        <f>'Cash Flow %s Yr1'!O65</f>
        <v>0.1</v>
      </c>
      <c r="P65" s="98">
        <f>'Cash Flow %s Yr1'!P65</f>
        <v>0</v>
      </c>
      <c r="Q65" s="98">
        <f>'Cash Flow %s Yr1'!Q65</f>
        <v>0</v>
      </c>
      <c r="R65" s="98">
        <f>'Cash Flow %s Yr1'!R65</f>
        <v>0</v>
      </c>
      <c r="S65" s="97">
        <f t="shared" si="5"/>
        <v>0.99999999999999989</v>
      </c>
    </row>
    <row r="66" spans="1:19" s="31" customFormat="1" x14ac:dyDescent="0.75">
      <c r="A66" s="35"/>
      <c r="B66" s="65" t="str">
        <f>'Expenses w MYP'!C21</f>
        <v>2200</v>
      </c>
      <c r="C66" s="65" t="str">
        <f>'Expenses w MYP'!D21</f>
        <v>Classified Support Salaries (Maintenance / Food)</v>
      </c>
      <c r="D66" s="98">
        <f>'Cash Flow %s Yr1'!D66</f>
        <v>0</v>
      </c>
      <c r="E66" s="98">
        <f>'Cash Flow %s Yr1'!E66</f>
        <v>0</v>
      </c>
      <c r="F66" s="98">
        <f>'Cash Flow %s Yr1'!F66</f>
        <v>0.1</v>
      </c>
      <c r="G66" s="98">
        <f>'Cash Flow %s Yr1'!G66</f>
        <v>0.1</v>
      </c>
      <c r="H66" s="98">
        <f>'Cash Flow %s Yr1'!H66</f>
        <v>0.1</v>
      </c>
      <c r="I66" s="98">
        <f>'Cash Flow %s Yr1'!I66</f>
        <v>0.1</v>
      </c>
      <c r="J66" s="98">
        <f>'Cash Flow %s Yr1'!J66</f>
        <v>0.1</v>
      </c>
      <c r="K66" s="98">
        <f>'Cash Flow %s Yr1'!K66</f>
        <v>0.1</v>
      </c>
      <c r="L66" s="98">
        <f>'Cash Flow %s Yr1'!L66</f>
        <v>0.1</v>
      </c>
      <c r="M66" s="98">
        <f>'Cash Flow %s Yr1'!M66</f>
        <v>0.1</v>
      </c>
      <c r="N66" s="98">
        <f>'Cash Flow %s Yr1'!N66</f>
        <v>0.1</v>
      </c>
      <c r="O66" s="98">
        <f>'Cash Flow %s Yr1'!O66</f>
        <v>0.1</v>
      </c>
      <c r="P66" s="98">
        <f>'Cash Flow %s Yr1'!P66</f>
        <v>0</v>
      </c>
      <c r="Q66" s="98">
        <f>'Cash Flow %s Yr1'!Q66</f>
        <v>0</v>
      </c>
      <c r="R66" s="98">
        <f>'Cash Flow %s Yr1'!R66</f>
        <v>0</v>
      </c>
      <c r="S66" s="97">
        <f t="shared" si="5"/>
        <v>0.99999999999999989</v>
      </c>
    </row>
    <row r="67" spans="1:19" s="31" customFormat="1" x14ac:dyDescent="0.75">
      <c r="A67" s="35"/>
      <c r="B67" s="65" t="str">
        <f>'Expenses w MYP'!C22</f>
        <v>2210</v>
      </c>
      <c r="C67" s="65" t="str">
        <f>'Expenses w MYP'!D22</f>
        <v>Classified Support Overtime</v>
      </c>
      <c r="D67" s="98">
        <f>'Cash Flow %s Yr1'!D67</f>
        <v>0</v>
      </c>
      <c r="E67" s="98">
        <f>'Cash Flow %s Yr1'!E67</f>
        <v>0</v>
      </c>
      <c r="F67" s="98">
        <f>'Cash Flow %s Yr1'!F67</f>
        <v>0.1</v>
      </c>
      <c r="G67" s="98">
        <f>'Cash Flow %s Yr1'!G67</f>
        <v>0.1</v>
      </c>
      <c r="H67" s="98">
        <f>'Cash Flow %s Yr1'!H67</f>
        <v>0.1</v>
      </c>
      <c r="I67" s="98">
        <f>'Cash Flow %s Yr1'!I67</f>
        <v>0.1</v>
      </c>
      <c r="J67" s="98">
        <f>'Cash Flow %s Yr1'!J67</f>
        <v>0.1</v>
      </c>
      <c r="K67" s="98">
        <f>'Cash Flow %s Yr1'!K67</f>
        <v>0.1</v>
      </c>
      <c r="L67" s="98">
        <f>'Cash Flow %s Yr1'!L67</f>
        <v>0.1</v>
      </c>
      <c r="M67" s="98">
        <f>'Cash Flow %s Yr1'!M67</f>
        <v>0.1</v>
      </c>
      <c r="N67" s="98">
        <f>'Cash Flow %s Yr1'!N67</f>
        <v>0.1</v>
      </c>
      <c r="O67" s="98">
        <f>'Cash Flow %s Yr1'!O67</f>
        <v>0.1</v>
      </c>
      <c r="P67" s="98">
        <f>'Cash Flow %s Yr1'!P67</f>
        <v>0</v>
      </c>
      <c r="Q67" s="98">
        <f>'Cash Flow %s Yr1'!Q67</f>
        <v>0</v>
      </c>
      <c r="R67" s="98">
        <f>'Cash Flow %s Yr1'!R67</f>
        <v>0</v>
      </c>
      <c r="S67" s="97">
        <f t="shared" si="5"/>
        <v>0.99999999999999989</v>
      </c>
    </row>
    <row r="68" spans="1:19" s="31" customFormat="1" x14ac:dyDescent="0.75">
      <c r="A68" s="35"/>
      <c r="B68" s="65" t="str">
        <f>'Expenses w MYP'!C23</f>
        <v>2300</v>
      </c>
      <c r="C68" s="65" t="str">
        <f>'Expenses w MYP'!D23</f>
        <v>Classified Supervisor and Administrator Salaries</v>
      </c>
      <c r="D68" s="98">
        <f>'Cash Flow %s Yr1'!D68</f>
        <v>8.3000000000000004E-2</v>
      </c>
      <c r="E68" s="98">
        <f>'Cash Flow %s Yr1'!E68</f>
        <v>8.3000000000000004E-2</v>
      </c>
      <c r="F68" s="98">
        <f>'Cash Flow %s Yr1'!F68</f>
        <v>8.3000000000000004E-2</v>
      </c>
      <c r="G68" s="98">
        <f>'Cash Flow %s Yr1'!G68</f>
        <v>8.3000000000000004E-2</v>
      </c>
      <c r="H68" s="98">
        <f>'Cash Flow %s Yr1'!H68</f>
        <v>8.3000000000000004E-2</v>
      </c>
      <c r="I68" s="98">
        <f>'Cash Flow %s Yr1'!I68</f>
        <v>8.3000000000000004E-2</v>
      </c>
      <c r="J68" s="98">
        <f>'Cash Flow %s Yr1'!J68</f>
        <v>8.3000000000000004E-2</v>
      </c>
      <c r="K68" s="98">
        <f>'Cash Flow %s Yr1'!K68</f>
        <v>8.3000000000000004E-2</v>
      </c>
      <c r="L68" s="98">
        <f>'Cash Flow %s Yr1'!L68</f>
        <v>8.4000000000000005E-2</v>
      </c>
      <c r="M68" s="98">
        <f>'Cash Flow %s Yr1'!M68</f>
        <v>8.4000000000000005E-2</v>
      </c>
      <c r="N68" s="98">
        <f>'Cash Flow %s Yr1'!N68</f>
        <v>8.4000000000000005E-2</v>
      </c>
      <c r="O68" s="98">
        <f>'Cash Flow %s Yr1'!O68</f>
        <v>8.4000000000000005E-2</v>
      </c>
      <c r="P68" s="98">
        <f>'Cash Flow %s Yr1'!P68</f>
        <v>0</v>
      </c>
      <c r="Q68" s="98">
        <f>'Cash Flow %s Yr1'!Q68</f>
        <v>0</v>
      </c>
      <c r="R68" s="98">
        <f>'Cash Flow %s Yr1'!R68</f>
        <v>0</v>
      </c>
      <c r="S68" s="97">
        <f t="shared" si="5"/>
        <v>0.99999999999999989</v>
      </c>
    </row>
    <row r="69" spans="1:19" s="31" customFormat="1" x14ac:dyDescent="0.75">
      <c r="A69" s="35"/>
      <c r="B69" s="65" t="str">
        <f>'Expenses w MYP'!C24</f>
        <v>2400</v>
      </c>
      <c r="C69" s="65" t="str">
        <f>'Expenses w MYP'!D24</f>
        <v>Clerical, Technical, and Office Staff Salaries</v>
      </c>
      <c r="D69" s="98">
        <f>'Cash Flow %s Yr1'!D69</f>
        <v>8.3000000000000004E-2</v>
      </c>
      <c r="E69" s="98">
        <f>'Cash Flow %s Yr1'!E69</f>
        <v>8.3000000000000004E-2</v>
      </c>
      <c r="F69" s="98">
        <f>'Cash Flow %s Yr1'!F69</f>
        <v>8.3000000000000004E-2</v>
      </c>
      <c r="G69" s="98">
        <f>'Cash Flow %s Yr1'!G69</f>
        <v>8.3000000000000004E-2</v>
      </c>
      <c r="H69" s="98">
        <f>'Cash Flow %s Yr1'!H69</f>
        <v>8.3000000000000004E-2</v>
      </c>
      <c r="I69" s="98">
        <f>'Cash Flow %s Yr1'!I69</f>
        <v>8.3000000000000004E-2</v>
      </c>
      <c r="J69" s="98">
        <f>'Cash Flow %s Yr1'!J69</f>
        <v>8.3000000000000004E-2</v>
      </c>
      <c r="K69" s="98">
        <f>'Cash Flow %s Yr1'!K69</f>
        <v>8.3000000000000004E-2</v>
      </c>
      <c r="L69" s="98">
        <f>'Cash Flow %s Yr1'!L69</f>
        <v>8.4000000000000005E-2</v>
      </c>
      <c r="M69" s="98">
        <f>'Cash Flow %s Yr1'!M69</f>
        <v>8.4000000000000005E-2</v>
      </c>
      <c r="N69" s="98">
        <f>'Cash Flow %s Yr1'!N69</f>
        <v>8.4000000000000005E-2</v>
      </c>
      <c r="O69" s="98">
        <f>'Cash Flow %s Yr1'!O69</f>
        <v>8.4000000000000005E-2</v>
      </c>
      <c r="P69" s="98">
        <f>'Cash Flow %s Yr1'!P69</f>
        <v>0</v>
      </c>
      <c r="Q69" s="98">
        <f>'Cash Flow %s Yr1'!Q69</f>
        <v>0</v>
      </c>
      <c r="R69" s="98">
        <f>'Cash Flow %s Yr1'!R69</f>
        <v>0</v>
      </c>
      <c r="S69" s="97">
        <f t="shared" si="5"/>
        <v>0.99999999999999989</v>
      </c>
    </row>
    <row r="70" spans="1:19" s="31" customFormat="1" x14ac:dyDescent="0.75">
      <c r="A70" s="35"/>
      <c r="B70" s="65" t="str">
        <f>'Expenses w MYP'!C25</f>
        <v>2410</v>
      </c>
      <c r="C70" s="65" t="str">
        <f>'Expenses w MYP'!D25</f>
        <v>Clerical, Technical, and Office Staff Overtime</v>
      </c>
      <c r="D70" s="98">
        <f>'Cash Flow %s Yr1'!D70</f>
        <v>0</v>
      </c>
      <c r="E70" s="98">
        <f>'Cash Flow %s Yr1'!E70</f>
        <v>0</v>
      </c>
      <c r="F70" s="98">
        <f>'Cash Flow %s Yr1'!F70</f>
        <v>0.1</v>
      </c>
      <c r="G70" s="98">
        <f>'Cash Flow %s Yr1'!G70</f>
        <v>0.1</v>
      </c>
      <c r="H70" s="98">
        <f>'Cash Flow %s Yr1'!H70</f>
        <v>0.1</v>
      </c>
      <c r="I70" s="98">
        <f>'Cash Flow %s Yr1'!I70</f>
        <v>0.1</v>
      </c>
      <c r="J70" s="98">
        <f>'Cash Flow %s Yr1'!J70</f>
        <v>0.1</v>
      </c>
      <c r="K70" s="98">
        <f>'Cash Flow %s Yr1'!K70</f>
        <v>0.1</v>
      </c>
      <c r="L70" s="98">
        <f>'Cash Flow %s Yr1'!L70</f>
        <v>0.1</v>
      </c>
      <c r="M70" s="98">
        <f>'Cash Flow %s Yr1'!M70</f>
        <v>0.1</v>
      </c>
      <c r="N70" s="98">
        <f>'Cash Flow %s Yr1'!N70</f>
        <v>0.1</v>
      </c>
      <c r="O70" s="98">
        <f>'Cash Flow %s Yr1'!O70</f>
        <v>0.1</v>
      </c>
      <c r="P70" s="98">
        <f>'Cash Flow %s Yr1'!P70</f>
        <v>0</v>
      </c>
      <c r="Q70" s="98">
        <f>'Cash Flow %s Yr1'!Q70</f>
        <v>0</v>
      </c>
      <c r="R70" s="98">
        <f>'Cash Flow %s Yr1'!R70</f>
        <v>0</v>
      </c>
      <c r="S70" s="97">
        <f t="shared" si="5"/>
        <v>0.99999999999999989</v>
      </c>
    </row>
    <row r="71" spans="1:19" s="31" customFormat="1" x14ac:dyDescent="0.75">
      <c r="A71" s="35"/>
      <c r="B71" s="65" t="str">
        <f>'Expenses w MYP'!C26</f>
        <v>2900</v>
      </c>
      <c r="C71" s="65" t="str">
        <f>'Expenses w MYP'!D26</f>
        <v>Other Classified Salaries</v>
      </c>
      <c r="D71" s="98">
        <f>'Cash Flow %s Yr1'!D71</f>
        <v>0</v>
      </c>
      <c r="E71" s="98">
        <f>'Cash Flow %s Yr1'!E71</f>
        <v>0</v>
      </c>
      <c r="F71" s="98">
        <f>'Cash Flow %s Yr1'!F71</f>
        <v>0.1</v>
      </c>
      <c r="G71" s="98">
        <f>'Cash Flow %s Yr1'!G71</f>
        <v>0.1</v>
      </c>
      <c r="H71" s="98">
        <f>'Cash Flow %s Yr1'!H71</f>
        <v>0.1</v>
      </c>
      <c r="I71" s="98">
        <f>'Cash Flow %s Yr1'!I71</f>
        <v>0.1</v>
      </c>
      <c r="J71" s="98">
        <f>'Cash Flow %s Yr1'!J71</f>
        <v>0.1</v>
      </c>
      <c r="K71" s="98">
        <f>'Cash Flow %s Yr1'!K71</f>
        <v>0.1</v>
      </c>
      <c r="L71" s="98">
        <f>'Cash Flow %s Yr1'!L71</f>
        <v>0.1</v>
      </c>
      <c r="M71" s="98">
        <f>'Cash Flow %s Yr1'!M71</f>
        <v>0.1</v>
      </c>
      <c r="N71" s="98">
        <f>'Cash Flow %s Yr1'!N71</f>
        <v>0.1</v>
      </c>
      <c r="O71" s="98">
        <f>'Cash Flow %s Yr1'!O71</f>
        <v>0.1</v>
      </c>
      <c r="P71" s="98">
        <f>'Cash Flow %s Yr1'!P71</f>
        <v>0</v>
      </c>
      <c r="Q71" s="98">
        <f>'Cash Flow %s Yr1'!Q71</f>
        <v>0</v>
      </c>
      <c r="R71" s="98">
        <f>'Cash Flow %s Yr1'!R71</f>
        <v>0</v>
      </c>
      <c r="S71" s="97">
        <f t="shared" si="5"/>
        <v>0.99999999999999989</v>
      </c>
    </row>
    <row r="72" spans="1:19" s="31" customFormat="1" x14ac:dyDescent="0.75">
      <c r="A72" s="35"/>
      <c r="B72" s="65" t="str">
        <f>'Expenses w MYP'!C27</f>
        <v>2905</v>
      </c>
      <c r="C72" s="65" t="str">
        <f>'Expenses w MYP'!D27</f>
        <v>Other Stipends</v>
      </c>
      <c r="D72" s="98">
        <f>'Cash Flow %s Yr1'!D72</f>
        <v>0</v>
      </c>
      <c r="E72" s="98">
        <f>'Cash Flow %s Yr1'!E72</f>
        <v>0</v>
      </c>
      <c r="F72" s="98">
        <f>'Cash Flow %s Yr1'!F72</f>
        <v>0.1</v>
      </c>
      <c r="G72" s="98">
        <f>'Cash Flow %s Yr1'!G72</f>
        <v>0.1</v>
      </c>
      <c r="H72" s="98">
        <f>'Cash Flow %s Yr1'!H72</f>
        <v>0.1</v>
      </c>
      <c r="I72" s="98">
        <f>'Cash Flow %s Yr1'!I72</f>
        <v>0.1</v>
      </c>
      <c r="J72" s="98">
        <f>'Cash Flow %s Yr1'!J72</f>
        <v>0.1</v>
      </c>
      <c r="K72" s="98">
        <f>'Cash Flow %s Yr1'!K72</f>
        <v>0.1</v>
      </c>
      <c r="L72" s="98">
        <f>'Cash Flow %s Yr1'!L72</f>
        <v>0.1</v>
      </c>
      <c r="M72" s="98">
        <f>'Cash Flow %s Yr1'!M72</f>
        <v>0.1</v>
      </c>
      <c r="N72" s="98">
        <f>'Cash Flow %s Yr1'!N72</f>
        <v>0.1</v>
      </c>
      <c r="O72" s="98">
        <f>'Cash Flow %s Yr1'!O72</f>
        <v>0.1</v>
      </c>
      <c r="P72" s="98">
        <f>'Cash Flow %s Yr1'!P72</f>
        <v>0</v>
      </c>
      <c r="Q72" s="98">
        <f>'Cash Flow %s Yr1'!Q72</f>
        <v>0</v>
      </c>
      <c r="R72" s="98">
        <f>'Cash Flow %s Yr1'!R72</f>
        <v>0</v>
      </c>
      <c r="S72" s="97">
        <f t="shared" si="5"/>
        <v>0.99999999999999989</v>
      </c>
    </row>
    <row r="73" spans="1:19" s="31" customFormat="1" x14ac:dyDescent="0.75">
      <c r="A73" s="35"/>
      <c r="B73" s="65" t="str">
        <f>'Expenses w MYP'!C28</f>
        <v>2910</v>
      </c>
      <c r="C73" s="65" t="str">
        <f>'Expenses w MYP'!D28</f>
        <v>Other Classified Overtime</v>
      </c>
      <c r="D73" s="98">
        <f>'Cash Flow %s Yr1'!D73</f>
        <v>0</v>
      </c>
      <c r="E73" s="98">
        <f>'Cash Flow %s Yr1'!E73</f>
        <v>0</v>
      </c>
      <c r="F73" s="98">
        <f>'Cash Flow %s Yr1'!F73</f>
        <v>0.1</v>
      </c>
      <c r="G73" s="98">
        <f>'Cash Flow %s Yr1'!G73</f>
        <v>0.1</v>
      </c>
      <c r="H73" s="98">
        <f>'Cash Flow %s Yr1'!H73</f>
        <v>0.1</v>
      </c>
      <c r="I73" s="98">
        <f>'Cash Flow %s Yr1'!I73</f>
        <v>0.1</v>
      </c>
      <c r="J73" s="98">
        <f>'Cash Flow %s Yr1'!J73</f>
        <v>0.1</v>
      </c>
      <c r="K73" s="98">
        <f>'Cash Flow %s Yr1'!K73</f>
        <v>0.1</v>
      </c>
      <c r="L73" s="98">
        <f>'Cash Flow %s Yr1'!L73</f>
        <v>0.1</v>
      </c>
      <c r="M73" s="98">
        <f>'Cash Flow %s Yr1'!M73</f>
        <v>0.1</v>
      </c>
      <c r="N73" s="98">
        <f>'Cash Flow %s Yr1'!N73</f>
        <v>0.1</v>
      </c>
      <c r="O73" s="98">
        <f>'Cash Flow %s Yr1'!O73</f>
        <v>0.1</v>
      </c>
      <c r="P73" s="98">
        <f>'Cash Flow %s Yr1'!P73</f>
        <v>0</v>
      </c>
      <c r="Q73" s="98">
        <f>'Cash Flow %s Yr1'!Q73</f>
        <v>0</v>
      </c>
      <c r="R73" s="98">
        <f>'Cash Flow %s Yr1'!R73</f>
        <v>0</v>
      </c>
      <c r="S73" s="97">
        <f t="shared" si="5"/>
        <v>0.99999999999999989</v>
      </c>
    </row>
    <row r="74" spans="1:19" s="31" customFormat="1" x14ac:dyDescent="0.75">
      <c r="A74" s="35"/>
      <c r="B74" s="39"/>
      <c r="C74" s="2"/>
      <c r="D74" s="88"/>
      <c r="E74" s="88"/>
      <c r="F74" s="105"/>
      <c r="G74" s="105"/>
      <c r="H74" s="105"/>
      <c r="I74" s="105"/>
      <c r="J74" s="105"/>
      <c r="K74" s="105"/>
      <c r="L74" s="105"/>
      <c r="M74" s="105"/>
      <c r="N74" s="105"/>
      <c r="O74" s="105"/>
      <c r="P74" s="88"/>
      <c r="Q74" s="88"/>
      <c r="R74" s="88"/>
      <c r="S74" s="97"/>
    </row>
    <row r="75" spans="1:19" s="31" customFormat="1" x14ac:dyDescent="0.75">
      <c r="A75" s="35"/>
      <c r="B75" s="39"/>
      <c r="C75" s="2"/>
      <c r="D75" s="88"/>
      <c r="E75" s="88"/>
      <c r="F75" s="88"/>
      <c r="G75" s="88"/>
      <c r="H75" s="88"/>
      <c r="I75" s="88"/>
      <c r="J75" s="88"/>
      <c r="K75" s="88"/>
      <c r="L75" s="88"/>
      <c r="M75" s="88"/>
      <c r="N75" s="88"/>
      <c r="O75" s="88"/>
      <c r="P75" s="88"/>
      <c r="Q75" s="88"/>
      <c r="R75" s="88"/>
      <c r="S75" s="97"/>
    </row>
    <row r="76" spans="1:19" s="31" customFormat="1" x14ac:dyDescent="0.75">
      <c r="B76" s="34" t="s">
        <v>733</v>
      </c>
      <c r="C76" s="2"/>
      <c r="D76" s="88"/>
      <c r="E76" s="88"/>
      <c r="F76" s="88"/>
      <c r="G76" s="88"/>
      <c r="H76" s="88"/>
      <c r="I76" s="88"/>
      <c r="J76" s="88"/>
      <c r="K76" s="88"/>
      <c r="L76" s="88"/>
      <c r="M76" s="88"/>
      <c r="N76" s="88"/>
      <c r="O76" s="88"/>
      <c r="P76" s="88"/>
      <c r="Q76" s="88"/>
      <c r="R76" s="88"/>
      <c r="S76" s="97"/>
    </row>
    <row r="77" spans="1:19" s="31" customFormat="1" x14ac:dyDescent="0.75">
      <c r="A77" s="35"/>
      <c r="B77" s="65" t="str">
        <f>'Expenses w MYP'!C32</f>
        <v>3101</v>
      </c>
      <c r="C77" s="65" t="str">
        <f>'Expenses w MYP'!D32</f>
        <v>State Teachers' Retirement System, certificated positions</v>
      </c>
      <c r="D77" s="98">
        <f>'Cash Flow %s Yr1'!D77</f>
        <v>0.02</v>
      </c>
      <c r="E77" s="98">
        <f>'Cash Flow %s Yr1'!E77</f>
        <v>0.02</v>
      </c>
      <c r="F77" s="98">
        <f>'Cash Flow %s Yr1'!F77</f>
        <v>0.1</v>
      </c>
      <c r="G77" s="98">
        <f>'Cash Flow %s Yr1'!G77</f>
        <v>0.1</v>
      </c>
      <c r="H77" s="98">
        <f>'Cash Flow %s Yr1'!H77</f>
        <v>0.1</v>
      </c>
      <c r="I77" s="98">
        <f>'Cash Flow %s Yr1'!I77</f>
        <v>0.1</v>
      </c>
      <c r="J77" s="98">
        <f>'Cash Flow %s Yr1'!J77</f>
        <v>0.1</v>
      </c>
      <c r="K77" s="98">
        <f>'Cash Flow %s Yr1'!K77</f>
        <v>0.1</v>
      </c>
      <c r="L77" s="98">
        <f>'Cash Flow %s Yr1'!L77</f>
        <v>0.1</v>
      </c>
      <c r="M77" s="98">
        <f>'Cash Flow %s Yr1'!M77</f>
        <v>0.1</v>
      </c>
      <c r="N77" s="98">
        <f>'Cash Flow %s Yr1'!N77</f>
        <v>0.1</v>
      </c>
      <c r="O77" s="98">
        <f>'Cash Flow %s Yr1'!O77</f>
        <v>0.06</v>
      </c>
      <c r="P77" s="98">
        <f>'Cash Flow %s Yr1'!P77</f>
        <v>0</v>
      </c>
      <c r="Q77" s="98">
        <f>'Cash Flow %s Yr1'!Q77</f>
        <v>0</v>
      </c>
      <c r="R77" s="98">
        <f>'Cash Flow %s Yr1'!R77</f>
        <v>0</v>
      </c>
      <c r="S77" s="97">
        <f t="shared" ref="S77:S85" si="6">SUM(D77:R77)</f>
        <v>1</v>
      </c>
    </row>
    <row r="78" spans="1:19" s="31" customFormat="1" x14ac:dyDescent="0.75">
      <c r="A78" s="35"/>
      <c r="B78" s="65" t="str">
        <f>'Expenses w MYP'!C45</f>
        <v>3602</v>
      </c>
      <c r="C78" s="65" t="str">
        <f>'Expenses w MYP'!D45</f>
        <v>Worker's Comp - Classified</v>
      </c>
      <c r="D78" s="98">
        <f>'Cash Flow %s Yr1'!D78</f>
        <v>0.02</v>
      </c>
      <c r="E78" s="98">
        <f>'Cash Flow %s Yr1'!E78</f>
        <v>0.02</v>
      </c>
      <c r="F78" s="98">
        <f>'Cash Flow %s Yr1'!F78</f>
        <v>0.1</v>
      </c>
      <c r="G78" s="98">
        <f>'Cash Flow %s Yr1'!G78</f>
        <v>0.1</v>
      </c>
      <c r="H78" s="98">
        <f>'Cash Flow %s Yr1'!H78</f>
        <v>0.1</v>
      </c>
      <c r="I78" s="98">
        <f>'Cash Flow %s Yr1'!I78</f>
        <v>0.1</v>
      </c>
      <c r="J78" s="98">
        <f>'Cash Flow %s Yr1'!J78</f>
        <v>0.1</v>
      </c>
      <c r="K78" s="98">
        <f>'Cash Flow %s Yr1'!K78</f>
        <v>0.1</v>
      </c>
      <c r="L78" s="98">
        <f>'Cash Flow %s Yr1'!L78</f>
        <v>0.1</v>
      </c>
      <c r="M78" s="98">
        <f>'Cash Flow %s Yr1'!M78</f>
        <v>0.1</v>
      </c>
      <c r="N78" s="98">
        <f>'Cash Flow %s Yr1'!N78</f>
        <v>0.1</v>
      </c>
      <c r="O78" s="98">
        <f>'Cash Flow %s Yr1'!O78</f>
        <v>0.06</v>
      </c>
      <c r="P78" s="98">
        <f>'Cash Flow %s Yr1'!P78</f>
        <v>0</v>
      </c>
      <c r="Q78" s="98">
        <f>'Cash Flow %s Yr1'!Q78</f>
        <v>0</v>
      </c>
      <c r="R78" s="98">
        <f>'Cash Flow %s Yr1'!R78</f>
        <v>0</v>
      </c>
      <c r="S78" s="97">
        <f t="shared" si="6"/>
        <v>1</v>
      </c>
    </row>
    <row r="79" spans="1:19" s="31" customFormat="1" x14ac:dyDescent="0.75">
      <c r="A79" s="35"/>
      <c r="B79" s="65" t="str">
        <f>'Expenses w MYP'!C46</f>
        <v>3603</v>
      </c>
      <c r="C79" s="65" t="str">
        <f>'Expenses w MYP'!D46</f>
        <v>Worker Compensation Insurance</v>
      </c>
      <c r="D79" s="98">
        <f>'Cash Flow %s Yr1'!D79</f>
        <v>0.02</v>
      </c>
      <c r="E79" s="98">
        <f>'Cash Flow %s Yr1'!E79</f>
        <v>0.02</v>
      </c>
      <c r="F79" s="98">
        <f>'Cash Flow %s Yr1'!F79</f>
        <v>0.1</v>
      </c>
      <c r="G79" s="98">
        <f>'Cash Flow %s Yr1'!G79</f>
        <v>0.1</v>
      </c>
      <c r="H79" s="98">
        <f>'Cash Flow %s Yr1'!H79</f>
        <v>0.1</v>
      </c>
      <c r="I79" s="98">
        <f>'Cash Flow %s Yr1'!I79</f>
        <v>0.1</v>
      </c>
      <c r="J79" s="98">
        <f>'Cash Flow %s Yr1'!J79</f>
        <v>0.1</v>
      </c>
      <c r="K79" s="98">
        <f>'Cash Flow %s Yr1'!K79</f>
        <v>0.1</v>
      </c>
      <c r="L79" s="98">
        <f>'Cash Flow %s Yr1'!L79</f>
        <v>0.1</v>
      </c>
      <c r="M79" s="98">
        <f>'Cash Flow %s Yr1'!M79</f>
        <v>0.1</v>
      </c>
      <c r="N79" s="98">
        <f>'Cash Flow %s Yr1'!N79</f>
        <v>0.1</v>
      </c>
      <c r="O79" s="98">
        <f>'Cash Flow %s Yr1'!O79</f>
        <v>0.06</v>
      </c>
      <c r="P79" s="98">
        <f>'Cash Flow %s Yr1'!P79</f>
        <v>0</v>
      </c>
      <c r="Q79" s="98">
        <f>'Cash Flow %s Yr1'!Q79</f>
        <v>0</v>
      </c>
      <c r="R79" s="98">
        <f>'Cash Flow %s Yr1'!R79</f>
        <v>0</v>
      </c>
      <c r="S79" s="97">
        <f t="shared" si="6"/>
        <v>1</v>
      </c>
    </row>
    <row r="80" spans="1:19" s="31" customFormat="1" x14ac:dyDescent="0.75">
      <c r="A80" s="35"/>
      <c r="B80" s="65" t="str">
        <f>'Expenses w MYP'!C47</f>
        <v>3703</v>
      </c>
      <c r="C80" s="65">
        <f>'Expenses w MYP'!D47</f>
        <v>0</v>
      </c>
      <c r="D80" s="98">
        <f>'Cash Flow %s Yr1'!D80</f>
        <v>0.02</v>
      </c>
      <c r="E80" s="98">
        <f>'Cash Flow %s Yr1'!E80</f>
        <v>0.02</v>
      </c>
      <c r="F80" s="98">
        <f>'Cash Flow %s Yr1'!F80</f>
        <v>0.1</v>
      </c>
      <c r="G80" s="98">
        <f>'Cash Flow %s Yr1'!G80</f>
        <v>0.1</v>
      </c>
      <c r="H80" s="98">
        <f>'Cash Flow %s Yr1'!H80</f>
        <v>0.1</v>
      </c>
      <c r="I80" s="98">
        <f>'Cash Flow %s Yr1'!I80</f>
        <v>0.1</v>
      </c>
      <c r="J80" s="98">
        <f>'Cash Flow %s Yr1'!J80</f>
        <v>0.1</v>
      </c>
      <c r="K80" s="98">
        <f>'Cash Flow %s Yr1'!K80</f>
        <v>0.1</v>
      </c>
      <c r="L80" s="98">
        <f>'Cash Flow %s Yr1'!L80</f>
        <v>0.1</v>
      </c>
      <c r="M80" s="98">
        <f>'Cash Flow %s Yr1'!M80</f>
        <v>0.1</v>
      </c>
      <c r="N80" s="98">
        <f>'Cash Flow %s Yr1'!N80</f>
        <v>0.1</v>
      </c>
      <c r="O80" s="98">
        <f>'Cash Flow %s Yr1'!O80</f>
        <v>0.06</v>
      </c>
      <c r="P80" s="98">
        <f>'Cash Flow %s Yr1'!P80</f>
        <v>0</v>
      </c>
      <c r="Q80" s="98">
        <f>'Cash Flow %s Yr1'!Q80</f>
        <v>0</v>
      </c>
      <c r="R80" s="98">
        <f>'Cash Flow %s Yr1'!R80</f>
        <v>0</v>
      </c>
      <c r="S80" s="97">
        <f t="shared" si="6"/>
        <v>1</v>
      </c>
    </row>
    <row r="81" spans="1:19" s="31" customFormat="1" x14ac:dyDescent="0.75">
      <c r="A81" s="35"/>
      <c r="B81" s="65" t="str">
        <f>'Expenses w MYP'!C48</f>
        <v>3901</v>
      </c>
      <c r="C81" s="65" t="str">
        <f>'Expenses w MYP'!D48</f>
        <v>Other Employee Benefits - Certificated</v>
      </c>
      <c r="D81" s="98">
        <f>'Cash Flow %s Yr1'!D81</f>
        <v>0.02</v>
      </c>
      <c r="E81" s="98">
        <f>'Cash Flow %s Yr1'!E81</f>
        <v>0.02</v>
      </c>
      <c r="F81" s="98">
        <f>'Cash Flow %s Yr1'!F81</f>
        <v>0.1</v>
      </c>
      <c r="G81" s="98">
        <f>'Cash Flow %s Yr1'!G81</f>
        <v>0.1</v>
      </c>
      <c r="H81" s="98">
        <f>'Cash Flow %s Yr1'!H81</f>
        <v>0.1</v>
      </c>
      <c r="I81" s="98">
        <f>'Cash Flow %s Yr1'!I81</f>
        <v>0.1</v>
      </c>
      <c r="J81" s="98">
        <f>'Cash Flow %s Yr1'!J81</f>
        <v>0.1</v>
      </c>
      <c r="K81" s="98">
        <f>'Cash Flow %s Yr1'!K81</f>
        <v>0.1</v>
      </c>
      <c r="L81" s="98">
        <f>'Cash Flow %s Yr1'!L81</f>
        <v>0.1</v>
      </c>
      <c r="M81" s="98">
        <f>'Cash Flow %s Yr1'!M81</f>
        <v>0.1</v>
      </c>
      <c r="N81" s="98">
        <f>'Cash Flow %s Yr1'!N81</f>
        <v>0.1</v>
      </c>
      <c r="O81" s="98">
        <f>'Cash Flow %s Yr1'!O81</f>
        <v>0.06</v>
      </c>
      <c r="P81" s="98">
        <f>'Cash Flow %s Yr1'!P81</f>
        <v>0</v>
      </c>
      <c r="Q81" s="98">
        <f>'Cash Flow %s Yr1'!Q81</f>
        <v>0</v>
      </c>
      <c r="R81" s="98">
        <f>'Cash Flow %s Yr1'!R81</f>
        <v>0</v>
      </c>
      <c r="S81" s="97">
        <f t="shared" si="6"/>
        <v>1</v>
      </c>
    </row>
    <row r="82" spans="1:19" s="31" customFormat="1" x14ac:dyDescent="0.75">
      <c r="A82" s="35"/>
      <c r="B82" s="65" t="str">
        <f>'Expenses w MYP'!C49</f>
        <v>3902</v>
      </c>
      <c r="C82" s="65" t="str">
        <f>'Expenses w MYP'!D49</f>
        <v>Other Employee Benefits - Classified</v>
      </c>
      <c r="D82" s="98">
        <f>'Cash Flow %s Yr1'!D82</f>
        <v>0.02</v>
      </c>
      <c r="E82" s="98">
        <f>'Cash Flow %s Yr1'!E82</f>
        <v>0.02</v>
      </c>
      <c r="F82" s="98">
        <f>'Cash Flow %s Yr1'!F82</f>
        <v>0.1</v>
      </c>
      <c r="G82" s="98">
        <f>'Cash Flow %s Yr1'!G82</f>
        <v>0.1</v>
      </c>
      <c r="H82" s="98">
        <f>'Cash Flow %s Yr1'!H82</f>
        <v>0.1</v>
      </c>
      <c r="I82" s="98">
        <f>'Cash Flow %s Yr1'!I82</f>
        <v>0.1</v>
      </c>
      <c r="J82" s="98">
        <f>'Cash Flow %s Yr1'!J82</f>
        <v>0.1</v>
      </c>
      <c r="K82" s="98">
        <f>'Cash Flow %s Yr1'!K82</f>
        <v>0.1</v>
      </c>
      <c r="L82" s="98">
        <f>'Cash Flow %s Yr1'!L82</f>
        <v>0.1</v>
      </c>
      <c r="M82" s="98">
        <f>'Cash Flow %s Yr1'!M82</f>
        <v>0.1</v>
      </c>
      <c r="N82" s="98">
        <f>'Cash Flow %s Yr1'!N82</f>
        <v>0.1</v>
      </c>
      <c r="O82" s="98">
        <f>'Cash Flow %s Yr1'!O82</f>
        <v>0.06</v>
      </c>
      <c r="P82" s="98">
        <f>'Cash Flow %s Yr1'!P82</f>
        <v>0</v>
      </c>
      <c r="Q82" s="98">
        <f>'Cash Flow %s Yr1'!Q82</f>
        <v>0</v>
      </c>
      <c r="R82" s="98">
        <f>'Cash Flow %s Yr1'!R82</f>
        <v>0</v>
      </c>
      <c r="S82" s="97">
        <f t="shared" si="6"/>
        <v>1</v>
      </c>
    </row>
    <row r="83" spans="1:19" s="31" customFormat="1" x14ac:dyDescent="0.75">
      <c r="A83" s="35"/>
      <c r="B83" s="65" t="str">
        <f>'Expenses w MYP'!C50</f>
        <v>3903</v>
      </c>
      <c r="C83" s="65" t="str">
        <f>'Expenses w MYP'!D50</f>
        <v>Other Post Employment Benefits</v>
      </c>
      <c r="D83" s="98">
        <f>'Cash Flow %s Yr1'!D83</f>
        <v>0.02</v>
      </c>
      <c r="E83" s="98">
        <f>'Cash Flow %s Yr1'!E83</f>
        <v>0.02</v>
      </c>
      <c r="F83" s="98">
        <f>'Cash Flow %s Yr1'!F83</f>
        <v>0.1</v>
      </c>
      <c r="G83" s="98">
        <f>'Cash Flow %s Yr1'!G83</f>
        <v>0.1</v>
      </c>
      <c r="H83" s="98">
        <f>'Cash Flow %s Yr1'!H83</f>
        <v>0.1</v>
      </c>
      <c r="I83" s="98">
        <f>'Cash Flow %s Yr1'!I83</f>
        <v>0.1</v>
      </c>
      <c r="J83" s="98">
        <f>'Cash Flow %s Yr1'!J83</f>
        <v>0.1</v>
      </c>
      <c r="K83" s="98">
        <f>'Cash Flow %s Yr1'!K83</f>
        <v>0.1</v>
      </c>
      <c r="L83" s="98">
        <f>'Cash Flow %s Yr1'!L83</f>
        <v>0.1</v>
      </c>
      <c r="M83" s="98">
        <f>'Cash Flow %s Yr1'!M83</f>
        <v>0.1</v>
      </c>
      <c r="N83" s="98">
        <f>'Cash Flow %s Yr1'!N83</f>
        <v>0.1</v>
      </c>
      <c r="O83" s="98">
        <f>'Cash Flow %s Yr1'!O83</f>
        <v>0.06</v>
      </c>
      <c r="P83" s="98">
        <f>'Cash Flow %s Yr1'!P83</f>
        <v>0</v>
      </c>
      <c r="Q83" s="98">
        <f>'Cash Flow %s Yr1'!Q83</f>
        <v>0</v>
      </c>
      <c r="R83" s="98">
        <f>'Cash Flow %s Yr1'!R83</f>
        <v>0</v>
      </c>
      <c r="S83" s="97">
        <f t="shared" si="6"/>
        <v>1</v>
      </c>
    </row>
    <row r="84" spans="1:19" s="31" customFormat="1" x14ac:dyDescent="0.75">
      <c r="A84" s="35"/>
      <c r="B84" s="65">
        <f>'Expenses w MYP'!C51</f>
        <v>0</v>
      </c>
      <c r="C84" s="65">
        <f>'Expenses w MYP'!D51</f>
        <v>0</v>
      </c>
      <c r="D84" s="98">
        <f>'Cash Flow %s Yr1'!D84</f>
        <v>0.02</v>
      </c>
      <c r="E84" s="98">
        <f>'Cash Flow %s Yr1'!E84</f>
        <v>0.02</v>
      </c>
      <c r="F84" s="98">
        <f>'Cash Flow %s Yr1'!F84</f>
        <v>0.1</v>
      </c>
      <c r="G84" s="98">
        <f>'Cash Flow %s Yr1'!G84</f>
        <v>0.1</v>
      </c>
      <c r="H84" s="98">
        <f>'Cash Flow %s Yr1'!H84</f>
        <v>0.1</v>
      </c>
      <c r="I84" s="98">
        <f>'Cash Flow %s Yr1'!I84</f>
        <v>0.1</v>
      </c>
      <c r="J84" s="98">
        <f>'Cash Flow %s Yr1'!J84</f>
        <v>0.1</v>
      </c>
      <c r="K84" s="98">
        <f>'Cash Flow %s Yr1'!K84</f>
        <v>0.1</v>
      </c>
      <c r="L84" s="98">
        <f>'Cash Flow %s Yr1'!L84</f>
        <v>0.1</v>
      </c>
      <c r="M84" s="98">
        <f>'Cash Flow %s Yr1'!M84</f>
        <v>0.1</v>
      </c>
      <c r="N84" s="98">
        <f>'Cash Flow %s Yr1'!N84</f>
        <v>0.1</v>
      </c>
      <c r="O84" s="98">
        <f>'Cash Flow %s Yr1'!O84</f>
        <v>0.06</v>
      </c>
      <c r="P84" s="98">
        <f>'Cash Flow %s Yr1'!P84</f>
        <v>0</v>
      </c>
      <c r="Q84" s="98">
        <f>'Cash Flow %s Yr1'!Q84</f>
        <v>0</v>
      </c>
      <c r="R84" s="98">
        <f>'Cash Flow %s Yr1'!R84</f>
        <v>0</v>
      </c>
      <c r="S84" s="97">
        <f t="shared" si="6"/>
        <v>1</v>
      </c>
    </row>
    <row r="85" spans="1:19" s="31" customFormat="1" x14ac:dyDescent="0.75">
      <c r="A85" s="35"/>
      <c r="B85" s="65">
        <f>'Expenses w MYP'!C52</f>
        <v>0</v>
      </c>
      <c r="C85" s="65">
        <f>'Expenses w MYP'!D52</f>
        <v>0</v>
      </c>
      <c r="D85" s="98">
        <f>'Cash Flow %s Yr1'!D85</f>
        <v>0.02</v>
      </c>
      <c r="E85" s="98">
        <f>'Cash Flow %s Yr1'!E85</f>
        <v>0.02</v>
      </c>
      <c r="F85" s="98">
        <f>'Cash Flow %s Yr1'!F85</f>
        <v>0.1</v>
      </c>
      <c r="G85" s="98">
        <f>'Cash Flow %s Yr1'!G85</f>
        <v>0.1</v>
      </c>
      <c r="H85" s="98">
        <f>'Cash Flow %s Yr1'!H85</f>
        <v>0.1</v>
      </c>
      <c r="I85" s="98">
        <f>'Cash Flow %s Yr1'!I85</f>
        <v>0.1</v>
      </c>
      <c r="J85" s="98">
        <f>'Cash Flow %s Yr1'!J85</f>
        <v>0.1</v>
      </c>
      <c r="K85" s="98">
        <f>'Cash Flow %s Yr1'!K85</f>
        <v>0.1</v>
      </c>
      <c r="L85" s="98">
        <f>'Cash Flow %s Yr1'!L85</f>
        <v>0.1</v>
      </c>
      <c r="M85" s="98">
        <f>'Cash Flow %s Yr1'!M85</f>
        <v>0.1</v>
      </c>
      <c r="N85" s="98">
        <f>'Cash Flow %s Yr1'!N85</f>
        <v>0.1</v>
      </c>
      <c r="O85" s="98">
        <f>'Cash Flow %s Yr1'!O85</f>
        <v>0.06</v>
      </c>
      <c r="P85" s="98">
        <f>'Cash Flow %s Yr1'!P85</f>
        <v>0</v>
      </c>
      <c r="Q85" s="98">
        <f>'Cash Flow %s Yr1'!Q85</f>
        <v>0</v>
      </c>
      <c r="R85" s="98">
        <f>'Cash Flow %s Yr1'!R85</f>
        <v>0</v>
      </c>
      <c r="S85" s="97">
        <f t="shared" si="6"/>
        <v>1</v>
      </c>
    </row>
    <row r="86" spans="1:19" s="31" customFormat="1" x14ac:dyDescent="0.75">
      <c r="A86" s="35"/>
      <c r="B86" s="5"/>
      <c r="C86" s="5"/>
      <c r="D86" s="108"/>
      <c r="E86" s="108"/>
      <c r="F86" s="108"/>
      <c r="G86" s="108"/>
      <c r="H86" s="108"/>
      <c r="I86" s="108"/>
      <c r="J86" s="108"/>
      <c r="K86" s="108"/>
      <c r="L86" s="108"/>
      <c r="M86" s="108"/>
      <c r="N86" s="108"/>
      <c r="O86" s="108"/>
      <c r="P86" s="88"/>
      <c r="Q86" s="88"/>
      <c r="R86" s="88"/>
      <c r="S86" s="97"/>
    </row>
    <row r="87" spans="1:19" s="31" customFormat="1" x14ac:dyDescent="0.75">
      <c r="A87" s="35"/>
      <c r="B87" s="39"/>
      <c r="C87" s="1"/>
      <c r="D87" s="84"/>
      <c r="E87" s="84"/>
      <c r="F87" s="84"/>
      <c r="G87" s="84"/>
      <c r="H87" s="84"/>
      <c r="I87" s="84"/>
      <c r="J87" s="84"/>
      <c r="K87" s="84"/>
      <c r="L87" s="84"/>
      <c r="M87" s="84"/>
      <c r="N87" s="84"/>
      <c r="O87" s="84"/>
      <c r="P87" s="84"/>
      <c r="Q87" s="84"/>
      <c r="R87" s="84"/>
      <c r="S87" s="97"/>
    </row>
    <row r="88" spans="1:19" s="31" customFormat="1" x14ac:dyDescent="0.75">
      <c r="B88" s="34" t="s">
        <v>676</v>
      </c>
      <c r="C88" s="2"/>
      <c r="D88" s="84"/>
      <c r="E88" s="84"/>
      <c r="F88" s="84"/>
      <c r="G88" s="84"/>
      <c r="H88" s="84"/>
      <c r="I88" s="84"/>
      <c r="J88" s="84"/>
      <c r="K88" s="84"/>
      <c r="L88" s="84"/>
      <c r="M88" s="84"/>
      <c r="N88" s="84"/>
      <c r="O88" s="84"/>
      <c r="P88" s="84"/>
      <c r="Q88" s="84"/>
      <c r="R88" s="84"/>
      <c r="S88" s="97"/>
    </row>
    <row r="89" spans="1:19" s="31" customFormat="1" x14ac:dyDescent="0.75">
      <c r="A89" s="35"/>
      <c r="B89" s="64" t="str">
        <f>'Expenses w MYP'!C58</f>
        <v>4100</v>
      </c>
      <c r="C89" s="64" t="str">
        <f>'Expenses w MYP'!D58</f>
        <v>Approved Textbooks and Core Curricula Materials</v>
      </c>
      <c r="D89" s="98">
        <f>'Cash Flow %s Yr1'!D89</f>
        <v>0</v>
      </c>
      <c r="E89" s="98">
        <f>'Cash Flow %s Yr1'!E89</f>
        <v>0</v>
      </c>
      <c r="F89" s="98">
        <f>'Cash Flow %s Yr1'!F89</f>
        <v>0.6</v>
      </c>
      <c r="G89" s="98">
        <f>'Cash Flow %s Yr1'!G89</f>
        <v>0</v>
      </c>
      <c r="H89" s="98">
        <f>'Cash Flow %s Yr1'!H89</f>
        <v>0</v>
      </c>
      <c r="I89" s="98">
        <f>'Cash Flow %s Yr1'!I89</f>
        <v>0</v>
      </c>
      <c r="J89" s="98">
        <f>'Cash Flow %s Yr1'!J89</f>
        <v>0.4</v>
      </c>
      <c r="K89" s="98">
        <f>'Cash Flow %s Yr1'!K89</f>
        <v>0</v>
      </c>
      <c r="L89" s="98">
        <f>'Cash Flow %s Yr1'!L89</f>
        <v>0</v>
      </c>
      <c r="M89" s="98">
        <f>'Cash Flow %s Yr1'!M89</f>
        <v>0</v>
      </c>
      <c r="N89" s="98">
        <f>'Cash Flow %s Yr1'!N89</f>
        <v>0</v>
      </c>
      <c r="O89" s="98">
        <f>'Cash Flow %s Yr1'!O89</f>
        <v>0</v>
      </c>
      <c r="P89" s="98">
        <f>'Cash Flow %s Yr1'!P89</f>
        <v>0</v>
      </c>
      <c r="Q89" s="98">
        <f>'Cash Flow %s Yr1'!Q89</f>
        <v>0</v>
      </c>
      <c r="R89" s="98">
        <f>'Cash Flow %s Yr1'!R89</f>
        <v>0</v>
      </c>
      <c r="S89" s="97">
        <f t="shared" ref="S89:S94" si="7">SUM(D89:R89)</f>
        <v>1</v>
      </c>
    </row>
    <row r="90" spans="1:19" x14ac:dyDescent="0.75">
      <c r="A90" s="35"/>
      <c r="B90" s="64" t="str">
        <f>'Expenses w MYP'!C61</f>
        <v>4200</v>
      </c>
      <c r="C90" s="64" t="str">
        <f>'Expenses w MYP'!D61</f>
        <v>Books and Other Reference Materials</v>
      </c>
      <c r="D90" s="98">
        <f>'Cash Flow %s Yr1'!D90</f>
        <v>0</v>
      </c>
      <c r="E90" s="98">
        <f>'Cash Flow %s Yr1'!E90</f>
        <v>0</v>
      </c>
      <c r="F90" s="98">
        <f>'Cash Flow %s Yr1'!F90</f>
        <v>0.3</v>
      </c>
      <c r="G90" s="98">
        <f>'Cash Flow %s Yr1'!G90</f>
        <v>0.1</v>
      </c>
      <c r="H90" s="98">
        <f>'Cash Flow %s Yr1'!H90</f>
        <v>0.1</v>
      </c>
      <c r="I90" s="98">
        <f>'Cash Flow %s Yr1'!I90</f>
        <v>0.1</v>
      </c>
      <c r="J90" s="98">
        <f>'Cash Flow %s Yr1'!J90</f>
        <v>0.1</v>
      </c>
      <c r="K90" s="98">
        <f>'Cash Flow %s Yr1'!K90</f>
        <v>0.1</v>
      </c>
      <c r="L90" s="98">
        <f>'Cash Flow %s Yr1'!L90</f>
        <v>0.1</v>
      </c>
      <c r="M90" s="98">
        <f>'Cash Flow %s Yr1'!M90</f>
        <v>0.1</v>
      </c>
      <c r="N90" s="98">
        <f>'Cash Flow %s Yr1'!N90</f>
        <v>0</v>
      </c>
      <c r="O90" s="98">
        <f>'Cash Flow %s Yr1'!O90</f>
        <v>0</v>
      </c>
      <c r="P90" s="98">
        <f>'Cash Flow %s Yr1'!P90</f>
        <v>0</v>
      </c>
      <c r="Q90" s="98">
        <f>'Cash Flow %s Yr1'!Q90</f>
        <v>0</v>
      </c>
      <c r="R90" s="98">
        <f>'Cash Flow %s Yr1'!R90</f>
        <v>0</v>
      </c>
      <c r="S90" s="97">
        <f t="shared" si="7"/>
        <v>0.99999999999999989</v>
      </c>
    </row>
    <row r="91" spans="1:19" x14ac:dyDescent="0.75">
      <c r="A91" s="35"/>
      <c r="B91" s="64" t="str">
        <f>'Expenses w MYP'!C63</f>
        <v>4300</v>
      </c>
      <c r="C91" s="64" t="str">
        <f>'Expenses w MYP'!D63</f>
        <v>Materials and Supplies</v>
      </c>
      <c r="D91" s="98">
        <f>'Cash Flow %s Yr1'!D91</f>
        <v>0</v>
      </c>
      <c r="E91" s="98">
        <f>'Cash Flow %s Yr1'!E91</f>
        <v>0</v>
      </c>
      <c r="F91" s="98">
        <f>'Cash Flow %s Yr1'!F91</f>
        <v>0.4</v>
      </c>
      <c r="G91" s="98">
        <f>'Cash Flow %s Yr1'!G91</f>
        <v>0.3</v>
      </c>
      <c r="H91" s="98">
        <f>'Cash Flow %s Yr1'!H91</f>
        <v>0</v>
      </c>
      <c r="I91" s="98">
        <f>'Cash Flow %s Yr1'!I91</f>
        <v>0</v>
      </c>
      <c r="J91" s="98">
        <f>'Cash Flow %s Yr1'!J91</f>
        <v>0.3</v>
      </c>
      <c r="K91" s="98">
        <f>'Cash Flow %s Yr1'!K91</f>
        <v>0</v>
      </c>
      <c r="L91" s="98">
        <f>'Cash Flow %s Yr1'!L91</f>
        <v>0</v>
      </c>
      <c r="M91" s="98">
        <f>'Cash Flow %s Yr1'!M91</f>
        <v>0</v>
      </c>
      <c r="N91" s="98">
        <f>'Cash Flow %s Yr1'!N91</f>
        <v>0</v>
      </c>
      <c r="O91" s="98">
        <f>'Cash Flow %s Yr1'!O91</f>
        <v>0</v>
      </c>
      <c r="P91" s="98">
        <f>'Cash Flow %s Yr1'!P91</f>
        <v>0</v>
      </c>
      <c r="Q91" s="98">
        <f>'Cash Flow %s Yr1'!Q91</f>
        <v>0</v>
      </c>
      <c r="R91" s="98">
        <f>'Cash Flow %s Yr1'!R91</f>
        <v>0</v>
      </c>
      <c r="S91" s="97">
        <f t="shared" si="7"/>
        <v>1</v>
      </c>
    </row>
    <row r="92" spans="1:19" x14ac:dyDescent="0.75">
      <c r="A92" s="35"/>
      <c r="B92" s="64" t="str">
        <f>'Expenses w MYP'!C64</f>
        <v>4315</v>
      </c>
      <c r="C92" s="64" t="str">
        <f>'Expenses w MYP'!D64</f>
        <v>Classroom Materials and Supplies</v>
      </c>
      <c r="D92" s="98">
        <f>'Cash Flow %s Yr1'!D92</f>
        <v>0</v>
      </c>
      <c r="E92" s="98">
        <f>'Cash Flow %s Yr1'!E92</f>
        <v>0</v>
      </c>
      <c r="F92" s="98">
        <f>'Cash Flow %s Yr1'!F92</f>
        <v>0.3</v>
      </c>
      <c r="G92" s="98">
        <f>'Cash Flow %s Yr1'!G92</f>
        <v>0.1</v>
      </c>
      <c r="H92" s="98">
        <f>'Cash Flow %s Yr1'!H92</f>
        <v>0.1</v>
      </c>
      <c r="I92" s="98">
        <f>'Cash Flow %s Yr1'!I92</f>
        <v>0.1</v>
      </c>
      <c r="J92" s="98">
        <f>'Cash Flow %s Yr1'!J92</f>
        <v>0.1</v>
      </c>
      <c r="K92" s="98">
        <f>'Cash Flow %s Yr1'!K92</f>
        <v>0.1</v>
      </c>
      <c r="L92" s="98">
        <f>'Cash Flow %s Yr1'!L92</f>
        <v>0.1</v>
      </c>
      <c r="M92" s="98">
        <f>'Cash Flow %s Yr1'!M92</f>
        <v>0.1</v>
      </c>
      <c r="N92" s="98">
        <f>'Cash Flow %s Yr1'!N92</f>
        <v>0</v>
      </c>
      <c r="O92" s="98">
        <f>'Cash Flow %s Yr1'!O92</f>
        <v>0</v>
      </c>
      <c r="P92" s="98">
        <f>'Cash Flow %s Yr1'!P92</f>
        <v>0</v>
      </c>
      <c r="Q92" s="98">
        <f>'Cash Flow %s Yr1'!Q92</f>
        <v>0</v>
      </c>
      <c r="R92" s="98">
        <f>'Cash Flow %s Yr1'!R92</f>
        <v>0</v>
      </c>
      <c r="S92" s="97">
        <f t="shared" si="7"/>
        <v>0.99999999999999989</v>
      </c>
    </row>
    <row r="93" spans="1:19" x14ac:dyDescent="0.75">
      <c r="A93" s="35"/>
      <c r="B93" s="64" t="str">
        <f>'Expenses w MYP'!C65</f>
        <v>4381</v>
      </c>
      <c r="C93" s="64" t="str">
        <f>'Expenses w MYP'!D65</f>
        <v>Materials for Plant &amp; Equipment</v>
      </c>
      <c r="D93" s="98">
        <f>'Cash Flow %s Yr1'!D93</f>
        <v>8.3000000000000004E-2</v>
      </c>
      <c r="E93" s="98">
        <f>'Cash Flow %s Yr1'!E93</f>
        <v>8.3000000000000004E-2</v>
      </c>
      <c r="F93" s="98">
        <f>'Cash Flow %s Yr1'!F93</f>
        <v>8.3000000000000004E-2</v>
      </c>
      <c r="G93" s="98">
        <f>'Cash Flow %s Yr1'!G93</f>
        <v>8.3000000000000004E-2</v>
      </c>
      <c r="H93" s="98">
        <f>'Cash Flow %s Yr1'!H93</f>
        <v>8.3000000000000004E-2</v>
      </c>
      <c r="I93" s="98">
        <f>'Cash Flow %s Yr1'!I93</f>
        <v>8.3000000000000004E-2</v>
      </c>
      <c r="J93" s="98">
        <f>'Cash Flow %s Yr1'!J93</f>
        <v>8.3000000000000004E-2</v>
      </c>
      <c r="K93" s="98">
        <f>'Cash Flow %s Yr1'!K93</f>
        <v>8.3000000000000004E-2</v>
      </c>
      <c r="L93" s="98">
        <f>'Cash Flow %s Yr1'!L93</f>
        <v>8.4000000000000005E-2</v>
      </c>
      <c r="M93" s="98">
        <f>'Cash Flow %s Yr1'!M93</f>
        <v>8.4000000000000005E-2</v>
      </c>
      <c r="N93" s="98">
        <f>'Cash Flow %s Yr1'!N93</f>
        <v>8.4000000000000005E-2</v>
      </c>
      <c r="O93" s="98">
        <f>'Cash Flow %s Yr1'!O93</f>
        <v>8.4000000000000005E-2</v>
      </c>
      <c r="P93" s="98">
        <f>'Cash Flow %s Yr1'!P93</f>
        <v>0</v>
      </c>
      <c r="Q93" s="98">
        <f>'Cash Flow %s Yr1'!Q93</f>
        <v>0</v>
      </c>
      <c r="R93" s="98">
        <f>'Cash Flow %s Yr1'!R93</f>
        <v>0</v>
      </c>
      <c r="S93" s="97">
        <f t="shared" si="7"/>
        <v>0.99999999999999989</v>
      </c>
    </row>
    <row r="94" spans="1:19" x14ac:dyDescent="0.75">
      <c r="A94" s="35"/>
      <c r="B94" s="64" t="str">
        <f>'Expenses w MYP'!C66</f>
        <v>4400</v>
      </c>
      <c r="C94" s="64" t="str">
        <f>'Expenses w MYP'!D66</f>
        <v>Noncapitalized Equipment</v>
      </c>
      <c r="D94" s="98">
        <f>'Cash Flow %s Yr1'!D94</f>
        <v>0</v>
      </c>
      <c r="E94" s="98">
        <f>'Cash Flow %s Yr1'!E94</f>
        <v>0</v>
      </c>
      <c r="F94" s="98">
        <f>'Cash Flow %s Yr1'!F94</f>
        <v>0.6</v>
      </c>
      <c r="G94" s="98">
        <f>'Cash Flow %s Yr1'!G94</f>
        <v>0</v>
      </c>
      <c r="H94" s="98">
        <f>'Cash Flow %s Yr1'!H94</f>
        <v>0</v>
      </c>
      <c r="I94" s="98">
        <f>'Cash Flow %s Yr1'!I94</f>
        <v>0</v>
      </c>
      <c r="J94" s="98">
        <f>'Cash Flow %s Yr1'!J94</f>
        <v>0.4</v>
      </c>
      <c r="K94" s="98">
        <f>'Cash Flow %s Yr1'!K94</f>
        <v>0</v>
      </c>
      <c r="L94" s="98">
        <f>'Cash Flow %s Yr1'!L94</f>
        <v>0</v>
      </c>
      <c r="M94" s="98">
        <f>'Cash Flow %s Yr1'!M94</f>
        <v>0</v>
      </c>
      <c r="N94" s="98">
        <f>'Cash Flow %s Yr1'!N94</f>
        <v>0</v>
      </c>
      <c r="O94" s="98">
        <f>'Cash Flow %s Yr1'!O94</f>
        <v>0</v>
      </c>
      <c r="P94" s="98">
        <f>'Cash Flow %s Yr1'!P94</f>
        <v>0</v>
      </c>
      <c r="Q94" s="98">
        <f>'Cash Flow %s Yr1'!Q94</f>
        <v>0</v>
      </c>
      <c r="R94" s="98">
        <f>'Cash Flow %s Yr1'!R94</f>
        <v>0</v>
      </c>
      <c r="S94" s="97">
        <f t="shared" si="7"/>
        <v>1</v>
      </c>
    </row>
    <row r="95" spans="1:19" hidden="1" outlineLevel="1" x14ac:dyDescent="0.75">
      <c r="A95" s="35"/>
      <c r="B95" s="64" t="str">
        <f>'Expenses w MYP'!C68</f>
        <v>4430</v>
      </c>
      <c r="C95" s="64" t="str">
        <f>'Expenses w MYP'!D68</f>
        <v>General Student Equipment</v>
      </c>
      <c r="D95" s="98">
        <f>'Cash Flow %s Yr1'!D95</f>
        <v>0</v>
      </c>
      <c r="E95" s="98">
        <f>'Cash Flow %s Yr1'!E95</f>
        <v>0</v>
      </c>
      <c r="F95" s="98">
        <f>'Cash Flow %s Yr1'!F95</f>
        <v>0.1</v>
      </c>
      <c r="G95" s="98">
        <f>'Cash Flow %s Yr1'!G95</f>
        <v>0.1</v>
      </c>
      <c r="H95" s="98">
        <f>'Cash Flow %s Yr1'!H95</f>
        <v>0.1</v>
      </c>
      <c r="I95" s="98">
        <f>'Cash Flow %s Yr1'!I95</f>
        <v>0.1</v>
      </c>
      <c r="J95" s="98">
        <f>'Cash Flow %s Yr1'!J95</f>
        <v>0.1</v>
      </c>
      <c r="K95" s="98">
        <f>'Cash Flow %s Yr1'!K95</f>
        <v>0.1</v>
      </c>
      <c r="L95" s="98">
        <f>'Cash Flow %s Yr1'!L95</f>
        <v>0.1</v>
      </c>
      <c r="M95" s="98">
        <f>'Cash Flow %s Yr1'!M95</f>
        <v>0.1</v>
      </c>
      <c r="N95" s="98">
        <f>'Cash Flow %s Yr1'!N95</f>
        <v>0.1</v>
      </c>
      <c r="O95" s="98">
        <f>'Cash Flow %s Yr1'!O95</f>
        <v>0.1</v>
      </c>
      <c r="P95" s="98">
        <f>'Cash Flow %s Yr1'!P95</f>
        <v>0</v>
      </c>
      <c r="Q95" s="98">
        <f>'Cash Flow %s Yr1'!Q95</f>
        <v>0</v>
      </c>
      <c r="R95" s="98">
        <f>'Cash Flow %s Yr1'!R95</f>
        <v>0</v>
      </c>
      <c r="S95" s="97">
        <f t="shared" ref="S95:S104" si="8">SUM(D95:R95)</f>
        <v>0.99999999999999989</v>
      </c>
    </row>
    <row r="96" spans="1:19" hidden="1" outlineLevel="1" x14ac:dyDescent="0.75">
      <c r="A96" s="35"/>
      <c r="B96" s="64" t="e">
        <f>'Expenses w MYP'!#REF!</f>
        <v>#REF!</v>
      </c>
      <c r="C96" s="64" t="e">
        <f>'Expenses w MYP'!#REF!</f>
        <v>#REF!</v>
      </c>
      <c r="D96" s="98">
        <f>'Cash Flow %s Yr1'!D96</f>
        <v>0</v>
      </c>
      <c r="E96" s="98">
        <f>'Cash Flow %s Yr1'!E96</f>
        <v>0</v>
      </c>
      <c r="F96" s="98">
        <f>'Cash Flow %s Yr1'!F96</f>
        <v>0.1</v>
      </c>
      <c r="G96" s="98">
        <f>'Cash Flow %s Yr1'!G96</f>
        <v>0.1</v>
      </c>
      <c r="H96" s="98">
        <f>'Cash Flow %s Yr1'!H96</f>
        <v>0.1</v>
      </c>
      <c r="I96" s="98">
        <f>'Cash Flow %s Yr1'!I96</f>
        <v>0.1</v>
      </c>
      <c r="J96" s="98">
        <f>'Cash Flow %s Yr1'!J96</f>
        <v>0.1</v>
      </c>
      <c r="K96" s="98">
        <f>'Cash Flow %s Yr1'!K96</f>
        <v>0.1</v>
      </c>
      <c r="L96" s="98">
        <f>'Cash Flow %s Yr1'!L96</f>
        <v>0.1</v>
      </c>
      <c r="M96" s="98">
        <f>'Cash Flow %s Yr1'!M96</f>
        <v>0.1</v>
      </c>
      <c r="N96" s="98">
        <f>'Cash Flow %s Yr1'!N96</f>
        <v>0.1</v>
      </c>
      <c r="O96" s="98">
        <f>'Cash Flow %s Yr1'!O96</f>
        <v>0.1</v>
      </c>
      <c r="P96" s="98">
        <f>'Cash Flow %s Yr1'!P96</f>
        <v>0</v>
      </c>
      <c r="Q96" s="98">
        <f>'Cash Flow %s Yr1'!Q96</f>
        <v>0</v>
      </c>
      <c r="R96" s="98">
        <f>'Cash Flow %s Yr1'!R96</f>
        <v>0</v>
      </c>
      <c r="S96" s="97">
        <f t="shared" si="8"/>
        <v>0.99999999999999989</v>
      </c>
    </row>
    <row r="97" spans="1:19" hidden="1" outlineLevel="1" x14ac:dyDescent="0.75">
      <c r="A97" s="35"/>
      <c r="B97" s="64" t="e">
        <f>'Expenses w MYP'!#REF!</f>
        <v>#REF!</v>
      </c>
      <c r="C97" s="64" t="e">
        <f>'Expenses w MYP'!#REF!</f>
        <v>#REF!</v>
      </c>
      <c r="D97" s="98">
        <f>'Cash Flow %s Yr1'!D97</f>
        <v>0</v>
      </c>
      <c r="E97" s="98">
        <f>'Cash Flow %s Yr1'!E97</f>
        <v>0</v>
      </c>
      <c r="F97" s="98">
        <f>'Cash Flow %s Yr1'!F97</f>
        <v>0.1</v>
      </c>
      <c r="G97" s="98">
        <f>'Cash Flow %s Yr1'!G97</f>
        <v>0.1</v>
      </c>
      <c r="H97" s="98">
        <f>'Cash Flow %s Yr1'!H97</f>
        <v>0.1</v>
      </c>
      <c r="I97" s="98">
        <f>'Cash Flow %s Yr1'!I97</f>
        <v>0.1</v>
      </c>
      <c r="J97" s="98">
        <f>'Cash Flow %s Yr1'!J97</f>
        <v>0.1</v>
      </c>
      <c r="K97" s="98">
        <f>'Cash Flow %s Yr1'!K97</f>
        <v>0.1</v>
      </c>
      <c r="L97" s="98">
        <f>'Cash Flow %s Yr1'!L97</f>
        <v>0.1</v>
      </c>
      <c r="M97" s="98">
        <f>'Cash Flow %s Yr1'!M97</f>
        <v>0.1</v>
      </c>
      <c r="N97" s="98">
        <f>'Cash Flow %s Yr1'!N97</f>
        <v>0.1</v>
      </c>
      <c r="O97" s="98">
        <f>'Cash Flow %s Yr1'!O97</f>
        <v>0.1</v>
      </c>
      <c r="P97" s="98">
        <f>'Cash Flow %s Yr1'!P97</f>
        <v>0</v>
      </c>
      <c r="Q97" s="98">
        <f>'Cash Flow %s Yr1'!Q97</f>
        <v>0</v>
      </c>
      <c r="R97" s="98">
        <f>'Cash Flow %s Yr1'!R97</f>
        <v>0</v>
      </c>
      <c r="S97" s="97">
        <f t="shared" si="8"/>
        <v>0.99999999999999989</v>
      </c>
    </row>
    <row r="98" spans="1:19" hidden="1" outlineLevel="1" x14ac:dyDescent="0.75">
      <c r="A98" s="35"/>
      <c r="B98" s="64" t="e">
        <f>'Expenses w MYP'!#REF!</f>
        <v>#REF!</v>
      </c>
      <c r="C98" s="64" t="e">
        <f>'Expenses w MYP'!#REF!</f>
        <v>#REF!</v>
      </c>
      <c r="D98" s="98">
        <f>'Cash Flow %s Yr1'!D98</f>
        <v>0</v>
      </c>
      <c r="E98" s="98">
        <f>'Cash Flow %s Yr1'!E98</f>
        <v>0</v>
      </c>
      <c r="F98" s="98">
        <f>'Cash Flow %s Yr1'!F98</f>
        <v>0.1</v>
      </c>
      <c r="G98" s="98">
        <f>'Cash Flow %s Yr1'!G98</f>
        <v>0.1</v>
      </c>
      <c r="H98" s="98">
        <f>'Cash Flow %s Yr1'!H98</f>
        <v>0.1</v>
      </c>
      <c r="I98" s="98">
        <f>'Cash Flow %s Yr1'!I98</f>
        <v>0.1</v>
      </c>
      <c r="J98" s="98">
        <f>'Cash Flow %s Yr1'!J98</f>
        <v>0.1</v>
      </c>
      <c r="K98" s="98">
        <f>'Cash Flow %s Yr1'!K98</f>
        <v>0.1</v>
      </c>
      <c r="L98" s="98">
        <f>'Cash Flow %s Yr1'!L98</f>
        <v>0.1</v>
      </c>
      <c r="M98" s="98">
        <f>'Cash Flow %s Yr1'!M98</f>
        <v>0.1</v>
      </c>
      <c r="N98" s="98">
        <f>'Cash Flow %s Yr1'!N98</f>
        <v>0.1</v>
      </c>
      <c r="O98" s="98">
        <f>'Cash Flow %s Yr1'!O98</f>
        <v>0.1</v>
      </c>
      <c r="P98" s="98">
        <f>'Cash Flow %s Yr1'!P98</f>
        <v>0</v>
      </c>
      <c r="Q98" s="98">
        <f>'Cash Flow %s Yr1'!Q98</f>
        <v>0</v>
      </c>
      <c r="R98" s="98">
        <f>'Cash Flow %s Yr1'!R98</f>
        <v>0</v>
      </c>
      <c r="S98" s="97">
        <f t="shared" si="8"/>
        <v>0.99999999999999989</v>
      </c>
    </row>
    <row r="99" spans="1:19" hidden="1" outlineLevel="1" x14ac:dyDescent="0.75">
      <c r="A99" s="35"/>
      <c r="B99" s="64" t="e">
        <f>'Expenses w MYP'!#REF!</f>
        <v>#REF!</v>
      </c>
      <c r="C99" s="64" t="e">
        <f>'Expenses w MYP'!#REF!</f>
        <v>#REF!</v>
      </c>
      <c r="D99" s="98">
        <f>'Cash Flow %s Yr1'!D99</f>
        <v>0</v>
      </c>
      <c r="E99" s="98">
        <f>'Cash Flow %s Yr1'!E99</f>
        <v>0</v>
      </c>
      <c r="F99" s="98">
        <f>'Cash Flow %s Yr1'!F99</f>
        <v>0.1</v>
      </c>
      <c r="G99" s="98">
        <f>'Cash Flow %s Yr1'!G99</f>
        <v>0.1</v>
      </c>
      <c r="H99" s="98">
        <f>'Cash Flow %s Yr1'!H99</f>
        <v>0.1</v>
      </c>
      <c r="I99" s="98">
        <f>'Cash Flow %s Yr1'!I99</f>
        <v>0.1</v>
      </c>
      <c r="J99" s="98">
        <f>'Cash Flow %s Yr1'!J99</f>
        <v>0.1</v>
      </c>
      <c r="K99" s="98">
        <f>'Cash Flow %s Yr1'!K99</f>
        <v>0.1</v>
      </c>
      <c r="L99" s="98">
        <f>'Cash Flow %s Yr1'!L99</f>
        <v>0.1</v>
      </c>
      <c r="M99" s="98">
        <f>'Cash Flow %s Yr1'!M99</f>
        <v>0.1</v>
      </c>
      <c r="N99" s="98">
        <f>'Cash Flow %s Yr1'!N99</f>
        <v>0.1</v>
      </c>
      <c r="O99" s="98">
        <f>'Cash Flow %s Yr1'!O99</f>
        <v>0.1</v>
      </c>
      <c r="P99" s="98">
        <f>'Cash Flow %s Yr1'!P99</f>
        <v>0</v>
      </c>
      <c r="Q99" s="98">
        <f>'Cash Flow %s Yr1'!Q99</f>
        <v>0</v>
      </c>
      <c r="R99" s="98">
        <f>'Cash Flow %s Yr1'!R99</f>
        <v>0</v>
      </c>
      <c r="S99" s="97">
        <f t="shared" si="8"/>
        <v>0.99999999999999989</v>
      </c>
    </row>
    <row r="100" spans="1:19" hidden="1" outlineLevel="1" x14ac:dyDescent="0.75">
      <c r="A100" s="35"/>
      <c r="B100" s="64" t="e">
        <f>'Expenses w MYP'!#REF!</f>
        <v>#REF!</v>
      </c>
      <c r="C100" s="64" t="e">
        <f>'Expenses w MYP'!#REF!</f>
        <v>#REF!</v>
      </c>
      <c r="D100" s="98">
        <f>'Cash Flow %s Yr1'!D100</f>
        <v>0</v>
      </c>
      <c r="E100" s="98">
        <f>'Cash Flow %s Yr1'!E100</f>
        <v>0</v>
      </c>
      <c r="F100" s="98">
        <f>'Cash Flow %s Yr1'!F100</f>
        <v>0.1</v>
      </c>
      <c r="G100" s="98">
        <f>'Cash Flow %s Yr1'!G100</f>
        <v>0.1</v>
      </c>
      <c r="H100" s="98">
        <f>'Cash Flow %s Yr1'!H100</f>
        <v>0.1</v>
      </c>
      <c r="I100" s="98">
        <f>'Cash Flow %s Yr1'!I100</f>
        <v>0.1</v>
      </c>
      <c r="J100" s="98">
        <f>'Cash Flow %s Yr1'!J100</f>
        <v>0.1</v>
      </c>
      <c r="K100" s="98">
        <f>'Cash Flow %s Yr1'!K100</f>
        <v>0.1</v>
      </c>
      <c r="L100" s="98">
        <f>'Cash Flow %s Yr1'!L100</f>
        <v>0.1</v>
      </c>
      <c r="M100" s="98">
        <f>'Cash Flow %s Yr1'!M100</f>
        <v>0.1</v>
      </c>
      <c r="N100" s="98">
        <f>'Cash Flow %s Yr1'!N100</f>
        <v>0.1</v>
      </c>
      <c r="O100" s="98">
        <f>'Cash Flow %s Yr1'!O100</f>
        <v>0.1</v>
      </c>
      <c r="P100" s="98">
        <f>'Cash Flow %s Yr1'!P100</f>
        <v>0</v>
      </c>
      <c r="Q100" s="98">
        <f>'Cash Flow %s Yr1'!Q100</f>
        <v>0</v>
      </c>
      <c r="R100" s="98">
        <f>'Cash Flow %s Yr1'!R100</f>
        <v>0</v>
      </c>
      <c r="S100" s="97">
        <f t="shared" si="8"/>
        <v>0.99999999999999989</v>
      </c>
    </row>
    <row r="101" spans="1:19" hidden="1" outlineLevel="1" x14ac:dyDescent="0.75">
      <c r="A101" s="35"/>
      <c r="B101" s="64" t="e">
        <f>'Expenses w MYP'!#REF!</f>
        <v>#REF!</v>
      </c>
      <c r="C101" s="64" t="e">
        <f>'Expenses w MYP'!#REF!</f>
        <v>#REF!</v>
      </c>
      <c r="D101" s="98">
        <f>'Cash Flow %s Yr1'!D101</f>
        <v>0</v>
      </c>
      <c r="E101" s="98">
        <f>'Cash Flow %s Yr1'!E101</f>
        <v>0</v>
      </c>
      <c r="F101" s="98">
        <f>'Cash Flow %s Yr1'!F101</f>
        <v>0.1</v>
      </c>
      <c r="G101" s="98">
        <f>'Cash Flow %s Yr1'!G101</f>
        <v>0.1</v>
      </c>
      <c r="H101" s="98">
        <f>'Cash Flow %s Yr1'!H101</f>
        <v>0.1</v>
      </c>
      <c r="I101" s="98">
        <f>'Cash Flow %s Yr1'!I101</f>
        <v>0.1</v>
      </c>
      <c r="J101" s="98">
        <f>'Cash Flow %s Yr1'!J101</f>
        <v>0.1</v>
      </c>
      <c r="K101" s="98">
        <f>'Cash Flow %s Yr1'!K101</f>
        <v>0.1</v>
      </c>
      <c r="L101" s="98">
        <f>'Cash Flow %s Yr1'!L101</f>
        <v>0.1</v>
      </c>
      <c r="M101" s="98">
        <f>'Cash Flow %s Yr1'!M101</f>
        <v>0.1</v>
      </c>
      <c r="N101" s="98">
        <f>'Cash Flow %s Yr1'!N101</f>
        <v>0.1</v>
      </c>
      <c r="O101" s="98">
        <f>'Cash Flow %s Yr1'!O101</f>
        <v>0.1</v>
      </c>
      <c r="P101" s="98">
        <f>'Cash Flow %s Yr1'!P101</f>
        <v>0</v>
      </c>
      <c r="Q101" s="98">
        <f>'Cash Flow %s Yr1'!Q101</f>
        <v>0</v>
      </c>
      <c r="R101" s="98">
        <f>'Cash Flow %s Yr1'!R101</f>
        <v>0</v>
      </c>
      <c r="S101" s="97">
        <f t="shared" si="8"/>
        <v>0.99999999999999989</v>
      </c>
    </row>
    <row r="102" spans="1:19" hidden="1" outlineLevel="1" x14ac:dyDescent="0.75">
      <c r="A102" s="35"/>
      <c r="B102" s="64" t="e">
        <f>'Expenses w MYP'!#REF!</f>
        <v>#REF!</v>
      </c>
      <c r="C102" s="64" t="e">
        <f>'Expenses w MYP'!#REF!</f>
        <v>#REF!</v>
      </c>
      <c r="D102" s="98">
        <f>'Cash Flow %s Yr1'!D102</f>
        <v>0</v>
      </c>
      <c r="E102" s="98">
        <f>'Cash Flow %s Yr1'!E102</f>
        <v>0</v>
      </c>
      <c r="F102" s="98">
        <f>'Cash Flow %s Yr1'!F102</f>
        <v>0.1</v>
      </c>
      <c r="G102" s="98">
        <f>'Cash Flow %s Yr1'!G102</f>
        <v>0.1</v>
      </c>
      <c r="H102" s="98">
        <f>'Cash Flow %s Yr1'!H102</f>
        <v>0.1</v>
      </c>
      <c r="I102" s="98">
        <f>'Cash Flow %s Yr1'!I102</f>
        <v>0.1</v>
      </c>
      <c r="J102" s="98">
        <f>'Cash Flow %s Yr1'!J102</f>
        <v>0.1</v>
      </c>
      <c r="K102" s="98">
        <f>'Cash Flow %s Yr1'!K102</f>
        <v>0.1</v>
      </c>
      <c r="L102" s="98">
        <f>'Cash Flow %s Yr1'!L102</f>
        <v>0.1</v>
      </c>
      <c r="M102" s="98">
        <f>'Cash Flow %s Yr1'!M102</f>
        <v>0.1</v>
      </c>
      <c r="N102" s="98">
        <f>'Cash Flow %s Yr1'!N102</f>
        <v>0.1</v>
      </c>
      <c r="O102" s="98">
        <f>'Cash Flow %s Yr1'!O102</f>
        <v>0.1</v>
      </c>
      <c r="P102" s="98">
        <f>'Cash Flow %s Yr1'!P102</f>
        <v>0</v>
      </c>
      <c r="Q102" s="98">
        <f>'Cash Flow %s Yr1'!Q102</f>
        <v>0</v>
      </c>
      <c r="R102" s="98">
        <f>'Cash Flow %s Yr1'!R102</f>
        <v>0</v>
      </c>
      <c r="S102" s="97">
        <f t="shared" si="8"/>
        <v>0.99999999999999989</v>
      </c>
    </row>
    <row r="103" spans="1:19" hidden="1" outlineLevel="1" x14ac:dyDescent="0.75">
      <c r="A103" s="35"/>
      <c r="B103" s="64" t="e">
        <f>'Expenses w MYP'!#REF!</f>
        <v>#REF!</v>
      </c>
      <c r="C103" s="64" t="e">
        <f>'Expenses w MYP'!#REF!</f>
        <v>#REF!</v>
      </c>
      <c r="D103" s="98">
        <f>'Cash Flow %s Yr1'!D103</f>
        <v>0</v>
      </c>
      <c r="E103" s="98">
        <f>'Cash Flow %s Yr1'!E103</f>
        <v>0</v>
      </c>
      <c r="F103" s="98">
        <f>'Cash Flow %s Yr1'!F103</f>
        <v>0.1</v>
      </c>
      <c r="G103" s="98">
        <f>'Cash Flow %s Yr1'!G103</f>
        <v>0.1</v>
      </c>
      <c r="H103" s="98">
        <f>'Cash Flow %s Yr1'!H103</f>
        <v>0.1</v>
      </c>
      <c r="I103" s="98">
        <f>'Cash Flow %s Yr1'!I103</f>
        <v>0.1</v>
      </c>
      <c r="J103" s="98">
        <f>'Cash Flow %s Yr1'!J103</f>
        <v>0.1</v>
      </c>
      <c r="K103" s="98">
        <f>'Cash Flow %s Yr1'!K103</f>
        <v>0.1</v>
      </c>
      <c r="L103" s="98">
        <f>'Cash Flow %s Yr1'!L103</f>
        <v>0.1</v>
      </c>
      <c r="M103" s="98">
        <f>'Cash Flow %s Yr1'!M103</f>
        <v>0.1</v>
      </c>
      <c r="N103" s="98">
        <f>'Cash Flow %s Yr1'!N103</f>
        <v>0.1</v>
      </c>
      <c r="O103" s="98">
        <f>'Cash Flow %s Yr1'!O103</f>
        <v>0.1</v>
      </c>
      <c r="P103" s="98">
        <f>'Cash Flow %s Yr1'!P103</f>
        <v>0</v>
      </c>
      <c r="Q103" s="98">
        <f>'Cash Flow %s Yr1'!Q103</f>
        <v>0</v>
      </c>
      <c r="R103" s="98">
        <f>'Cash Flow %s Yr1'!R103</f>
        <v>0</v>
      </c>
      <c r="S103" s="97">
        <f t="shared" si="8"/>
        <v>0.99999999999999989</v>
      </c>
    </row>
    <row r="104" spans="1:19" hidden="1" outlineLevel="1" x14ac:dyDescent="0.75">
      <c r="A104" s="35"/>
      <c r="B104" s="64" t="e">
        <f>'Expenses w MYP'!#REF!</f>
        <v>#REF!</v>
      </c>
      <c r="C104" s="64" t="e">
        <f>'Expenses w MYP'!#REF!</f>
        <v>#REF!</v>
      </c>
      <c r="D104" s="98">
        <f>'Cash Flow %s Yr1'!D104</f>
        <v>0</v>
      </c>
      <c r="E104" s="98">
        <f>'Cash Flow %s Yr1'!E104</f>
        <v>0</v>
      </c>
      <c r="F104" s="98">
        <f>'Cash Flow %s Yr1'!F104</f>
        <v>0.1</v>
      </c>
      <c r="G104" s="98">
        <f>'Cash Flow %s Yr1'!G104</f>
        <v>0.1</v>
      </c>
      <c r="H104" s="98">
        <f>'Cash Flow %s Yr1'!H104</f>
        <v>0.1</v>
      </c>
      <c r="I104" s="98">
        <f>'Cash Flow %s Yr1'!I104</f>
        <v>0.1</v>
      </c>
      <c r="J104" s="98">
        <f>'Cash Flow %s Yr1'!J104</f>
        <v>0.1</v>
      </c>
      <c r="K104" s="98">
        <f>'Cash Flow %s Yr1'!K104</f>
        <v>0.1</v>
      </c>
      <c r="L104" s="98">
        <f>'Cash Flow %s Yr1'!L104</f>
        <v>0.1</v>
      </c>
      <c r="M104" s="98">
        <f>'Cash Flow %s Yr1'!M104</f>
        <v>0.1</v>
      </c>
      <c r="N104" s="98">
        <f>'Cash Flow %s Yr1'!N104</f>
        <v>0.1</v>
      </c>
      <c r="O104" s="98">
        <f>'Cash Flow %s Yr1'!O104</f>
        <v>0.1</v>
      </c>
      <c r="P104" s="98">
        <f>'Cash Flow %s Yr1'!P104</f>
        <v>0</v>
      </c>
      <c r="Q104" s="98">
        <f>'Cash Flow %s Yr1'!Q104</f>
        <v>0</v>
      </c>
      <c r="R104" s="98">
        <f>'Cash Flow %s Yr1'!R104</f>
        <v>0</v>
      </c>
      <c r="S104" s="97">
        <f t="shared" si="8"/>
        <v>0.99999999999999989</v>
      </c>
    </row>
    <row r="105" spans="1:19" s="31" customFormat="1" collapsed="1" x14ac:dyDescent="0.75">
      <c r="A105" s="35"/>
      <c r="B105" s="64" t="str">
        <f>'Expenses w MYP'!C69</f>
        <v>4700</v>
      </c>
      <c r="C105" s="64" t="str">
        <f>'Expenses w MYP'!D69</f>
        <v>Food and Food Supplies</v>
      </c>
      <c r="D105" s="98">
        <f>'Cash Flow %s Yr1'!D105</f>
        <v>0</v>
      </c>
      <c r="E105" s="98">
        <f>'Cash Flow %s Yr1'!E105</f>
        <v>0</v>
      </c>
      <c r="F105" s="98">
        <f>'Cash Flow %s Yr1'!F105</f>
        <v>0.1</v>
      </c>
      <c r="G105" s="98">
        <f>'Cash Flow %s Yr1'!G105</f>
        <v>0.1</v>
      </c>
      <c r="H105" s="98">
        <f>'Cash Flow %s Yr1'!H105</f>
        <v>0.1</v>
      </c>
      <c r="I105" s="98">
        <f>'Cash Flow %s Yr1'!I105</f>
        <v>0.1</v>
      </c>
      <c r="J105" s="98">
        <f>'Cash Flow %s Yr1'!J105</f>
        <v>0.1</v>
      </c>
      <c r="K105" s="98">
        <f>'Cash Flow %s Yr1'!K105</f>
        <v>0.1</v>
      </c>
      <c r="L105" s="98">
        <f>'Cash Flow %s Yr1'!L105</f>
        <v>0.1</v>
      </c>
      <c r="M105" s="98">
        <f>'Cash Flow %s Yr1'!M105</f>
        <v>0.1</v>
      </c>
      <c r="N105" s="98">
        <f>'Cash Flow %s Yr1'!N105</f>
        <v>0.1</v>
      </c>
      <c r="O105" s="98">
        <f>'Cash Flow %s Yr1'!O105</f>
        <v>0.1</v>
      </c>
      <c r="P105" s="98">
        <f>'Cash Flow %s Yr1'!P105</f>
        <v>0</v>
      </c>
      <c r="Q105" s="98">
        <f>'Cash Flow %s Yr1'!Q105</f>
        <v>0</v>
      </c>
      <c r="R105" s="98">
        <f>'Cash Flow %s Yr1'!R105</f>
        <v>0</v>
      </c>
      <c r="S105" s="97">
        <f>SUM(D105:R105)</f>
        <v>0.99999999999999989</v>
      </c>
    </row>
    <row r="106" spans="1:19" s="31" customFormat="1" x14ac:dyDescent="0.75">
      <c r="A106" s="35"/>
      <c r="B106" s="3"/>
      <c r="C106" s="2"/>
      <c r="D106" s="88"/>
      <c r="E106" s="88"/>
      <c r="F106" s="105"/>
      <c r="G106" s="105"/>
      <c r="H106" s="105"/>
      <c r="I106" s="105"/>
      <c r="J106" s="105"/>
      <c r="K106" s="105"/>
      <c r="L106" s="105"/>
      <c r="M106" s="105"/>
      <c r="N106" s="105"/>
      <c r="O106" s="105"/>
      <c r="P106" s="84"/>
      <c r="Q106" s="84"/>
      <c r="R106" s="84"/>
      <c r="S106" s="97"/>
    </row>
    <row r="107" spans="1:19" s="31" customFormat="1" x14ac:dyDescent="0.75">
      <c r="A107" s="35"/>
      <c r="B107" s="3"/>
      <c r="C107" s="2"/>
      <c r="D107" s="84"/>
      <c r="E107" s="84"/>
      <c r="F107" s="84"/>
      <c r="G107" s="84"/>
      <c r="H107" s="84"/>
      <c r="I107" s="84"/>
      <c r="J107" s="84"/>
      <c r="K107" s="84"/>
      <c r="L107" s="84"/>
      <c r="M107" s="84"/>
      <c r="N107" s="84"/>
      <c r="O107" s="84"/>
      <c r="P107" s="84"/>
      <c r="Q107" s="84"/>
      <c r="R107" s="84"/>
      <c r="S107" s="97"/>
    </row>
    <row r="108" spans="1:19" s="31" customFormat="1" x14ac:dyDescent="0.75">
      <c r="B108" s="4" t="s">
        <v>720</v>
      </c>
      <c r="C108" s="2"/>
      <c r="D108" s="84"/>
      <c r="E108" s="84"/>
      <c r="F108" s="84"/>
      <c r="G108" s="84"/>
      <c r="H108" s="84"/>
      <c r="I108" s="84"/>
      <c r="J108" s="84"/>
      <c r="K108" s="84"/>
      <c r="L108" s="84"/>
      <c r="M108" s="84"/>
      <c r="N108" s="84"/>
      <c r="O108" s="84"/>
      <c r="P108" s="84"/>
      <c r="Q108" s="84"/>
      <c r="R108" s="84"/>
      <c r="S108" s="97"/>
    </row>
    <row r="109" spans="1:19" s="31" customFormat="1" x14ac:dyDescent="0.75">
      <c r="A109" s="35"/>
      <c r="B109" s="64" t="str">
        <f>'Expenses w MYP'!C73</f>
        <v>5200</v>
      </c>
      <c r="C109" s="64" t="str">
        <f>'Expenses w MYP'!D73</f>
        <v>Travel and Conferences</v>
      </c>
      <c r="D109" s="98">
        <f>'Cash Flow %s Yr1'!D109</f>
        <v>0</v>
      </c>
      <c r="E109" s="98">
        <f>'Cash Flow %s Yr1'!E109</f>
        <v>0</v>
      </c>
      <c r="F109" s="98">
        <f>'Cash Flow %s Yr1'!F109</f>
        <v>0.3</v>
      </c>
      <c r="G109" s="98">
        <f>'Cash Flow %s Yr1'!G109</f>
        <v>0.1</v>
      </c>
      <c r="H109" s="98">
        <f>'Cash Flow %s Yr1'!H109</f>
        <v>0.1</v>
      </c>
      <c r="I109" s="98">
        <f>'Cash Flow %s Yr1'!I109</f>
        <v>0.1</v>
      </c>
      <c r="J109" s="98">
        <f>'Cash Flow %s Yr1'!J109</f>
        <v>0.1</v>
      </c>
      <c r="K109" s="98">
        <f>'Cash Flow %s Yr1'!K109</f>
        <v>0.1</v>
      </c>
      <c r="L109" s="98">
        <f>'Cash Flow %s Yr1'!L109</f>
        <v>0.1</v>
      </c>
      <c r="M109" s="98">
        <f>'Cash Flow %s Yr1'!M109</f>
        <v>0.1</v>
      </c>
      <c r="N109" s="98">
        <f>'Cash Flow %s Yr1'!N109</f>
        <v>0</v>
      </c>
      <c r="O109" s="98">
        <f>'Cash Flow %s Yr1'!O109</f>
        <v>0</v>
      </c>
      <c r="P109" s="98">
        <f>'Cash Flow %s Yr1'!P109</f>
        <v>0</v>
      </c>
      <c r="Q109" s="98">
        <f>'Cash Flow %s Yr1'!Q109</f>
        <v>0</v>
      </c>
      <c r="R109" s="98">
        <f>'Cash Flow %s Yr1'!R109</f>
        <v>0</v>
      </c>
      <c r="S109" s="97">
        <f t="shared" ref="S109:S139" si="9">SUM(D109:R109)</f>
        <v>0.99999999999999989</v>
      </c>
    </row>
    <row r="110" spans="1:19" s="31" customFormat="1" x14ac:dyDescent="0.75">
      <c r="A110" s="35"/>
      <c r="B110" s="64" t="str">
        <f>'Expenses w MYP'!C74</f>
        <v>5210</v>
      </c>
      <c r="C110" s="64" t="str">
        <f>'Expenses w MYP'!D74</f>
        <v>Training and Development Expense</v>
      </c>
      <c r="D110" s="98">
        <f>'Cash Flow %s Yr1'!D110</f>
        <v>0</v>
      </c>
      <c r="E110" s="98">
        <f>'Cash Flow %s Yr1'!E110</f>
        <v>0</v>
      </c>
      <c r="F110" s="98">
        <f>'Cash Flow %s Yr1'!F110</f>
        <v>0.3</v>
      </c>
      <c r="G110" s="98">
        <f>'Cash Flow %s Yr1'!G110</f>
        <v>0.1</v>
      </c>
      <c r="H110" s="98">
        <f>'Cash Flow %s Yr1'!H110</f>
        <v>0.1</v>
      </c>
      <c r="I110" s="98">
        <f>'Cash Flow %s Yr1'!I110</f>
        <v>0.1</v>
      </c>
      <c r="J110" s="98">
        <f>'Cash Flow %s Yr1'!J110</f>
        <v>0.1</v>
      </c>
      <c r="K110" s="98">
        <f>'Cash Flow %s Yr1'!K110</f>
        <v>0.1</v>
      </c>
      <c r="L110" s="98">
        <f>'Cash Flow %s Yr1'!L110</f>
        <v>0.1</v>
      </c>
      <c r="M110" s="98">
        <f>'Cash Flow %s Yr1'!M110</f>
        <v>0.1</v>
      </c>
      <c r="N110" s="98">
        <f>'Cash Flow %s Yr1'!N110</f>
        <v>0</v>
      </c>
      <c r="O110" s="98">
        <f>'Cash Flow %s Yr1'!O110</f>
        <v>0</v>
      </c>
      <c r="P110" s="98">
        <f>'Cash Flow %s Yr1'!P110</f>
        <v>0</v>
      </c>
      <c r="Q110" s="98">
        <f>'Cash Flow %s Yr1'!Q110</f>
        <v>0</v>
      </c>
      <c r="R110" s="98">
        <f>'Cash Flow %s Yr1'!R110</f>
        <v>0</v>
      </c>
      <c r="S110" s="97">
        <f t="shared" si="9"/>
        <v>0.99999999999999989</v>
      </c>
    </row>
    <row r="111" spans="1:19" s="31" customFormat="1" x14ac:dyDescent="0.75">
      <c r="A111" s="35"/>
      <c r="B111" s="64" t="str">
        <f>'Expenses w MYP'!C75</f>
        <v>5300</v>
      </c>
      <c r="C111" s="64" t="str">
        <f>'Expenses w MYP'!D75</f>
        <v>Dues and Memberships</v>
      </c>
      <c r="D111" s="98">
        <f>'Cash Flow %s Yr1'!D111</f>
        <v>0</v>
      </c>
      <c r="E111" s="98">
        <f>'Cash Flow %s Yr1'!E111</f>
        <v>0</v>
      </c>
      <c r="F111" s="98">
        <f>'Cash Flow %s Yr1'!F111</f>
        <v>0.3</v>
      </c>
      <c r="G111" s="98">
        <f>'Cash Flow %s Yr1'!G111</f>
        <v>0.1</v>
      </c>
      <c r="H111" s="98">
        <f>'Cash Flow %s Yr1'!H111</f>
        <v>0.1</v>
      </c>
      <c r="I111" s="98">
        <f>'Cash Flow %s Yr1'!I111</f>
        <v>0.1</v>
      </c>
      <c r="J111" s="98">
        <f>'Cash Flow %s Yr1'!J111</f>
        <v>0.1</v>
      </c>
      <c r="K111" s="98">
        <f>'Cash Flow %s Yr1'!K111</f>
        <v>0.1</v>
      </c>
      <c r="L111" s="98">
        <f>'Cash Flow %s Yr1'!L111</f>
        <v>0.1</v>
      </c>
      <c r="M111" s="98">
        <f>'Cash Flow %s Yr1'!M111</f>
        <v>0.1</v>
      </c>
      <c r="N111" s="98">
        <f>'Cash Flow %s Yr1'!N111</f>
        <v>0</v>
      </c>
      <c r="O111" s="98">
        <f>'Cash Flow %s Yr1'!O111</f>
        <v>0</v>
      </c>
      <c r="P111" s="98">
        <f>'Cash Flow %s Yr1'!P111</f>
        <v>0</v>
      </c>
      <c r="Q111" s="98">
        <f>'Cash Flow %s Yr1'!Q111</f>
        <v>0</v>
      </c>
      <c r="R111" s="98">
        <f>'Cash Flow %s Yr1'!R111</f>
        <v>0</v>
      </c>
      <c r="S111" s="97">
        <f t="shared" si="9"/>
        <v>0.99999999999999989</v>
      </c>
    </row>
    <row r="112" spans="1:19" s="31" customFormat="1" x14ac:dyDescent="0.75">
      <c r="A112" s="35"/>
      <c r="B112" s="64" t="str">
        <f>'Expenses w MYP'!C76</f>
        <v>5400</v>
      </c>
      <c r="C112" s="64" t="str">
        <f>'Expenses w MYP'!D76</f>
        <v>Insurance</v>
      </c>
      <c r="D112" s="98">
        <f>'Cash Flow %s Yr1'!D112</f>
        <v>0</v>
      </c>
      <c r="E112" s="98">
        <f>'Cash Flow %s Yr1'!E112</f>
        <v>0</v>
      </c>
      <c r="F112" s="98">
        <f>'Cash Flow %s Yr1'!F112</f>
        <v>0.3</v>
      </c>
      <c r="G112" s="98">
        <f>'Cash Flow %s Yr1'!G112</f>
        <v>0.1</v>
      </c>
      <c r="H112" s="98">
        <f>'Cash Flow %s Yr1'!H112</f>
        <v>0.1</v>
      </c>
      <c r="I112" s="98">
        <f>'Cash Flow %s Yr1'!I112</f>
        <v>0.1</v>
      </c>
      <c r="J112" s="98">
        <f>'Cash Flow %s Yr1'!J112</f>
        <v>0.1</v>
      </c>
      <c r="K112" s="98">
        <f>'Cash Flow %s Yr1'!K112</f>
        <v>0.1</v>
      </c>
      <c r="L112" s="98">
        <f>'Cash Flow %s Yr1'!L112</f>
        <v>0.1</v>
      </c>
      <c r="M112" s="98">
        <f>'Cash Flow %s Yr1'!M112</f>
        <v>0.1</v>
      </c>
      <c r="N112" s="98">
        <f>'Cash Flow %s Yr1'!N112</f>
        <v>0</v>
      </c>
      <c r="O112" s="98">
        <f>'Cash Flow %s Yr1'!O112</f>
        <v>0</v>
      </c>
      <c r="P112" s="98">
        <f>'Cash Flow %s Yr1'!P112</f>
        <v>0</v>
      </c>
      <c r="Q112" s="98">
        <f>'Cash Flow %s Yr1'!Q112</f>
        <v>0</v>
      </c>
      <c r="R112" s="98">
        <f>'Cash Flow %s Yr1'!R112</f>
        <v>0</v>
      </c>
      <c r="S112" s="97">
        <f t="shared" si="9"/>
        <v>0.99999999999999989</v>
      </c>
    </row>
    <row r="113" spans="1:19" s="31" customFormat="1" x14ac:dyDescent="0.75">
      <c r="A113" s="35"/>
      <c r="B113" s="64" t="str">
        <f>'Expenses w MYP'!C77</f>
        <v>5500</v>
      </c>
      <c r="C113" s="64" t="str">
        <f>'Expenses w MYP'!D77</f>
        <v>Operation and Housekeeping Services/Supplies</v>
      </c>
      <c r="D113" s="98">
        <f>'Cash Flow %s Yr1'!D113</f>
        <v>0</v>
      </c>
      <c r="E113" s="98">
        <f>'Cash Flow %s Yr1'!E113</f>
        <v>0</v>
      </c>
      <c r="F113" s="98">
        <f>'Cash Flow %s Yr1'!F113</f>
        <v>0.6</v>
      </c>
      <c r="G113" s="98">
        <f>'Cash Flow %s Yr1'!G113</f>
        <v>0</v>
      </c>
      <c r="H113" s="98">
        <f>'Cash Flow %s Yr1'!H113</f>
        <v>0</v>
      </c>
      <c r="I113" s="98">
        <f>'Cash Flow %s Yr1'!I113</f>
        <v>0</v>
      </c>
      <c r="J113" s="98">
        <f>'Cash Flow %s Yr1'!J113</f>
        <v>0.4</v>
      </c>
      <c r="K113" s="98">
        <f>'Cash Flow %s Yr1'!K113</f>
        <v>0</v>
      </c>
      <c r="L113" s="98">
        <f>'Cash Flow %s Yr1'!L113</f>
        <v>0</v>
      </c>
      <c r="M113" s="98">
        <f>'Cash Flow %s Yr1'!M113</f>
        <v>0</v>
      </c>
      <c r="N113" s="98">
        <f>'Cash Flow %s Yr1'!N113</f>
        <v>0</v>
      </c>
      <c r="O113" s="98">
        <f>'Cash Flow %s Yr1'!O113</f>
        <v>0</v>
      </c>
      <c r="P113" s="98">
        <f>'Cash Flow %s Yr1'!P113</f>
        <v>0</v>
      </c>
      <c r="Q113" s="98">
        <f>'Cash Flow %s Yr1'!Q113</f>
        <v>0</v>
      </c>
      <c r="R113" s="98">
        <f>'Cash Flow %s Yr1'!R113</f>
        <v>0</v>
      </c>
      <c r="S113" s="97">
        <f t="shared" si="9"/>
        <v>1</v>
      </c>
    </row>
    <row r="114" spans="1:19" s="31" customFormat="1" x14ac:dyDescent="0.75">
      <c r="A114" s="35"/>
      <c r="B114" s="64" t="str">
        <f>'Expenses w MYP'!C78</f>
        <v>5501</v>
      </c>
      <c r="C114" s="64" t="str">
        <f>'Expenses w MYP'!D78</f>
        <v>Utilities</v>
      </c>
      <c r="D114" s="98">
        <f>'Cash Flow %s Yr1'!D114</f>
        <v>0</v>
      </c>
      <c r="E114" s="98">
        <f>'Cash Flow %s Yr1'!E114</f>
        <v>0</v>
      </c>
      <c r="F114" s="98">
        <f>'Cash Flow %s Yr1'!F114</f>
        <v>0.1</v>
      </c>
      <c r="G114" s="98">
        <f>'Cash Flow %s Yr1'!G114</f>
        <v>0.1</v>
      </c>
      <c r="H114" s="98">
        <f>'Cash Flow %s Yr1'!H114</f>
        <v>0.1</v>
      </c>
      <c r="I114" s="98">
        <f>'Cash Flow %s Yr1'!I114</f>
        <v>0.1</v>
      </c>
      <c r="J114" s="98">
        <f>'Cash Flow %s Yr1'!J114</f>
        <v>0.1</v>
      </c>
      <c r="K114" s="98">
        <f>'Cash Flow %s Yr1'!K114</f>
        <v>0.1</v>
      </c>
      <c r="L114" s="98">
        <f>'Cash Flow %s Yr1'!L114</f>
        <v>0.1</v>
      </c>
      <c r="M114" s="98">
        <f>'Cash Flow %s Yr1'!M114</f>
        <v>0.1</v>
      </c>
      <c r="N114" s="98">
        <f>'Cash Flow %s Yr1'!N114</f>
        <v>0.1</v>
      </c>
      <c r="O114" s="98">
        <f>'Cash Flow %s Yr1'!O114</f>
        <v>0.1</v>
      </c>
      <c r="P114" s="98">
        <f>'Cash Flow %s Yr1'!P114</f>
        <v>0</v>
      </c>
      <c r="Q114" s="98">
        <f>'Cash Flow %s Yr1'!Q114</f>
        <v>0</v>
      </c>
      <c r="R114" s="98">
        <f>'Cash Flow %s Yr1'!R114</f>
        <v>0</v>
      </c>
      <c r="S114" s="97">
        <f t="shared" si="9"/>
        <v>0.99999999999999989</v>
      </c>
    </row>
    <row r="115" spans="1:19" s="31" customFormat="1" x14ac:dyDescent="0.75">
      <c r="A115" s="35"/>
      <c r="B115" s="64" t="str">
        <f>'Expenses w MYP'!C79</f>
        <v>5505</v>
      </c>
      <c r="C115" s="64" t="str">
        <f>'Expenses w MYP'!D79</f>
        <v>Student Transportation / Field Trips</v>
      </c>
      <c r="D115" s="98">
        <f>'Cash Flow %s Yr1'!D115</f>
        <v>0</v>
      </c>
      <c r="E115" s="98">
        <f>'Cash Flow %s Yr1'!E115</f>
        <v>0</v>
      </c>
      <c r="F115" s="98">
        <f>'Cash Flow %s Yr1'!F115</f>
        <v>0.1</v>
      </c>
      <c r="G115" s="98">
        <f>'Cash Flow %s Yr1'!G115</f>
        <v>0.1</v>
      </c>
      <c r="H115" s="98">
        <f>'Cash Flow %s Yr1'!H115</f>
        <v>0.1</v>
      </c>
      <c r="I115" s="98">
        <f>'Cash Flow %s Yr1'!I115</f>
        <v>0.1</v>
      </c>
      <c r="J115" s="98">
        <f>'Cash Flow %s Yr1'!J115</f>
        <v>0.1</v>
      </c>
      <c r="K115" s="98">
        <f>'Cash Flow %s Yr1'!K115</f>
        <v>0.1</v>
      </c>
      <c r="L115" s="98">
        <f>'Cash Flow %s Yr1'!L115</f>
        <v>0.1</v>
      </c>
      <c r="M115" s="98">
        <f>'Cash Flow %s Yr1'!M115</f>
        <v>0.1</v>
      </c>
      <c r="N115" s="98">
        <f>'Cash Flow %s Yr1'!N115</f>
        <v>0.1</v>
      </c>
      <c r="O115" s="98">
        <f>'Cash Flow %s Yr1'!O115</f>
        <v>0.1</v>
      </c>
      <c r="P115" s="98">
        <f>'Cash Flow %s Yr1'!P115</f>
        <v>0</v>
      </c>
      <c r="Q115" s="98">
        <f>'Cash Flow %s Yr1'!Q115</f>
        <v>0</v>
      </c>
      <c r="R115" s="98">
        <f>'Cash Flow %s Yr1'!R115</f>
        <v>0</v>
      </c>
      <c r="S115" s="97">
        <f t="shared" si="9"/>
        <v>0.99999999999999989</v>
      </c>
    </row>
    <row r="116" spans="1:19" s="31" customFormat="1" x14ac:dyDescent="0.75">
      <c r="A116" s="35"/>
      <c r="B116" s="64" t="str">
        <f>'Expenses w MYP'!C80</f>
        <v>5600</v>
      </c>
      <c r="C116" s="64" t="str">
        <f>'Expenses w MYP'!D80</f>
        <v>Space Rental/Leases Expense</v>
      </c>
      <c r="D116" s="98">
        <f>'Cash Flow %s Yr1'!D116</f>
        <v>0</v>
      </c>
      <c r="E116" s="98">
        <f>'Cash Flow %s Yr1'!E116</f>
        <v>0</v>
      </c>
      <c r="F116" s="98">
        <f>'Cash Flow %s Yr1'!F116</f>
        <v>0.1</v>
      </c>
      <c r="G116" s="98">
        <f>'Cash Flow %s Yr1'!G116</f>
        <v>0.1</v>
      </c>
      <c r="H116" s="98">
        <f>'Cash Flow %s Yr1'!H116</f>
        <v>0.1</v>
      </c>
      <c r="I116" s="98">
        <f>'Cash Flow %s Yr1'!I116</f>
        <v>0.1</v>
      </c>
      <c r="J116" s="98">
        <f>'Cash Flow %s Yr1'!J116</f>
        <v>0.1</v>
      </c>
      <c r="K116" s="98">
        <f>'Cash Flow %s Yr1'!K116</f>
        <v>0.1</v>
      </c>
      <c r="L116" s="98">
        <f>'Cash Flow %s Yr1'!L116</f>
        <v>0.1</v>
      </c>
      <c r="M116" s="98">
        <f>'Cash Flow %s Yr1'!M116</f>
        <v>0.1</v>
      </c>
      <c r="N116" s="98">
        <f>'Cash Flow %s Yr1'!N116</f>
        <v>0.1</v>
      </c>
      <c r="O116" s="98">
        <f>'Cash Flow %s Yr1'!O116</f>
        <v>0.1</v>
      </c>
      <c r="P116" s="98">
        <f>'Cash Flow %s Yr1'!P116</f>
        <v>0</v>
      </c>
      <c r="Q116" s="98">
        <f>'Cash Flow %s Yr1'!Q116</f>
        <v>0</v>
      </c>
      <c r="R116" s="98">
        <f>'Cash Flow %s Yr1'!R116</f>
        <v>0</v>
      </c>
      <c r="S116" s="97">
        <f t="shared" si="9"/>
        <v>0.99999999999999989</v>
      </c>
    </row>
    <row r="117" spans="1:19" s="31" customFormat="1" x14ac:dyDescent="0.75">
      <c r="A117" s="35"/>
      <c r="B117" s="64" t="str">
        <f>'Expenses w MYP'!C81</f>
        <v>5601</v>
      </c>
      <c r="C117" s="64" t="str">
        <f>'Expenses w MYP'!D81</f>
        <v>Building Maintenance</v>
      </c>
      <c r="D117" s="98">
        <f>'Cash Flow %s Yr1'!D117</f>
        <v>0.05</v>
      </c>
      <c r="E117" s="98">
        <f>'Cash Flow %s Yr1'!E117</f>
        <v>0.05</v>
      </c>
      <c r="F117" s="98">
        <f>'Cash Flow %s Yr1'!F117</f>
        <v>0.09</v>
      </c>
      <c r="G117" s="98">
        <f>'Cash Flow %s Yr1'!G117</f>
        <v>0.09</v>
      </c>
      <c r="H117" s="98">
        <f>'Cash Flow %s Yr1'!H117</f>
        <v>0.09</v>
      </c>
      <c r="I117" s="98">
        <f>'Cash Flow %s Yr1'!I117</f>
        <v>0.09</v>
      </c>
      <c r="J117" s="98">
        <f>'Cash Flow %s Yr1'!J117</f>
        <v>0.09</v>
      </c>
      <c r="K117" s="98">
        <f>'Cash Flow %s Yr1'!K117</f>
        <v>0.09</v>
      </c>
      <c r="L117" s="98">
        <f>'Cash Flow %s Yr1'!L117</f>
        <v>0.09</v>
      </c>
      <c r="M117" s="98">
        <f>'Cash Flow %s Yr1'!M117</f>
        <v>0.09</v>
      </c>
      <c r="N117" s="98">
        <f>'Cash Flow %s Yr1'!N117</f>
        <v>0.09</v>
      </c>
      <c r="O117" s="98">
        <f>'Cash Flow %s Yr1'!O117</f>
        <v>0.09</v>
      </c>
      <c r="P117" s="98">
        <f>'Cash Flow %s Yr1'!P117</f>
        <v>0</v>
      </c>
      <c r="Q117" s="98">
        <f>'Cash Flow %s Yr1'!Q117</f>
        <v>0</v>
      </c>
      <c r="R117" s="98">
        <f>'Cash Flow %s Yr1'!R117</f>
        <v>0</v>
      </c>
      <c r="S117" s="97">
        <f t="shared" si="9"/>
        <v>0.99999999999999978</v>
      </c>
    </row>
    <row r="118" spans="1:19" s="31" customFormat="1" x14ac:dyDescent="0.75">
      <c r="A118" s="35"/>
      <c r="B118" s="64" t="str">
        <f>'Expenses w MYP'!C82</f>
        <v>5602</v>
      </c>
      <c r="C118" s="64" t="str">
        <f>'Expenses w MYP'!D82</f>
        <v>Other Space Rental</v>
      </c>
      <c r="D118" s="98">
        <f>'Cash Flow %s Yr1'!D118</f>
        <v>0.05</v>
      </c>
      <c r="E118" s="98">
        <f>'Cash Flow %s Yr1'!E118</f>
        <v>0.05</v>
      </c>
      <c r="F118" s="98">
        <f>'Cash Flow %s Yr1'!F118</f>
        <v>0.09</v>
      </c>
      <c r="G118" s="98">
        <f>'Cash Flow %s Yr1'!G118</f>
        <v>0.09</v>
      </c>
      <c r="H118" s="98">
        <f>'Cash Flow %s Yr1'!H118</f>
        <v>0.09</v>
      </c>
      <c r="I118" s="98">
        <f>'Cash Flow %s Yr1'!I118</f>
        <v>0.09</v>
      </c>
      <c r="J118" s="98">
        <f>'Cash Flow %s Yr1'!J118</f>
        <v>0.09</v>
      </c>
      <c r="K118" s="98">
        <f>'Cash Flow %s Yr1'!K118</f>
        <v>0.09</v>
      </c>
      <c r="L118" s="98">
        <f>'Cash Flow %s Yr1'!L118</f>
        <v>0.09</v>
      </c>
      <c r="M118" s="98">
        <f>'Cash Flow %s Yr1'!M118</f>
        <v>0.09</v>
      </c>
      <c r="N118" s="98">
        <f>'Cash Flow %s Yr1'!N118</f>
        <v>0.09</v>
      </c>
      <c r="O118" s="98">
        <f>'Cash Flow %s Yr1'!O118</f>
        <v>0.09</v>
      </c>
      <c r="P118" s="98">
        <f>'Cash Flow %s Yr1'!P118</f>
        <v>0</v>
      </c>
      <c r="Q118" s="98">
        <f>'Cash Flow %s Yr1'!Q118</f>
        <v>0</v>
      </c>
      <c r="R118" s="98">
        <f>'Cash Flow %s Yr1'!R118</f>
        <v>0</v>
      </c>
      <c r="S118" s="97">
        <f t="shared" si="9"/>
        <v>0.99999999999999978</v>
      </c>
    </row>
    <row r="119" spans="1:19" s="31" customFormat="1" x14ac:dyDescent="0.75">
      <c r="A119" s="35"/>
      <c r="B119" s="64" t="str">
        <f>'Expenses w MYP'!C83</f>
        <v>5603</v>
      </c>
      <c r="C119" s="64" t="str">
        <f>'Expenses w MYP'!D83</f>
        <v>Engagement Space Rental</v>
      </c>
      <c r="D119" s="98">
        <f>'Cash Flow %s Yr1'!D119</f>
        <v>0</v>
      </c>
      <c r="E119" s="98">
        <f>'Cash Flow %s Yr1'!E119</f>
        <v>0</v>
      </c>
      <c r="F119" s="98">
        <f>'Cash Flow %s Yr1'!F119</f>
        <v>0.1</v>
      </c>
      <c r="G119" s="98">
        <f>'Cash Flow %s Yr1'!G119</f>
        <v>0.1</v>
      </c>
      <c r="H119" s="98">
        <f>'Cash Flow %s Yr1'!H119</f>
        <v>0.1</v>
      </c>
      <c r="I119" s="98">
        <f>'Cash Flow %s Yr1'!I119</f>
        <v>0.1</v>
      </c>
      <c r="J119" s="98">
        <f>'Cash Flow %s Yr1'!J119</f>
        <v>0.1</v>
      </c>
      <c r="K119" s="98">
        <f>'Cash Flow %s Yr1'!K119</f>
        <v>0.1</v>
      </c>
      <c r="L119" s="98">
        <f>'Cash Flow %s Yr1'!L119</f>
        <v>0.1</v>
      </c>
      <c r="M119" s="98">
        <f>'Cash Flow %s Yr1'!M119</f>
        <v>0.1</v>
      </c>
      <c r="N119" s="98">
        <f>'Cash Flow %s Yr1'!N119</f>
        <v>0.1</v>
      </c>
      <c r="O119" s="98">
        <f>'Cash Flow %s Yr1'!O119</f>
        <v>0.1</v>
      </c>
      <c r="P119" s="98">
        <f>'Cash Flow %s Yr1'!P119</f>
        <v>0</v>
      </c>
      <c r="Q119" s="98">
        <f>'Cash Flow %s Yr1'!Q119</f>
        <v>0</v>
      </c>
      <c r="R119" s="98">
        <f>'Cash Flow %s Yr1'!R119</f>
        <v>0</v>
      </c>
      <c r="S119" s="97">
        <f t="shared" si="9"/>
        <v>0.99999999999999989</v>
      </c>
    </row>
    <row r="120" spans="1:19" s="31" customFormat="1" x14ac:dyDescent="0.75">
      <c r="A120" s="35"/>
      <c r="B120" s="64" t="str">
        <f>'Expenses w MYP'!C84</f>
        <v>5610</v>
      </c>
      <c r="C120" s="64" t="str">
        <f>'Expenses w MYP'!D84</f>
        <v>Equipment Repair</v>
      </c>
      <c r="D120" s="98">
        <f>'Cash Flow %s Yr1'!D120</f>
        <v>0</v>
      </c>
      <c r="E120" s="98">
        <f>'Cash Flow %s Yr1'!E120</f>
        <v>0</v>
      </c>
      <c r="F120" s="98">
        <f>'Cash Flow %s Yr1'!F120</f>
        <v>0.1</v>
      </c>
      <c r="G120" s="98">
        <f>'Cash Flow %s Yr1'!G120</f>
        <v>0.1</v>
      </c>
      <c r="H120" s="98">
        <f>'Cash Flow %s Yr1'!H120</f>
        <v>0.1</v>
      </c>
      <c r="I120" s="98">
        <f>'Cash Flow %s Yr1'!I120</f>
        <v>0.1</v>
      </c>
      <c r="J120" s="98">
        <f>'Cash Flow %s Yr1'!J120</f>
        <v>0.1</v>
      </c>
      <c r="K120" s="98">
        <f>'Cash Flow %s Yr1'!K120</f>
        <v>0.1</v>
      </c>
      <c r="L120" s="98">
        <f>'Cash Flow %s Yr1'!L120</f>
        <v>0.1</v>
      </c>
      <c r="M120" s="98">
        <f>'Cash Flow %s Yr1'!M120</f>
        <v>0.1</v>
      </c>
      <c r="N120" s="98">
        <f>'Cash Flow %s Yr1'!N120</f>
        <v>0.1</v>
      </c>
      <c r="O120" s="98">
        <f>'Cash Flow %s Yr1'!O120</f>
        <v>0.1</v>
      </c>
      <c r="P120" s="98">
        <f>'Cash Flow %s Yr1'!P120</f>
        <v>0</v>
      </c>
      <c r="Q120" s="98">
        <f>'Cash Flow %s Yr1'!Q120</f>
        <v>0</v>
      </c>
      <c r="R120" s="98">
        <f>'Cash Flow %s Yr1'!R120</f>
        <v>0</v>
      </c>
      <c r="S120" s="97">
        <f t="shared" si="9"/>
        <v>0.99999999999999989</v>
      </c>
    </row>
    <row r="121" spans="1:19" s="31" customFormat="1" x14ac:dyDescent="0.75">
      <c r="A121" s="35"/>
      <c r="B121" s="64" t="str">
        <f>'Expenses w MYP'!C85</f>
        <v>5800</v>
      </c>
      <c r="C121" s="64" t="str">
        <f>'Expenses w MYP'!D85</f>
        <v>Professional/Consulting Services and Operating Expenditures</v>
      </c>
      <c r="D121" s="98">
        <f>'Cash Flow %s Yr1'!D121</f>
        <v>0</v>
      </c>
      <c r="E121" s="98">
        <f>'Cash Flow %s Yr1'!E121</f>
        <v>0</v>
      </c>
      <c r="F121" s="98">
        <f>'Cash Flow %s Yr1'!F121</f>
        <v>0.1</v>
      </c>
      <c r="G121" s="98">
        <f>'Cash Flow %s Yr1'!G121</f>
        <v>0.1</v>
      </c>
      <c r="H121" s="98">
        <f>'Cash Flow %s Yr1'!H121</f>
        <v>0.1</v>
      </c>
      <c r="I121" s="98">
        <f>'Cash Flow %s Yr1'!I121</f>
        <v>0.1</v>
      </c>
      <c r="J121" s="98">
        <f>'Cash Flow %s Yr1'!J121</f>
        <v>0.1</v>
      </c>
      <c r="K121" s="98">
        <f>'Cash Flow %s Yr1'!K121</f>
        <v>0.1</v>
      </c>
      <c r="L121" s="98">
        <f>'Cash Flow %s Yr1'!L121</f>
        <v>0.1</v>
      </c>
      <c r="M121" s="98">
        <f>'Cash Flow %s Yr1'!M121</f>
        <v>0.1</v>
      </c>
      <c r="N121" s="98">
        <f>'Cash Flow %s Yr1'!N121</f>
        <v>0.1</v>
      </c>
      <c r="O121" s="98">
        <f>'Cash Flow %s Yr1'!O121</f>
        <v>0.1</v>
      </c>
      <c r="P121" s="98">
        <f>'Cash Flow %s Yr1'!P121</f>
        <v>0</v>
      </c>
      <c r="Q121" s="98">
        <f>'Cash Flow %s Yr1'!Q121</f>
        <v>0</v>
      </c>
      <c r="R121" s="98">
        <f>'Cash Flow %s Yr1'!R121</f>
        <v>0</v>
      </c>
      <c r="S121" s="97">
        <f t="shared" si="9"/>
        <v>0.99999999999999989</v>
      </c>
    </row>
    <row r="122" spans="1:19" s="31" customFormat="1" x14ac:dyDescent="0.75">
      <c r="A122" s="35"/>
      <c r="B122" s="64" t="str">
        <f>'Expenses w MYP'!C86</f>
        <v>5803</v>
      </c>
      <c r="C122" s="64" t="str">
        <f>'Expenses w MYP'!D86</f>
        <v>Banking and Payroll Service Fees</v>
      </c>
      <c r="D122" s="98">
        <f>'Cash Flow %s Yr1'!D122</f>
        <v>0.05</v>
      </c>
      <c r="E122" s="98">
        <f>'Cash Flow %s Yr1'!E122</f>
        <v>0.05</v>
      </c>
      <c r="F122" s="98">
        <f>'Cash Flow %s Yr1'!F122</f>
        <v>0.09</v>
      </c>
      <c r="G122" s="98">
        <f>'Cash Flow %s Yr1'!G122</f>
        <v>0.09</v>
      </c>
      <c r="H122" s="98">
        <f>'Cash Flow %s Yr1'!H122</f>
        <v>0.09</v>
      </c>
      <c r="I122" s="98">
        <f>'Cash Flow %s Yr1'!I122</f>
        <v>0.09</v>
      </c>
      <c r="J122" s="98">
        <f>'Cash Flow %s Yr1'!J122</f>
        <v>0.09</v>
      </c>
      <c r="K122" s="98">
        <f>'Cash Flow %s Yr1'!K122</f>
        <v>0.09</v>
      </c>
      <c r="L122" s="98">
        <f>'Cash Flow %s Yr1'!L122</f>
        <v>0.09</v>
      </c>
      <c r="M122" s="98">
        <f>'Cash Flow %s Yr1'!M122</f>
        <v>0.09</v>
      </c>
      <c r="N122" s="98">
        <f>'Cash Flow %s Yr1'!N122</f>
        <v>0.09</v>
      </c>
      <c r="O122" s="98">
        <f>'Cash Flow %s Yr1'!O122</f>
        <v>0.09</v>
      </c>
      <c r="P122" s="98">
        <f>'Cash Flow %s Yr1'!P122</f>
        <v>0</v>
      </c>
      <c r="Q122" s="98">
        <f>'Cash Flow %s Yr1'!Q122</f>
        <v>0</v>
      </c>
      <c r="R122" s="98">
        <f>'Cash Flow %s Yr1'!R122</f>
        <v>0</v>
      </c>
      <c r="S122" s="97">
        <f t="shared" si="9"/>
        <v>0.99999999999999978</v>
      </c>
    </row>
    <row r="123" spans="1:19" s="31" customFormat="1" x14ac:dyDescent="0.75">
      <c r="A123" s="35"/>
      <c r="B123" s="64" t="str">
        <f>'Expenses w MYP'!C87</f>
        <v>5805</v>
      </c>
      <c r="C123" s="64" t="str">
        <f>'Expenses w MYP'!D87</f>
        <v>Legal Fees</v>
      </c>
      <c r="D123" s="98">
        <f>'Cash Flow %s Yr1'!D123</f>
        <v>0.05</v>
      </c>
      <c r="E123" s="98">
        <f>'Cash Flow %s Yr1'!E123</f>
        <v>0.05</v>
      </c>
      <c r="F123" s="98">
        <f>'Cash Flow %s Yr1'!F123</f>
        <v>0.09</v>
      </c>
      <c r="G123" s="98">
        <f>'Cash Flow %s Yr1'!G123</f>
        <v>0.09</v>
      </c>
      <c r="H123" s="98">
        <f>'Cash Flow %s Yr1'!H123</f>
        <v>0.09</v>
      </c>
      <c r="I123" s="98">
        <f>'Cash Flow %s Yr1'!I123</f>
        <v>0.09</v>
      </c>
      <c r="J123" s="98">
        <f>'Cash Flow %s Yr1'!J123</f>
        <v>0.09</v>
      </c>
      <c r="K123" s="98">
        <f>'Cash Flow %s Yr1'!K123</f>
        <v>0.09</v>
      </c>
      <c r="L123" s="98">
        <f>'Cash Flow %s Yr1'!L123</f>
        <v>0.09</v>
      </c>
      <c r="M123" s="98">
        <f>'Cash Flow %s Yr1'!M123</f>
        <v>0.09</v>
      </c>
      <c r="N123" s="98">
        <f>'Cash Flow %s Yr1'!N123</f>
        <v>0.09</v>
      </c>
      <c r="O123" s="98">
        <f>'Cash Flow %s Yr1'!O123</f>
        <v>0.09</v>
      </c>
      <c r="P123" s="98">
        <f>'Cash Flow %s Yr1'!P123</f>
        <v>0</v>
      </c>
      <c r="Q123" s="98">
        <f>'Cash Flow %s Yr1'!Q123</f>
        <v>0</v>
      </c>
      <c r="R123" s="98">
        <f>'Cash Flow %s Yr1'!R123</f>
        <v>0</v>
      </c>
      <c r="S123" s="97">
        <f t="shared" si="9"/>
        <v>0.99999999999999978</v>
      </c>
    </row>
    <row r="124" spans="1:19" s="31" customFormat="1" x14ac:dyDescent="0.75">
      <c r="A124" s="35"/>
      <c r="B124" s="64" t="str">
        <f>'Expenses w MYP'!C88</f>
        <v>5806</v>
      </c>
      <c r="C124" s="64" t="str">
        <f>'Expenses w MYP'!D88</f>
        <v>Audit Services</v>
      </c>
      <c r="D124" s="98">
        <f>'Cash Flow %s Yr1'!D124</f>
        <v>0.05</v>
      </c>
      <c r="E124" s="98">
        <f>'Cash Flow %s Yr1'!E124</f>
        <v>0.05</v>
      </c>
      <c r="F124" s="98">
        <f>'Cash Flow %s Yr1'!F124</f>
        <v>0.09</v>
      </c>
      <c r="G124" s="98">
        <f>'Cash Flow %s Yr1'!G124</f>
        <v>0.09</v>
      </c>
      <c r="H124" s="98">
        <f>'Cash Flow %s Yr1'!H124</f>
        <v>0.09</v>
      </c>
      <c r="I124" s="98">
        <f>'Cash Flow %s Yr1'!I124</f>
        <v>0.09</v>
      </c>
      <c r="J124" s="98">
        <f>'Cash Flow %s Yr1'!J124</f>
        <v>0.09</v>
      </c>
      <c r="K124" s="98">
        <f>'Cash Flow %s Yr1'!K124</f>
        <v>0.09</v>
      </c>
      <c r="L124" s="98">
        <f>'Cash Flow %s Yr1'!L124</f>
        <v>0.09</v>
      </c>
      <c r="M124" s="98">
        <f>'Cash Flow %s Yr1'!M124</f>
        <v>0.09</v>
      </c>
      <c r="N124" s="98">
        <f>'Cash Flow %s Yr1'!N124</f>
        <v>0.09</v>
      </c>
      <c r="O124" s="98">
        <f>'Cash Flow %s Yr1'!O124</f>
        <v>0.09</v>
      </c>
      <c r="P124" s="98">
        <f>'Cash Flow %s Yr1'!P124</f>
        <v>0</v>
      </c>
      <c r="Q124" s="98">
        <f>'Cash Flow %s Yr1'!Q124</f>
        <v>0</v>
      </c>
      <c r="R124" s="98">
        <f>'Cash Flow %s Yr1'!R124</f>
        <v>0</v>
      </c>
      <c r="S124" s="97">
        <f t="shared" si="9"/>
        <v>0.99999999999999978</v>
      </c>
    </row>
    <row r="125" spans="1:19" s="31" customFormat="1" x14ac:dyDescent="0.75">
      <c r="A125" s="35"/>
      <c r="B125" s="64" t="str">
        <f>'Expenses w MYP'!C91</f>
        <v>5810</v>
      </c>
      <c r="C125" s="64" t="str">
        <f>'Expenses w MYP'!D91</f>
        <v>Educational Consultants</v>
      </c>
      <c r="D125" s="98">
        <f>'Cash Flow %s Yr1'!D125</f>
        <v>0.05</v>
      </c>
      <c r="E125" s="98">
        <f>'Cash Flow %s Yr1'!E125</f>
        <v>0.05</v>
      </c>
      <c r="F125" s="98">
        <f>'Cash Flow %s Yr1'!F125</f>
        <v>0.09</v>
      </c>
      <c r="G125" s="98">
        <f>'Cash Flow %s Yr1'!G125</f>
        <v>0.09</v>
      </c>
      <c r="H125" s="98">
        <f>'Cash Flow %s Yr1'!H125</f>
        <v>0.09</v>
      </c>
      <c r="I125" s="98">
        <f>'Cash Flow %s Yr1'!I125</f>
        <v>0.09</v>
      </c>
      <c r="J125" s="98">
        <f>'Cash Flow %s Yr1'!J125</f>
        <v>0.09</v>
      </c>
      <c r="K125" s="98">
        <f>'Cash Flow %s Yr1'!K125</f>
        <v>0.09</v>
      </c>
      <c r="L125" s="98">
        <f>'Cash Flow %s Yr1'!L125</f>
        <v>0.09</v>
      </c>
      <c r="M125" s="98">
        <f>'Cash Flow %s Yr1'!M125</f>
        <v>0.09</v>
      </c>
      <c r="N125" s="98">
        <f>'Cash Flow %s Yr1'!N125</f>
        <v>0.09</v>
      </c>
      <c r="O125" s="98">
        <f>'Cash Flow %s Yr1'!O125</f>
        <v>0.09</v>
      </c>
      <c r="P125" s="98">
        <f>'Cash Flow %s Yr1'!P125</f>
        <v>0</v>
      </c>
      <c r="Q125" s="98">
        <f>'Cash Flow %s Yr1'!Q125</f>
        <v>0</v>
      </c>
      <c r="R125" s="98">
        <f>'Cash Flow %s Yr1'!R125</f>
        <v>0</v>
      </c>
      <c r="S125" s="97">
        <f t="shared" si="9"/>
        <v>0.99999999999999978</v>
      </c>
    </row>
    <row r="126" spans="1:19" s="31" customFormat="1" x14ac:dyDescent="0.75">
      <c r="A126" s="35"/>
      <c r="B126" s="64" t="str">
        <f>'Expenses w MYP'!C92</f>
        <v>5811</v>
      </c>
      <c r="C126" s="64" t="str">
        <f>'Expenses w MYP'!D92</f>
        <v>Student Transportation / Field Trips</v>
      </c>
      <c r="D126" s="98">
        <f>'Cash Flow %s Yr1'!D126</f>
        <v>0.05</v>
      </c>
      <c r="E126" s="98">
        <f>'Cash Flow %s Yr1'!E126</f>
        <v>0.05</v>
      </c>
      <c r="F126" s="98">
        <f>'Cash Flow %s Yr1'!F126</f>
        <v>0.09</v>
      </c>
      <c r="G126" s="98">
        <f>'Cash Flow %s Yr1'!G126</f>
        <v>0.09</v>
      </c>
      <c r="H126" s="98">
        <f>'Cash Flow %s Yr1'!H126</f>
        <v>0.09</v>
      </c>
      <c r="I126" s="98">
        <f>'Cash Flow %s Yr1'!I126</f>
        <v>0.09</v>
      </c>
      <c r="J126" s="98">
        <f>'Cash Flow %s Yr1'!J126</f>
        <v>0.09</v>
      </c>
      <c r="K126" s="98">
        <f>'Cash Flow %s Yr1'!K126</f>
        <v>0.09</v>
      </c>
      <c r="L126" s="98">
        <f>'Cash Flow %s Yr1'!L126</f>
        <v>0.09</v>
      </c>
      <c r="M126" s="98">
        <f>'Cash Flow %s Yr1'!M126</f>
        <v>0.09</v>
      </c>
      <c r="N126" s="98">
        <f>'Cash Flow %s Yr1'!N126</f>
        <v>0.09</v>
      </c>
      <c r="O126" s="98">
        <f>'Cash Flow %s Yr1'!O126</f>
        <v>0.09</v>
      </c>
      <c r="P126" s="98">
        <f>'Cash Flow %s Yr1'!P126</f>
        <v>0</v>
      </c>
      <c r="Q126" s="98">
        <f>'Cash Flow %s Yr1'!Q126</f>
        <v>0</v>
      </c>
      <c r="R126" s="98">
        <f>'Cash Flow %s Yr1'!R126</f>
        <v>0</v>
      </c>
      <c r="S126" s="97">
        <f t="shared" si="9"/>
        <v>0.99999999999999978</v>
      </c>
    </row>
    <row r="127" spans="1:19" s="31" customFormat="1" x14ac:dyDescent="0.75">
      <c r="A127" s="35"/>
      <c r="B127" s="64" t="str">
        <f>'Expenses w MYP'!C94</f>
        <v>5815</v>
      </c>
      <c r="C127" s="64" t="str">
        <f>'Expenses w MYP'!D94</f>
        <v>Advertising / Recruiting</v>
      </c>
      <c r="D127" s="98">
        <f>'Cash Flow %s Yr1'!D127</f>
        <v>0</v>
      </c>
      <c r="E127" s="98">
        <f>'Cash Flow %s Yr1'!E127</f>
        <v>0</v>
      </c>
      <c r="F127" s="98">
        <f>'Cash Flow %s Yr1'!F127</f>
        <v>0.1</v>
      </c>
      <c r="G127" s="98">
        <f>'Cash Flow %s Yr1'!G127</f>
        <v>0.1</v>
      </c>
      <c r="H127" s="98">
        <f>'Cash Flow %s Yr1'!H127</f>
        <v>0.1</v>
      </c>
      <c r="I127" s="98">
        <f>'Cash Flow %s Yr1'!I127</f>
        <v>0.1</v>
      </c>
      <c r="J127" s="98">
        <f>'Cash Flow %s Yr1'!J127</f>
        <v>0.1</v>
      </c>
      <c r="K127" s="98">
        <f>'Cash Flow %s Yr1'!K127</f>
        <v>0.1</v>
      </c>
      <c r="L127" s="98">
        <f>'Cash Flow %s Yr1'!L127</f>
        <v>0.1</v>
      </c>
      <c r="M127" s="98">
        <f>'Cash Flow %s Yr1'!M127</f>
        <v>0.1</v>
      </c>
      <c r="N127" s="98">
        <f>'Cash Flow %s Yr1'!N127</f>
        <v>0.1</v>
      </c>
      <c r="O127" s="98">
        <f>'Cash Flow %s Yr1'!O127</f>
        <v>0.1</v>
      </c>
      <c r="P127" s="98">
        <f>'Cash Flow %s Yr1'!P127</f>
        <v>0</v>
      </c>
      <c r="Q127" s="98">
        <f>'Cash Flow %s Yr1'!Q127</f>
        <v>0</v>
      </c>
      <c r="R127" s="98">
        <f>'Cash Flow %s Yr1'!R127</f>
        <v>0</v>
      </c>
      <c r="S127" s="97">
        <f t="shared" si="9"/>
        <v>0.99999999999999989</v>
      </c>
    </row>
    <row r="128" spans="1:19" s="31" customFormat="1" x14ac:dyDescent="0.75">
      <c r="A128" s="35"/>
      <c r="B128" s="64" t="str">
        <f>'Expenses w MYP'!C95</f>
        <v>5820</v>
      </c>
      <c r="C128" s="64" t="str">
        <f>'Expenses w MYP'!D95</f>
        <v>Fundraising Expense</v>
      </c>
      <c r="D128" s="98">
        <f>'Cash Flow %s Yr1'!D128</f>
        <v>0</v>
      </c>
      <c r="E128" s="98">
        <f>'Cash Flow %s Yr1'!E128</f>
        <v>0</v>
      </c>
      <c r="F128" s="98">
        <f>'Cash Flow %s Yr1'!F128</f>
        <v>0.1</v>
      </c>
      <c r="G128" s="98">
        <f>'Cash Flow %s Yr1'!G128</f>
        <v>0.1</v>
      </c>
      <c r="H128" s="98">
        <f>'Cash Flow %s Yr1'!H128</f>
        <v>0.1</v>
      </c>
      <c r="I128" s="98">
        <f>'Cash Flow %s Yr1'!I128</f>
        <v>0.1</v>
      </c>
      <c r="J128" s="98">
        <f>'Cash Flow %s Yr1'!J128</f>
        <v>0.1</v>
      </c>
      <c r="K128" s="98">
        <f>'Cash Flow %s Yr1'!K128</f>
        <v>0.1</v>
      </c>
      <c r="L128" s="98">
        <f>'Cash Flow %s Yr1'!L128</f>
        <v>0.1</v>
      </c>
      <c r="M128" s="98">
        <f>'Cash Flow %s Yr1'!M128</f>
        <v>0.1</v>
      </c>
      <c r="N128" s="98">
        <f>'Cash Flow %s Yr1'!N128</f>
        <v>0.1</v>
      </c>
      <c r="O128" s="98">
        <f>'Cash Flow %s Yr1'!O128</f>
        <v>0.1</v>
      </c>
      <c r="P128" s="98">
        <f>'Cash Flow %s Yr1'!P128</f>
        <v>0</v>
      </c>
      <c r="Q128" s="98">
        <f>'Cash Flow %s Yr1'!Q128</f>
        <v>0</v>
      </c>
      <c r="R128" s="98">
        <f>'Cash Flow %s Yr1'!R128</f>
        <v>0</v>
      </c>
      <c r="S128" s="97">
        <f t="shared" si="9"/>
        <v>0.99999999999999989</v>
      </c>
    </row>
    <row r="129" spans="1:19" s="31" customFormat="1" x14ac:dyDescent="0.75">
      <c r="A129" s="35"/>
      <c r="B129" s="64" t="str">
        <f>'Expenses w MYP'!C97</f>
        <v>5873</v>
      </c>
      <c r="C129" s="64" t="str">
        <f>'Expenses w MYP'!D97</f>
        <v>Financial Services</v>
      </c>
      <c r="D129" s="98">
        <f>'Cash Flow %s Yr1'!D129</f>
        <v>8.3000000000000004E-2</v>
      </c>
      <c r="E129" s="98">
        <f>'Cash Flow %s Yr1'!E129</f>
        <v>8.3000000000000004E-2</v>
      </c>
      <c r="F129" s="98">
        <f>'Cash Flow %s Yr1'!F129</f>
        <v>8.3000000000000004E-2</v>
      </c>
      <c r="G129" s="98">
        <f>'Cash Flow %s Yr1'!G129</f>
        <v>8.3000000000000004E-2</v>
      </c>
      <c r="H129" s="98">
        <f>'Cash Flow %s Yr1'!H129</f>
        <v>8.3000000000000004E-2</v>
      </c>
      <c r="I129" s="98">
        <f>'Cash Flow %s Yr1'!I129</f>
        <v>8.3000000000000004E-2</v>
      </c>
      <c r="J129" s="98">
        <f>'Cash Flow %s Yr1'!J129</f>
        <v>8.3000000000000004E-2</v>
      </c>
      <c r="K129" s="98">
        <f>'Cash Flow %s Yr1'!K129</f>
        <v>8.3000000000000004E-2</v>
      </c>
      <c r="L129" s="98">
        <f>'Cash Flow %s Yr1'!L129</f>
        <v>8.4000000000000005E-2</v>
      </c>
      <c r="M129" s="98">
        <f>'Cash Flow %s Yr1'!M129</f>
        <v>8.4000000000000005E-2</v>
      </c>
      <c r="N129" s="98">
        <f>'Cash Flow %s Yr1'!N129</f>
        <v>8.4000000000000005E-2</v>
      </c>
      <c r="O129" s="98">
        <f>'Cash Flow %s Yr1'!O129</f>
        <v>8.4000000000000005E-2</v>
      </c>
      <c r="P129" s="98">
        <f>'Cash Flow %s Yr1'!P129</f>
        <v>0</v>
      </c>
      <c r="Q129" s="98">
        <f>'Cash Flow %s Yr1'!Q129</f>
        <v>0</v>
      </c>
      <c r="R129" s="98">
        <f>'Cash Flow %s Yr1'!R129</f>
        <v>0</v>
      </c>
      <c r="S129" s="97">
        <f t="shared" si="9"/>
        <v>0.99999999999999989</v>
      </c>
    </row>
    <row r="130" spans="1:19" s="31" customFormat="1" x14ac:dyDescent="0.75">
      <c r="A130" s="35"/>
      <c r="B130" s="64" t="str">
        <f>'Expenses w MYP'!C98</f>
        <v>5874</v>
      </c>
      <c r="C130" s="64" t="str">
        <f>'Expenses w MYP'!D98</f>
        <v>Personnel Services</v>
      </c>
      <c r="D130" s="98">
        <f>'Cash Flow %s Yr1'!D130</f>
        <v>8.3000000000000004E-2</v>
      </c>
      <c r="E130" s="98">
        <f>'Cash Flow %s Yr1'!E130</f>
        <v>8.3000000000000004E-2</v>
      </c>
      <c r="F130" s="98">
        <f>'Cash Flow %s Yr1'!F130</f>
        <v>8.3000000000000004E-2</v>
      </c>
      <c r="G130" s="98">
        <f>'Cash Flow %s Yr1'!G130</f>
        <v>8.3000000000000004E-2</v>
      </c>
      <c r="H130" s="98">
        <f>'Cash Flow %s Yr1'!H130</f>
        <v>8.3000000000000004E-2</v>
      </c>
      <c r="I130" s="98">
        <f>'Cash Flow %s Yr1'!I130</f>
        <v>8.3000000000000004E-2</v>
      </c>
      <c r="J130" s="98">
        <f>'Cash Flow %s Yr1'!J130</f>
        <v>8.3000000000000004E-2</v>
      </c>
      <c r="K130" s="98">
        <f>'Cash Flow %s Yr1'!K130</f>
        <v>8.3000000000000004E-2</v>
      </c>
      <c r="L130" s="98">
        <f>'Cash Flow %s Yr1'!L130</f>
        <v>8.4000000000000005E-2</v>
      </c>
      <c r="M130" s="98">
        <f>'Cash Flow %s Yr1'!M130</f>
        <v>8.4000000000000005E-2</v>
      </c>
      <c r="N130" s="98">
        <f>'Cash Flow %s Yr1'!N130</f>
        <v>8.4000000000000005E-2</v>
      </c>
      <c r="O130" s="98">
        <f>'Cash Flow %s Yr1'!O130</f>
        <v>8.4000000000000005E-2</v>
      </c>
      <c r="P130" s="98">
        <f>'Cash Flow %s Yr1'!P130</f>
        <v>0</v>
      </c>
      <c r="Q130" s="98">
        <f>'Cash Flow %s Yr1'!Q130</f>
        <v>0</v>
      </c>
      <c r="R130" s="98">
        <f>'Cash Flow %s Yr1'!R130</f>
        <v>0</v>
      </c>
      <c r="S130" s="97">
        <f t="shared" si="9"/>
        <v>0.99999999999999989</v>
      </c>
    </row>
    <row r="131" spans="1:19" s="31" customFormat="1" hidden="1" outlineLevel="1" x14ac:dyDescent="0.75">
      <c r="A131" s="35"/>
      <c r="B131" s="64" t="str">
        <f>'Expenses w MYP'!C99</f>
        <v>5875</v>
      </c>
      <c r="C131" s="64" t="str">
        <f>'Expenses w MYP'!D99</f>
        <v>District Oversight Fee</v>
      </c>
      <c r="D131" s="98">
        <f>'Cash Flow %s Yr1'!D131</f>
        <v>0</v>
      </c>
      <c r="E131" s="98">
        <f>'Cash Flow %s Yr1'!E131</f>
        <v>0</v>
      </c>
      <c r="F131" s="98">
        <f>'Cash Flow %s Yr1'!F131</f>
        <v>0.1</v>
      </c>
      <c r="G131" s="98">
        <f>'Cash Flow %s Yr1'!G131</f>
        <v>0.1</v>
      </c>
      <c r="H131" s="98">
        <f>'Cash Flow %s Yr1'!H131</f>
        <v>0.1</v>
      </c>
      <c r="I131" s="98">
        <f>'Cash Flow %s Yr1'!I131</f>
        <v>0.1</v>
      </c>
      <c r="J131" s="98">
        <f>'Cash Flow %s Yr1'!J131</f>
        <v>0.1</v>
      </c>
      <c r="K131" s="98">
        <f>'Cash Flow %s Yr1'!K131</f>
        <v>0.1</v>
      </c>
      <c r="L131" s="98">
        <f>'Cash Flow %s Yr1'!L131</f>
        <v>0.1</v>
      </c>
      <c r="M131" s="98">
        <f>'Cash Flow %s Yr1'!M131</f>
        <v>0.1</v>
      </c>
      <c r="N131" s="98">
        <f>'Cash Flow %s Yr1'!N131</f>
        <v>0.1</v>
      </c>
      <c r="O131" s="98">
        <f>'Cash Flow %s Yr1'!O131</f>
        <v>0.1</v>
      </c>
      <c r="P131" s="98">
        <f>'Cash Flow %s Yr1'!P131</f>
        <v>0</v>
      </c>
      <c r="Q131" s="98">
        <f>'Cash Flow %s Yr1'!Q131</f>
        <v>0</v>
      </c>
      <c r="R131" s="98">
        <f>'Cash Flow %s Yr1'!R131</f>
        <v>0</v>
      </c>
      <c r="S131" s="97">
        <f t="shared" si="9"/>
        <v>0.99999999999999989</v>
      </c>
    </row>
    <row r="132" spans="1:19" s="31" customFormat="1" hidden="1" outlineLevel="1" x14ac:dyDescent="0.75">
      <c r="A132" s="35"/>
      <c r="B132" s="64" t="str">
        <f>'Expenses w MYP'!C100</f>
        <v>5877</v>
      </c>
      <c r="C132" s="64" t="str">
        <f>'Expenses w MYP'!D100</f>
        <v>IT Services</v>
      </c>
      <c r="D132" s="98">
        <f>'Cash Flow %s Yr1'!D132</f>
        <v>0</v>
      </c>
      <c r="E132" s="98">
        <f>'Cash Flow %s Yr1'!E132</f>
        <v>0</v>
      </c>
      <c r="F132" s="98">
        <f>'Cash Flow %s Yr1'!F132</f>
        <v>0.1</v>
      </c>
      <c r="G132" s="98">
        <f>'Cash Flow %s Yr1'!G132</f>
        <v>0.1</v>
      </c>
      <c r="H132" s="98">
        <f>'Cash Flow %s Yr1'!H132</f>
        <v>0.1</v>
      </c>
      <c r="I132" s="98">
        <f>'Cash Flow %s Yr1'!I132</f>
        <v>0.1</v>
      </c>
      <c r="J132" s="98">
        <f>'Cash Flow %s Yr1'!J132</f>
        <v>0.1</v>
      </c>
      <c r="K132" s="98">
        <f>'Cash Flow %s Yr1'!K132</f>
        <v>0.1</v>
      </c>
      <c r="L132" s="98">
        <f>'Cash Flow %s Yr1'!L132</f>
        <v>0.1</v>
      </c>
      <c r="M132" s="98">
        <f>'Cash Flow %s Yr1'!M132</f>
        <v>0.1</v>
      </c>
      <c r="N132" s="98">
        <f>'Cash Flow %s Yr1'!N132</f>
        <v>0.1</v>
      </c>
      <c r="O132" s="98">
        <f>'Cash Flow %s Yr1'!O132</f>
        <v>0.1</v>
      </c>
      <c r="P132" s="98">
        <f>'Cash Flow %s Yr1'!P132</f>
        <v>0</v>
      </c>
      <c r="Q132" s="98">
        <f>'Cash Flow %s Yr1'!Q132</f>
        <v>0</v>
      </c>
      <c r="R132" s="98">
        <f>'Cash Flow %s Yr1'!R132</f>
        <v>0</v>
      </c>
      <c r="S132" s="97">
        <f t="shared" si="9"/>
        <v>0.99999999999999989</v>
      </c>
    </row>
    <row r="133" spans="1:19" s="31" customFormat="1" hidden="1" outlineLevel="1" x14ac:dyDescent="0.75">
      <c r="A133" s="35"/>
      <c r="B133" s="64" t="str">
        <f>'Expenses w MYP'!C101</f>
        <v>5890</v>
      </c>
      <c r="C133" s="64" t="str">
        <f>'Expenses w MYP'!D101</f>
        <v>Interest Expense / Misc. Fees</v>
      </c>
      <c r="D133" s="98">
        <f>'Cash Flow %s Yr1'!D133</f>
        <v>0</v>
      </c>
      <c r="E133" s="98">
        <f>'Cash Flow %s Yr1'!E133</f>
        <v>0</v>
      </c>
      <c r="F133" s="98">
        <f>'Cash Flow %s Yr1'!F133</f>
        <v>0.1</v>
      </c>
      <c r="G133" s="98">
        <f>'Cash Flow %s Yr1'!G133</f>
        <v>0.1</v>
      </c>
      <c r="H133" s="98">
        <f>'Cash Flow %s Yr1'!H133</f>
        <v>0.1</v>
      </c>
      <c r="I133" s="98">
        <f>'Cash Flow %s Yr1'!I133</f>
        <v>0.1</v>
      </c>
      <c r="J133" s="98">
        <f>'Cash Flow %s Yr1'!J133</f>
        <v>0.1</v>
      </c>
      <c r="K133" s="98">
        <f>'Cash Flow %s Yr1'!K133</f>
        <v>0.1</v>
      </c>
      <c r="L133" s="98">
        <f>'Cash Flow %s Yr1'!L133</f>
        <v>0.1</v>
      </c>
      <c r="M133" s="98">
        <f>'Cash Flow %s Yr1'!M133</f>
        <v>0.1</v>
      </c>
      <c r="N133" s="98">
        <f>'Cash Flow %s Yr1'!N133</f>
        <v>0.1</v>
      </c>
      <c r="O133" s="98">
        <f>'Cash Flow %s Yr1'!O133</f>
        <v>0.1</v>
      </c>
      <c r="P133" s="98">
        <f>'Cash Flow %s Yr1'!P133</f>
        <v>0</v>
      </c>
      <c r="Q133" s="98">
        <f>'Cash Flow %s Yr1'!Q133</f>
        <v>0</v>
      </c>
      <c r="R133" s="98">
        <f>'Cash Flow %s Yr1'!R133</f>
        <v>0</v>
      </c>
      <c r="S133" s="97">
        <f t="shared" si="9"/>
        <v>0.99999999999999989</v>
      </c>
    </row>
    <row r="134" spans="1:19" s="31" customFormat="1" hidden="1" outlineLevel="1" x14ac:dyDescent="0.75">
      <c r="A134" s="35"/>
      <c r="B134" s="64" t="str">
        <f>'Expenses w MYP'!C102</f>
        <v>5891</v>
      </c>
      <c r="C134" s="64" t="str">
        <f>'Expenses w MYP'!D102</f>
        <v>CSC Borrowing Fees</v>
      </c>
      <c r="D134" s="98">
        <f>'Cash Flow %s Yr1'!D134</f>
        <v>0</v>
      </c>
      <c r="E134" s="98">
        <f>'Cash Flow %s Yr1'!E134</f>
        <v>0</v>
      </c>
      <c r="F134" s="98">
        <f>'Cash Flow %s Yr1'!F134</f>
        <v>0.1</v>
      </c>
      <c r="G134" s="98">
        <f>'Cash Flow %s Yr1'!G134</f>
        <v>0.1</v>
      </c>
      <c r="H134" s="98">
        <f>'Cash Flow %s Yr1'!H134</f>
        <v>0.1</v>
      </c>
      <c r="I134" s="98">
        <f>'Cash Flow %s Yr1'!I134</f>
        <v>0.1</v>
      </c>
      <c r="J134" s="98">
        <f>'Cash Flow %s Yr1'!J134</f>
        <v>0.1</v>
      </c>
      <c r="K134" s="98">
        <f>'Cash Flow %s Yr1'!K134</f>
        <v>0.1</v>
      </c>
      <c r="L134" s="98">
        <f>'Cash Flow %s Yr1'!L134</f>
        <v>0.1</v>
      </c>
      <c r="M134" s="98">
        <f>'Cash Flow %s Yr1'!M134</f>
        <v>0.1</v>
      </c>
      <c r="N134" s="98">
        <f>'Cash Flow %s Yr1'!N134</f>
        <v>0.1</v>
      </c>
      <c r="O134" s="98">
        <f>'Cash Flow %s Yr1'!O134</f>
        <v>0.1</v>
      </c>
      <c r="P134" s="98">
        <f>'Cash Flow %s Yr1'!P134</f>
        <v>0</v>
      </c>
      <c r="Q134" s="98">
        <f>'Cash Flow %s Yr1'!Q134</f>
        <v>0</v>
      </c>
      <c r="R134" s="98">
        <f>'Cash Flow %s Yr1'!R134</f>
        <v>0</v>
      </c>
      <c r="S134" s="97">
        <f t="shared" si="9"/>
        <v>0.99999999999999989</v>
      </c>
    </row>
    <row r="135" spans="1:19" s="31" customFormat="1" hidden="1" outlineLevel="1" x14ac:dyDescent="0.75">
      <c r="A135" s="35"/>
      <c r="B135" s="64" t="str">
        <f>'Expenses w MYP'!C103</f>
        <v>5900</v>
      </c>
      <c r="C135" s="64" t="str">
        <f>'Expenses w MYP'!D103</f>
        <v>Communications</v>
      </c>
      <c r="D135" s="98">
        <f>'Cash Flow %s Yr1'!D135</f>
        <v>0</v>
      </c>
      <c r="E135" s="98">
        <f>'Cash Flow %s Yr1'!E135</f>
        <v>0</v>
      </c>
      <c r="F135" s="98">
        <f>'Cash Flow %s Yr1'!F135</f>
        <v>0.1</v>
      </c>
      <c r="G135" s="98">
        <f>'Cash Flow %s Yr1'!G135</f>
        <v>0.1</v>
      </c>
      <c r="H135" s="98">
        <f>'Cash Flow %s Yr1'!H135</f>
        <v>0.1</v>
      </c>
      <c r="I135" s="98">
        <f>'Cash Flow %s Yr1'!I135</f>
        <v>0.1</v>
      </c>
      <c r="J135" s="98">
        <f>'Cash Flow %s Yr1'!J135</f>
        <v>0.1</v>
      </c>
      <c r="K135" s="98">
        <f>'Cash Flow %s Yr1'!K135</f>
        <v>0.1</v>
      </c>
      <c r="L135" s="98">
        <f>'Cash Flow %s Yr1'!L135</f>
        <v>0.1</v>
      </c>
      <c r="M135" s="98">
        <f>'Cash Flow %s Yr1'!M135</f>
        <v>0.1</v>
      </c>
      <c r="N135" s="98">
        <f>'Cash Flow %s Yr1'!N135</f>
        <v>0.1</v>
      </c>
      <c r="O135" s="98">
        <f>'Cash Flow %s Yr1'!O135</f>
        <v>0.1</v>
      </c>
      <c r="P135" s="98">
        <f>'Cash Flow %s Yr1'!P135</f>
        <v>0</v>
      </c>
      <c r="Q135" s="98">
        <f>'Cash Flow %s Yr1'!Q135</f>
        <v>0</v>
      </c>
      <c r="R135" s="98">
        <f>'Cash Flow %s Yr1'!R135</f>
        <v>0</v>
      </c>
      <c r="S135" s="97">
        <f t="shared" si="9"/>
        <v>0.99999999999999989</v>
      </c>
    </row>
    <row r="136" spans="1:19" s="31" customFormat="1" hidden="1" outlineLevel="1" x14ac:dyDescent="0.75">
      <c r="A136" s="35"/>
      <c r="B136" s="64">
        <f>'Expenses w MYP'!C104</f>
        <v>0</v>
      </c>
      <c r="C136" s="64">
        <f>'Expenses w MYP'!D104</f>
        <v>0</v>
      </c>
      <c r="D136" s="98">
        <f>'Cash Flow %s Yr1'!D136</f>
        <v>0</v>
      </c>
      <c r="E136" s="98">
        <f>'Cash Flow %s Yr1'!E136</f>
        <v>0</v>
      </c>
      <c r="F136" s="98">
        <f>'Cash Flow %s Yr1'!F136</f>
        <v>0.1</v>
      </c>
      <c r="G136" s="98">
        <f>'Cash Flow %s Yr1'!G136</f>
        <v>0.1</v>
      </c>
      <c r="H136" s="98">
        <f>'Cash Flow %s Yr1'!H136</f>
        <v>0.1</v>
      </c>
      <c r="I136" s="98">
        <f>'Cash Flow %s Yr1'!I136</f>
        <v>0.1</v>
      </c>
      <c r="J136" s="98">
        <f>'Cash Flow %s Yr1'!J136</f>
        <v>0.1</v>
      </c>
      <c r="K136" s="98">
        <f>'Cash Flow %s Yr1'!K136</f>
        <v>0.1</v>
      </c>
      <c r="L136" s="98">
        <f>'Cash Flow %s Yr1'!L136</f>
        <v>0.1</v>
      </c>
      <c r="M136" s="98">
        <f>'Cash Flow %s Yr1'!M136</f>
        <v>0.1</v>
      </c>
      <c r="N136" s="98">
        <f>'Cash Flow %s Yr1'!N136</f>
        <v>0.1</v>
      </c>
      <c r="O136" s="98">
        <f>'Cash Flow %s Yr1'!O136</f>
        <v>0.1</v>
      </c>
      <c r="P136" s="98">
        <f>'Cash Flow %s Yr1'!P136</f>
        <v>0</v>
      </c>
      <c r="Q136" s="98">
        <f>'Cash Flow %s Yr1'!Q136</f>
        <v>0</v>
      </c>
      <c r="R136" s="98">
        <f>'Cash Flow %s Yr1'!R136</f>
        <v>0</v>
      </c>
      <c r="S136" s="97">
        <f t="shared" si="9"/>
        <v>0.99999999999999989</v>
      </c>
    </row>
    <row r="137" spans="1:19" s="31" customFormat="1" hidden="1" outlineLevel="1" x14ac:dyDescent="0.75">
      <c r="A137" s="35"/>
      <c r="B137" s="64">
        <f>'Expenses w MYP'!C105</f>
        <v>0</v>
      </c>
      <c r="C137" s="64">
        <f>'Expenses w MYP'!D105</f>
        <v>0</v>
      </c>
      <c r="D137" s="98">
        <f>'Cash Flow %s Yr1'!D137</f>
        <v>0</v>
      </c>
      <c r="E137" s="98">
        <f>'Cash Flow %s Yr1'!E137</f>
        <v>0</v>
      </c>
      <c r="F137" s="98">
        <f>'Cash Flow %s Yr1'!F137</f>
        <v>0.1</v>
      </c>
      <c r="G137" s="98">
        <f>'Cash Flow %s Yr1'!G137</f>
        <v>0.1</v>
      </c>
      <c r="H137" s="98">
        <f>'Cash Flow %s Yr1'!H137</f>
        <v>0.1</v>
      </c>
      <c r="I137" s="98">
        <f>'Cash Flow %s Yr1'!I137</f>
        <v>0.1</v>
      </c>
      <c r="J137" s="98">
        <f>'Cash Flow %s Yr1'!J137</f>
        <v>0.1</v>
      </c>
      <c r="K137" s="98">
        <f>'Cash Flow %s Yr1'!K137</f>
        <v>0.1</v>
      </c>
      <c r="L137" s="98">
        <f>'Cash Flow %s Yr1'!L137</f>
        <v>0.1</v>
      </c>
      <c r="M137" s="98">
        <f>'Cash Flow %s Yr1'!M137</f>
        <v>0.1</v>
      </c>
      <c r="N137" s="98">
        <f>'Cash Flow %s Yr1'!N137</f>
        <v>0.1</v>
      </c>
      <c r="O137" s="98">
        <f>'Cash Flow %s Yr1'!O137</f>
        <v>0.1</v>
      </c>
      <c r="P137" s="98">
        <f>'Cash Flow %s Yr1'!P137</f>
        <v>0</v>
      </c>
      <c r="Q137" s="98">
        <f>'Cash Flow %s Yr1'!Q137</f>
        <v>0</v>
      </c>
      <c r="R137" s="98">
        <f>'Cash Flow %s Yr1'!R137</f>
        <v>0</v>
      </c>
      <c r="S137" s="97">
        <f t="shared" si="9"/>
        <v>0.99999999999999989</v>
      </c>
    </row>
    <row r="138" spans="1:19" s="31" customFormat="1" hidden="1" outlineLevel="1" x14ac:dyDescent="0.75">
      <c r="A138" s="35"/>
      <c r="B138" s="64">
        <f>'Expenses w MYP'!C106</f>
        <v>0</v>
      </c>
      <c r="C138" s="64">
        <f>'Expenses w MYP'!D106</f>
        <v>0</v>
      </c>
      <c r="D138" s="98">
        <f>'Cash Flow %s Yr1'!D138</f>
        <v>0</v>
      </c>
      <c r="E138" s="98">
        <f>'Cash Flow %s Yr1'!E138</f>
        <v>0</v>
      </c>
      <c r="F138" s="98">
        <f>'Cash Flow %s Yr1'!F138</f>
        <v>0.1</v>
      </c>
      <c r="G138" s="98">
        <f>'Cash Flow %s Yr1'!G138</f>
        <v>0.1</v>
      </c>
      <c r="H138" s="98">
        <f>'Cash Flow %s Yr1'!H138</f>
        <v>0.1</v>
      </c>
      <c r="I138" s="98">
        <f>'Cash Flow %s Yr1'!I138</f>
        <v>0.1</v>
      </c>
      <c r="J138" s="98">
        <f>'Cash Flow %s Yr1'!J138</f>
        <v>0.1</v>
      </c>
      <c r="K138" s="98">
        <f>'Cash Flow %s Yr1'!K138</f>
        <v>0.1</v>
      </c>
      <c r="L138" s="98">
        <f>'Cash Flow %s Yr1'!L138</f>
        <v>0.1</v>
      </c>
      <c r="M138" s="98">
        <f>'Cash Flow %s Yr1'!M138</f>
        <v>0.1</v>
      </c>
      <c r="N138" s="98">
        <f>'Cash Flow %s Yr1'!N138</f>
        <v>0.1</v>
      </c>
      <c r="O138" s="98">
        <f>'Cash Flow %s Yr1'!O138</f>
        <v>0.1</v>
      </c>
      <c r="P138" s="98">
        <f>'Cash Flow %s Yr1'!P138</f>
        <v>0</v>
      </c>
      <c r="Q138" s="98">
        <f>'Cash Flow %s Yr1'!Q138</f>
        <v>0</v>
      </c>
      <c r="R138" s="98">
        <f>'Cash Flow %s Yr1'!R138</f>
        <v>0</v>
      </c>
      <c r="S138" s="97">
        <f t="shared" si="9"/>
        <v>0.99999999999999989</v>
      </c>
    </row>
    <row r="139" spans="1:19" s="31" customFormat="1" hidden="1" outlineLevel="1" x14ac:dyDescent="0.75">
      <c r="A139" s="35"/>
      <c r="B139" s="64">
        <f>'Expenses w MYP'!C107</f>
        <v>0</v>
      </c>
      <c r="C139" s="64">
        <f>'Expenses w MYP'!D107</f>
        <v>0</v>
      </c>
      <c r="D139" s="98">
        <f>'Cash Flow %s Yr1'!D139</f>
        <v>0</v>
      </c>
      <c r="E139" s="98">
        <f>'Cash Flow %s Yr1'!E139</f>
        <v>0</v>
      </c>
      <c r="F139" s="98">
        <f>'Cash Flow %s Yr1'!F139</f>
        <v>0.1</v>
      </c>
      <c r="G139" s="98">
        <f>'Cash Flow %s Yr1'!G139</f>
        <v>0.1</v>
      </c>
      <c r="H139" s="98">
        <f>'Cash Flow %s Yr1'!H139</f>
        <v>0.1</v>
      </c>
      <c r="I139" s="98">
        <f>'Cash Flow %s Yr1'!I139</f>
        <v>0.1</v>
      </c>
      <c r="J139" s="98">
        <f>'Cash Flow %s Yr1'!J139</f>
        <v>0.1</v>
      </c>
      <c r="K139" s="98">
        <f>'Cash Flow %s Yr1'!K139</f>
        <v>0.1</v>
      </c>
      <c r="L139" s="98">
        <f>'Cash Flow %s Yr1'!L139</f>
        <v>0.1</v>
      </c>
      <c r="M139" s="98">
        <f>'Cash Flow %s Yr1'!M139</f>
        <v>0.1</v>
      </c>
      <c r="N139" s="98">
        <f>'Cash Flow %s Yr1'!N139</f>
        <v>0.1</v>
      </c>
      <c r="O139" s="98">
        <f>'Cash Flow %s Yr1'!O139</f>
        <v>0.1</v>
      </c>
      <c r="P139" s="98">
        <f>'Cash Flow %s Yr1'!P139</f>
        <v>0</v>
      </c>
      <c r="Q139" s="98">
        <f>'Cash Flow %s Yr1'!Q139</f>
        <v>0</v>
      </c>
      <c r="R139" s="98">
        <f>'Cash Flow %s Yr1'!R139</f>
        <v>0</v>
      </c>
      <c r="S139" s="97">
        <f t="shared" si="9"/>
        <v>0.99999999999999989</v>
      </c>
    </row>
    <row r="140" spans="1:19" s="31" customFormat="1" hidden="1" outlineLevel="1" x14ac:dyDescent="0.75">
      <c r="A140" s="35"/>
      <c r="B140" s="64">
        <f>'Expenses w MYP'!C108</f>
        <v>0</v>
      </c>
      <c r="C140" s="64">
        <f>'Expenses w MYP'!D108</f>
        <v>0</v>
      </c>
      <c r="D140" s="98">
        <f>'Cash Flow %s Yr1'!D140</f>
        <v>0</v>
      </c>
      <c r="E140" s="98">
        <f>'Cash Flow %s Yr1'!E140</f>
        <v>0</v>
      </c>
      <c r="F140" s="98">
        <f>'Cash Flow %s Yr1'!F140</f>
        <v>0.1</v>
      </c>
      <c r="G140" s="98">
        <f>'Cash Flow %s Yr1'!G140</f>
        <v>0.1</v>
      </c>
      <c r="H140" s="98">
        <f>'Cash Flow %s Yr1'!H140</f>
        <v>0.1</v>
      </c>
      <c r="I140" s="98">
        <f>'Cash Flow %s Yr1'!I140</f>
        <v>0.1</v>
      </c>
      <c r="J140" s="98">
        <f>'Cash Flow %s Yr1'!J140</f>
        <v>0.1</v>
      </c>
      <c r="K140" s="98">
        <f>'Cash Flow %s Yr1'!K140</f>
        <v>0.1</v>
      </c>
      <c r="L140" s="98">
        <f>'Cash Flow %s Yr1'!L140</f>
        <v>0.1</v>
      </c>
      <c r="M140" s="98">
        <f>'Cash Flow %s Yr1'!M140</f>
        <v>0.1</v>
      </c>
      <c r="N140" s="98">
        <f>'Cash Flow %s Yr1'!N140</f>
        <v>0.1</v>
      </c>
      <c r="O140" s="98">
        <f>'Cash Flow %s Yr1'!O140</f>
        <v>0.1</v>
      </c>
      <c r="P140" s="98">
        <f>'Cash Flow %s Yr1'!P140</f>
        <v>0</v>
      </c>
      <c r="Q140" s="98">
        <f>'Cash Flow %s Yr1'!Q140</f>
        <v>0</v>
      </c>
      <c r="R140" s="98">
        <f>'Cash Flow %s Yr1'!R140</f>
        <v>0</v>
      </c>
      <c r="S140" s="97">
        <f>SUM(D140:R140)</f>
        <v>0.99999999999999989</v>
      </c>
    </row>
    <row r="141" spans="1:19" s="31" customFormat="1" collapsed="1" x14ac:dyDescent="0.75">
      <c r="A141" s="35"/>
      <c r="B141" s="64" t="str">
        <f>'Expenses w MYP'!C109</f>
        <v>5901</v>
      </c>
      <c r="C141" s="64" t="str">
        <f>'Expenses w MYP'!D109</f>
        <v>Scholar Internet Reimbursement</v>
      </c>
      <c r="D141" s="98">
        <f>'Cash Flow %s Yr1'!D141</f>
        <v>0.05</v>
      </c>
      <c r="E141" s="98">
        <f>'Cash Flow %s Yr1'!E141</f>
        <v>0.05</v>
      </c>
      <c r="F141" s="98">
        <f>'Cash Flow %s Yr1'!F141</f>
        <v>0.09</v>
      </c>
      <c r="G141" s="98">
        <f>'Cash Flow %s Yr1'!G141</f>
        <v>0.09</v>
      </c>
      <c r="H141" s="98">
        <f>'Cash Flow %s Yr1'!H141</f>
        <v>0.09</v>
      </c>
      <c r="I141" s="98">
        <f>'Cash Flow %s Yr1'!I141</f>
        <v>0.09</v>
      </c>
      <c r="J141" s="98">
        <f>'Cash Flow %s Yr1'!J141</f>
        <v>0.09</v>
      </c>
      <c r="K141" s="98">
        <f>'Cash Flow %s Yr1'!K141</f>
        <v>0.09</v>
      </c>
      <c r="L141" s="98">
        <f>'Cash Flow %s Yr1'!L141</f>
        <v>0.09</v>
      </c>
      <c r="M141" s="98">
        <f>'Cash Flow %s Yr1'!M141</f>
        <v>0.09</v>
      </c>
      <c r="N141" s="98">
        <f>'Cash Flow %s Yr1'!N141</f>
        <v>0.09</v>
      </c>
      <c r="O141" s="98">
        <f>'Cash Flow %s Yr1'!O141</f>
        <v>0.09</v>
      </c>
      <c r="P141" s="98">
        <f>'Cash Flow %s Yr1'!P141</f>
        <v>0</v>
      </c>
      <c r="Q141" s="98">
        <f>'Cash Flow %s Yr1'!Q141</f>
        <v>0</v>
      </c>
      <c r="R141" s="98">
        <f>'Cash Flow %s Yr1'!R141</f>
        <v>0</v>
      </c>
      <c r="S141" s="97">
        <f>SUM(D141:R141)</f>
        <v>0.99999999999999978</v>
      </c>
    </row>
    <row r="142" spans="1:19" s="31" customFormat="1" x14ac:dyDescent="0.75">
      <c r="A142" s="35"/>
      <c r="B142" s="3"/>
      <c r="C142" s="2"/>
      <c r="D142" s="88"/>
      <c r="E142" s="88"/>
      <c r="F142" s="88"/>
      <c r="G142" s="88"/>
      <c r="H142" s="88"/>
      <c r="I142" s="88"/>
      <c r="J142" s="88"/>
      <c r="K142" s="88"/>
      <c r="L142" s="88"/>
      <c r="M142" s="88"/>
      <c r="N142" s="88"/>
      <c r="O142" s="88"/>
      <c r="P142" s="84"/>
      <c r="Q142" s="84"/>
      <c r="R142" s="84"/>
      <c r="S142" s="97"/>
    </row>
    <row r="143" spans="1:19" s="31" customFormat="1" x14ac:dyDescent="0.75">
      <c r="A143" s="35"/>
      <c r="B143" s="3"/>
      <c r="C143" s="2"/>
      <c r="D143" s="84"/>
      <c r="E143" s="84"/>
      <c r="F143" s="84"/>
      <c r="G143" s="84"/>
      <c r="H143" s="84"/>
      <c r="I143" s="84"/>
      <c r="J143" s="84"/>
      <c r="K143" s="84"/>
      <c r="L143" s="84"/>
      <c r="M143" s="84"/>
      <c r="N143" s="84"/>
      <c r="O143" s="84"/>
      <c r="P143" s="84"/>
      <c r="Q143" s="84"/>
      <c r="R143" s="84"/>
      <c r="S143" s="97"/>
    </row>
    <row r="144" spans="1:19" s="31" customFormat="1" x14ac:dyDescent="0.75">
      <c r="B144" s="34" t="s">
        <v>721</v>
      </c>
      <c r="C144" s="2"/>
      <c r="D144" s="84"/>
      <c r="E144" s="84"/>
      <c r="F144" s="84"/>
      <c r="G144" s="84"/>
      <c r="H144" s="84"/>
      <c r="I144" s="84"/>
      <c r="J144" s="84"/>
      <c r="K144" s="84"/>
      <c r="L144" s="84"/>
      <c r="M144" s="84"/>
      <c r="N144" s="84"/>
      <c r="O144" s="84"/>
      <c r="P144" s="84"/>
      <c r="Q144" s="84"/>
      <c r="R144" s="84"/>
      <c r="S144" s="97"/>
    </row>
    <row r="145" spans="1:24" s="31" customFormat="1" x14ac:dyDescent="0.75">
      <c r="A145" s="35"/>
      <c r="B145" s="64" t="str">
        <f>'Expenses w MYP'!C113</f>
        <v>6900</v>
      </c>
      <c r="C145" s="64" t="str">
        <f>'Expenses w MYP'!D113</f>
        <v xml:space="preserve">Depreciation Expense                                                            </v>
      </c>
      <c r="D145" s="98">
        <f>'Cash Flow %s Yr1'!D145</f>
        <v>0.33</v>
      </c>
      <c r="E145" s="98">
        <f>'Cash Flow %s Yr1'!E145</f>
        <v>0.34</v>
      </c>
      <c r="F145" s="98">
        <f>'Cash Flow %s Yr1'!F145</f>
        <v>0.33</v>
      </c>
      <c r="G145" s="98">
        <f>'Cash Flow %s Yr1'!G145</f>
        <v>0</v>
      </c>
      <c r="H145" s="98">
        <f>'Cash Flow %s Yr1'!H145</f>
        <v>0</v>
      </c>
      <c r="I145" s="98">
        <f>'Cash Flow %s Yr1'!I145</f>
        <v>0</v>
      </c>
      <c r="J145" s="98">
        <f>'Cash Flow %s Yr1'!J145</f>
        <v>0</v>
      </c>
      <c r="K145" s="98">
        <f>'Cash Flow %s Yr1'!K145</f>
        <v>0</v>
      </c>
      <c r="L145" s="98">
        <f>'Cash Flow %s Yr1'!L145</f>
        <v>0</v>
      </c>
      <c r="M145" s="98">
        <f>'Cash Flow %s Yr1'!M145</f>
        <v>0</v>
      </c>
      <c r="N145" s="98">
        <f>'Cash Flow %s Yr1'!N145</f>
        <v>0</v>
      </c>
      <c r="O145" s="98">
        <f>'Cash Flow %s Yr1'!O145</f>
        <v>0</v>
      </c>
      <c r="P145" s="98">
        <f>'Cash Flow %s Yr1'!P145</f>
        <v>0</v>
      </c>
      <c r="Q145" s="98">
        <f>'Cash Flow %s Yr1'!Q145</f>
        <v>0</v>
      </c>
      <c r="R145" s="98">
        <f>'Cash Flow %s Yr1'!R145</f>
        <v>0</v>
      </c>
      <c r="S145" s="97">
        <f>SUM(D145:R145)</f>
        <v>1</v>
      </c>
    </row>
    <row r="146" spans="1:24" s="31" customFormat="1" x14ac:dyDescent="0.75">
      <c r="A146" s="35"/>
      <c r="B146" s="3"/>
      <c r="C146" s="2"/>
      <c r="D146" s="88"/>
      <c r="E146" s="88"/>
      <c r="F146" s="88"/>
      <c r="G146" s="88"/>
      <c r="H146" s="88"/>
      <c r="I146" s="84"/>
      <c r="J146" s="84"/>
      <c r="K146" s="84"/>
      <c r="L146" s="84"/>
      <c r="M146" s="84"/>
      <c r="N146" s="84"/>
      <c r="O146" s="84"/>
      <c r="P146" s="84"/>
      <c r="Q146" s="84"/>
      <c r="R146" s="84"/>
      <c r="S146" s="97"/>
    </row>
    <row r="147" spans="1:24" s="31" customFormat="1" x14ac:dyDescent="0.75">
      <c r="A147" s="35"/>
      <c r="B147" s="3"/>
      <c r="C147" s="2"/>
      <c r="D147" s="84"/>
      <c r="E147" s="91"/>
      <c r="F147" s="91"/>
      <c r="G147" s="84"/>
      <c r="H147" s="84"/>
      <c r="I147" s="84"/>
      <c r="J147" s="84"/>
      <c r="K147" s="84"/>
      <c r="L147" s="84"/>
      <c r="M147" s="84"/>
      <c r="N147" s="84"/>
      <c r="O147" s="84"/>
      <c r="P147" s="84"/>
      <c r="Q147" s="84"/>
      <c r="R147" s="84"/>
      <c r="S147" s="97"/>
    </row>
    <row r="148" spans="1:24" s="31" customFormat="1" x14ac:dyDescent="0.75">
      <c r="B148" s="34" t="s">
        <v>722</v>
      </c>
      <c r="C148" s="2"/>
      <c r="D148" s="84"/>
      <c r="E148" s="91"/>
      <c r="F148" s="91"/>
      <c r="G148" s="84"/>
      <c r="H148" s="84"/>
      <c r="I148" s="84"/>
      <c r="J148" s="84"/>
      <c r="K148" s="84"/>
      <c r="L148" s="84"/>
      <c r="M148" s="84"/>
      <c r="N148" s="84"/>
      <c r="O148" s="84"/>
      <c r="P148" s="84"/>
      <c r="Q148" s="84"/>
      <c r="R148" s="84"/>
      <c r="S148" s="97"/>
    </row>
    <row r="149" spans="1:24" s="31" customFormat="1" x14ac:dyDescent="0.75">
      <c r="A149" s="35"/>
      <c r="B149" s="64" t="str">
        <f>'Expenses w MYP'!C117</f>
        <v>7010</v>
      </c>
      <c r="C149" s="64" t="str">
        <f>'Expenses w MYP'!D117</f>
        <v>Special Education Encroachment</v>
      </c>
      <c r="D149" s="98">
        <f>'Cash Flow %s Yr1'!D149</f>
        <v>0</v>
      </c>
      <c r="E149" s="98">
        <f>'Cash Flow %s Yr1'!E149</f>
        <v>0</v>
      </c>
      <c r="F149" s="98">
        <f>'Cash Flow %s Yr1'!F149</f>
        <v>0.1</v>
      </c>
      <c r="G149" s="98">
        <f>'Cash Flow %s Yr1'!G149</f>
        <v>0.1</v>
      </c>
      <c r="H149" s="98">
        <f>'Cash Flow %s Yr1'!H149</f>
        <v>0.1</v>
      </c>
      <c r="I149" s="98">
        <f>'Cash Flow %s Yr1'!I149</f>
        <v>0.1</v>
      </c>
      <c r="J149" s="98">
        <f>'Cash Flow %s Yr1'!J149</f>
        <v>0.1</v>
      </c>
      <c r="K149" s="98">
        <f>'Cash Flow %s Yr1'!K149</f>
        <v>0.1</v>
      </c>
      <c r="L149" s="98">
        <f>'Cash Flow %s Yr1'!L149</f>
        <v>0.1</v>
      </c>
      <c r="M149" s="98">
        <f>'Cash Flow %s Yr1'!M149</f>
        <v>0.1</v>
      </c>
      <c r="N149" s="98">
        <f>'Cash Flow %s Yr1'!N149</f>
        <v>0.1</v>
      </c>
      <c r="O149" s="98">
        <f>'Cash Flow %s Yr1'!O149</f>
        <v>0.1</v>
      </c>
      <c r="P149" s="98">
        <f>'Cash Flow %s Yr1'!P149</f>
        <v>0</v>
      </c>
      <c r="Q149" s="98">
        <f>'Cash Flow %s Yr1'!Q149</f>
        <v>0</v>
      </c>
      <c r="R149" s="98">
        <f>'Cash Flow %s Yr1'!R149</f>
        <v>0</v>
      </c>
      <c r="S149" s="97">
        <f>SUM(D149:R149)</f>
        <v>0.99999999999999989</v>
      </c>
    </row>
    <row r="150" spans="1:24" s="31" customFormat="1" x14ac:dyDescent="0.75">
      <c r="A150" s="35"/>
      <c r="B150" s="64" t="str">
        <f>'Expenses w MYP'!C118</f>
        <v>7438</v>
      </c>
      <c r="C150" s="64" t="str">
        <f>'Expenses w MYP'!D118</f>
        <v>Debt Service - Interest</v>
      </c>
      <c r="D150" s="98">
        <f>'Cash Flow %s Yr1'!D150</f>
        <v>0</v>
      </c>
      <c r="E150" s="98">
        <f>'Cash Flow %s Yr1'!E150</f>
        <v>0</v>
      </c>
      <c r="F150" s="98">
        <f>'Cash Flow %s Yr1'!F150</f>
        <v>0.1</v>
      </c>
      <c r="G150" s="98">
        <f>'Cash Flow %s Yr1'!G150</f>
        <v>0.1</v>
      </c>
      <c r="H150" s="98">
        <f>'Cash Flow %s Yr1'!H150</f>
        <v>0.1</v>
      </c>
      <c r="I150" s="98">
        <f>'Cash Flow %s Yr1'!I150</f>
        <v>0.1</v>
      </c>
      <c r="J150" s="98">
        <f>'Cash Flow %s Yr1'!J150</f>
        <v>0.1</v>
      </c>
      <c r="K150" s="98">
        <f>'Cash Flow %s Yr1'!K150</f>
        <v>0.1</v>
      </c>
      <c r="L150" s="98">
        <f>'Cash Flow %s Yr1'!L150</f>
        <v>0.1</v>
      </c>
      <c r="M150" s="98">
        <f>'Cash Flow %s Yr1'!M150</f>
        <v>0.1</v>
      </c>
      <c r="N150" s="98">
        <f>'Cash Flow %s Yr1'!N150</f>
        <v>0.1</v>
      </c>
      <c r="O150" s="98">
        <f>'Cash Flow %s Yr1'!O150</f>
        <v>0.1</v>
      </c>
      <c r="P150" s="98">
        <f>'Cash Flow %s Yr1'!P150</f>
        <v>0</v>
      </c>
      <c r="Q150" s="98">
        <f>'Cash Flow %s Yr1'!Q150</f>
        <v>0</v>
      </c>
      <c r="R150" s="98">
        <f>'Cash Flow %s Yr1'!R150</f>
        <v>0</v>
      </c>
      <c r="S150" s="97">
        <f>SUM(D150:R150)</f>
        <v>0.99999999999999989</v>
      </c>
    </row>
    <row r="151" spans="1:24" s="31" customFormat="1" x14ac:dyDescent="0.75">
      <c r="A151" s="35"/>
      <c r="B151" s="39"/>
      <c r="C151" s="1"/>
      <c r="D151" s="92"/>
      <c r="E151" s="92"/>
      <c r="F151" s="92"/>
      <c r="G151" s="92"/>
      <c r="H151" s="92"/>
      <c r="I151" s="92"/>
      <c r="J151" s="92"/>
      <c r="K151" s="92"/>
      <c r="L151" s="92"/>
      <c r="M151" s="92"/>
      <c r="N151" s="92"/>
      <c r="O151" s="92"/>
      <c r="P151" s="92"/>
      <c r="Q151" s="92"/>
      <c r="R151" s="92"/>
      <c r="S151" s="97"/>
    </row>
    <row r="152" spans="1:24" s="31" customFormat="1" x14ac:dyDescent="0.75">
      <c r="A152" s="35"/>
      <c r="B152" s="39"/>
      <c r="C152" s="1"/>
      <c r="D152" s="84"/>
      <c r="E152" s="84"/>
      <c r="F152" s="84"/>
      <c r="G152" s="84"/>
      <c r="H152" s="84"/>
      <c r="I152" s="84"/>
      <c r="J152" s="84"/>
      <c r="K152" s="84"/>
      <c r="L152" s="84"/>
      <c r="M152" s="84"/>
      <c r="N152" s="84"/>
      <c r="O152" s="84"/>
      <c r="P152" s="84"/>
      <c r="Q152" s="84"/>
      <c r="R152" s="84"/>
      <c r="S152" s="97"/>
      <c r="T152" s="134"/>
    </row>
    <row r="153" spans="1:24" s="31" customFormat="1" x14ac:dyDescent="0.75">
      <c r="A153" s="35"/>
      <c r="B153" s="34" t="s">
        <v>818</v>
      </c>
      <c r="C153" s="2"/>
      <c r="D153" s="84"/>
      <c r="E153" s="91"/>
      <c r="F153" s="91"/>
      <c r="G153" s="84"/>
      <c r="H153" s="84"/>
      <c r="I153" s="84"/>
      <c r="J153" s="84"/>
      <c r="K153" s="84"/>
      <c r="L153" s="84"/>
      <c r="M153" s="84"/>
      <c r="N153" s="84"/>
      <c r="O153" s="84"/>
      <c r="P153" s="84"/>
      <c r="Q153" s="84"/>
      <c r="R153" s="84"/>
      <c r="S153" s="97"/>
    </row>
    <row r="154" spans="1:24" s="31" customFormat="1" x14ac:dyDescent="0.75">
      <c r="A154" s="35"/>
      <c r="B154" s="64"/>
      <c r="C154" s="117" t="s">
        <v>819</v>
      </c>
      <c r="D154" s="98">
        <f>'Cash Flow %s Yr1'!D154</f>
        <v>1</v>
      </c>
      <c r="E154" s="98">
        <f>'Cash Flow %s Yr1'!E154</f>
        <v>0</v>
      </c>
      <c r="F154" s="98">
        <f>'Cash Flow %s Yr1'!F154</f>
        <v>0</v>
      </c>
      <c r="G154" s="98">
        <f>'Cash Flow %s Yr1'!G154</f>
        <v>0</v>
      </c>
      <c r="H154" s="98">
        <f>'Cash Flow %s Yr1'!H154</f>
        <v>0</v>
      </c>
      <c r="I154" s="98">
        <f>'Cash Flow %s Yr1'!I154</f>
        <v>0</v>
      </c>
      <c r="J154" s="98">
        <f>'Cash Flow %s Yr1'!J154</f>
        <v>0</v>
      </c>
      <c r="K154" s="98">
        <f>'Cash Flow %s Yr1'!K154</f>
        <v>0</v>
      </c>
      <c r="L154" s="98">
        <f>'Cash Flow %s Yr1'!L154</f>
        <v>0</v>
      </c>
      <c r="M154" s="98">
        <f>'Cash Flow %s Yr1'!M154</f>
        <v>0</v>
      </c>
      <c r="N154" s="98">
        <f>'Cash Flow %s Yr1'!N154</f>
        <v>0</v>
      </c>
      <c r="O154" s="98">
        <f>'Cash Flow %s Yr1'!O154</f>
        <v>0</v>
      </c>
      <c r="P154" s="98">
        <f>'Cash Flow %s Yr1'!P154</f>
        <v>0</v>
      </c>
      <c r="Q154" s="98">
        <f>'Cash Flow %s Yr1'!Q154</f>
        <v>0</v>
      </c>
      <c r="R154" s="98">
        <f>'Cash Flow %s Yr1'!R154</f>
        <v>0</v>
      </c>
      <c r="S154" s="97">
        <f>SUM(D154:R154)</f>
        <v>1</v>
      </c>
      <c r="T154" s="130"/>
      <c r="U154" s="130"/>
      <c r="V154" s="130"/>
      <c r="W154" s="130"/>
      <c r="X154" s="130"/>
    </row>
    <row r="155" spans="1:24" s="31" customFormat="1" x14ac:dyDescent="0.75">
      <c r="A155" s="35"/>
      <c r="B155" s="64"/>
      <c r="C155" s="117" t="s">
        <v>820</v>
      </c>
      <c r="D155" s="98">
        <f>'Cash Flow %s Yr1'!D155</f>
        <v>0.5</v>
      </c>
      <c r="E155" s="98">
        <f>'Cash Flow %s Yr1'!E155</f>
        <v>0.35</v>
      </c>
      <c r="F155" s="98">
        <f>'Cash Flow %s Yr1'!F155</f>
        <v>0.15</v>
      </c>
      <c r="G155" s="98">
        <f>'Cash Flow %s Yr1'!G155</f>
        <v>0</v>
      </c>
      <c r="H155" s="98">
        <f>'Cash Flow %s Yr1'!H155</f>
        <v>0</v>
      </c>
      <c r="I155" s="98">
        <f>'Cash Flow %s Yr1'!I155</f>
        <v>0</v>
      </c>
      <c r="J155" s="98">
        <f>'Cash Flow %s Yr1'!J155</f>
        <v>0</v>
      </c>
      <c r="K155" s="98">
        <f>'Cash Flow %s Yr1'!K155</f>
        <v>0</v>
      </c>
      <c r="L155" s="98">
        <f>'Cash Flow %s Yr1'!L155</f>
        <v>0</v>
      </c>
      <c r="M155" s="98">
        <f>'Cash Flow %s Yr1'!M155</f>
        <v>0</v>
      </c>
      <c r="N155" s="98">
        <f>'Cash Flow %s Yr1'!N155</f>
        <v>0</v>
      </c>
      <c r="O155" s="98">
        <f>'Cash Flow %s Yr1'!O155</f>
        <v>0</v>
      </c>
      <c r="P155" s="98">
        <f>'Cash Flow %s Yr1'!P155</f>
        <v>0</v>
      </c>
      <c r="Q155" s="98">
        <f>'Cash Flow %s Yr1'!Q155</f>
        <v>0</v>
      </c>
      <c r="R155" s="98">
        <f>'Cash Flow %s Yr1'!R155</f>
        <v>0</v>
      </c>
      <c r="S155" s="97">
        <f>SUM(D155:R155)</f>
        <v>1</v>
      </c>
      <c r="T155" s="130"/>
      <c r="U155" s="130"/>
      <c r="V155" s="130"/>
      <c r="W155" s="130"/>
      <c r="X155" s="130"/>
    </row>
    <row r="156" spans="1:24" s="31" customFormat="1" x14ac:dyDescent="0.75">
      <c r="A156" s="35"/>
      <c r="B156" s="64"/>
      <c r="C156" s="117" t="s">
        <v>821</v>
      </c>
      <c r="D156" s="98">
        <f>'Cash Flow %s Yr1'!D156</f>
        <v>0.75</v>
      </c>
      <c r="E156" s="98">
        <f>'Cash Flow %s Yr1'!E156</f>
        <v>0.2</v>
      </c>
      <c r="F156" s="98">
        <f>'Cash Flow %s Yr1'!F156</f>
        <v>0.05</v>
      </c>
      <c r="G156" s="98">
        <f>'Cash Flow %s Yr1'!G156</f>
        <v>0</v>
      </c>
      <c r="H156" s="98">
        <f>'Cash Flow %s Yr1'!H156</f>
        <v>0</v>
      </c>
      <c r="I156" s="98">
        <f>'Cash Flow %s Yr1'!I156</f>
        <v>0</v>
      </c>
      <c r="J156" s="98">
        <f>'Cash Flow %s Yr1'!J156</f>
        <v>0</v>
      </c>
      <c r="K156" s="98">
        <f>'Cash Flow %s Yr1'!K156</f>
        <v>0</v>
      </c>
      <c r="L156" s="98">
        <f>'Cash Flow %s Yr1'!L156</f>
        <v>0</v>
      </c>
      <c r="M156" s="98">
        <f>'Cash Flow %s Yr1'!M156</f>
        <v>0</v>
      </c>
      <c r="N156" s="98">
        <f>'Cash Flow %s Yr1'!N156</f>
        <v>0</v>
      </c>
      <c r="O156" s="98">
        <f>'Cash Flow %s Yr1'!O156</f>
        <v>0</v>
      </c>
      <c r="P156" s="98">
        <f>'Cash Flow %s Yr1'!P156</f>
        <v>0</v>
      </c>
      <c r="Q156" s="98">
        <f>'Cash Flow %s Yr1'!Q156</f>
        <v>0</v>
      </c>
      <c r="R156" s="98">
        <f>'Cash Flow %s Yr1'!R156</f>
        <v>0</v>
      </c>
      <c r="S156" s="97">
        <f>SUM(D156:R156)</f>
        <v>1</v>
      </c>
      <c r="T156" s="130"/>
      <c r="U156" s="130"/>
      <c r="V156" s="130"/>
      <c r="W156" s="130"/>
      <c r="X156" s="130"/>
    </row>
    <row r="157" spans="1:24" s="39" customFormat="1" x14ac:dyDescent="0.75">
      <c r="A157" s="35"/>
      <c r="B157" s="64"/>
      <c r="C157" s="117" t="s">
        <v>822</v>
      </c>
      <c r="D157" s="98">
        <f>'Cash Flow %s Yr1'!D157</f>
        <v>0</v>
      </c>
      <c r="E157" s="98">
        <f>'Cash Flow %s Yr1'!E157</f>
        <v>0</v>
      </c>
      <c r="F157" s="98">
        <f>'Cash Flow %s Yr1'!F157</f>
        <v>0.1</v>
      </c>
      <c r="G157" s="98">
        <f>'Cash Flow %s Yr1'!G157</f>
        <v>0.1</v>
      </c>
      <c r="H157" s="98">
        <f>'Cash Flow %s Yr1'!H157</f>
        <v>0.1</v>
      </c>
      <c r="I157" s="98">
        <f>'Cash Flow %s Yr1'!I157</f>
        <v>0.1</v>
      </c>
      <c r="J157" s="98">
        <f>'Cash Flow %s Yr1'!J157</f>
        <v>0.1</v>
      </c>
      <c r="K157" s="98">
        <f>'Cash Flow %s Yr1'!K157</f>
        <v>0.1</v>
      </c>
      <c r="L157" s="98">
        <f>'Cash Flow %s Yr1'!L157</f>
        <v>0.1</v>
      </c>
      <c r="M157" s="98">
        <f>'Cash Flow %s Yr1'!M157</f>
        <v>0.1</v>
      </c>
      <c r="N157" s="98">
        <f>'Cash Flow %s Yr1'!N157</f>
        <v>0.1</v>
      </c>
      <c r="O157" s="98">
        <f>'Cash Flow %s Yr1'!O157</f>
        <v>0.1</v>
      </c>
      <c r="P157" s="98">
        <f>'Cash Flow %s Yr1'!P157</f>
        <v>0</v>
      </c>
      <c r="Q157" s="98">
        <f>'Cash Flow %s Yr1'!Q157</f>
        <v>0</v>
      </c>
      <c r="R157" s="98">
        <f>'Cash Flow %s Yr1'!R157</f>
        <v>0</v>
      </c>
      <c r="S157" s="97">
        <f>SUM(D157:R157)</f>
        <v>0.99999999999999989</v>
      </c>
      <c r="T157" s="130"/>
      <c r="U157" s="130"/>
      <c r="V157" s="130"/>
      <c r="W157" s="130"/>
      <c r="X157" s="130"/>
    </row>
    <row r="158" spans="1:24" s="39" customFormat="1" x14ac:dyDescent="0.75">
      <c r="A158" s="35"/>
      <c r="C158" s="1"/>
      <c r="D158" s="84"/>
      <c r="E158" s="84"/>
      <c r="F158" s="84"/>
      <c r="G158" s="84"/>
      <c r="H158" s="84"/>
      <c r="I158" s="84"/>
      <c r="J158" s="84"/>
      <c r="K158" s="84"/>
      <c r="L158" s="84"/>
      <c r="M158" s="84"/>
      <c r="N158" s="84"/>
      <c r="O158" s="84"/>
      <c r="P158" s="84"/>
      <c r="Q158" s="84"/>
      <c r="R158" s="84"/>
      <c r="S158" s="161"/>
    </row>
    <row r="159" spans="1:24" s="39" customFormat="1" x14ac:dyDescent="0.75">
      <c r="A159" s="35"/>
      <c r="C159" s="1"/>
      <c r="D159" s="84"/>
      <c r="E159" s="84"/>
      <c r="F159" s="84"/>
      <c r="G159" s="84"/>
      <c r="H159" s="84"/>
      <c r="I159" s="84"/>
      <c r="J159" s="84"/>
      <c r="K159" s="84"/>
      <c r="L159" s="84"/>
      <c r="M159" s="84"/>
      <c r="N159" s="84"/>
      <c r="O159" s="84"/>
      <c r="P159" s="84"/>
      <c r="Q159" s="84"/>
      <c r="R159" s="84"/>
      <c r="S159" s="161"/>
    </row>
    <row r="160" spans="1:24" s="39" customFormat="1" x14ac:dyDescent="0.75">
      <c r="A160" s="35"/>
      <c r="C160" s="1"/>
      <c r="D160" s="84"/>
      <c r="E160" s="84"/>
      <c r="F160" s="84"/>
      <c r="G160" s="84"/>
      <c r="H160" s="84"/>
      <c r="I160" s="84"/>
      <c r="J160" s="84"/>
      <c r="K160" s="84"/>
      <c r="L160" s="84"/>
      <c r="M160" s="84"/>
      <c r="N160" s="84"/>
      <c r="O160" s="84"/>
      <c r="P160" s="84"/>
      <c r="Q160" s="84"/>
      <c r="R160" s="84"/>
      <c r="S160" s="161"/>
    </row>
    <row r="161" spans="1:19" s="39" customFormat="1" x14ac:dyDescent="0.75">
      <c r="A161" s="35"/>
      <c r="C161" s="1"/>
      <c r="D161" s="84"/>
      <c r="E161" s="84"/>
      <c r="F161" s="84"/>
      <c r="G161" s="84"/>
      <c r="H161" s="84"/>
      <c r="I161" s="84"/>
      <c r="J161" s="84"/>
      <c r="K161" s="84"/>
      <c r="L161" s="84"/>
      <c r="M161" s="84"/>
      <c r="N161" s="84"/>
      <c r="O161" s="84"/>
      <c r="P161" s="84"/>
      <c r="Q161" s="84"/>
      <c r="R161" s="84"/>
      <c r="S161" s="161"/>
    </row>
    <row r="162" spans="1:19" s="39" customFormat="1" x14ac:dyDescent="0.75">
      <c r="A162" s="35"/>
      <c r="C162" s="1"/>
      <c r="D162" s="84"/>
      <c r="E162" s="84"/>
      <c r="F162" s="84"/>
      <c r="G162" s="84"/>
      <c r="H162" s="84"/>
      <c r="I162" s="84"/>
      <c r="J162" s="84"/>
      <c r="K162" s="84"/>
      <c r="L162" s="84"/>
      <c r="M162" s="84"/>
      <c r="N162" s="84"/>
      <c r="O162" s="84"/>
      <c r="P162" s="84"/>
      <c r="Q162" s="84"/>
      <c r="R162" s="84"/>
      <c r="S162" s="161"/>
    </row>
    <row r="163" spans="1:19" s="39" customFormat="1" x14ac:dyDescent="0.75">
      <c r="A163" s="35"/>
      <c r="C163" s="1"/>
      <c r="D163" s="84"/>
      <c r="E163" s="84"/>
      <c r="F163" s="84"/>
      <c r="G163" s="84"/>
      <c r="H163" s="84"/>
      <c r="I163" s="84"/>
      <c r="J163" s="84"/>
      <c r="K163" s="84"/>
      <c r="L163" s="84"/>
      <c r="M163" s="84"/>
      <c r="N163" s="84"/>
      <c r="O163" s="84"/>
      <c r="P163" s="84"/>
      <c r="Q163" s="84"/>
      <c r="R163" s="84"/>
      <c r="S163" s="161"/>
    </row>
    <row r="164" spans="1:19" s="39" customFormat="1" x14ac:dyDescent="0.75">
      <c r="A164" s="35"/>
      <c r="C164" s="1"/>
      <c r="D164" s="84"/>
      <c r="E164" s="84"/>
      <c r="F164" s="84"/>
      <c r="G164" s="84"/>
      <c r="H164" s="84"/>
      <c r="I164" s="84"/>
      <c r="J164" s="84"/>
      <c r="K164" s="84"/>
      <c r="L164" s="84"/>
      <c r="M164" s="84"/>
      <c r="N164" s="84"/>
      <c r="O164" s="84"/>
      <c r="P164" s="84"/>
      <c r="Q164" s="84"/>
      <c r="R164" s="84"/>
      <c r="S164" s="161"/>
    </row>
    <row r="165" spans="1:19" s="39" customFormat="1" x14ac:dyDescent="0.75">
      <c r="A165" s="35"/>
      <c r="C165" s="1"/>
      <c r="D165" s="84"/>
      <c r="E165" s="84"/>
      <c r="F165" s="84"/>
      <c r="G165" s="84"/>
      <c r="H165" s="84"/>
      <c r="I165" s="84"/>
      <c r="J165" s="84"/>
      <c r="K165" s="84"/>
      <c r="L165" s="84"/>
      <c r="M165" s="84"/>
      <c r="N165" s="84"/>
      <c r="O165" s="84"/>
      <c r="P165" s="84"/>
      <c r="Q165" s="84"/>
      <c r="R165" s="84"/>
      <c r="S165" s="161"/>
    </row>
    <row r="166" spans="1:19" x14ac:dyDescent="0.75">
      <c r="S166" s="161"/>
    </row>
    <row r="167" spans="1:19" x14ac:dyDescent="0.75">
      <c r="S167" s="161"/>
    </row>
    <row r="168" spans="1:19" x14ac:dyDescent="0.75">
      <c r="S168" s="161"/>
    </row>
    <row r="169" spans="1:19" x14ac:dyDescent="0.75">
      <c r="S169" s="161"/>
    </row>
  </sheetData>
  <pageMargins left="0.25" right="0.25" top="0.5" bottom="0.5" header="0.25" footer="0.25"/>
  <pageSetup scale="58" fitToHeight="3" orientation="landscape" r:id="rId1"/>
  <headerFooter alignWithMargins="0">
    <oddHeader>&amp;A</oddHeader>
    <oddFooter>Page &amp;P</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6" tint="-0.249977111117893"/>
    <pageSetUpPr fitToPage="1"/>
  </sheetPr>
  <dimension ref="A1:X169"/>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7.86328125" style="84" customWidth="1"/>
    <col min="19" max="19" width="10.31640625" style="1" bestFit="1" customWidth="1"/>
    <col min="20" max="24" width="11.54296875" style="1" customWidth="1"/>
    <col min="25"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c r="D1" s="160" t="s">
        <v>1061</v>
      </c>
    </row>
    <row r="2" spans="1:19" ht="17.75" x14ac:dyDescent="0.75">
      <c r="A2" s="21" t="s">
        <v>798</v>
      </c>
      <c r="D2" s="160" t="s">
        <v>1060</v>
      </c>
    </row>
    <row r="3" spans="1:19" ht="17.75" x14ac:dyDescent="0.75">
      <c r="A3" s="21" t="str">
        <f>'Cash Flow $s Yr3'!A3</f>
        <v>Yolo</v>
      </c>
    </row>
    <row r="5" spans="1:19" ht="17.75" x14ac:dyDescent="0.75">
      <c r="A5" s="29"/>
      <c r="B5" s="40"/>
      <c r="C5" s="29"/>
      <c r="D5" s="85"/>
      <c r="E5" s="85"/>
      <c r="F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95" t="s">
        <v>811</v>
      </c>
      <c r="D8" s="96" t="s">
        <v>781</v>
      </c>
      <c r="F8" s="85"/>
      <c r="G8" s="85"/>
      <c r="H8" s="85"/>
      <c r="I8" s="31"/>
      <c r="J8" s="31"/>
      <c r="K8" s="85"/>
      <c r="L8" s="85"/>
      <c r="M8" s="85"/>
      <c r="N8" s="85"/>
      <c r="O8" s="85"/>
      <c r="P8" s="85"/>
      <c r="Q8" s="85"/>
      <c r="R8" s="85"/>
    </row>
    <row r="9" spans="1:19" ht="17.75" x14ac:dyDescent="0.75">
      <c r="A9" s="29"/>
      <c r="B9" s="40"/>
      <c r="C9" s="1" t="s">
        <v>812</v>
      </c>
      <c r="D9" s="101">
        <f>'Cash Flow %s Yr2'!D9</f>
        <v>0</v>
      </c>
      <c r="E9" s="101">
        <f>'Cash Flow %s Yr2'!E9</f>
        <v>0.05</v>
      </c>
      <c r="F9" s="101">
        <f>'Cash Flow %s Yr2'!F9</f>
        <v>0.05</v>
      </c>
      <c r="G9" s="101">
        <f>'Cash Flow %s Yr2'!G9</f>
        <v>0.09</v>
      </c>
      <c r="H9" s="101">
        <f>'Cash Flow %s Yr2'!H9</f>
        <v>0.09</v>
      </c>
      <c r="I9" s="101">
        <f>'Cash Flow %s Yr2'!I9</f>
        <v>0.09</v>
      </c>
      <c r="J9" s="101">
        <f>'Cash Flow %s Yr2'!J9</f>
        <v>0.09</v>
      </c>
      <c r="K9" s="101">
        <f>'Cash Flow %s Yr2'!K9</f>
        <v>0.09</v>
      </c>
      <c r="L9" s="101">
        <f>'Cash Flow %s Yr2'!L9</f>
        <v>0.09</v>
      </c>
      <c r="M9" s="101">
        <f>'Cash Flow %s Yr2'!M9</f>
        <v>0.09</v>
      </c>
      <c r="N9" s="101">
        <f>'Cash Flow %s Yr2'!N9</f>
        <v>0.09</v>
      </c>
      <c r="O9" s="101">
        <f>'Cash Flow %s Yr2'!O9</f>
        <v>0.09</v>
      </c>
      <c r="P9" s="101">
        <f>'Cash Flow %s Yr2'!P9</f>
        <v>0.09</v>
      </c>
      <c r="Q9" s="101">
        <f>'Cash Flow %s Yr2'!Q9</f>
        <v>0</v>
      </c>
      <c r="R9" s="101">
        <f>'Cash Flow %s Yr2'!R9</f>
        <v>0</v>
      </c>
      <c r="S9" s="97">
        <f>SUM(D9:R9)</f>
        <v>0.99999999999999978</v>
      </c>
    </row>
    <row r="10" spans="1:19" ht="17.75" hidden="1" x14ac:dyDescent="0.75">
      <c r="A10" s="29"/>
      <c r="B10" s="40"/>
      <c r="C10" s="1" t="s">
        <v>813</v>
      </c>
      <c r="D10" s="101">
        <f>'Cash Flow %s Yr2'!D10</f>
        <v>0</v>
      </c>
      <c r="E10" s="101">
        <f>'Cash Flow %s Yr2'!E10</f>
        <v>0</v>
      </c>
      <c r="F10" s="101">
        <f>'Cash Flow %s Yr2'!F10</f>
        <v>0</v>
      </c>
      <c r="G10" s="101">
        <f>'Cash Flow %s Yr2'!G10</f>
        <v>0.37</v>
      </c>
      <c r="H10" s="101">
        <f>'Cash Flow %s Yr2'!H10</f>
        <v>0</v>
      </c>
      <c r="I10" s="101">
        <f>'Cash Flow %s Yr2'!I10</f>
        <v>0</v>
      </c>
      <c r="J10" s="101">
        <f>'Cash Flow %s Yr2'!J10</f>
        <v>0.18</v>
      </c>
      <c r="K10" s="101">
        <f>'Cash Flow %s Yr2'!K10</f>
        <v>0</v>
      </c>
      <c r="L10" s="101">
        <f>'Cash Flow %s Yr2'!L10</f>
        <v>0.09</v>
      </c>
      <c r="M10" s="101">
        <f>'Cash Flow %s Yr2'!M10</f>
        <v>0.09</v>
      </c>
      <c r="N10" s="101">
        <f>'Cash Flow %s Yr2'!N10</f>
        <v>0.09</v>
      </c>
      <c r="O10" s="101">
        <f>'Cash Flow %s Yr2'!O10</f>
        <v>0.09</v>
      </c>
      <c r="P10" s="101">
        <f>'Cash Flow %s Yr2'!P10</f>
        <v>0.09</v>
      </c>
      <c r="Q10" s="101">
        <f>'Cash Flow %s Yr2'!Q10</f>
        <v>0</v>
      </c>
      <c r="R10" s="101">
        <f>'Cash Flow %s Yr2'!R10</f>
        <v>0</v>
      </c>
      <c r="S10" s="97">
        <f>SUM(D10:R10)</f>
        <v>0.99999999999999989</v>
      </c>
    </row>
    <row r="11" spans="1:19" s="31" customFormat="1" ht="17.75" x14ac:dyDescent="0.75">
      <c r="B11" s="68" t="s">
        <v>778</v>
      </c>
      <c r="C11" s="47"/>
      <c r="D11" s="194"/>
      <c r="E11" s="194"/>
      <c r="F11" s="194"/>
      <c r="G11" s="194"/>
      <c r="H11" s="194"/>
      <c r="I11" s="194"/>
      <c r="J11" s="194"/>
      <c r="K11" s="194"/>
      <c r="L11" s="194"/>
      <c r="M11" s="194"/>
      <c r="N11" s="194"/>
      <c r="O11" s="194"/>
      <c r="P11" s="194"/>
      <c r="Q11" s="194"/>
      <c r="R11" s="194"/>
      <c r="S11" s="97"/>
    </row>
    <row r="12" spans="1:19" s="31" customFormat="1" x14ac:dyDescent="0.75">
      <c r="A12" s="48"/>
      <c r="B12" s="63" t="str">
        <f>'Revenue w MYP'!C8</f>
        <v>8011</v>
      </c>
      <c r="C12" s="63" t="str">
        <f>'Revenue w MYP'!D8</f>
        <v>LCFF; state aid portion</v>
      </c>
      <c r="D12" s="101">
        <f>D$9</f>
        <v>0</v>
      </c>
      <c r="E12" s="101">
        <f t="shared" ref="E12:R12" si="0">E$9</f>
        <v>0.05</v>
      </c>
      <c r="F12" s="101">
        <f t="shared" si="0"/>
        <v>0.05</v>
      </c>
      <c r="G12" s="101">
        <f t="shared" si="0"/>
        <v>0.09</v>
      </c>
      <c r="H12" s="101">
        <f t="shared" si="0"/>
        <v>0.09</v>
      </c>
      <c r="I12" s="101">
        <f t="shared" si="0"/>
        <v>0.09</v>
      </c>
      <c r="J12" s="101">
        <f t="shared" si="0"/>
        <v>0.09</v>
      </c>
      <c r="K12" s="101">
        <f t="shared" si="0"/>
        <v>0.09</v>
      </c>
      <c r="L12" s="101">
        <f t="shared" si="0"/>
        <v>0.09</v>
      </c>
      <c r="M12" s="101">
        <f t="shared" si="0"/>
        <v>0.09</v>
      </c>
      <c r="N12" s="101">
        <f t="shared" si="0"/>
        <v>0.09</v>
      </c>
      <c r="O12" s="101">
        <f t="shared" si="0"/>
        <v>0.09</v>
      </c>
      <c r="P12" s="101">
        <f t="shared" si="0"/>
        <v>0.09</v>
      </c>
      <c r="Q12" s="101">
        <f t="shared" si="0"/>
        <v>0</v>
      </c>
      <c r="R12" s="101">
        <f t="shared" si="0"/>
        <v>0</v>
      </c>
      <c r="S12" s="97">
        <f t="shared" ref="S12:S21" si="1">SUM(D12:R12)</f>
        <v>0.99999999999999978</v>
      </c>
    </row>
    <row r="13" spans="1:19" s="31" customFormat="1" x14ac:dyDescent="0.75">
      <c r="A13" s="48"/>
      <c r="B13" s="63" t="str">
        <f>'Revenue w MYP'!C9</f>
        <v>8012</v>
      </c>
      <c r="C13" s="63" t="str">
        <f>'Revenue w MYP'!D9</f>
        <v>LCFF; EPA portion</v>
      </c>
      <c r="D13" s="100">
        <v>0</v>
      </c>
      <c r="E13" s="100">
        <v>0</v>
      </c>
      <c r="F13" s="100">
        <v>0</v>
      </c>
      <c r="G13" s="100">
        <v>0.25</v>
      </c>
      <c r="H13" s="100">
        <v>0</v>
      </c>
      <c r="I13" s="100">
        <v>0</v>
      </c>
      <c r="J13" s="100">
        <v>0.25</v>
      </c>
      <c r="K13" s="100">
        <v>0</v>
      </c>
      <c r="L13" s="100">
        <v>0</v>
      </c>
      <c r="M13" s="100">
        <v>0.25</v>
      </c>
      <c r="N13" s="100">
        <v>0</v>
      </c>
      <c r="O13" s="100">
        <v>0</v>
      </c>
      <c r="P13" s="100">
        <v>0.25</v>
      </c>
      <c r="Q13" s="100">
        <v>0</v>
      </c>
      <c r="R13" s="100">
        <v>0</v>
      </c>
      <c r="S13" s="97">
        <f t="shared" si="1"/>
        <v>1</v>
      </c>
    </row>
    <row r="14" spans="1:19" s="31" customFormat="1" x14ac:dyDescent="0.75">
      <c r="A14" s="48"/>
      <c r="B14" s="63" t="str">
        <f>'Revenue w MYP'!C10</f>
        <v>8096</v>
      </c>
      <c r="C14" s="63" t="str">
        <f>'Revenue w MYP'!D10</f>
        <v>In-Lieu of Property Taxes, all grades</v>
      </c>
      <c r="D14" s="100">
        <v>0</v>
      </c>
      <c r="E14" s="100">
        <f>'Cash Flow %s Yr2'!E14</f>
        <v>0.06</v>
      </c>
      <c r="F14" s="100">
        <f>'Cash Flow %s Yr2'!F14</f>
        <v>0.12</v>
      </c>
      <c r="G14" s="100">
        <f>'Cash Flow %s Yr2'!G14</f>
        <v>0.08</v>
      </c>
      <c r="H14" s="100">
        <f>'Cash Flow %s Yr2'!H14</f>
        <v>0.08</v>
      </c>
      <c r="I14" s="100">
        <f>'Cash Flow %s Yr2'!I14</f>
        <v>0.08</v>
      </c>
      <c r="J14" s="100">
        <f>'Cash Flow %s Yr2'!J14</f>
        <v>0.08</v>
      </c>
      <c r="K14" s="100">
        <f>'Cash Flow %s Yr2'!K14</f>
        <v>0.08</v>
      </c>
      <c r="L14" s="100">
        <f>'Cash Flow %s Yr2'!L14</f>
        <v>0.14000000000000001</v>
      </c>
      <c r="M14" s="100">
        <f>'Cash Flow %s Yr2'!M14</f>
        <v>7.0000000000000007E-2</v>
      </c>
      <c r="N14" s="100">
        <f>'Cash Flow %s Yr2'!N14</f>
        <v>7.0000000000000007E-2</v>
      </c>
      <c r="O14" s="100">
        <f>'Cash Flow %s Yr2'!O14</f>
        <v>7.0000000000000007E-2</v>
      </c>
      <c r="P14" s="100">
        <f>'Cash Flow %s Yr2'!P14</f>
        <v>7.0000000000000007E-2</v>
      </c>
      <c r="Q14" s="100">
        <v>0</v>
      </c>
      <c r="R14" s="100">
        <v>0</v>
      </c>
      <c r="S14" s="97">
        <f t="shared" si="1"/>
        <v>1.0000000000000002</v>
      </c>
    </row>
    <row r="15" spans="1:19" s="31" customFormat="1" x14ac:dyDescent="0.75">
      <c r="A15" s="48"/>
      <c r="B15" s="63" t="str">
        <f>'Revenue w MYP'!C11</f>
        <v>8019</v>
      </c>
      <c r="C15" s="63" t="str">
        <f>'Revenue w MYP'!D11</f>
        <v>Prior Year Income / Adjustments</v>
      </c>
      <c r="D15" s="101">
        <f>'Cash Flow %s Yr2'!D15</f>
        <v>1</v>
      </c>
      <c r="E15" s="101">
        <f>'Cash Flow %s Yr2'!E15</f>
        <v>0</v>
      </c>
      <c r="F15" s="101">
        <f>'Cash Flow %s Yr2'!F15</f>
        <v>0</v>
      </c>
      <c r="G15" s="101">
        <f>'Cash Flow %s Yr2'!G15</f>
        <v>0</v>
      </c>
      <c r="H15" s="101">
        <f>'Cash Flow %s Yr2'!H15</f>
        <v>0</v>
      </c>
      <c r="I15" s="101">
        <f>'Cash Flow %s Yr2'!I15</f>
        <v>0</v>
      </c>
      <c r="J15" s="101">
        <f>'Cash Flow %s Yr2'!J15</f>
        <v>0</v>
      </c>
      <c r="K15" s="101">
        <f>'Cash Flow %s Yr2'!K15</f>
        <v>0</v>
      </c>
      <c r="L15" s="101">
        <f>'Cash Flow %s Yr2'!L15</f>
        <v>0</v>
      </c>
      <c r="M15" s="101">
        <f>'Cash Flow %s Yr2'!M15</f>
        <v>0</v>
      </c>
      <c r="N15" s="101">
        <f>'Cash Flow %s Yr2'!N15</f>
        <v>0</v>
      </c>
      <c r="O15" s="101">
        <f>'Cash Flow %s Yr2'!O15</f>
        <v>0</v>
      </c>
      <c r="P15" s="101">
        <f>'Cash Flow %s Yr2'!P15</f>
        <v>0</v>
      </c>
      <c r="Q15" s="101">
        <f>'Cash Flow %s Yr2'!Q15</f>
        <v>0</v>
      </c>
      <c r="R15" s="101">
        <f>'Cash Flow %s Yr2'!R15</f>
        <v>0</v>
      </c>
      <c r="S15" s="97">
        <f t="shared" si="1"/>
        <v>1</v>
      </c>
    </row>
    <row r="16" spans="1:19" s="31" customFormat="1" x14ac:dyDescent="0.75">
      <c r="A16" s="48"/>
      <c r="B16" s="63" t="str">
        <f>'Revenue w MYP'!C12</f>
        <v>8520</v>
      </c>
      <c r="C16" s="63" t="str">
        <f>'Revenue w MYP'!D12</f>
        <v>State Child Nutrition program</v>
      </c>
      <c r="D16" s="101">
        <f>'Cash Flow %s Yr2'!D16</f>
        <v>0</v>
      </c>
      <c r="E16" s="101">
        <f>'Cash Flow %s Yr2'!E16</f>
        <v>0.05</v>
      </c>
      <c r="F16" s="101">
        <f>'Cash Flow %s Yr2'!F16</f>
        <v>0.05</v>
      </c>
      <c r="G16" s="101">
        <f>'Cash Flow %s Yr2'!G16</f>
        <v>0.09</v>
      </c>
      <c r="H16" s="101">
        <f>'Cash Flow %s Yr2'!H16</f>
        <v>0.09</v>
      </c>
      <c r="I16" s="101">
        <f>'Cash Flow %s Yr2'!I16</f>
        <v>0.09</v>
      </c>
      <c r="J16" s="101">
        <f>'Cash Flow %s Yr2'!J16</f>
        <v>0.09</v>
      </c>
      <c r="K16" s="101">
        <f>'Cash Flow %s Yr2'!K16</f>
        <v>0.09</v>
      </c>
      <c r="L16" s="101">
        <f>'Cash Flow %s Yr2'!L16</f>
        <v>0.09</v>
      </c>
      <c r="M16" s="101">
        <f>'Cash Flow %s Yr2'!M16</f>
        <v>0.09</v>
      </c>
      <c r="N16" s="101">
        <f>'Cash Flow %s Yr2'!N16</f>
        <v>0.09</v>
      </c>
      <c r="O16" s="101">
        <f>'Cash Flow %s Yr2'!O16</f>
        <v>0.09</v>
      </c>
      <c r="P16" s="101">
        <f>'Cash Flow %s Yr2'!P16</f>
        <v>0.09</v>
      </c>
      <c r="Q16" s="101">
        <f>'Cash Flow %s Yr2'!Q16</f>
        <v>0</v>
      </c>
      <c r="R16" s="101">
        <f>'Cash Flow %s Yr2'!R16</f>
        <v>0</v>
      </c>
      <c r="S16" s="97">
        <f t="shared" si="1"/>
        <v>0.99999999999999978</v>
      </c>
    </row>
    <row r="17" spans="1:20" s="31" customFormat="1" x14ac:dyDescent="0.75">
      <c r="A17" s="48"/>
      <c r="B17" s="63" t="str">
        <f>'Revenue w MYP'!C14</f>
        <v>8560</v>
      </c>
      <c r="C17" s="63" t="str">
        <f>'Revenue w MYP'!D14</f>
        <v>Restricted Lottery</v>
      </c>
      <c r="D17" s="101" t="str">
        <f>'Cash Flow %s Yr2'!D17</f>
        <v/>
      </c>
      <c r="E17" s="101" t="str">
        <f>'Cash Flow %s Yr2'!E17</f>
        <v/>
      </c>
      <c r="F17" s="101">
        <f>'Cash Flow %s Yr2'!F17</f>
        <v>0</v>
      </c>
      <c r="G17" s="101" t="str">
        <f>'Cash Flow %s Yr2'!G17</f>
        <v/>
      </c>
      <c r="H17" s="101" t="str">
        <f>'Cash Flow %s Yr2'!H17</f>
        <v/>
      </c>
      <c r="I17" s="101">
        <f>'Cash Flow %s Yr2'!I17</f>
        <v>0.25</v>
      </c>
      <c r="J17" s="101" t="str">
        <f>'Cash Flow %s Yr2'!J17</f>
        <v/>
      </c>
      <c r="K17" s="101" t="str">
        <f>'Cash Flow %s Yr2'!K17</f>
        <v/>
      </c>
      <c r="L17" s="101">
        <f>'Cash Flow %s Yr2'!L17</f>
        <v>0.25</v>
      </c>
      <c r="M17" s="101" t="str">
        <f>'Cash Flow %s Yr2'!M17</f>
        <v/>
      </c>
      <c r="N17" s="101" t="str">
        <f>'Cash Flow %s Yr2'!N17</f>
        <v/>
      </c>
      <c r="O17" s="101">
        <f>'Cash Flow %s Yr2'!O17</f>
        <v>0.25</v>
      </c>
      <c r="P17" s="101" t="str">
        <f>'Cash Flow %s Yr2'!P17</f>
        <v/>
      </c>
      <c r="Q17" s="101" t="str">
        <f>'Cash Flow %s Yr2'!Q17</f>
        <v/>
      </c>
      <c r="R17" s="101">
        <f>'Cash Flow %s Yr2'!R17</f>
        <v>0.25</v>
      </c>
      <c r="S17" s="97">
        <f t="shared" si="1"/>
        <v>1</v>
      </c>
      <c r="T17" s="1"/>
    </row>
    <row r="18" spans="1:20" s="31" customFormat="1" x14ac:dyDescent="0.75">
      <c r="A18" s="47"/>
      <c r="B18" s="63" t="str">
        <f>'Revenue w MYP'!C15</f>
        <v>8550</v>
      </c>
      <c r="C18" s="63" t="str">
        <f>'Revenue w MYP'!D15</f>
        <v>Mandate Block Grant</v>
      </c>
      <c r="D18" s="101">
        <f>'Cash Flow %s Yr2'!D18</f>
        <v>0</v>
      </c>
      <c r="E18" s="101">
        <f>'Cash Flow %s Yr2'!E18</f>
        <v>0</v>
      </c>
      <c r="F18" s="101">
        <f>'Cash Flow %s Yr2'!F18</f>
        <v>0</v>
      </c>
      <c r="G18" s="101">
        <f>'Cash Flow %s Yr2'!G18</f>
        <v>0.1</v>
      </c>
      <c r="H18" s="101">
        <f>'Cash Flow %s Yr2'!H18</f>
        <v>0.1</v>
      </c>
      <c r="I18" s="101">
        <f>'Cash Flow %s Yr2'!I18</f>
        <v>0.1</v>
      </c>
      <c r="J18" s="101">
        <f>'Cash Flow %s Yr2'!J18</f>
        <v>0.1</v>
      </c>
      <c r="K18" s="101">
        <f>'Cash Flow %s Yr2'!K18</f>
        <v>0.1</v>
      </c>
      <c r="L18" s="101">
        <f>'Cash Flow %s Yr2'!L18</f>
        <v>0.1</v>
      </c>
      <c r="M18" s="101">
        <f>'Cash Flow %s Yr2'!M18</f>
        <v>0.1</v>
      </c>
      <c r="N18" s="101">
        <f>'Cash Flow %s Yr2'!N18</f>
        <v>0.1</v>
      </c>
      <c r="O18" s="101">
        <f>'Cash Flow %s Yr2'!O18</f>
        <v>0.1</v>
      </c>
      <c r="P18" s="101">
        <f>'Cash Flow %s Yr2'!P18</f>
        <v>0.1</v>
      </c>
      <c r="Q18" s="101">
        <f>'Cash Flow %s Yr2'!Q18</f>
        <v>0</v>
      </c>
      <c r="R18" s="101">
        <f>'Cash Flow %s Yr2'!R18</f>
        <v>0</v>
      </c>
      <c r="S18" s="97">
        <f t="shared" si="1"/>
        <v>0.99999999999999989</v>
      </c>
    </row>
    <row r="19" spans="1:20" s="31" customFormat="1" x14ac:dyDescent="0.75">
      <c r="A19" s="48"/>
      <c r="B19" s="63" t="str">
        <f>'Revenue w MYP'!C17</f>
        <v>8590</v>
      </c>
      <c r="C19" s="63" t="str">
        <f>'Revenue w MYP'!D17</f>
        <v>CSEPDBG</v>
      </c>
      <c r="D19" s="101">
        <f>'Cash Flow %s Yr2'!D19</f>
        <v>0</v>
      </c>
      <c r="E19" s="101">
        <f>'Cash Flow %s Yr2'!E19</f>
        <v>0</v>
      </c>
      <c r="F19" s="101">
        <f>'Cash Flow %s Yr2'!F19</f>
        <v>0</v>
      </c>
      <c r="G19" s="101">
        <f>'Cash Flow %s Yr2'!G19</f>
        <v>0.5</v>
      </c>
      <c r="H19" s="101">
        <f>'Cash Flow %s Yr2'!H19</f>
        <v>0</v>
      </c>
      <c r="I19" s="101">
        <f>'Cash Flow %s Yr2'!I19</f>
        <v>0</v>
      </c>
      <c r="J19" s="101">
        <f>'Cash Flow %s Yr2'!J19</f>
        <v>0</v>
      </c>
      <c r="K19" s="101">
        <f>'Cash Flow %s Yr2'!K19</f>
        <v>0</v>
      </c>
      <c r="L19" s="101">
        <f>'Cash Flow %s Yr2'!L19</f>
        <v>0.5</v>
      </c>
      <c r="M19" s="101">
        <f>'Cash Flow %s Yr2'!M19</f>
        <v>0</v>
      </c>
      <c r="N19" s="101">
        <f>'Cash Flow %s Yr2'!N19</f>
        <v>0</v>
      </c>
      <c r="O19" s="101">
        <f>'Cash Flow %s Yr2'!O19</f>
        <v>0</v>
      </c>
      <c r="P19" s="101">
        <f>'Cash Flow %s Yr2'!P19</f>
        <v>0</v>
      </c>
      <c r="Q19" s="101">
        <f>'Cash Flow %s Yr2'!Q19</f>
        <v>0</v>
      </c>
      <c r="R19" s="101">
        <f>'Cash Flow %s Yr2'!R19</f>
        <v>0</v>
      </c>
      <c r="S19" s="97">
        <f t="shared" si="1"/>
        <v>1</v>
      </c>
    </row>
    <row r="20" spans="1:20" s="31" customFormat="1" ht="17.75" x14ac:dyDescent="0.75">
      <c r="A20" s="29"/>
      <c r="B20" s="63" t="str">
        <f>'Revenue w MYP'!C18</f>
        <v>8550</v>
      </c>
      <c r="C20" s="63" t="str">
        <f>'Revenue w MYP'!D18</f>
        <v>One Time Mandate Block Grant</v>
      </c>
      <c r="D20" s="101">
        <f>'Cash Flow %s Yr2'!D20</f>
        <v>0</v>
      </c>
      <c r="E20" s="101">
        <f>'Cash Flow %s Yr2'!E20</f>
        <v>0.05</v>
      </c>
      <c r="F20" s="101">
        <f>'Cash Flow %s Yr2'!F20</f>
        <v>0.05</v>
      </c>
      <c r="G20" s="101">
        <f>'Cash Flow %s Yr2'!G20</f>
        <v>0.09</v>
      </c>
      <c r="H20" s="101">
        <f>'Cash Flow %s Yr2'!H20</f>
        <v>0.09</v>
      </c>
      <c r="I20" s="101">
        <f>'Cash Flow %s Yr2'!I20</f>
        <v>0.09</v>
      </c>
      <c r="J20" s="101">
        <f>'Cash Flow %s Yr2'!J20</f>
        <v>0.09</v>
      </c>
      <c r="K20" s="101">
        <f>'Cash Flow %s Yr2'!K20</f>
        <v>0.09</v>
      </c>
      <c r="L20" s="101">
        <f>'Cash Flow %s Yr2'!L20</f>
        <v>0.09</v>
      </c>
      <c r="M20" s="101">
        <f>'Cash Flow %s Yr2'!M20</f>
        <v>0.09</v>
      </c>
      <c r="N20" s="101">
        <f>'Cash Flow %s Yr2'!N20</f>
        <v>0.09</v>
      </c>
      <c r="O20" s="101">
        <f>'Cash Flow %s Yr2'!O20</f>
        <v>0.09</v>
      </c>
      <c r="P20" s="101">
        <f>'Cash Flow %s Yr2'!P20</f>
        <v>0.09</v>
      </c>
      <c r="Q20" s="101">
        <f>'Cash Flow %s Yr2'!Q20</f>
        <v>0</v>
      </c>
      <c r="R20" s="101">
        <f>'Cash Flow %s Yr2'!R20</f>
        <v>0</v>
      </c>
      <c r="S20" s="97">
        <f t="shared" si="1"/>
        <v>0.99999999999999978</v>
      </c>
    </row>
    <row r="21" spans="1:20" s="31" customFormat="1" ht="17.75" x14ac:dyDescent="0.75">
      <c r="A21" s="29"/>
      <c r="B21" s="63" t="str">
        <f>'Revenue w MYP'!C19</f>
        <v>8599</v>
      </c>
      <c r="C21" s="63" t="str">
        <f>'Revenue w MYP'!D19</f>
        <v>Prior Year State Income</v>
      </c>
      <c r="D21" s="101">
        <f>'Cash Flow %s Yr2'!D21</f>
        <v>0</v>
      </c>
      <c r="E21" s="101">
        <f>'Cash Flow %s Yr2'!E21</f>
        <v>0.05</v>
      </c>
      <c r="F21" s="101">
        <f>'Cash Flow %s Yr2'!F21</f>
        <v>0.05</v>
      </c>
      <c r="G21" s="101">
        <f>'Cash Flow %s Yr2'!G21</f>
        <v>0.09</v>
      </c>
      <c r="H21" s="101">
        <f>'Cash Flow %s Yr2'!H21</f>
        <v>0.09</v>
      </c>
      <c r="I21" s="101">
        <f>'Cash Flow %s Yr2'!I21</f>
        <v>0.09</v>
      </c>
      <c r="J21" s="101">
        <f>'Cash Flow %s Yr2'!J21</f>
        <v>0.09</v>
      </c>
      <c r="K21" s="101">
        <f>'Cash Flow %s Yr2'!K21</f>
        <v>0.09</v>
      </c>
      <c r="L21" s="101">
        <f>'Cash Flow %s Yr2'!L21</f>
        <v>0.09</v>
      </c>
      <c r="M21" s="101">
        <f>'Cash Flow %s Yr2'!M21</f>
        <v>0.09</v>
      </c>
      <c r="N21" s="101">
        <f>'Cash Flow %s Yr2'!N21</f>
        <v>0.09</v>
      </c>
      <c r="O21" s="101">
        <f>'Cash Flow %s Yr2'!O21</f>
        <v>0.09</v>
      </c>
      <c r="P21" s="101">
        <f>'Cash Flow %s Yr2'!P21</f>
        <v>0.09</v>
      </c>
      <c r="Q21" s="101">
        <f>'Cash Flow %s Yr2'!Q21</f>
        <v>0</v>
      </c>
      <c r="R21" s="101">
        <f>'Cash Flow %s Yr2'!R21</f>
        <v>0</v>
      </c>
      <c r="S21" s="97">
        <f t="shared" si="1"/>
        <v>0.99999999999999978</v>
      </c>
    </row>
    <row r="22" spans="1:20" s="31" customFormat="1" ht="17.75" x14ac:dyDescent="0.75">
      <c r="A22" s="29"/>
      <c r="B22" s="69"/>
      <c r="C22" s="48"/>
      <c r="D22" s="106"/>
      <c r="E22" s="106"/>
      <c r="F22" s="106"/>
      <c r="G22" s="106"/>
      <c r="H22" s="106"/>
      <c r="I22" s="106"/>
      <c r="J22" s="106"/>
      <c r="K22" s="106"/>
      <c r="L22" s="106"/>
      <c r="M22" s="106"/>
      <c r="N22" s="106"/>
      <c r="O22" s="106"/>
      <c r="P22" s="106"/>
      <c r="Q22" s="106"/>
      <c r="R22" s="107"/>
      <c r="S22" s="97"/>
    </row>
    <row r="23" spans="1:20" s="31" customFormat="1" ht="17.75" x14ac:dyDescent="0.75">
      <c r="A23" s="29"/>
      <c r="B23" s="69"/>
      <c r="C23" s="48"/>
      <c r="D23" s="105"/>
      <c r="E23" s="105"/>
      <c r="F23" s="105"/>
      <c r="G23" s="105"/>
      <c r="H23" s="105"/>
      <c r="I23" s="105"/>
      <c r="J23" s="105"/>
      <c r="K23" s="105"/>
      <c r="L23" s="105"/>
      <c r="M23" s="105"/>
      <c r="N23" s="105"/>
      <c r="O23" s="105"/>
      <c r="P23" s="105"/>
      <c r="Q23" s="105"/>
      <c r="R23" s="105"/>
      <c r="S23" s="97"/>
    </row>
    <row r="24" spans="1:20" s="31" customFormat="1" ht="17.75" x14ac:dyDescent="0.75">
      <c r="B24" s="29" t="s">
        <v>782</v>
      </c>
      <c r="C24" s="48"/>
      <c r="D24" s="105"/>
      <c r="E24" s="105"/>
      <c r="F24" s="105"/>
      <c r="G24" s="105"/>
      <c r="H24" s="105"/>
      <c r="I24" s="105"/>
      <c r="J24" s="105"/>
      <c r="K24" s="105"/>
      <c r="L24" s="105"/>
      <c r="M24" s="105"/>
      <c r="N24" s="105"/>
      <c r="O24" s="105"/>
      <c r="P24" s="105"/>
      <c r="Q24" s="105"/>
      <c r="R24" s="105"/>
      <c r="S24" s="97"/>
    </row>
    <row r="25" spans="1:20" s="31" customFormat="1" ht="17.75" x14ac:dyDescent="0.75">
      <c r="A25" s="29"/>
      <c r="B25" s="63" t="str">
        <f>'Revenue w MYP'!C23</f>
        <v>8181</v>
      </c>
      <c r="C25" s="63" t="str">
        <f>'Revenue w MYP'!D23</f>
        <v>Special Education, federal</v>
      </c>
      <c r="D25" s="101">
        <f>'Cash Flow %s Yr2'!D25</f>
        <v>0</v>
      </c>
      <c r="E25" s="101">
        <f>'Cash Flow %s Yr2'!E25</f>
        <v>0</v>
      </c>
      <c r="F25" s="101">
        <f>'Cash Flow %s Yr2'!F25</f>
        <v>0</v>
      </c>
      <c r="G25" s="101">
        <f>'Cash Flow %s Yr2'!G25</f>
        <v>0.1</v>
      </c>
      <c r="H25" s="101">
        <f>'Cash Flow %s Yr2'!H25</f>
        <v>0.1</v>
      </c>
      <c r="I25" s="101">
        <f>'Cash Flow %s Yr2'!I25</f>
        <v>0.1</v>
      </c>
      <c r="J25" s="101">
        <f>'Cash Flow %s Yr2'!J25</f>
        <v>0.1</v>
      </c>
      <c r="K25" s="101">
        <f>'Cash Flow %s Yr2'!K25</f>
        <v>0.1</v>
      </c>
      <c r="L25" s="101">
        <f>'Cash Flow %s Yr2'!L25</f>
        <v>0.1</v>
      </c>
      <c r="M25" s="101">
        <f>'Cash Flow %s Yr2'!M25</f>
        <v>0.1</v>
      </c>
      <c r="N25" s="101">
        <f>'Cash Flow %s Yr2'!N25</f>
        <v>0.1</v>
      </c>
      <c r="O25" s="101">
        <f>'Cash Flow %s Yr2'!O25</f>
        <v>0.1</v>
      </c>
      <c r="P25" s="101">
        <f>'Cash Flow %s Yr2'!P25</f>
        <v>0.1</v>
      </c>
      <c r="Q25" s="101">
        <f>'Cash Flow %s Yr2'!Q25</f>
        <v>0</v>
      </c>
      <c r="R25" s="101">
        <f>'Cash Flow %s Yr2'!R25</f>
        <v>0</v>
      </c>
      <c r="S25" s="97">
        <f t="shared" ref="S25:S32" si="2">SUM(D25:R25)</f>
        <v>0.99999999999999989</v>
      </c>
    </row>
    <row r="26" spans="1:20" s="31" customFormat="1" ht="17.75" x14ac:dyDescent="0.75">
      <c r="A26" s="29"/>
      <c r="B26" s="63" t="str">
        <f>'Revenue w MYP'!C24</f>
        <v>8220</v>
      </c>
      <c r="C26" s="63" t="str">
        <f>'Revenue w MYP'!D24</f>
        <v>Federal Child Nutrition Programs</v>
      </c>
      <c r="D26" s="101">
        <f>'Cash Flow %s Yr2'!D26</f>
        <v>0</v>
      </c>
      <c r="E26" s="101">
        <f>'Cash Flow %s Yr2'!E26</f>
        <v>0</v>
      </c>
      <c r="F26" s="101">
        <f>'Cash Flow %s Yr2'!F26</f>
        <v>0</v>
      </c>
      <c r="G26" s="101">
        <f>'Cash Flow %s Yr2'!G26</f>
        <v>0</v>
      </c>
      <c r="H26" s="101">
        <f>'Cash Flow %s Yr2'!H26</f>
        <v>0</v>
      </c>
      <c r="I26" s="101">
        <f>'Cash Flow %s Yr2'!I26</f>
        <v>0</v>
      </c>
      <c r="J26" s="101">
        <f>'Cash Flow %s Yr2'!J26</f>
        <v>0.25</v>
      </c>
      <c r="K26" s="101">
        <f>'Cash Flow %s Yr2'!K26</f>
        <v>0</v>
      </c>
      <c r="L26" s="101">
        <f>'Cash Flow %s Yr2'!L26</f>
        <v>0</v>
      </c>
      <c r="M26" s="101">
        <f>'Cash Flow %s Yr2'!M26</f>
        <v>0.5</v>
      </c>
      <c r="N26" s="101">
        <f>'Cash Flow %s Yr2'!N26</f>
        <v>0</v>
      </c>
      <c r="O26" s="101">
        <f>'Cash Flow %s Yr2'!O26</f>
        <v>0.25</v>
      </c>
      <c r="P26" s="101">
        <f>'Cash Flow %s Yr2'!P26</f>
        <v>0</v>
      </c>
      <c r="Q26" s="101">
        <f>'Cash Flow %s Yr2'!Q26</f>
        <v>0</v>
      </c>
      <c r="R26" s="101">
        <f>'Cash Flow %s Yr2'!R26</f>
        <v>0</v>
      </c>
      <c r="S26" s="97">
        <f t="shared" si="2"/>
        <v>1</v>
      </c>
    </row>
    <row r="27" spans="1:20" s="31" customFormat="1" ht="17.75" x14ac:dyDescent="0.75">
      <c r="A27" s="29"/>
      <c r="B27" s="63" t="str">
        <f>'Revenue w MYP'!C25</f>
        <v>8290</v>
      </c>
      <c r="C27" s="63" t="str">
        <f>'Revenue w MYP'!D25</f>
        <v>All Other Federal Revenue, inc Facilities Incentive Grants program</v>
      </c>
      <c r="D27" s="101">
        <f>'Cash Flow %s Yr2'!D27</f>
        <v>0</v>
      </c>
      <c r="E27" s="101">
        <f>'Cash Flow %s Yr2'!E27</f>
        <v>0</v>
      </c>
      <c r="F27" s="101">
        <f>'Cash Flow %s Yr2'!F27</f>
        <v>0</v>
      </c>
      <c r="G27" s="101">
        <f>'Cash Flow %s Yr2'!G27</f>
        <v>0</v>
      </c>
      <c r="H27" s="101">
        <f>'Cash Flow %s Yr2'!H27</f>
        <v>0</v>
      </c>
      <c r="I27" s="101">
        <f>'Cash Flow %s Yr2'!I27</f>
        <v>0</v>
      </c>
      <c r="J27" s="101">
        <f>'Cash Flow %s Yr2'!J27</f>
        <v>0.25</v>
      </c>
      <c r="K27" s="101">
        <f>'Cash Flow %s Yr2'!K27</f>
        <v>0</v>
      </c>
      <c r="L27" s="101">
        <f>'Cash Flow %s Yr2'!L27</f>
        <v>0</v>
      </c>
      <c r="M27" s="101">
        <f>'Cash Flow %s Yr2'!M27</f>
        <v>0.5</v>
      </c>
      <c r="N27" s="101">
        <f>'Cash Flow %s Yr2'!N27</f>
        <v>0</v>
      </c>
      <c r="O27" s="101">
        <f>'Cash Flow %s Yr2'!O27</f>
        <v>0.25</v>
      </c>
      <c r="P27" s="101">
        <f>'Cash Flow %s Yr2'!P27</f>
        <v>0</v>
      </c>
      <c r="Q27" s="101">
        <f>'Cash Flow %s Yr2'!Q27</f>
        <v>0</v>
      </c>
      <c r="R27" s="101">
        <f>'Cash Flow %s Yr2'!R27</f>
        <v>0</v>
      </c>
      <c r="S27" s="97">
        <f t="shared" si="2"/>
        <v>1</v>
      </c>
    </row>
    <row r="28" spans="1:20" s="31" customFormat="1" ht="17.75" x14ac:dyDescent="0.75">
      <c r="A28" s="29"/>
      <c r="B28" s="63" t="str">
        <f>'Revenue w MYP'!C26</f>
        <v>8291</v>
      </c>
      <c r="C28" s="63" t="str">
        <f>'Revenue w MYP'!D26</f>
        <v>Title I</v>
      </c>
      <c r="D28" s="101">
        <f>'Cash Flow %s Yr2'!D28</f>
        <v>0</v>
      </c>
      <c r="E28" s="101">
        <f>'Cash Flow %s Yr2'!E28</f>
        <v>0</v>
      </c>
      <c r="F28" s="101">
        <f>'Cash Flow %s Yr2'!F28</f>
        <v>0</v>
      </c>
      <c r="G28" s="101">
        <f>'Cash Flow %s Yr2'!G28</f>
        <v>0</v>
      </c>
      <c r="H28" s="101">
        <f>'Cash Flow %s Yr2'!H28</f>
        <v>0</v>
      </c>
      <c r="I28" s="101">
        <f>'Cash Flow %s Yr2'!I28</f>
        <v>0</v>
      </c>
      <c r="J28" s="101">
        <f>'Cash Flow %s Yr2'!J28</f>
        <v>0.25</v>
      </c>
      <c r="K28" s="101">
        <f>'Cash Flow %s Yr2'!K28</f>
        <v>0</v>
      </c>
      <c r="L28" s="101">
        <f>'Cash Flow %s Yr2'!L28</f>
        <v>0</v>
      </c>
      <c r="M28" s="101">
        <f>'Cash Flow %s Yr2'!M28</f>
        <v>0.5</v>
      </c>
      <c r="N28" s="101">
        <f>'Cash Flow %s Yr2'!N28</f>
        <v>0</v>
      </c>
      <c r="O28" s="101">
        <f>'Cash Flow %s Yr2'!O28</f>
        <v>0.25</v>
      </c>
      <c r="P28" s="101">
        <f>'Cash Flow %s Yr2'!P28</f>
        <v>0</v>
      </c>
      <c r="Q28" s="101">
        <f>'Cash Flow %s Yr2'!Q28</f>
        <v>0</v>
      </c>
      <c r="R28" s="101">
        <f>'Cash Flow %s Yr2'!R28</f>
        <v>0</v>
      </c>
      <c r="S28" s="97">
        <f t="shared" si="2"/>
        <v>1</v>
      </c>
    </row>
    <row r="29" spans="1:20" s="31" customFormat="1" ht="17.75" x14ac:dyDescent="0.75">
      <c r="A29" s="29"/>
      <c r="B29" s="63" t="str">
        <f>'Revenue w MYP'!C27</f>
        <v>8292</v>
      </c>
      <c r="C29" s="63" t="str">
        <f>'Revenue w MYP'!D27</f>
        <v>Title II</v>
      </c>
      <c r="D29" s="101">
        <f>'Cash Flow %s Yr2'!D29</f>
        <v>0</v>
      </c>
      <c r="E29" s="101">
        <f>'Cash Flow %s Yr2'!E29</f>
        <v>0</v>
      </c>
      <c r="F29" s="101">
        <f>'Cash Flow %s Yr2'!F29</f>
        <v>0</v>
      </c>
      <c r="G29" s="101">
        <f>'Cash Flow %s Yr2'!G29</f>
        <v>0</v>
      </c>
      <c r="H29" s="101">
        <f>'Cash Flow %s Yr2'!H29</f>
        <v>0</v>
      </c>
      <c r="I29" s="101">
        <f>'Cash Flow %s Yr2'!I29</f>
        <v>0</v>
      </c>
      <c r="J29" s="101">
        <f>'Cash Flow %s Yr2'!J29</f>
        <v>0.25</v>
      </c>
      <c r="K29" s="101">
        <f>'Cash Flow %s Yr2'!K29</f>
        <v>0</v>
      </c>
      <c r="L29" s="101">
        <f>'Cash Flow %s Yr2'!L29</f>
        <v>0</v>
      </c>
      <c r="M29" s="101">
        <f>'Cash Flow %s Yr2'!M29</f>
        <v>0.5</v>
      </c>
      <c r="N29" s="101">
        <f>'Cash Flow %s Yr2'!N29</f>
        <v>0</v>
      </c>
      <c r="O29" s="101">
        <f>'Cash Flow %s Yr2'!O29</f>
        <v>0.25</v>
      </c>
      <c r="P29" s="101">
        <f>'Cash Flow %s Yr2'!P29</f>
        <v>0</v>
      </c>
      <c r="Q29" s="101">
        <f>'Cash Flow %s Yr2'!Q29</f>
        <v>0</v>
      </c>
      <c r="R29" s="101">
        <f>'Cash Flow %s Yr2'!R29</f>
        <v>0</v>
      </c>
      <c r="S29" s="97">
        <f t="shared" si="2"/>
        <v>1</v>
      </c>
    </row>
    <row r="30" spans="1:20" s="31" customFormat="1" ht="17.75" x14ac:dyDescent="0.75">
      <c r="A30" s="29"/>
      <c r="B30" s="63" t="str">
        <f>'Revenue w MYP'!C28</f>
        <v>8293</v>
      </c>
      <c r="C30" s="63" t="str">
        <f>'Revenue w MYP'!D28</f>
        <v>Title III</v>
      </c>
      <c r="D30" s="101">
        <f>'Cash Flow %s Yr2'!D30</f>
        <v>0</v>
      </c>
      <c r="E30" s="101">
        <f>'Cash Flow %s Yr2'!E30</f>
        <v>0</v>
      </c>
      <c r="F30" s="101">
        <f>'Cash Flow %s Yr2'!F30</f>
        <v>0</v>
      </c>
      <c r="G30" s="101">
        <f>'Cash Flow %s Yr2'!G30</f>
        <v>0</v>
      </c>
      <c r="H30" s="101">
        <f>'Cash Flow %s Yr2'!H30</f>
        <v>0</v>
      </c>
      <c r="I30" s="101">
        <f>'Cash Flow %s Yr2'!I30</f>
        <v>0</v>
      </c>
      <c r="J30" s="101">
        <f>'Cash Flow %s Yr2'!J30</f>
        <v>0.25</v>
      </c>
      <c r="K30" s="101">
        <f>'Cash Flow %s Yr2'!K30</f>
        <v>0</v>
      </c>
      <c r="L30" s="101">
        <f>'Cash Flow %s Yr2'!L30</f>
        <v>0</v>
      </c>
      <c r="M30" s="101">
        <f>'Cash Flow %s Yr2'!M30</f>
        <v>0.5</v>
      </c>
      <c r="N30" s="101">
        <f>'Cash Flow %s Yr2'!N30</f>
        <v>0</v>
      </c>
      <c r="O30" s="101">
        <f>'Cash Flow %s Yr2'!O30</f>
        <v>0.25</v>
      </c>
      <c r="P30" s="101">
        <f>'Cash Flow %s Yr2'!P30</f>
        <v>0</v>
      </c>
      <c r="Q30" s="101">
        <f>'Cash Flow %s Yr2'!Q30</f>
        <v>0</v>
      </c>
      <c r="R30" s="101">
        <f>'Cash Flow %s Yr2'!R30</f>
        <v>0</v>
      </c>
      <c r="S30" s="97">
        <f t="shared" si="2"/>
        <v>1</v>
      </c>
    </row>
    <row r="31" spans="1:20" s="31" customFormat="1" ht="17.75" x14ac:dyDescent="0.75">
      <c r="A31" s="29"/>
      <c r="B31" s="63" t="str">
        <f>'Revenue w MYP'!C30</f>
        <v>8295</v>
      </c>
      <c r="C31" s="63" t="str">
        <f>'Revenue w MYP'!D30</f>
        <v>Title V</v>
      </c>
      <c r="D31" s="101">
        <f>'Cash Flow %s Yr2'!D31</f>
        <v>0</v>
      </c>
      <c r="E31" s="101">
        <f>'Cash Flow %s Yr2'!E31</f>
        <v>0</v>
      </c>
      <c r="F31" s="101">
        <f>'Cash Flow %s Yr2'!F31</f>
        <v>0</v>
      </c>
      <c r="G31" s="101">
        <f>'Cash Flow %s Yr2'!G31</f>
        <v>0</v>
      </c>
      <c r="H31" s="101">
        <f>'Cash Flow %s Yr2'!H31</f>
        <v>0</v>
      </c>
      <c r="I31" s="101">
        <f>'Cash Flow %s Yr2'!I31</f>
        <v>0</v>
      </c>
      <c r="J31" s="101">
        <f>'Cash Flow %s Yr2'!J31</f>
        <v>0.25</v>
      </c>
      <c r="K31" s="101">
        <f>'Cash Flow %s Yr2'!K31</f>
        <v>0</v>
      </c>
      <c r="L31" s="101">
        <f>'Cash Flow %s Yr2'!L31</f>
        <v>0</v>
      </c>
      <c r="M31" s="101">
        <f>'Cash Flow %s Yr2'!M31</f>
        <v>0.5</v>
      </c>
      <c r="N31" s="101">
        <f>'Cash Flow %s Yr2'!N31</f>
        <v>0</v>
      </c>
      <c r="O31" s="101">
        <f>'Cash Flow %s Yr2'!O31</f>
        <v>0.25</v>
      </c>
      <c r="P31" s="101">
        <f>'Cash Flow %s Yr2'!P31</f>
        <v>0</v>
      </c>
      <c r="Q31" s="101">
        <f>'Cash Flow %s Yr2'!Q31</f>
        <v>0</v>
      </c>
      <c r="R31" s="101">
        <f>'Cash Flow %s Yr2'!R31</f>
        <v>0</v>
      </c>
      <c r="S31" s="97">
        <f t="shared" si="2"/>
        <v>1</v>
      </c>
    </row>
    <row r="32" spans="1:20" s="31" customFormat="1" ht="17.75" x14ac:dyDescent="0.75">
      <c r="A32" s="29"/>
      <c r="B32" s="63" t="str">
        <f>'Revenue w MYP'!C31</f>
        <v>8299</v>
      </c>
      <c r="C32" s="63" t="str">
        <f>'Revenue w MYP'!D31</f>
        <v>Prior Year Federal Revenue</v>
      </c>
      <c r="D32" s="101">
        <f>'Cash Flow %s Yr2'!D32</f>
        <v>0</v>
      </c>
      <c r="E32" s="101">
        <f>'Cash Flow %s Yr2'!E32</f>
        <v>0</v>
      </c>
      <c r="F32" s="101">
        <f>'Cash Flow %s Yr2'!F32</f>
        <v>0.5</v>
      </c>
      <c r="G32" s="101">
        <f>'Cash Flow %s Yr2'!G32</f>
        <v>0</v>
      </c>
      <c r="H32" s="101">
        <f>'Cash Flow %s Yr2'!H32</f>
        <v>0</v>
      </c>
      <c r="I32" s="101">
        <f>'Cash Flow %s Yr2'!I32</f>
        <v>0</v>
      </c>
      <c r="J32" s="101">
        <f>'Cash Flow %s Yr2'!J32</f>
        <v>0</v>
      </c>
      <c r="K32" s="101">
        <f>'Cash Flow %s Yr2'!K32</f>
        <v>0.4</v>
      </c>
      <c r="L32" s="101">
        <f>'Cash Flow %s Yr2'!L32</f>
        <v>0</v>
      </c>
      <c r="M32" s="101">
        <f>'Cash Flow %s Yr2'!M32</f>
        <v>0</v>
      </c>
      <c r="N32" s="101">
        <f>'Cash Flow %s Yr2'!N32</f>
        <v>0.1</v>
      </c>
      <c r="O32" s="101">
        <f>'Cash Flow %s Yr2'!O32</f>
        <v>0</v>
      </c>
      <c r="P32" s="101">
        <f>'Cash Flow %s Yr2'!P32</f>
        <v>0</v>
      </c>
      <c r="Q32" s="101">
        <f>'Cash Flow %s Yr2'!Q32</f>
        <v>0</v>
      </c>
      <c r="R32" s="101">
        <f>'Cash Flow %s Yr2'!R32</f>
        <v>0</v>
      </c>
      <c r="S32" s="97">
        <f t="shared" si="2"/>
        <v>1</v>
      </c>
    </row>
    <row r="33" spans="1:19" s="31" customFormat="1" ht="17.75" x14ac:dyDescent="0.75">
      <c r="A33" s="29"/>
      <c r="B33" s="69"/>
      <c r="C33" s="48"/>
      <c r="D33" s="106"/>
      <c r="E33" s="106"/>
      <c r="F33" s="106"/>
      <c r="G33" s="106"/>
      <c r="H33" s="106"/>
      <c r="I33" s="106"/>
      <c r="J33" s="106"/>
      <c r="K33" s="106"/>
      <c r="L33" s="106"/>
      <c r="M33" s="106"/>
      <c r="N33" s="106"/>
      <c r="O33" s="106"/>
      <c r="P33" s="106"/>
      <c r="Q33" s="106"/>
      <c r="R33" s="106"/>
      <c r="S33" s="97"/>
    </row>
    <row r="34" spans="1:19" s="31" customFormat="1" ht="17.75" x14ac:dyDescent="0.75">
      <c r="A34" s="29"/>
      <c r="B34" s="69"/>
      <c r="C34" s="48"/>
      <c r="D34" s="108"/>
      <c r="E34" s="108"/>
      <c r="F34" s="108"/>
      <c r="G34" s="108"/>
      <c r="H34" s="108"/>
      <c r="I34" s="108"/>
      <c r="J34" s="108"/>
      <c r="K34" s="108"/>
      <c r="L34" s="108"/>
      <c r="M34" s="108"/>
      <c r="N34" s="108"/>
      <c r="O34" s="108"/>
      <c r="P34" s="108"/>
      <c r="Q34" s="108"/>
      <c r="R34" s="108"/>
      <c r="S34" s="97"/>
    </row>
    <row r="35" spans="1:19" s="31" customFormat="1" ht="17.75" x14ac:dyDescent="0.75">
      <c r="B35" s="29" t="s">
        <v>790</v>
      </c>
      <c r="C35" s="48"/>
      <c r="D35" s="108"/>
      <c r="E35" s="108"/>
      <c r="F35" s="108"/>
      <c r="G35" s="108"/>
      <c r="H35" s="108"/>
      <c r="I35" s="108"/>
      <c r="J35" s="108"/>
      <c r="K35" s="108"/>
      <c r="L35" s="108"/>
      <c r="M35" s="108"/>
      <c r="N35" s="108"/>
      <c r="O35" s="108"/>
      <c r="P35" s="108"/>
      <c r="Q35" s="108"/>
      <c r="R35" s="108"/>
      <c r="S35" s="97"/>
    </row>
    <row r="36" spans="1:19" s="31" customFormat="1" ht="17.75" x14ac:dyDescent="0.75">
      <c r="A36" s="29"/>
      <c r="B36" s="63" t="str">
        <f>'Revenue w MYP'!C35</f>
        <v>8660</v>
      </c>
      <c r="C36" s="63" t="str">
        <f>'Revenue w MYP'!D35</f>
        <v>Interest</v>
      </c>
      <c r="D36" s="101">
        <f>'Cash Flow %s Yr2'!D36</f>
        <v>8.3000000000000004E-2</v>
      </c>
      <c r="E36" s="101">
        <f>'Cash Flow %s Yr2'!E36</f>
        <v>8.3000000000000004E-2</v>
      </c>
      <c r="F36" s="101">
        <f>'Cash Flow %s Yr2'!F36</f>
        <v>8.3000000000000004E-2</v>
      </c>
      <c r="G36" s="101">
        <f>'Cash Flow %s Yr2'!G36</f>
        <v>8.3000000000000004E-2</v>
      </c>
      <c r="H36" s="101">
        <f>'Cash Flow %s Yr2'!H36</f>
        <v>8.3000000000000004E-2</v>
      </c>
      <c r="I36" s="101">
        <f>'Cash Flow %s Yr2'!I36</f>
        <v>8.3000000000000004E-2</v>
      </c>
      <c r="J36" s="101">
        <f>'Cash Flow %s Yr2'!J36</f>
        <v>8.3000000000000004E-2</v>
      </c>
      <c r="K36" s="101">
        <f>'Cash Flow %s Yr2'!K36</f>
        <v>8.3000000000000004E-2</v>
      </c>
      <c r="L36" s="101">
        <f>'Cash Flow %s Yr2'!L36</f>
        <v>8.4000000000000005E-2</v>
      </c>
      <c r="M36" s="101">
        <f>'Cash Flow %s Yr2'!M36</f>
        <v>8.4000000000000005E-2</v>
      </c>
      <c r="N36" s="101">
        <f>'Cash Flow %s Yr2'!N36</f>
        <v>8.4000000000000005E-2</v>
      </c>
      <c r="O36" s="101">
        <f>'Cash Flow %s Yr2'!O36</f>
        <v>8.4000000000000005E-2</v>
      </c>
      <c r="P36" s="101">
        <f>'Cash Flow %s Yr2'!P36</f>
        <v>0</v>
      </c>
      <c r="Q36" s="101">
        <f>'Cash Flow %s Yr2'!Q36</f>
        <v>0</v>
      </c>
      <c r="R36" s="101">
        <f>'Cash Flow %s Yr2'!R36</f>
        <v>0</v>
      </c>
      <c r="S36" s="97">
        <f t="shared" ref="S36:S47" si="3">SUM(D36:R36)</f>
        <v>0.99999999999999989</v>
      </c>
    </row>
    <row r="37" spans="1:19" s="31" customFormat="1" ht="17.75" x14ac:dyDescent="0.75">
      <c r="A37" s="29"/>
      <c r="B37" s="63" t="str">
        <f>'Revenue w MYP'!C36</f>
        <v>8682</v>
      </c>
      <c r="C37" s="63" t="str">
        <f>'Revenue w MYP'!D36</f>
        <v>Foundation Grants / Donations</v>
      </c>
      <c r="D37" s="101">
        <f>'Cash Flow %s Yr2'!D37</f>
        <v>0</v>
      </c>
      <c r="E37" s="101">
        <f>'Cash Flow %s Yr2'!E37</f>
        <v>0</v>
      </c>
      <c r="F37" s="101">
        <f>'Cash Flow %s Yr2'!F37</f>
        <v>0.1</v>
      </c>
      <c r="G37" s="101">
        <f>'Cash Flow %s Yr2'!G37</f>
        <v>0.1</v>
      </c>
      <c r="H37" s="101">
        <f>'Cash Flow %s Yr2'!H37</f>
        <v>0.1</v>
      </c>
      <c r="I37" s="101">
        <f>'Cash Flow %s Yr2'!I37</f>
        <v>0.1</v>
      </c>
      <c r="J37" s="101">
        <f>'Cash Flow %s Yr2'!J37</f>
        <v>0.1</v>
      </c>
      <c r="K37" s="101">
        <f>'Cash Flow %s Yr2'!K37</f>
        <v>0.1</v>
      </c>
      <c r="L37" s="101">
        <f>'Cash Flow %s Yr2'!L37</f>
        <v>0.1</v>
      </c>
      <c r="M37" s="101">
        <f>'Cash Flow %s Yr2'!M37</f>
        <v>0.1</v>
      </c>
      <c r="N37" s="101">
        <f>'Cash Flow %s Yr2'!N37</f>
        <v>0.1</v>
      </c>
      <c r="O37" s="101">
        <f>'Cash Flow %s Yr2'!O37</f>
        <v>0.1</v>
      </c>
      <c r="P37" s="101">
        <f>'Cash Flow %s Yr2'!P37</f>
        <v>0</v>
      </c>
      <c r="Q37" s="101">
        <f>'Cash Flow %s Yr2'!Q37</f>
        <v>0</v>
      </c>
      <c r="R37" s="101">
        <f>'Cash Flow %s Yr2'!R37</f>
        <v>0</v>
      </c>
      <c r="S37" s="97">
        <f t="shared" si="3"/>
        <v>0.99999999999999989</v>
      </c>
    </row>
    <row r="38" spans="1:19" s="31" customFormat="1" ht="17.75" x14ac:dyDescent="0.75">
      <c r="A38" s="29"/>
      <c r="B38" s="63" t="str">
        <f>'Revenue w MYP'!C37</f>
        <v>8683</v>
      </c>
      <c r="C38" s="63" t="str">
        <f>'Revenue w MYP'!D37</f>
        <v>All Other Local Revenue</v>
      </c>
      <c r="D38" s="101">
        <f>'Cash Flow %s Yr2'!D38</f>
        <v>0</v>
      </c>
      <c r="E38" s="101">
        <f>'Cash Flow %s Yr2'!E38</f>
        <v>0</v>
      </c>
      <c r="F38" s="101">
        <f>'Cash Flow %s Yr2'!F38</f>
        <v>0.1</v>
      </c>
      <c r="G38" s="101">
        <f>'Cash Flow %s Yr2'!G38</f>
        <v>0.1</v>
      </c>
      <c r="H38" s="101">
        <f>'Cash Flow %s Yr2'!H38</f>
        <v>0.1</v>
      </c>
      <c r="I38" s="101">
        <f>'Cash Flow %s Yr2'!I38</f>
        <v>0.1</v>
      </c>
      <c r="J38" s="101">
        <f>'Cash Flow %s Yr2'!J38</f>
        <v>0.1</v>
      </c>
      <c r="K38" s="101">
        <f>'Cash Flow %s Yr2'!K38</f>
        <v>0.1</v>
      </c>
      <c r="L38" s="101">
        <f>'Cash Flow %s Yr2'!L38</f>
        <v>0.1</v>
      </c>
      <c r="M38" s="101">
        <f>'Cash Flow %s Yr2'!M38</f>
        <v>0.1</v>
      </c>
      <c r="N38" s="101">
        <f>'Cash Flow %s Yr2'!N38</f>
        <v>0.1</v>
      </c>
      <c r="O38" s="101">
        <f>'Cash Flow %s Yr2'!O38</f>
        <v>0.1</v>
      </c>
      <c r="P38" s="101">
        <f>'Cash Flow %s Yr2'!P38</f>
        <v>0</v>
      </c>
      <c r="Q38" s="101">
        <f>'Cash Flow %s Yr2'!Q38</f>
        <v>0</v>
      </c>
      <c r="R38" s="101">
        <f>'Cash Flow %s Yr2'!R38</f>
        <v>0</v>
      </c>
      <c r="S38" s="97">
        <f t="shared" si="3"/>
        <v>0.99999999999999989</v>
      </c>
    </row>
    <row r="39" spans="1:19" s="31" customFormat="1" x14ac:dyDescent="0.75">
      <c r="A39" s="47"/>
      <c r="B39" s="63" t="str">
        <f>'Revenue w MYP'!C38</f>
        <v>8684</v>
      </c>
      <c r="C39" s="63" t="str">
        <f>'Revenue w MYP'!D38</f>
        <v>Student Body (ASB) Fundraising Revenue</v>
      </c>
      <c r="D39" s="101">
        <f>'Cash Flow %s Yr2'!D39</f>
        <v>0</v>
      </c>
      <c r="E39" s="101">
        <f>'Cash Flow %s Yr2'!E39</f>
        <v>0</v>
      </c>
      <c r="F39" s="101">
        <f>'Cash Flow %s Yr2'!F39</f>
        <v>0.1</v>
      </c>
      <c r="G39" s="101">
        <f>'Cash Flow %s Yr2'!G39</f>
        <v>0.1</v>
      </c>
      <c r="H39" s="101">
        <f>'Cash Flow %s Yr2'!H39</f>
        <v>0.1</v>
      </c>
      <c r="I39" s="101">
        <f>'Cash Flow %s Yr2'!I39</f>
        <v>0.1</v>
      </c>
      <c r="J39" s="101">
        <f>'Cash Flow %s Yr2'!J39</f>
        <v>0.1</v>
      </c>
      <c r="K39" s="101">
        <f>'Cash Flow %s Yr2'!K39</f>
        <v>0.1</v>
      </c>
      <c r="L39" s="101">
        <f>'Cash Flow %s Yr2'!L39</f>
        <v>0.1</v>
      </c>
      <c r="M39" s="101">
        <f>'Cash Flow %s Yr2'!M39</f>
        <v>0.1</v>
      </c>
      <c r="N39" s="101">
        <f>'Cash Flow %s Yr2'!N39</f>
        <v>0.1</v>
      </c>
      <c r="O39" s="101">
        <f>'Cash Flow %s Yr2'!O39</f>
        <v>0.1</v>
      </c>
      <c r="P39" s="101">
        <f>'Cash Flow %s Yr2'!P39</f>
        <v>0</v>
      </c>
      <c r="Q39" s="101">
        <f>'Cash Flow %s Yr2'!Q39</f>
        <v>0</v>
      </c>
      <c r="R39" s="101">
        <f>'Cash Flow %s Yr2'!R39</f>
        <v>0</v>
      </c>
      <c r="S39" s="97">
        <f t="shared" si="3"/>
        <v>0.99999999999999989</v>
      </c>
    </row>
    <row r="40" spans="1:19" s="31" customFormat="1" x14ac:dyDescent="0.75">
      <c r="A40" s="48"/>
      <c r="B40" s="63" t="str">
        <f>'Revenue w MYP'!C39</f>
        <v>8685</v>
      </c>
      <c r="C40" s="63" t="str">
        <f>'Revenue w MYP'!D39</f>
        <v>School Site Fundraising</v>
      </c>
      <c r="D40" s="101">
        <f>'Cash Flow %s Yr2'!D40</f>
        <v>0</v>
      </c>
      <c r="E40" s="101">
        <f>'Cash Flow %s Yr2'!E40</f>
        <v>0</v>
      </c>
      <c r="F40" s="101">
        <f>'Cash Flow %s Yr2'!F40</f>
        <v>0.1</v>
      </c>
      <c r="G40" s="101">
        <f>'Cash Flow %s Yr2'!G40</f>
        <v>0.1</v>
      </c>
      <c r="H40" s="101">
        <f>'Cash Flow %s Yr2'!H40</f>
        <v>0.1</v>
      </c>
      <c r="I40" s="101">
        <f>'Cash Flow %s Yr2'!I40</f>
        <v>0.1</v>
      </c>
      <c r="J40" s="101">
        <f>'Cash Flow %s Yr2'!J40</f>
        <v>0.1</v>
      </c>
      <c r="K40" s="101">
        <f>'Cash Flow %s Yr2'!K40</f>
        <v>0.1</v>
      </c>
      <c r="L40" s="101">
        <f>'Cash Flow %s Yr2'!L40</f>
        <v>0.1</v>
      </c>
      <c r="M40" s="101">
        <f>'Cash Flow %s Yr2'!M40</f>
        <v>0.1</v>
      </c>
      <c r="N40" s="101">
        <f>'Cash Flow %s Yr2'!N40</f>
        <v>0.1</v>
      </c>
      <c r="O40" s="101">
        <f>'Cash Flow %s Yr2'!O40</f>
        <v>0.1</v>
      </c>
      <c r="P40" s="101">
        <f>'Cash Flow %s Yr2'!P40</f>
        <v>0</v>
      </c>
      <c r="Q40" s="101">
        <f>'Cash Flow %s Yr2'!Q40</f>
        <v>0</v>
      </c>
      <c r="R40" s="101">
        <f>'Cash Flow %s Yr2'!R40</f>
        <v>0</v>
      </c>
      <c r="S40" s="97">
        <f t="shared" si="3"/>
        <v>0.99999999999999989</v>
      </c>
    </row>
    <row r="41" spans="1:19" s="31" customFormat="1" ht="17.75" x14ac:dyDescent="0.75">
      <c r="A41" s="29"/>
      <c r="B41" s="63" t="str">
        <f>'Revenue w MYP'!C40</f>
        <v>8698</v>
      </c>
      <c r="C41" s="63" t="str">
        <f>'Revenue w MYP'!D40</f>
        <v>E-Rate</v>
      </c>
      <c r="D41" s="101">
        <f>'Cash Flow %s Yr2'!D41</f>
        <v>0</v>
      </c>
      <c r="E41" s="101">
        <f>'Cash Flow %s Yr2'!E41</f>
        <v>0</v>
      </c>
      <c r="F41" s="101">
        <f>'Cash Flow %s Yr2'!F41</f>
        <v>0.1</v>
      </c>
      <c r="G41" s="101">
        <f>'Cash Flow %s Yr2'!G41</f>
        <v>0.1</v>
      </c>
      <c r="H41" s="101">
        <f>'Cash Flow %s Yr2'!H41</f>
        <v>0.1</v>
      </c>
      <c r="I41" s="101">
        <f>'Cash Flow %s Yr2'!I41</f>
        <v>0.1</v>
      </c>
      <c r="J41" s="101">
        <f>'Cash Flow %s Yr2'!J41</f>
        <v>0.1</v>
      </c>
      <c r="K41" s="101">
        <f>'Cash Flow %s Yr2'!K41</f>
        <v>0.1</v>
      </c>
      <c r="L41" s="101">
        <f>'Cash Flow %s Yr2'!L41</f>
        <v>0.1</v>
      </c>
      <c r="M41" s="101">
        <f>'Cash Flow %s Yr2'!M41</f>
        <v>0.1</v>
      </c>
      <c r="N41" s="101">
        <f>'Cash Flow %s Yr2'!N41</f>
        <v>0.1</v>
      </c>
      <c r="O41" s="101">
        <f>'Cash Flow %s Yr2'!O41</f>
        <v>0.1</v>
      </c>
      <c r="P41" s="101">
        <f>'Cash Flow %s Yr2'!P41</f>
        <v>0</v>
      </c>
      <c r="Q41" s="101">
        <f>'Cash Flow %s Yr2'!Q41</f>
        <v>0</v>
      </c>
      <c r="R41" s="101">
        <f>'Cash Flow %s Yr2'!R41</f>
        <v>0</v>
      </c>
      <c r="S41" s="97">
        <f t="shared" si="3"/>
        <v>0.99999999999999989</v>
      </c>
    </row>
    <row r="42" spans="1:19" s="31" customFormat="1" ht="17.75" x14ac:dyDescent="0.75">
      <c r="A42" s="29"/>
      <c r="B42" s="63" t="str">
        <f>'Revenue w MYP'!C41</f>
        <v>8699</v>
      </c>
      <c r="C42" s="63" t="str">
        <f>'Revenue w MYP'!D41</f>
        <v>All Other Local Revenue</v>
      </c>
      <c r="D42" s="101">
        <f>'Cash Flow %s Yr2'!D42</f>
        <v>0</v>
      </c>
      <c r="E42" s="101">
        <f>'Cash Flow %s Yr2'!E42</f>
        <v>0</v>
      </c>
      <c r="F42" s="101">
        <f>'Cash Flow %s Yr2'!F42</f>
        <v>0.1</v>
      </c>
      <c r="G42" s="101">
        <f>'Cash Flow %s Yr2'!G42</f>
        <v>0.1</v>
      </c>
      <c r="H42" s="101">
        <f>'Cash Flow %s Yr2'!H42</f>
        <v>0.1</v>
      </c>
      <c r="I42" s="101">
        <f>'Cash Flow %s Yr2'!I42</f>
        <v>0.1</v>
      </c>
      <c r="J42" s="101">
        <f>'Cash Flow %s Yr2'!J42</f>
        <v>0.1</v>
      </c>
      <c r="K42" s="101">
        <f>'Cash Flow %s Yr2'!K42</f>
        <v>0.1</v>
      </c>
      <c r="L42" s="101">
        <f>'Cash Flow %s Yr2'!L42</f>
        <v>0.1</v>
      </c>
      <c r="M42" s="101">
        <f>'Cash Flow %s Yr2'!M42</f>
        <v>0.1</v>
      </c>
      <c r="N42" s="101">
        <f>'Cash Flow %s Yr2'!N42</f>
        <v>0.1</v>
      </c>
      <c r="O42" s="101">
        <f>'Cash Flow %s Yr2'!O42</f>
        <v>0.1</v>
      </c>
      <c r="P42" s="101">
        <f>'Cash Flow %s Yr2'!P42</f>
        <v>0</v>
      </c>
      <c r="Q42" s="101">
        <f>'Cash Flow %s Yr2'!Q42</f>
        <v>0</v>
      </c>
      <c r="R42" s="101">
        <f>'Cash Flow %s Yr2'!R42</f>
        <v>0</v>
      </c>
      <c r="S42" s="97">
        <f t="shared" si="3"/>
        <v>0.99999999999999989</v>
      </c>
    </row>
    <row r="43" spans="1:19" s="31" customFormat="1" ht="17.75" x14ac:dyDescent="0.75">
      <c r="A43" s="29"/>
      <c r="B43" s="63" t="str">
        <f>'Revenue w MYP'!C42</f>
        <v>8785</v>
      </c>
      <c r="C43" s="63" t="str">
        <f>'Revenue w MYP'!D42</f>
        <v>CMO Management fee</v>
      </c>
      <c r="D43" s="101">
        <f>'Cash Flow %s Yr2'!D43</f>
        <v>0</v>
      </c>
      <c r="E43" s="101">
        <f>'Cash Flow %s Yr2'!E43</f>
        <v>0</v>
      </c>
      <c r="F43" s="101">
        <f>'Cash Flow %s Yr2'!F43</f>
        <v>0.1</v>
      </c>
      <c r="G43" s="101">
        <f>'Cash Flow %s Yr2'!G43</f>
        <v>0.1</v>
      </c>
      <c r="H43" s="101">
        <f>'Cash Flow %s Yr2'!H43</f>
        <v>0.1</v>
      </c>
      <c r="I43" s="101">
        <f>'Cash Flow %s Yr2'!I43</f>
        <v>0.1</v>
      </c>
      <c r="J43" s="101">
        <f>'Cash Flow %s Yr2'!J43</f>
        <v>0.1</v>
      </c>
      <c r="K43" s="101">
        <f>'Cash Flow %s Yr2'!K43</f>
        <v>0.1</v>
      </c>
      <c r="L43" s="101">
        <f>'Cash Flow %s Yr2'!L43</f>
        <v>0.1</v>
      </c>
      <c r="M43" s="101">
        <f>'Cash Flow %s Yr2'!M43</f>
        <v>0.1</v>
      </c>
      <c r="N43" s="101">
        <f>'Cash Flow %s Yr2'!N43</f>
        <v>0.1</v>
      </c>
      <c r="O43" s="101">
        <f>'Cash Flow %s Yr2'!O43</f>
        <v>0.1</v>
      </c>
      <c r="P43" s="101">
        <f>'Cash Flow %s Yr2'!P43</f>
        <v>0</v>
      </c>
      <c r="Q43" s="101">
        <f>'Cash Flow %s Yr2'!Q43</f>
        <v>0</v>
      </c>
      <c r="R43" s="101">
        <f>'Cash Flow %s Yr2'!R43</f>
        <v>0</v>
      </c>
      <c r="S43" s="97">
        <f t="shared" si="3"/>
        <v>0.99999999999999989</v>
      </c>
    </row>
    <row r="44" spans="1:19" s="31" customFormat="1" ht="17.75" x14ac:dyDescent="0.75">
      <c r="A44" s="29"/>
      <c r="B44" s="63" t="str">
        <f>'Revenue w MYP'!C43</f>
        <v>8792</v>
      </c>
      <c r="C44" s="63" t="str">
        <f>'Revenue w MYP'!D43</f>
        <v>SPED State / Other Transfers from County</v>
      </c>
      <c r="D44" s="101">
        <f>'Cash Flow %s Yr2'!D44</f>
        <v>0</v>
      </c>
      <c r="E44" s="101">
        <f>'Cash Flow %s Yr2'!E44</f>
        <v>0</v>
      </c>
      <c r="F44" s="101">
        <f>'Cash Flow %s Yr2'!F44</f>
        <v>0.1</v>
      </c>
      <c r="G44" s="101">
        <f>'Cash Flow %s Yr2'!G44</f>
        <v>0.1</v>
      </c>
      <c r="H44" s="101">
        <f>'Cash Flow %s Yr2'!H44</f>
        <v>0.1</v>
      </c>
      <c r="I44" s="101">
        <f>'Cash Flow %s Yr2'!I44</f>
        <v>0.1</v>
      </c>
      <c r="J44" s="101">
        <f>'Cash Flow %s Yr2'!J44</f>
        <v>0.1</v>
      </c>
      <c r="K44" s="101">
        <f>'Cash Flow %s Yr2'!K44</f>
        <v>0.1</v>
      </c>
      <c r="L44" s="101">
        <f>'Cash Flow %s Yr2'!L44</f>
        <v>0.1</v>
      </c>
      <c r="M44" s="101">
        <f>'Cash Flow %s Yr2'!M44</f>
        <v>0.1</v>
      </c>
      <c r="N44" s="101">
        <f>'Cash Flow %s Yr2'!N44</f>
        <v>0.1</v>
      </c>
      <c r="O44" s="101">
        <f>'Cash Flow %s Yr2'!O44</f>
        <v>0.1</v>
      </c>
      <c r="P44" s="101">
        <f>'Cash Flow %s Yr2'!P44</f>
        <v>0</v>
      </c>
      <c r="Q44" s="101">
        <f>'Cash Flow %s Yr2'!Q44</f>
        <v>0</v>
      </c>
      <c r="R44" s="101">
        <f>'Cash Flow %s Yr2'!R44</f>
        <v>0</v>
      </c>
      <c r="S44" s="97">
        <f t="shared" si="3"/>
        <v>0.99999999999999989</v>
      </c>
    </row>
    <row r="45" spans="1:19" s="31" customFormat="1" ht="17.75" x14ac:dyDescent="0.75">
      <c r="A45" s="29"/>
      <c r="B45" s="63" t="str">
        <f>'Revenue w MYP'!C44</f>
        <v>8639</v>
      </c>
      <c r="C45" s="63" t="str">
        <f>'Revenue w MYP'!D44</f>
        <v>Student Lunch Revenue</v>
      </c>
      <c r="D45" s="101">
        <f>'Cash Flow %s Yr2'!D45</f>
        <v>0</v>
      </c>
      <c r="E45" s="101">
        <f>'Cash Flow %s Yr2'!E45</f>
        <v>0</v>
      </c>
      <c r="F45" s="101">
        <f>'Cash Flow %s Yr2'!F45</f>
        <v>0.1</v>
      </c>
      <c r="G45" s="101">
        <f>'Cash Flow %s Yr2'!G45</f>
        <v>0.1</v>
      </c>
      <c r="H45" s="101">
        <f>'Cash Flow %s Yr2'!H45</f>
        <v>0.1</v>
      </c>
      <c r="I45" s="101">
        <f>'Cash Flow %s Yr2'!I45</f>
        <v>0.1</v>
      </c>
      <c r="J45" s="101">
        <f>'Cash Flow %s Yr2'!J45</f>
        <v>0.1</v>
      </c>
      <c r="K45" s="101">
        <f>'Cash Flow %s Yr2'!K45</f>
        <v>0.1</v>
      </c>
      <c r="L45" s="101">
        <f>'Cash Flow %s Yr2'!L45</f>
        <v>0.1</v>
      </c>
      <c r="M45" s="101">
        <f>'Cash Flow %s Yr2'!M45</f>
        <v>0.1</v>
      </c>
      <c r="N45" s="101">
        <f>'Cash Flow %s Yr2'!N45</f>
        <v>0.1</v>
      </c>
      <c r="O45" s="101">
        <f>'Cash Flow %s Yr2'!O45</f>
        <v>0.1</v>
      </c>
      <c r="P45" s="101">
        <f>'Cash Flow %s Yr2'!P45</f>
        <v>0</v>
      </c>
      <c r="Q45" s="101">
        <f>'Cash Flow %s Yr2'!Q45</f>
        <v>0</v>
      </c>
      <c r="R45" s="101">
        <f>'Cash Flow %s Yr2'!R45</f>
        <v>0</v>
      </c>
      <c r="S45" s="97">
        <f>SUM(D45:R45)</f>
        <v>0.99999999999999989</v>
      </c>
    </row>
    <row r="46" spans="1:19" s="31" customFormat="1" ht="17.75" x14ac:dyDescent="0.75">
      <c r="A46" s="29"/>
      <c r="B46" s="63" t="str">
        <f>'Revenue w MYP'!C45</f>
        <v>8986</v>
      </c>
      <c r="C46" s="63" t="str">
        <f>'Revenue w MYP'!D45</f>
        <v>Rental Income</v>
      </c>
      <c r="D46" s="101">
        <f>'Cash Flow %s Yr2'!D46</f>
        <v>0</v>
      </c>
      <c r="E46" s="101">
        <f>'Cash Flow %s Yr2'!E46</f>
        <v>0</v>
      </c>
      <c r="F46" s="101">
        <f>'Cash Flow %s Yr2'!F46</f>
        <v>0.1</v>
      </c>
      <c r="G46" s="101">
        <f>'Cash Flow %s Yr2'!G46</f>
        <v>0.1</v>
      </c>
      <c r="H46" s="101">
        <f>'Cash Flow %s Yr2'!H46</f>
        <v>0.1</v>
      </c>
      <c r="I46" s="101">
        <f>'Cash Flow %s Yr2'!I46</f>
        <v>0.1</v>
      </c>
      <c r="J46" s="101">
        <f>'Cash Flow %s Yr2'!J46</f>
        <v>0.1</v>
      </c>
      <c r="K46" s="101">
        <f>'Cash Flow %s Yr2'!K46</f>
        <v>0.1</v>
      </c>
      <c r="L46" s="101">
        <f>'Cash Flow %s Yr2'!L46</f>
        <v>0.1</v>
      </c>
      <c r="M46" s="101">
        <f>'Cash Flow %s Yr2'!M46</f>
        <v>0.1</v>
      </c>
      <c r="N46" s="101">
        <f>'Cash Flow %s Yr2'!N46</f>
        <v>0.1</v>
      </c>
      <c r="O46" s="101">
        <f>'Cash Flow %s Yr2'!O46</f>
        <v>0.1</v>
      </c>
      <c r="P46" s="101">
        <f>'Cash Flow %s Yr2'!P46</f>
        <v>0</v>
      </c>
      <c r="Q46" s="101">
        <f>'Cash Flow %s Yr2'!Q46</f>
        <v>0</v>
      </c>
      <c r="R46" s="101">
        <f>'Cash Flow %s Yr2'!R46</f>
        <v>0</v>
      </c>
      <c r="S46" s="97">
        <f>SUM(D46:R46)</f>
        <v>0.99999999999999989</v>
      </c>
    </row>
    <row r="47" spans="1:19" s="31" customFormat="1" ht="17.75" x14ac:dyDescent="0.75">
      <c r="A47" s="29"/>
      <c r="B47" s="63" t="str">
        <f>'Revenue w MYP'!C47</f>
        <v>8662</v>
      </c>
      <c r="C47" s="63" t="str">
        <f>'Revenue w MYP'!D47</f>
        <v>Increase/Decrease in Investment</v>
      </c>
      <c r="D47" s="101">
        <f>'Cash Flow %s Yr2'!D47</f>
        <v>0</v>
      </c>
      <c r="E47" s="101">
        <f>'Cash Flow %s Yr2'!E47</f>
        <v>0</v>
      </c>
      <c r="F47" s="101">
        <f>'Cash Flow %s Yr2'!F47</f>
        <v>0.1</v>
      </c>
      <c r="G47" s="101">
        <f>'Cash Flow %s Yr2'!G47</f>
        <v>0.1</v>
      </c>
      <c r="H47" s="101">
        <f>'Cash Flow %s Yr2'!H47</f>
        <v>0.1</v>
      </c>
      <c r="I47" s="101">
        <f>'Cash Flow %s Yr2'!I47</f>
        <v>0.1</v>
      </c>
      <c r="J47" s="101">
        <f>'Cash Flow %s Yr2'!J47</f>
        <v>0.1</v>
      </c>
      <c r="K47" s="101">
        <f>'Cash Flow %s Yr2'!K47</f>
        <v>0.1</v>
      </c>
      <c r="L47" s="101">
        <f>'Cash Flow %s Yr2'!L47</f>
        <v>0.1</v>
      </c>
      <c r="M47" s="101">
        <f>'Cash Flow %s Yr2'!M47</f>
        <v>0.1</v>
      </c>
      <c r="N47" s="101">
        <f>'Cash Flow %s Yr2'!N47</f>
        <v>0.1</v>
      </c>
      <c r="O47" s="101">
        <f>'Cash Flow %s Yr2'!O47</f>
        <v>0.1</v>
      </c>
      <c r="P47" s="101">
        <f>'Cash Flow %s Yr2'!P47</f>
        <v>0</v>
      </c>
      <c r="Q47" s="101">
        <f>'Cash Flow %s Yr2'!Q47</f>
        <v>0</v>
      </c>
      <c r="R47" s="101">
        <f>'Cash Flow %s Yr2'!R47</f>
        <v>0</v>
      </c>
      <c r="S47" s="97">
        <f t="shared" si="3"/>
        <v>0.99999999999999989</v>
      </c>
    </row>
    <row r="48" spans="1:19" s="31" customFormat="1" ht="17.75" x14ac:dyDescent="0.75">
      <c r="A48" s="29"/>
      <c r="B48" s="69"/>
      <c r="C48" s="48"/>
      <c r="D48" s="105"/>
      <c r="E48" s="105"/>
      <c r="F48" s="105"/>
      <c r="G48" s="105"/>
      <c r="H48" s="105"/>
      <c r="I48" s="105"/>
      <c r="J48" s="105"/>
      <c r="K48" s="105"/>
      <c r="L48" s="105"/>
      <c r="M48" s="105"/>
      <c r="N48" s="105"/>
      <c r="O48" s="105"/>
      <c r="P48" s="88"/>
      <c r="Q48" s="88"/>
      <c r="R48" s="88"/>
      <c r="S48" s="97"/>
    </row>
    <row r="49" spans="1:19" s="31" customFormat="1" ht="17.75" x14ac:dyDescent="0.75">
      <c r="A49" s="29"/>
      <c r="B49" s="69"/>
      <c r="C49" s="48"/>
      <c r="D49" s="105"/>
      <c r="E49" s="105"/>
      <c r="F49" s="105"/>
      <c r="G49" s="105"/>
      <c r="H49" s="105"/>
      <c r="I49" s="105"/>
      <c r="J49" s="105"/>
      <c r="K49" s="105"/>
      <c r="L49" s="105"/>
      <c r="M49" s="105"/>
      <c r="N49" s="105"/>
      <c r="O49" s="105"/>
      <c r="P49" s="88"/>
      <c r="Q49" s="88"/>
      <c r="R49" s="88"/>
      <c r="S49" s="97"/>
    </row>
    <row r="50" spans="1:19" s="31" customFormat="1" ht="17.75" x14ac:dyDescent="0.75">
      <c r="A50" s="29"/>
      <c r="B50" s="69"/>
      <c r="C50" s="48"/>
      <c r="D50" s="88"/>
      <c r="E50" s="88"/>
      <c r="F50" s="88"/>
      <c r="G50" s="88"/>
      <c r="H50" s="88"/>
      <c r="I50" s="88"/>
      <c r="J50" s="88"/>
      <c r="K50" s="88"/>
      <c r="L50" s="88"/>
      <c r="M50" s="88"/>
      <c r="N50" s="88"/>
      <c r="O50" s="88"/>
      <c r="P50" s="88"/>
      <c r="Q50" s="88"/>
      <c r="R50" s="88"/>
      <c r="S50" s="97"/>
    </row>
    <row r="51" spans="1:19" s="31" customFormat="1" ht="17.75" x14ac:dyDescent="0.75">
      <c r="A51" s="29" t="s">
        <v>796</v>
      </c>
      <c r="B51" s="70"/>
      <c r="C51" s="34"/>
      <c r="D51" s="89"/>
      <c r="E51" s="89"/>
      <c r="F51" s="89"/>
      <c r="G51" s="89"/>
      <c r="H51" s="89"/>
      <c r="I51" s="89"/>
      <c r="J51" s="89"/>
      <c r="K51" s="89"/>
      <c r="L51" s="89"/>
      <c r="M51" s="89"/>
      <c r="N51" s="89"/>
      <c r="O51" s="89"/>
      <c r="P51" s="89"/>
      <c r="Q51" s="89"/>
      <c r="R51" s="89"/>
      <c r="S51" s="97"/>
    </row>
    <row r="52" spans="1:19" x14ac:dyDescent="0.75">
      <c r="A52" s="1"/>
      <c r="B52" s="34" t="s">
        <v>731</v>
      </c>
      <c r="C52" s="2"/>
      <c r="S52" s="161"/>
    </row>
    <row r="53" spans="1:19" x14ac:dyDescent="0.75">
      <c r="A53" s="35"/>
      <c r="B53" s="65" t="str">
        <f>'Expenses w MYP'!C8</f>
        <v>1100</v>
      </c>
      <c r="C53" s="65" t="str">
        <f>'Expenses w MYP'!D8</f>
        <v>Teachers' Salaries</v>
      </c>
      <c r="D53" s="98">
        <f>'Cash Flow %s Yr2'!D53</f>
        <v>0</v>
      </c>
      <c r="E53" s="98">
        <f>'Cash Flow %s Yr2'!E53</f>
        <v>0</v>
      </c>
      <c r="F53" s="98">
        <f>'Cash Flow %s Yr2'!F53</f>
        <v>0.1</v>
      </c>
      <c r="G53" s="98">
        <f>'Cash Flow %s Yr2'!G53</f>
        <v>0.1</v>
      </c>
      <c r="H53" s="98">
        <f>'Cash Flow %s Yr2'!H53</f>
        <v>0.1</v>
      </c>
      <c r="I53" s="98">
        <f>'Cash Flow %s Yr2'!I53</f>
        <v>0.1</v>
      </c>
      <c r="J53" s="98">
        <f>'Cash Flow %s Yr2'!J53</f>
        <v>0.1</v>
      </c>
      <c r="K53" s="98">
        <f>'Cash Flow %s Yr2'!K53</f>
        <v>0.1</v>
      </c>
      <c r="L53" s="98">
        <f>'Cash Flow %s Yr2'!L53</f>
        <v>0.1</v>
      </c>
      <c r="M53" s="98">
        <f>'Cash Flow %s Yr2'!M53</f>
        <v>0.1</v>
      </c>
      <c r="N53" s="98">
        <f>'Cash Flow %s Yr2'!N53</f>
        <v>0.1</v>
      </c>
      <c r="O53" s="98">
        <f>'Cash Flow %s Yr2'!O53</f>
        <v>0.1</v>
      </c>
      <c r="P53" s="98">
        <f>'Cash Flow %s Yr2'!P53</f>
        <v>0</v>
      </c>
      <c r="Q53" s="98">
        <f>'Cash Flow %s Yr2'!Q53</f>
        <v>0</v>
      </c>
      <c r="R53" s="98">
        <f>'Cash Flow %s Yr2'!R53</f>
        <v>0</v>
      </c>
      <c r="S53" s="97">
        <f t="shared" ref="S53:S60" si="4">SUM(D53:R53)</f>
        <v>0.99999999999999989</v>
      </c>
    </row>
    <row r="54" spans="1:19" x14ac:dyDescent="0.75">
      <c r="A54" s="35"/>
      <c r="B54" s="65" t="str">
        <f>'Expenses w MYP'!C9</f>
        <v>1105</v>
      </c>
      <c r="C54" s="65" t="str">
        <f>'Expenses w MYP'!D9</f>
        <v>Teachers' Stipends / Bonus</v>
      </c>
      <c r="D54" s="98">
        <f>'Cash Flow %s Yr2'!D54</f>
        <v>0</v>
      </c>
      <c r="E54" s="98">
        <f>'Cash Flow %s Yr2'!E54</f>
        <v>0</v>
      </c>
      <c r="F54" s="98">
        <f>'Cash Flow %s Yr2'!F54</f>
        <v>0</v>
      </c>
      <c r="G54" s="98">
        <f>'Cash Flow %s Yr2'!G54</f>
        <v>0</v>
      </c>
      <c r="H54" s="98">
        <f>'Cash Flow %s Yr2'!H54</f>
        <v>0</v>
      </c>
      <c r="I54" s="98">
        <f>'Cash Flow %s Yr2'!I54</f>
        <v>0</v>
      </c>
      <c r="J54" s="98">
        <f>'Cash Flow %s Yr2'!J54</f>
        <v>0</v>
      </c>
      <c r="K54" s="98">
        <f>'Cash Flow %s Yr2'!K54</f>
        <v>0</v>
      </c>
      <c r="L54" s="98">
        <f>'Cash Flow %s Yr2'!L54</f>
        <v>0</v>
      </c>
      <c r="M54" s="98">
        <f>'Cash Flow %s Yr2'!M54</f>
        <v>0</v>
      </c>
      <c r="N54" s="98">
        <f>'Cash Flow %s Yr2'!N54</f>
        <v>0</v>
      </c>
      <c r="O54" s="98">
        <f>'Cash Flow %s Yr2'!O54</f>
        <v>1</v>
      </c>
      <c r="P54" s="98">
        <f>'Cash Flow %s Yr2'!P54</f>
        <v>0</v>
      </c>
      <c r="Q54" s="98">
        <f>'Cash Flow %s Yr2'!Q54</f>
        <v>0</v>
      </c>
      <c r="R54" s="98">
        <f>'Cash Flow %s Yr2'!R54</f>
        <v>0</v>
      </c>
      <c r="S54" s="97">
        <f t="shared" si="4"/>
        <v>1</v>
      </c>
    </row>
    <row r="55" spans="1:19" x14ac:dyDescent="0.75">
      <c r="A55" s="35"/>
      <c r="B55" s="65" t="str">
        <f>'Expenses w MYP'!C10</f>
        <v>1120</v>
      </c>
      <c r="C55" s="65" t="str">
        <f>'Expenses w MYP'!D10</f>
        <v>Substitute Expense</v>
      </c>
      <c r="D55" s="98">
        <f>'Cash Flow %s Yr2'!D55</f>
        <v>0</v>
      </c>
      <c r="E55" s="98">
        <f>'Cash Flow %s Yr2'!E55</f>
        <v>0</v>
      </c>
      <c r="F55" s="98">
        <f>'Cash Flow %s Yr2'!F55</f>
        <v>0.1</v>
      </c>
      <c r="G55" s="98">
        <f>'Cash Flow %s Yr2'!G55</f>
        <v>0.1</v>
      </c>
      <c r="H55" s="98">
        <f>'Cash Flow %s Yr2'!H55</f>
        <v>0.1</v>
      </c>
      <c r="I55" s="98">
        <f>'Cash Flow %s Yr2'!I55</f>
        <v>0.1</v>
      </c>
      <c r="J55" s="98">
        <f>'Cash Flow %s Yr2'!J55</f>
        <v>0.1</v>
      </c>
      <c r="K55" s="98">
        <f>'Cash Flow %s Yr2'!K55</f>
        <v>0.1</v>
      </c>
      <c r="L55" s="98">
        <f>'Cash Flow %s Yr2'!L55</f>
        <v>0.1</v>
      </c>
      <c r="M55" s="98">
        <f>'Cash Flow %s Yr2'!M55</f>
        <v>0.1</v>
      </c>
      <c r="N55" s="98">
        <f>'Cash Flow %s Yr2'!N55</f>
        <v>0.1</v>
      </c>
      <c r="O55" s="98">
        <f>'Cash Flow %s Yr2'!O55</f>
        <v>0.1</v>
      </c>
      <c r="P55" s="98">
        <f>'Cash Flow %s Yr2'!P55</f>
        <v>0</v>
      </c>
      <c r="Q55" s="98">
        <f>'Cash Flow %s Yr2'!Q55</f>
        <v>0</v>
      </c>
      <c r="R55" s="98">
        <f>'Cash Flow %s Yr2'!R55</f>
        <v>0</v>
      </c>
      <c r="S55" s="97">
        <f t="shared" si="4"/>
        <v>0.99999999999999989</v>
      </c>
    </row>
    <row r="56" spans="1:19" x14ac:dyDescent="0.75">
      <c r="A56" s="35"/>
      <c r="B56" s="65" t="str">
        <f>'Expenses w MYP'!C11</f>
        <v>1200</v>
      </c>
      <c r="C56" s="65" t="str">
        <f>'Expenses w MYP'!D11</f>
        <v>Certificated Pupil Support Salaries</v>
      </c>
      <c r="D56" s="98">
        <f>'Cash Flow %s Yr2'!D56</f>
        <v>0</v>
      </c>
      <c r="E56" s="98">
        <f>'Cash Flow %s Yr2'!E56</f>
        <v>0</v>
      </c>
      <c r="F56" s="98">
        <f>'Cash Flow %s Yr2'!F56</f>
        <v>0.1</v>
      </c>
      <c r="G56" s="98">
        <f>'Cash Flow %s Yr2'!G56</f>
        <v>0.1</v>
      </c>
      <c r="H56" s="98">
        <f>'Cash Flow %s Yr2'!H56</f>
        <v>0.1</v>
      </c>
      <c r="I56" s="98">
        <f>'Cash Flow %s Yr2'!I56</f>
        <v>0.1</v>
      </c>
      <c r="J56" s="98">
        <f>'Cash Flow %s Yr2'!J56</f>
        <v>0.1</v>
      </c>
      <c r="K56" s="98">
        <f>'Cash Flow %s Yr2'!K56</f>
        <v>0.1</v>
      </c>
      <c r="L56" s="98">
        <f>'Cash Flow %s Yr2'!L56</f>
        <v>0.1</v>
      </c>
      <c r="M56" s="98">
        <f>'Cash Flow %s Yr2'!M56</f>
        <v>0.1</v>
      </c>
      <c r="N56" s="98">
        <f>'Cash Flow %s Yr2'!N56</f>
        <v>0.1</v>
      </c>
      <c r="O56" s="98">
        <f>'Cash Flow %s Yr2'!O56</f>
        <v>0.1</v>
      </c>
      <c r="P56" s="98">
        <f>'Cash Flow %s Yr2'!P56</f>
        <v>0</v>
      </c>
      <c r="Q56" s="98">
        <f>'Cash Flow %s Yr2'!Q56</f>
        <v>0</v>
      </c>
      <c r="R56" s="98">
        <f>'Cash Flow %s Yr2'!R56</f>
        <v>0</v>
      </c>
      <c r="S56" s="97">
        <f t="shared" si="4"/>
        <v>0.99999999999999989</v>
      </c>
    </row>
    <row r="57" spans="1:19" x14ac:dyDescent="0.75">
      <c r="A57" s="35"/>
      <c r="B57" s="65" t="str">
        <f>'Expenses w MYP'!C12</f>
        <v>1300</v>
      </c>
      <c r="C57" s="65" t="str">
        <f>'Expenses w MYP'!D12</f>
        <v>Certificated Supervisor and Administrator Salaries</v>
      </c>
      <c r="D57" s="98">
        <f>'Cash Flow %s Yr2'!D57</f>
        <v>8.3000000000000004E-2</v>
      </c>
      <c r="E57" s="98">
        <f>'Cash Flow %s Yr2'!E57</f>
        <v>8.3000000000000004E-2</v>
      </c>
      <c r="F57" s="98">
        <f>'Cash Flow %s Yr2'!F57</f>
        <v>8.3000000000000004E-2</v>
      </c>
      <c r="G57" s="98">
        <f>'Cash Flow %s Yr2'!G57</f>
        <v>8.3000000000000004E-2</v>
      </c>
      <c r="H57" s="98">
        <f>'Cash Flow %s Yr2'!H57</f>
        <v>8.3000000000000004E-2</v>
      </c>
      <c r="I57" s="98">
        <f>'Cash Flow %s Yr2'!I57</f>
        <v>8.3000000000000004E-2</v>
      </c>
      <c r="J57" s="98">
        <f>'Cash Flow %s Yr2'!J57</f>
        <v>8.3000000000000004E-2</v>
      </c>
      <c r="K57" s="98">
        <f>'Cash Flow %s Yr2'!K57</f>
        <v>8.3000000000000004E-2</v>
      </c>
      <c r="L57" s="98">
        <f>'Cash Flow %s Yr2'!L57</f>
        <v>8.4000000000000005E-2</v>
      </c>
      <c r="M57" s="98">
        <f>'Cash Flow %s Yr2'!M57</f>
        <v>8.4000000000000005E-2</v>
      </c>
      <c r="N57" s="98">
        <f>'Cash Flow %s Yr2'!N57</f>
        <v>8.4000000000000005E-2</v>
      </c>
      <c r="O57" s="98">
        <f>'Cash Flow %s Yr2'!O57</f>
        <v>8.4000000000000005E-2</v>
      </c>
      <c r="P57" s="98">
        <f>'Cash Flow %s Yr2'!P57</f>
        <v>0</v>
      </c>
      <c r="Q57" s="98">
        <f>'Cash Flow %s Yr2'!Q57</f>
        <v>0</v>
      </c>
      <c r="R57" s="98">
        <f>'Cash Flow %s Yr2'!R57</f>
        <v>0</v>
      </c>
      <c r="S57" s="97">
        <f t="shared" si="4"/>
        <v>0.99999999999999989</v>
      </c>
    </row>
    <row r="58" spans="1:19" x14ac:dyDescent="0.75">
      <c r="A58" s="35"/>
      <c r="B58" s="65" t="str">
        <f>'Expenses w MYP'!C13</f>
        <v>1305</v>
      </c>
      <c r="C58" s="65" t="str">
        <f>'Expenses w MYP'!D13</f>
        <v>Certificated Sup. and Admin. Stipends / Bonus</v>
      </c>
      <c r="D58" s="98">
        <f>'Cash Flow %s Yr2'!D58</f>
        <v>0</v>
      </c>
      <c r="E58" s="98">
        <f>'Cash Flow %s Yr2'!E58</f>
        <v>0</v>
      </c>
      <c r="F58" s="98">
        <f>'Cash Flow %s Yr2'!F58</f>
        <v>0</v>
      </c>
      <c r="G58" s="98">
        <f>'Cash Flow %s Yr2'!G58</f>
        <v>0</v>
      </c>
      <c r="H58" s="98">
        <f>'Cash Flow %s Yr2'!H58</f>
        <v>0</v>
      </c>
      <c r="I58" s="98">
        <f>'Cash Flow %s Yr2'!I58</f>
        <v>0</v>
      </c>
      <c r="J58" s="98">
        <f>'Cash Flow %s Yr2'!J58</f>
        <v>0</v>
      </c>
      <c r="K58" s="98">
        <f>'Cash Flow %s Yr2'!K58</f>
        <v>0</v>
      </c>
      <c r="L58" s="98">
        <f>'Cash Flow %s Yr2'!L58</f>
        <v>0</v>
      </c>
      <c r="M58" s="98">
        <f>'Cash Flow %s Yr2'!M58</f>
        <v>0</v>
      </c>
      <c r="N58" s="98">
        <f>'Cash Flow %s Yr2'!N58</f>
        <v>0</v>
      </c>
      <c r="O58" s="98">
        <f>'Cash Flow %s Yr2'!O58</f>
        <v>1</v>
      </c>
      <c r="P58" s="98">
        <f>'Cash Flow %s Yr2'!P58</f>
        <v>0</v>
      </c>
      <c r="Q58" s="98">
        <f>'Cash Flow %s Yr2'!Q58</f>
        <v>0</v>
      </c>
      <c r="R58" s="98">
        <f>'Cash Flow %s Yr2'!R58</f>
        <v>0</v>
      </c>
      <c r="S58" s="97">
        <f t="shared" si="4"/>
        <v>1</v>
      </c>
    </row>
    <row r="59" spans="1:19" x14ac:dyDescent="0.75">
      <c r="A59" s="35"/>
      <c r="B59" s="65" t="str">
        <f>'Expenses w MYP'!C14</f>
        <v>1900</v>
      </c>
      <c r="C59" s="65" t="str">
        <f>'Expenses w MYP'!D14</f>
        <v>Other Certificated Salaries</v>
      </c>
      <c r="D59" s="98">
        <f>'Cash Flow %s Yr2'!D59</f>
        <v>8.3000000000000004E-2</v>
      </c>
      <c r="E59" s="98">
        <f>'Cash Flow %s Yr2'!E59</f>
        <v>8.3000000000000004E-2</v>
      </c>
      <c r="F59" s="98">
        <f>'Cash Flow %s Yr2'!F59</f>
        <v>8.3000000000000004E-2</v>
      </c>
      <c r="G59" s="98">
        <f>'Cash Flow %s Yr2'!G59</f>
        <v>8.3000000000000004E-2</v>
      </c>
      <c r="H59" s="98">
        <f>'Cash Flow %s Yr2'!H59</f>
        <v>8.3000000000000004E-2</v>
      </c>
      <c r="I59" s="98">
        <f>'Cash Flow %s Yr2'!I59</f>
        <v>8.3000000000000004E-2</v>
      </c>
      <c r="J59" s="98">
        <f>'Cash Flow %s Yr2'!J59</f>
        <v>8.3000000000000004E-2</v>
      </c>
      <c r="K59" s="98">
        <f>'Cash Flow %s Yr2'!K59</f>
        <v>8.3000000000000004E-2</v>
      </c>
      <c r="L59" s="98">
        <f>'Cash Flow %s Yr2'!L59</f>
        <v>8.4000000000000005E-2</v>
      </c>
      <c r="M59" s="98">
        <f>'Cash Flow %s Yr2'!M59</f>
        <v>8.4000000000000005E-2</v>
      </c>
      <c r="N59" s="98">
        <f>'Cash Flow %s Yr2'!N59</f>
        <v>8.4000000000000005E-2</v>
      </c>
      <c r="O59" s="98">
        <f>'Cash Flow %s Yr2'!O59</f>
        <v>8.4000000000000005E-2</v>
      </c>
      <c r="P59" s="98">
        <f>'Cash Flow %s Yr2'!P59</f>
        <v>0</v>
      </c>
      <c r="Q59" s="98">
        <f>'Cash Flow %s Yr2'!Q59</f>
        <v>0</v>
      </c>
      <c r="R59" s="98">
        <f>'Cash Flow %s Yr2'!R59</f>
        <v>0</v>
      </c>
      <c r="S59" s="97">
        <f t="shared" si="4"/>
        <v>0.99999999999999989</v>
      </c>
    </row>
    <row r="60" spans="1:19" x14ac:dyDescent="0.75">
      <c r="A60" s="35"/>
      <c r="B60" s="65" t="str">
        <f>'Expenses w MYP'!C15</f>
        <v>1910</v>
      </c>
      <c r="C60" s="65" t="str">
        <f>'Expenses w MYP'!D15</f>
        <v>Other Certificated Overtime</v>
      </c>
      <c r="D60" s="98">
        <f>'Cash Flow %s Yr2'!D60</f>
        <v>0</v>
      </c>
      <c r="E60" s="98">
        <f>'Cash Flow %s Yr2'!E60</f>
        <v>0</v>
      </c>
      <c r="F60" s="98">
        <f>'Cash Flow %s Yr2'!F60</f>
        <v>0.1</v>
      </c>
      <c r="G60" s="98">
        <f>'Cash Flow %s Yr2'!G60</f>
        <v>0.1</v>
      </c>
      <c r="H60" s="98">
        <f>'Cash Flow %s Yr2'!H60</f>
        <v>0.1</v>
      </c>
      <c r="I60" s="98">
        <f>'Cash Flow %s Yr2'!I60</f>
        <v>0.1</v>
      </c>
      <c r="J60" s="98">
        <f>'Cash Flow %s Yr2'!J60</f>
        <v>0.1</v>
      </c>
      <c r="K60" s="98">
        <f>'Cash Flow %s Yr2'!K60</f>
        <v>0.1</v>
      </c>
      <c r="L60" s="98">
        <f>'Cash Flow %s Yr2'!L60</f>
        <v>0.1</v>
      </c>
      <c r="M60" s="98">
        <f>'Cash Flow %s Yr2'!M60</f>
        <v>0.1</v>
      </c>
      <c r="N60" s="98">
        <f>'Cash Flow %s Yr2'!N60</f>
        <v>0.1</v>
      </c>
      <c r="O60" s="98">
        <f>'Cash Flow %s Yr2'!O60</f>
        <v>0.1</v>
      </c>
      <c r="P60" s="98">
        <f>'Cash Flow %s Yr2'!P60</f>
        <v>0</v>
      </c>
      <c r="Q60" s="98">
        <f>'Cash Flow %s Yr2'!Q60</f>
        <v>0</v>
      </c>
      <c r="R60" s="98">
        <f>'Cash Flow %s Yr2'!R60</f>
        <v>0</v>
      </c>
      <c r="S60" s="97">
        <f t="shared" si="4"/>
        <v>0.99999999999999989</v>
      </c>
    </row>
    <row r="61" spans="1:19" x14ac:dyDescent="0.75">
      <c r="A61" s="35"/>
      <c r="C61" s="2"/>
      <c r="D61" s="88"/>
      <c r="E61" s="88"/>
      <c r="F61" s="105"/>
      <c r="G61" s="105"/>
      <c r="H61" s="105"/>
      <c r="I61" s="105"/>
      <c r="J61" s="105"/>
      <c r="K61" s="105"/>
      <c r="L61" s="105"/>
      <c r="M61" s="105"/>
      <c r="N61" s="105"/>
      <c r="O61" s="105"/>
      <c r="P61" s="88"/>
      <c r="Q61" s="88"/>
      <c r="R61" s="88"/>
      <c r="S61" s="97"/>
    </row>
    <row r="62" spans="1:19" s="31" customFormat="1" x14ac:dyDescent="0.75">
      <c r="A62" s="35"/>
      <c r="B62" s="39"/>
      <c r="C62" s="2"/>
      <c r="D62" s="88"/>
      <c r="E62" s="88"/>
      <c r="F62" s="88"/>
      <c r="G62" s="88"/>
      <c r="H62" s="88"/>
      <c r="I62" s="88"/>
      <c r="J62" s="88"/>
      <c r="K62" s="88"/>
      <c r="L62" s="88"/>
      <c r="M62" s="88"/>
      <c r="N62" s="88"/>
      <c r="O62" s="88"/>
      <c r="P62" s="88"/>
      <c r="Q62" s="88"/>
      <c r="R62" s="88"/>
      <c r="S62" s="97"/>
    </row>
    <row r="63" spans="1:19" s="31" customFormat="1" x14ac:dyDescent="0.75">
      <c r="B63" s="4" t="s">
        <v>732</v>
      </c>
      <c r="C63" s="2"/>
      <c r="D63" s="88"/>
      <c r="E63" s="88"/>
      <c r="F63" s="88"/>
      <c r="G63" s="88"/>
      <c r="H63" s="88"/>
      <c r="I63" s="88"/>
      <c r="J63" s="88"/>
      <c r="K63" s="88"/>
      <c r="L63" s="88"/>
      <c r="M63" s="88"/>
      <c r="N63" s="88"/>
      <c r="O63" s="88"/>
      <c r="P63" s="88"/>
      <c r="Q63" s="88"/>
      <c r="R63" s="88"/>
      <c r="S63" s="97"/>
    </row>
    <row r="64" spans="1:19" s="31" customFormat="1" x14ac:dyDescent="0.75">
      <c r="A64" s="35"/>
      <c r="B64" s="65" t="str">
        <f>'Expenses w MYP'!C19</f>
        <v>2100</v>
      </c>
      <c r="C64" s="65" t="str">
        <f>'Expenses w MYP'!D19</f>
        <v>Instructional Aide Salaries</v>
      </c>
      <c r="D64" s="98">
        <f>'Cash Flow %s Yr2'!D64</f>
        <v>0</v>
      </c>
      <c r="E64" s="98">
        <f>'Cash Flow %s Yr2'!E64</f>
        <v>0</v>
      </c>
      <c r="F64" s="98">
        <f>'Cash Flow %s Yr2'!F64</f>
        <v>0.1</v>
      </c>
      <c r="G64" s="98">
        <f>'Cash Flow %s Yr2'!G64</f>
        <v>0.1</v>
      </c>
      <c r="H64" s="98">
        <f>'Cash Flow %s Yr2'!H64</f>
        <v>0.1</v>
      </c>
      <c r="I64" s="98">
        <f>'Cash Flow %s Yr2'!I64</f>
        <v>0.1</v>
      </c>
      <c r="J64" s="98">
        <f>'Cash Flow %s Yr2'!J64</f>
        <v>0.1</v>
      </c>
      <c r="K64" s="98">
        <f>'Cash Flow %s Yr2'!K64</f>
        <v>0.1</v>
      </c>
      <c r="L64" s="98">
        <f>'Cash Flow %s Yr2'!L64</f>
        <v>0.1</v>
      </c>
      <c r="M64" s="98">
        <f>'Cash Flow %s Yr2'!M64</f>
        <v>0.1</v>
      </c>
      <c r="N64" s="98">
        <f>'Cash Flow %s Yr2'!N64</f>
        <v>0.1</v>
      </c>
      <c r="O64" s="98">
        <f>'Cash Flow %s Yr2'!O64</f>
        <v>0.1</v>
      </c>
      <c r="P64" s="98">
        <f>'Cash Flow %s Yr2'!P64</f>
        <v>0</v>
      </c>
      <c r="Q64" s="98">
        <f>'Cash Flow %s Yr2'!Q64</f>
        <v>0</v>
      </c>
      <c r="R64" s="98">
        <f>'Cash Flow %s Yr2'!R64</f>
        <v>0</v>
      </c>
      <c r="S64" s="97">
        <f t="shared" ref="S64:S73" si="5">SUM(D64:R64)</f>
        <v>0.99999999999999989</v>
      </c>
    </row>
    <row r="65" spans="1:19" s="31" customFormat="1" x14ac:dyDescent="0.75">
      <c r="A65" s="35"/>
      <c r="B65" s="65" t="str">
        <f>'Expenses w MYP'!C20</f>
        <v>2110</v>
      </c>
      <c r="C65" s="65" t="str">
        <f>'Expenses w MYP'!D20</f>
        <v>Instructional Aide Overtime</v>
      </c>
      <c r="D65" s="98">
        <f>'Cash Flow %s Yr2'!D65</f>
        <v>0</v>
      </c>
      <c r="E65" s="98">
        <f>'Cash Flow %s Yr2'!E65</f>
        <v>0</v>
      </c>
      <c r="F65" s="98">
        <f>'Cash Flow %s Yr2'!F65</f>
        <v>0.1</v>
      </c>
      <c r="G65" s="98">
        <f>'Cash Flow %s Yr2'!G65</f>
        <v>0.1</v>
      </c>
      <c r="H65" s="98">
        <f>'Cash Flow %s Yr2'!H65</f>
        <v>0.1</v>
      </c>
      <c r="I65" s="98">
        <f>'Cash Flow %s Yr2'!I65</f>
        <v>0.1</v>
      </c>
      <c r="J65" s="98">
        <f>'Cash Flow %s Yr2'!J65</f>
        <v>0.1</v>
      </c>
      <c r="K65" s="98">
        <f>'Cash Flow %s Yr2'!K65</f>
        <v>0.1</v>
      </c>
      <c r="L65" s="98">
        <f>'Cash Flow %s Yr2'!L65</f>
        <v>0.1</v>
      </c>
      <c r="M65" s="98">
        <f>'Cash Flow %s Yr2'!M65</f>
        <v>0.1</v>
      </c>
      <c r="N65" s="98">
        <f>'Cash Flow %s Yr2'!N65</f>
        <v>0.1</v>
      </c>
      <c r="O65" s="98">
        <f>'Cash Flow %s Yr2'!O65</f>
        <v>0.1</v>
      </c>
      <c r="P65" s="98">
        <f>'Cash Flow %s Yr2'!P65</f>
        <v>0</v>
      </c>
      <c r="Q65" s="98">
        <f>'Cash Flow %s Yr2'!Q65</f>
        <v>0</v>
      </c>
      <c r="R65" s="98">
        <f>'Cash Flow %s Yr2'!R65</f>
        <v>0</v>
      </c>
      <c r="S65" s="97">
        <f t="shared" si="5"/>
        <v>0.99999999999999989</v>
      </c>
    </row>
    <row r="66" spans="1:19" s="31" customFormat="1" x14ac:dyDescent="0.75">
      <c r="A66" s="35"/>
      <c r="B66" s="65" t="str">
        <f>'Expenses w MYP'!C21</f>
        <v>2200</v>
      </c>
      <c r="C66" s="65" t="str">
        <f>'Expenses w MYP'!D21</f>
        <v>Classified Support Salaries (Maintenance / Food)</v>
      </c>
      <c r="D66" s="98">
        <f>'Cash Flow %s Yr2'!D66</f>
        <v>0</v>
      </c>
      <c r="E66" s="98">
        <f>'Cash Flow %s Yr2'!E66</f>
        <v>0</v>
      </c>
      <c r="F66" s="98">
        <f>'Cash Flow %s Yr2'!F66</f>
        <v>0.1</v>
      </c>
      <c r="G66" s="98">
        <f>'Cash Flow %s Yr2'!G66</f>
        <v>0.1</v>
      </c>
      <c r="H66" s="98">
        <f>'Cash Flow %s Yr2'!H66</f>
        <v>0.1</v>
      </c>
      <c r="I66" s="98">
        <f>'Cash Flow %s Yr2'!I66</f>
        <v>0.1</v>
      </c>
      <c r="J66" s="98">
        <f>'Cash Flow %s Yr2'!J66</f>
        <v>0.1</v>
      </c>
      <c r="K66" s="98">
        <f>'Cash Flow %s Yr2'!K66</f>
        <v>0.1</v>
      </c>
      <c r="L66" s="98">
        <f>'Cash Flow %s Yr2'!L66</f>
        <v>0.1</v>
      </c>
      <c r="M66" s="98">
        <f>'Cash Flow %s Yr2'!M66</f>
        <v>0.1</v>
      </c>
      <c r="N66" s="98">
        <f>'Cash Flow %s Yr2'!N66</f>
        <v>0.1</v>
      </c>
      <c r="O66" s="98">
        <f>'Cash Flow %s Yr2'!O66</f>
        <v>0.1</v>
      </c>
      <c r="P66" s="98">
        <f>'Cash Flow %s Yr2'!P66</f>
        <v>0</v>
      </c>
      <c r="Q66" s="98">
        <f>'Cash Flow %s Yr2'!Q66</f>
        <v>0</v>
      </c>
      <c r="R66" s="98">
        <f>'Cash Flow %s Yr2'!R66</f>
        <v>0</v>
      </c>
      <c r="S66" s="97">
        <f t="shared" si="5"/>
        <v>0.99999999999999989</v>
      </c>
    </row>
    <row r="67" spans="1:19" s="31" customFormat="1" x14ac:dyDescent="0.75">
      <c r="A67" s="35"/>
      <c r="B67" s="65" t="str">
        <f>'Expenses w MYP'!C22</f>
        <v>2210</v>
      </c>
      <c r="C67" s="65" t="str">
        <f>'Expenses w MYP'!D22</f>
        <v>Classified Support Overtime</v>
      </c>
      <c r="D67" s="98">
        <f>'Cash Flow %s Yr2'!D67</f>
        <v>0</v>
      </c>
      <c r="E67" s="98">
        <f>'Cash Flow %s Yr2'!E67</f>
        <v>0</v>
      </c>
      <c r="F67" s="98">
        <f>'Cash Flow %s Yr2'!F67</f>
        <v>0.1</v>
      </c>
      <c r="G67" s="98">
        <f>'Cash Flow %s Yr2'!G67</f>
        <v>0.1</v>
      </c>
      <c r="H67" s="98">
        <f>'Cash Flow %s Yr2'!H67</f>
        <v>0.1</v>
      </c>
      <c r="I67" s="98">
        <f>'Cash Flow %s Yr2'!I67</f>
        <v>0.1</v>
      </c>
      <c r="J67" s="98">
        <f>'Cash Flow %s Yr2'!J67</f>
        <v>0.1</v>
      </c>
      <c r="K67" s="98">
        <f>'Cash Flow %s Yr2'!K67</f>
        <v>0.1</v>
      </c>
      <c r="L67" s="98">
        <f>'Cash Flow %s Yr2'!L67</f>
        <v>0.1</v>
      </c>
      <c r="M67" s="98">
        <f>'Cash Flow %s Yr2'!M67</f>
        <v>0.1</v>
      </c>
      <c r="N67" s="98">
        <f>'Cash Flow %s Yr2'!N67</f>
        <v>0.1</v>
      </c>
      <c r="O67" s="98">
        <f>'Cash Flow %s Yr2'!O67</f>
        <v>0.1</v>
      </c>
      <c r="P67" s="98">
        <f>'Cash Flow %s Yr2'!P67</f>
        <v>0</v>
      </c>
      <c r="Q67" s="98">
        <f>'Cash Flow %s Yr2'!Q67</f>
        <v>0</v>
      </c>
      <c r="R67" s="98">
        <f>'Cash Flow %s Yr2'!R67</f>
        <v>0</v>
      </c>
      <c r="S67" s="97">
        <f t="shared" si="5"/>
        <v>0.99999999999999989</v>
      </c>
    </row>
    <row r="68" spans="1:19" s="31" customFormat="1" x14ac:dyDescent="0.75">
      <c r="A68" s="35"/>
      <c r="B68" s="65" t="str">
        <f>'Expenses w MYP'!C23</f>
        <v>2300</v>
      </c>
      <c r="C68" s="65" t="str">
        <f>'Expenses w MYP'!D23</f>
        <v>Classified Supervisor and Administrator Salaries</v>
      </c>
      <c r="D68" s="98">
        <f>'Cash Flow %s Yr2'!D68</f>
        <v>8.3000000000000004E-2</v>
      </c>
      <c r="E68" s="98">
        <f>'Cash Flow %s Yr2'!E68</f>
        <v>8.3000000000000004E-2</v>
      </c>
      <c r="F68" s="98">
        <f>'Cash Flow %s Yr2'!F68</f>
        <v>8.3000000000000004E-2</v>
      </c>
      <c r="G68" s="98">
        <f>'Cash Flow %s Yr2'!G68</f>
        <v>8.3000000000000004E-2</v>
      </c>
      <c r="H68" s="98">
        <f>'Cash Flow %s Yr2'!H68</f>
        <v>8.3000000000000004E-2</v>
      </c>
      <c r="I68" s="98">
        <f>'Cash Flow %s Yr2'!I68</f>
        <v>8.3000000000000004E-2</v>
      </c>
      <c r="J68" s="98">
        <f>'Cash Flow %s Yr2'!J68</f>
        <v>8.3000000000000004E-2</v>
      </c>
      <c r="K68" s="98">
        <f>'Cash Flow %s Yr2'!K68</f>
        <v>8.3000000000000004E-2</v>
      </c>
      <c r="L68" s="98">
        <f>'Cash Flow %s Yr2'!L68</f>
        <v>8.4000000000000005E-2</v>
      </c>
      <c r="M68" s="98">
        <f>'Cash Flow %s Yr2'!M68</f>
        <v>8.4000000000000005E-2</v>
      </c>
      <c r="N68" s="98">
        <f>'Cash Flow %s Yr2'!N68</f>
        <v>8.4000000000000005E-2</v>
      </c>
      <c r="O68" s="98">
        <f>'Cash Flow %s Yr2'!O68</f>
        <v>8.4000000000000005E-2</v>
      </c>
      <c r="P68" s="98">
        <f>'Cash Flow %s Yr2'!P68</f>
        <v>0</v>
      </c>
      <c r="Q68" s="98">
        <f>'Cash Flow %s Yr2'!Q68</f>
        <v>0</v>
      </c>
      <c r="R68" s="98">
        <f>'Cash Flow %s Yr2'!R68</f>
        <v>0</v>
      </c>
      <c r="S68" s="97">
        <f t="shared" si="5"/>
        <v>0.99999999999999989</v>
      </c>
    </row>
    <row r="69" spans="1:19" s="31" customFormat="1" x14ac:dyDescent="0.75">
      <c r="A69" s="35"/>
      <c r="B69" s="65" t="str">
        <f>'Expenses w MYP'!C24</f>
        <v>2400</v>
      </c>
      <c r="C69" s="65" t="str">
        <f>'Expenses w MYP'!D24</f>
        <v>Clerical, Technical, and Office Staff Salaries</v>
      </c>
      <c r="D69" s="98">
        <f>'Cash Flow %s Yr2'!D69</f>
        <v>8.3000000000000004E-2</v>
      </c>
      <c r="E69" s="98">
        <f>'Cash Flow %s Yr2'!E69</f>
        <v>8.3000000000000004E-2</v>
      </c>
      <c r="F69" s="98">
        <f>'Cash Flow %s Yr2'!F69</f>
        <v>8.3000000000000004E-2</v>
      </c>
      <c r="G69" s="98">
        <f>'Cash Flow %s Yr2'!G69</f>
        <v>8.3000000000000004E-2</v>
      </c>
      <c r="H69" s="98">
        <f>'Cash Flow %s Yr2'!H69</f>
        <v>8.3000000000000004E-2</v>
      </c>
      <c r="I69" s="98">
        <f>'Cash Flow %s Yr2'!I69</f>
        <v>8.3000000000000004E-2</v>
      </c>
      <c r="J69" s="98">
        <f>'Cash Flow %s Yr2'!J69</f>
        <v>8.3000000000000004E-2</v>
      </c>
      <c r="K69" s="98">
        <f>'Cash Flow %s Yr2'!K69</f>
        <v>8.3000000000000004E-2</v>
      </c>
      <c r="L69" s="98">
        <f>'Cash Flow %s Yr2'!L69</f>
        <v>8.4000000000000005E-2</v>
      </c>
      <c r="M69" s="98">
        <f>'Cash Flow %s Yr2'!M69</f>
        <v>8.4000000000000005E-2</v>
      </c>
      <c r="N69" s="98">
        <f>'Cash Flow %s Yr2'!N69</f>
        <v>8.4000000000000005E-2</v>
      </c>
      <c r="O69" s="98">
        <f>'Cash Flow %s Yr2'!O69</f>
        <v>8.4000000000000005E-2</v>
      </c>
      <c r="P69" s="98">
        <f>'Cash Flow %s Yr2'!P69</f>
        <v>0</v>
      </c>
      <c r="Q69" s="98">
        <f>'Cash Flow %s Yr2'!Q69</f>
        <v>0</v>
      </c>
      <c r="R69" s="98">
        <f>'Cash Flow %s Yr2'!R69</f>
        <v>0</v>
      </c>
      <c r="S69" s="97">
        <f t="shared" si="5"/>
        <v>0.99999999999999989</v>
      </c>
    </row>
    <row r="70" spans="1:19" s="31" customFormat="1" x14ac:dyDescent="0.75">
      <c r="A70" s="35"/>
      <c r="B70" s="65" t="str">
        <f>'Expenses w MYP'!C25</f>
        <v>2410</v>
      </c>
      <c r="C70" s="65" t="str">
        <f>'Expenses w MYP'!D25</f>
        <v>Clerical, Technical, and Office Staff Overtime</v>
      </c>
      <c r="D70" s="98">
        <f>'Cash Flow %s Yr2'!D70</f>
        <v>0</v>
      </c>
      <c r="E70" s="98">
        <f>'Cash Flow %s Yr2'!E70</f>
        <v>0</v>
      </c>
      <c r="F70" s="98">
        <f>'Cash Flow %s Yr2'!F70</f>
        <v>0.1</v>
      </c>
      <c r="G70" s="98">
        <f>'Cash Flow %s Yr2'!G70</f>
        <v>0.1</v>
      </c>
      <c r="H70" s="98">
        <f>'Cash Flow %s Yr2'!H70</f>
        <v>0.1</v>
      </c>
      <c r="I70" s="98">
        <f>'Cash Flow %s Yr2'!I70</f>
        <v>0.1</v>
      </c>
      <c r="J70" s="98">
        <f>'Cash Flow %s Yr2'!J70</f>
        <v>0.1</v>
      </c>
      <c r="K70" s="98">
        <f>'Cash Flow %s Yr2'!K70</f>
        <v>0.1</v>
      </c>
      <c r="L70" s="98">
        <f>'Cash Flow %s Yr2'!L70</f>
        <v>0.1</v>
      </c>
      <c r="M70" s="98">
        <f>'Cash Flow %s Yr2'!M70</f>
        <v>0.1</v>
      </c>
      <c r="N70" s="98">
        <f>'Cash Flow %s Yr2'!N70</f>
        <v>0.1</v>
      </c>
      <c r="O70" s="98">
        <f>'Cash Flow %s Yr2'!O70</f>
        <v>0.1</v>
      </c>
      <c r="P70" s="98">
        <f>'Cash Flow %s Yr2'!P70</f>
        <v>0</v>
      </c>
      <c r="Q70" s="98">
        <f>'Cash Flow %s Yr2'!Q70</f>
        <v>0</v>
      </c>
      <c r="R70" s="98">
        <f>'Cash Flow %s Yr2'!R70</f>
        <v>0</v>
      </c>
      <c r="S70" s="97">
        <f t="shared" si="5"/>
        <v>0.99999999999999989</v>
      </c>
    </row>
    <row r="71" spans="1:19" s="31" customFormat="1" x14ac:dyDescent="0.75">
      <c r="A71" s="35"/>
      <c r="B71" s="65" t="str">
        <f>'Expenses w MYP'!C26</f>
        <v>2900</v>
      </c>
      <c r="C71" s="65" t="str">
        <f>'Expenses w MYP'!D26</f>
        <v>Other Classified Salaries</v>
      </c>
      <c r="D71" s="98">
        <f>'Cash Flow %s Yr2'!D71</f>
        <v>0</v>
      </c>
      <c r="E71" s="98">
        <f>'Cash Flow %s Yr2'!E71</f>
        <v>0</v>
      </c>
      <c r="F71" s="98">
        <f>'Cash Flow %s Yr2'!F71</f>
        <v>0.1</v>
      </c>
      <c r="G71" s="98">
        <f>'Cash Flow %s Yr2'!G71</f>
        <v>0.1</v>
      </c>
      <c r="H71" s="98">
        <f>'Cash Flow %s Yr2'!H71</f>
        <v>0.1</v>
      </c>
      <c r="I71" s="98">
        <f>'Cash Flow %s Yr2'!I71</f>
        <v>0.1</v>
      </c>
      <c r="J71" s="98">
        <f>'Cash Flow %s Yr2'!J71</f>
        <v>0.1</v>
      </c>
      <c r="K71" s="98">
        <f>'Cash Flow %s Yr2'!K71</f>
        <v>0.1</v>
      </c>
      <c r="L71" s="98">
        <f>'Cash Flow %s Yr2'!L71</f>
        <v>0.1</v>
      </c>
      <c r="M71" s="98">
        <f>'Cash Flow %s Yr2'!M71</f>
        <v>0.1</v>
      </c>
      <c r="N71" s="98">
        <f>'Cash Flow %s Yr2'!N71</f>
        <v>0.1</v>
      </c>
      <c r="O71" s="98">
        <f>'Cash Flow %s Yr2'!O71</f>
        <v>0.1</v>
      </c>
      <c r="P71" s="98">
        <f>'Cash Flow %s Yr2'!P71</f>
        <v>0</v>
      </c>
      <c r="Q71" s="98">
        <f>'Cash Flow %s Yr2'!Q71</f>
        <v>0</v>
      </c>
      <c r="R71" s="98">
        <f>'Cash Flow %s Yr2'!R71</f>
        <v>0</v>
      </c>
      <c r="S71" s="97">
        <f t="shared" si="5"/>
        <v>0.99999999999999989</v>
      </c>
    </row>
    <row r="72" spans="1:19" s="31" customFormat="1" x14ac:dyDescent="0.75">
      <c r="A72" s="35"/>
      <c r="B72" s="65" t="str">
        <f>'Expenses w MYP'!C27</f>
        <v>2905</v>
      </c>
      <c r="C72" s="65" t="str">
        <f>'Expenses w MYP'!D27</f>
        <v>Other Stipends</v>
      </c>
      <c r="D72" s="98">
        <f>'Cash Flow %s Yr2'!D72</f>
        <v>0</v>
      </c>
      <c r="E72" s="98">
        <f>'Cash Flow %s Yr2'!E72</f>
        <v>0</v>
      </c>
      <c r="F72" s="98">
        <f>'Cash Flow %s Yr2'!F72</f>
        <v>0.1</v>
      </c>
      <c r="G72" s="98">
        <f>'Cash Flow %s Yr2'!G72</f>
        <v>0.1</v>
      </c>
      <c r="H72" s="98">
        <f>'Cash Flow %s Yr2'!H72</f>
        <v>0.1</v>
      </c>
      <c r="I72" s="98">
        <f>'Cash Flow %s Yr2'!I72</f>
        <v>0.1</v>
      </c>
      <c r="J72" s="98">
        <f>'Cash Flow %s Yr2'!J72</f>
        <v>0.1</v>
      </c>
      <c r="K72" s="98">
        <f>'Cash Flow %s Yr2'!K72</f>
        <v>0.1</v>
      </c>
      <c r="L72" s="98">
        <f>'Cash Flow %s Yr2'!L72</f>
        <v>0.1</v>
      </c>
      <c r="M72" s="98">
        <f>'Cash Flow %s Yr2'!M72</f>
        <v>0.1</v>
      </c>
      <c r="N72" s="98">
        <f>'Cash Flow %s Yr2'!N72</f>
        <v>0.1</v>
      </c>
      <c r="O72" s="98">
        <f>'Cash Flow %s Yr2'!O72</f>
        <v>0.1</v>
      </c>
      <c r="P72" s="98">
        <f>'Cash Flow %s Yr2'!P72</f>
        <v>0</v>
      </c>
      <c r="Q72" s="98">
        <f>'Cash Flow %s Yr2'!Q72</f>
        <v>0</v>
      </c>
      <c r="R72" s="98">
        <f>'Cash Flow %s Yr2'!R72</f>
        <v>0</v>
      </c>
      <c r="S72" s="97">
        <f t="shared" si="5"/>
        <v>0.99999999999999989</v>
      </c>
    </row>
    <row r="73" spans="1:19" s="31" customFormat="1" x14ac:dyDescent="0.75">
      <c r="A73" s="35"/>
      <c r="B73" s="65" t="str">
        <f>'Expenses w MYP'!C28</f>
        <v>2910</v>
      </c>
      <c r="C73" s="65" t="str">
        <f>'Expenses w MYP'!D28</f>
        <v>Other Classified Overtime</v>
      </c>
      <c r="D73" s="98">
        <f>'Cash Flow %s Yr2'!D73</f>
        <v>0</v>
      </c>
      <c r="E73" s="98">
        <f>'Cash Flow %s Yr2'!E73</f>
        <v>0</v>
      </c>
      <c r="F73" s="98">
        <f>'Cash Flow %s Yr2'!F73</f>
        <v>0.1</v>
      </c>
      <c r="G73" s="98">
        <f>'Cash Flow %s Yr2'!G73</f>
        <v>0.1</v>
      </c>
      <c r="H73" s="98">
        <f>'Cash Flow %s Yr2'!H73</f>
        <v>0.1</v>
      </c>
      <c r="I73" s="98">
        <f>'Cash Flow %s Yr2'!I73</f>
        <v>0.1</v>
      </c>
      <c r="J73" s="98">
        <f>'Cash Flow %s Yr2'!J73</f>
        <v>0.1</v>
      </c>
      <c r="K73" s="98">
        <f>'Cash Flow %s Yr2'!K73</f>
        <v>0.1</v>
      </c>
      <c r="L73" s="98">
        <f>'Cash Flow %s Yr2'!L73</f>
        <v>0.1</v>
      </c>
      <c r="M73" s="98">
        <f>'Cash Flow %s Yr2'!M73</f>
        <v>0.1</v>
      </c>
      <c r="N73" s="98">
        <f>'Cash Flow %s Yr2'!N73</f>
        <v>0.1</v>
      </c>
      <c r="O73" s="98">
        <f>'Cash Flow %s Yr2'!O73</f>
        <v>0.1</v>
      </c>
      <c r="P73" s="98">
        <f>'Cash Flow %s Yr2'!P73</f>
        <v>0</v>
      </c>
      <c r="Q73" s="98">
        <f>'Cash Flow %s Yr2'!Q73</f>
        <v>0</v>
      </c>
      <c r="R73" s="98">
        <f>'Cash Flow %s Yr2'!R73</f>
        <v>0</v>
      </c>
      <c r="S73" s="97">
        <f t="shared" si="5"/>
        <v>0.99999999999999989</v>
      </c>
    </row>
    <row r="74" spans="1:19" s="31" customFormat="1" x14ac:dyDescent="0.75">
      <c r="A74" s="35"/>
      <c r="B74" s="39"/>
      <c r="C74" s="2"/>
      <c r="D74" s="88"/>
      <c r="E74" s="88"/>
      <c r="F74" s="105"/>
      <c r="G74" s="105"/>
      <c r="H74" s="105"/>
      <c r="I74" s="105"/>
      <c r="J74" s="105"/>
      <c r="K74" s="105"/>
      <c r="L74" s="105"/>
      <c r="M74" s="105"/>
      <c r="N74" s="105"/>
      <c r="O74" s="105"/>
      <c r="P74" s="88"/>
      <c r="Q74" s="88"/>
      <c r="R74" s="88"/>
      <c r="S74" s="97"/>
    </row>
    <row r="75" spans="1:19" s="31" customFormat="1" x14ac:dyDescent="0.75">
      <c r="A75" s="35"/>
      <c r="B75" s="39"/>
      <c r="C75" s="2"/>
      <c r="D75" s="88"/>
      <c r="E75" s="88"/>
      <c r="F75" s="88"/>
      <c r="G75" s="88"/>
      <c r="H75" s="88"/>
      <c r="I75" s="88"/>
      <c r="J75" s="88"/>
      <c r="K75" s="88"/>
      <c r="L75" s="88"/>
      <c r="M75" s="88"/>
      <c r="N75" s="88"/>
      <c r="O75" s="88"/>
      <c r="P75" s="88"/>
      <c r="Q75" s="88"/>
      <c r="R75" s="88"/>
      <c r="S75" s="97"/>
    </row>
    <row r="76" spans="1:19" s="31" customFormat="1" x14ac:dyDescent="0.75">
      <c r="B76" s="34" t="s">
        <v>733</v>
      </c>
      <c r="C76" s="2"/>
      <c r="D76" s="88"/>
      <c r="E76" s="88"/>
      <c r="F76" s="88"/>
      <c r="G76" s="88"/>
      <c r="H76" s="88"/>
      <c r="I76" s="88"/>
      <c r="J76" s="88"/>
      <c r="K76" s="88"/>
      <c r="L76" s="88"/>
      <c r="M76" s="88"/>
      <c r="N76" s="88"/>
      <c r="O76" s="88"/>
      <c r="P76" s="88"/>
      <c r="Q76" s="88"/>
      <c r="R76" s="88"/>
      <c r="S76" s="97"/>
    </row>
    <row r="77" spans="1:19" s="31" customFormat="1" x14ac:dyDescent="0.75">
      <c r="A77" s="35"/>
      <c r="B77" s="65" t="str">
        <f>'Expenses w MYP'!C32</f>
        <v>3101</v>
      </c>
      <c r="C77" s="65" t="str">
        <f>'Expenses w MYP'!D32</f>
        <v>State Teachers' Retirement System, certificated positions</v>
      </c>
      <c r="D77" s="98">
        <f>'Cash Flow %s Yr2'!D77</f>
        <v>0.02</v>
      </c>
      <c r="E77" s="98">
        <f>'Cash Flow %s Yr2'!E77</f>
        <v>0.02</v>
      </c>
      <c r="F77" s="98">
        <f>'Cash Flow %s Yr2'!F77</f>
        <v>0.1</v>
      </c>
      <c r="G77" s="98">
        <f>'Cash Flow %s Yr2'!G77</f>
        <v>0.1</v>
      </c>
      <c r="H77" s="98">
        <f>'Cash Flow %s Yr2'!H77</f>
        <v>0.1</v>
      </c>
      <c r="I77" s="98">
        <f>'Cash Flow %s Yr2'!I77</f>
        <v>0.1</v>
      </c>
      <c r="J77" s="98">
        <f>'Cash Flow %s Yr2'!J77</f>
        <v>0.1</v>
      </c>
      <c r="K77" s="98">
        <f>'Cash Flow %s Yr2'!K77</f>
        <v>0.1</v>
      </c>
      <c r="L77" s="98">
        <f>'Cash Flow %s Yr2'!L77</f>
        <v>0.1</v>
      </c>
      <c r="M77" s="98">
        <f>'Cash Flow %s Yr2'!M77</f>
        <v>0.1</v>
      </c>
      <c r="N77" s="98">
        <f>'Cash Flow %s Yr2'!N77</f>
        <v>0.1</v>
      </c>
      <c r="O77" s="98">
        <f>'Cash Flow %s Yr2'!O77</f>
        <v>0.06</v>
      </c>
      <c r="P77" s="98">
        <f>'Cash Flow %s Yr2'!P77</f>
        <v>0</v>
      </c>
      <c r="Q77" s="98">
        <f>'Cash Flow %s Yr2'!Q77</f>
        <v>0</v>
      </c>
      <c r="R77" s="98">
        <f>'Cash Flow %s Yr2'!R77</f>
        <v>0</v>
      </c>
      <c r="S77" s="97">
        <f t="shared" ref="S77:S85" si="6">SUM(D77:R77)</f>
        <v>1</v>
      </c>
    </row>
    <row r="78" spans="1:19" s="31" customFormat="1" x14ac:dyDescent="0.75">
      <c r="A78" s="35"/>
      <c r="B78" s="65" t="str">
        <f>'Expenses w MYP'!C45</f>
        <v>3602</v>
      </c>
      <c r="C78" s="65" t="str">
        <f>'Expenses w MYP'!D45</f>
        <v>Worker's Comp - Classified</v>
      </c>
      <c r="D78" s="98">
        <f>'Cash Flow %s Yr2'!D78</f>
        <v>0.02</v>
      </c>
      <c r="E78" s="98">
        <f>'Cash Flow %s Yr2'!E78</f>
        <v>0.02</v>
      </c>
      <c r="F78" s="98">
        <f>'Cash Flow %s Yr2'!F78</f>
        <v>0.1</v>
      </c>
      <c r="G78" s="98">
        <f>'Cash Flow %s Yr2'!G78</f>
        <v>0.1</v>
      </c>
      <c r="H78" s="98">
        <f>'Cash Flow %s Yr2'!H78</f>
        <v>0.1</v>
      </c>
      <c r="I78" s="98">
        <f>'Cash Flow %s Yr2'!I78</f>
        <v>0.1</v>
      </c>
      <c r="J78" s="98">
        <f>'Cash Flow %s Yr2'!J78</f>
        <v>0.1</v>
      </c>
      <c r="K78" s="98">
        <f>'Cash Flow %s Yr2'!K78</f>
        <v>0.1</v>
      </c>
      <c r="L78" s="98">
        <f>'Cash Flow %s Yr2'!L78</f>
        <v>0.1</v>
      </c>
      <c r="M78" s="98">
        <f>'Cash Flow %s Yr2'!M78</f>
        <v>0.1</v>
      </c>
      <c r="N78" s="98">
        <f>'Cash Flow %s Yr2'!N78</f>
        <v>0.1</v>
      </c>
      <c r="O78" s="98">
        <f>'Cash Flow %s Yr2'!O78</f>
        <v>0.06</v>
      </c>
      <c r="P78" s="98">
        <f>'Cash Flow %s Yr2'!P78</f>
        <v>0</v>
      </c>
      <c r="Q78" s="98">
        <f>'Cash Flow %s Yr2'!Q78</f>
        <v>0</v>
      </c>
      <c r="R78" s="98">
        <f>'Cash Flow %s Yr2'!R78</f>
        <v>0</v>
      </c>
      <c r="S78" s="97">
        <f t="shared" si="6"/>
        <v>1</v>
      </c>
    </row>
    <row r="79" spans="1:19" s="31" customFormat="1" x14ac:dyDescent="0.75">
      <c r="A79" s="35"/>
      <c r="B79" s="65" t="str">
        <f>'Expenses w MYP'!C46</f>
        <v>3603</v>
      </c>
      <c r="C79" s="65" t="str">
        <f>'Expenses w MYP'!D46</f>
        <v>Worker Compensation Insurance</v>
      </c>
      <c r="D79" s="98">
        <f>'Cash Flow %s Yr2'!D79</f>
        <v>0.02</v>
      </c>
      <c r="E79" s="98">
        <f>'Cash Flow %s Yr2'!E79</f>
        <v>0.02</v>
      </c>
      <c r="F79" s="98">
        <f>'Cash Flow %s Yr2'!F79</f>
        <v>0.1</v>
      </c>
      <c r="G79" s="98">
        <f>'Cash Flow %s Yr2'!G79</f>
        <v>0.1</v>
      </c>
      <c r="H79" s="98">
        <f>'Cash Flow %s Yr2'!H79</f>
        <v>0.1</v>
      </c>
      <c r="I79" s="98">
        <f>'Cash Flow %s Yr2'!I79</f>
        <v>0.1</v>
      </c>
      <c r="J79" s="98">
        <f>'Cash Flow %s Yr2'!J79</f>
        <v>0.1</v>
      </c>
      <c r="K79" s="98">
        <f>'Cash Flow %s Yr2'!K79</f>
        <v>0.1</v>
      </c>
      <c r="L79" s="98">
        <f>'Cash Flow %s Yr2'!L79</f>
        <v>0.1</v>
      </c>
      <c r="M79" s="98">
        <f>'Cash Flow %s Yr2'!M79</f>
        <v>0.1</v>
      </c>
      <c r="N79" s="98">
        <f>'Cash Flow %s Yr2'!N79</f>
        <v>0.1</v>
      </c>
      <c r="O79" s="98">
        <f>'Cash Flow %s Yr2'!O79</f>
        <v>0.06</v>
      </c>
      <c r="P79" s="98">
        <f>'Cash Flow %s Yr2'!P79</f>
        <v>0</v>
      </c>
      <c r="Q79" s="98">
        <f>'Cash Flow %s Yr2'!Q79</f>
        <v>0</v>
      </c>
      <c r="R79" s="98">
        <f>'Cash Flow %s Yr2'!R79</f>
        <v>0</v>
      </c>
      <c r="S79" s="97">
        <f t="shared" si="6"/>
        <v>1</v>
      </c>
    </row>
    <row r="80" spans="1:19" s="31" customFormat="1" x14ac:dyDescent="0.75">
      <c r="A80" s="35"/>
      <c r="B80" s="65" t="str">
        <f>'Expenses w MYP'!C47</f>
        <v>3703</v>
      </c>
      <c r="C80" s="65">
        <f>'Expenses w MYP'!D47</f>
        <v>0</v>
      </c>
      <c r="D80" s="98">
        <f>'Cash Flow %s Yr2'!D80</f>
        <v>0.02</v>
      </c>
      <c r="E80" s="98">
        <f>'Cash Flow %s Yr2'!E80</f>
        <v>0.02</v>
      </c>
      <c r="F80" s="98">
        <f>'Cash Flow %s Yr2'!F80</f>
        <v>0.1</v>
      </c>
      <c r="G80" s="98">
        <f>'Cash Flow %s Yr2'!G80</f>
        <v>0.1</v>
      </c>
      <c r="H80" s="98">
        <f>'Cash Flow %s Yr2'!H80</f>
        <v>0.1</v>
      </c>
      <c r="I80" s="98">
        <f>'Cash Flow %s Yr2'!I80</f>
        <v>0.1</v>
      </c>
      <c r="J80" s="98">
        <f>'Cash Flow %s Yr2'!J80</f>
        <v>0.1</v>
      </c>
      <c r="K80" s="98">
        <f>'Cash Flow %s Yr2'!K80</f>
        <v>0.1</v>
      </c>
      <c r="L80" s="98">
        <f>'Cash Flow %s Yr2'!L80</f>
        <v>0.1</v>
      </c>
      <c r="M80" s="98">
        <f>'Cash Flow %s Yr2'!M80</f>
        <v>0.1</v>
      </c>
      <c r="N80" s="98">
        <f>'Cash Flow %s Yr2'!N80</f>
        <v>0.1</v>
      </c>
      <c r="O80" s="98">
        <f>'Cash Flow %s Yr2'!O80</f>
        <v>0.06</v>
      </c>
      <c r="P80" s="98">
        <f>'Cash Flow %s Yr2'!P80</f>
        <v>0</v>
      </c>
      <c r="Q80" s="98">
        <f>'Cash Flow %s Yr2'!Q80</f>
        <v>0</v>
      </c>
      <c r="R80" s="98">
        <f>'Cash Flow %s Yr2'!R80</f>
        <v>0</v>
      </c>
      <c r="S80" s="97">
        <f t="shared" si="6"/>
        <v>1</v>
      </c>
    </row>
    <row r="81" spans="1:19" s="31" customFormat="1" x14ac:dyDescent="0.75">
      <c r="A81" s="35"/>
      <c r="B81" s="65" t="str">
        <f>'Expenses w MYP'!C48</f>
        <v>3901</v>
      </c>
      <c r="C81" s="65" t="str">
        <f>'Expenses w MYP'!D48</f>
        <v>Other Employee Benefits - Certificated</v>
      </c>
      <c r="D81" s="98">
        <f>'Cash Flow %s Yr2'!D81</f>
        <v>0.02</v>
      </c>
      <c r="E81" s="98">
        <f>'Cash Flow %s Yr2'!E81</f>
        <v>0.02</v>
      </c>
      <c r="F81" s="98">
        <f>'Cash Flow %s Yr2'!F81</f>
        <v>0.1</v>
      </c>
      <c r="G81" s="98">
        <f>'Cash Flow %s Yr2'!G81</f>
        <v>0.1</v>
      </c>
      <c r="H81" s="98">
        <f>'Cash Flow %s Yr2'!H81</f>
        <v>0.1</v>
      </c>
      <c r="I81" s="98">
        <f>'Cash Flow %s Yr2'!I81</f>
        <v>0.1</v>
      </c>
      <c r="J81" s="98">
        <f>'Cash Flow %s Yr2'!J81</f>
        <v>0.1</v>
      </c>
      <c r="K81" s="98">
        <f>'Cash Flow %s Yr2'!K81</f>
        <v>0.1</v>
      </c>
      <c r="L81" s="98">
        <f>'Cash Flow %s Yr2'!L81</f>
        <v>0.1</v>
      </c>
      <c r="M81" s="98">
        <f>'Cash Flow %s Yr2'!M81</f>
        <v>0.1</v>
      </c>
      <c r="N81" s="98">
        <f>'Cash Flow %s Yr2'!N81</f>
        <v>0.1</v>
      </c>
      <c r="O81" s="98">
        <f>'Cash Flow %s Yr2'!O81</f>
        <v>0.06</v>
      </c>
      <c r="P81" s="98">
        <f>'Cash Flow %s Yr2'!P81</f>
        <v>0</v>
      </c>
      <c r="Q81" s="98">
        <f>'Cash Flow %s Yr2'!Q81</f>
        <v>0</v>
      </c>
      <c r="R81" s="98">
        <f>'Cash Flow %s Yr2'!R81</f>
        <v>0</v>
      </c>
      <c r="S81" s="97">
        <f t="shared" si="6"/>
        <v>1</v>
      </c>
    </row>
    <row r="82" spans="1:19" s="31" customFormat="1" x14ac:dyDescent="0.75">
      <c r="A82" s="35"/>
      <c r="B82" s="65" t="str">
        <f>'Expenses w MYP'!C49</f>
        <v>3902</v>
      </c>
      <c r="C82" s="65" t="str">
        <f>'Expenses w MYP'!D49</f>
        <v>Other Employee Benefits - Classified</v>
      </c>
      <c r="D82" s="98">
        <f>'Cash Flow %s Yr2'!D82</f>
        <v>0.02</v>
      </c>
      <c r="E82" s="98">
        <f>'Cash Flow %s Yr2'!E82</f>
        <v>0.02</v>
      </c>
      <c r="F82" s="98">
        <f>'Cash Flow %s Yr2'!F82</f>
        <v>0.1</v>
      </c>
      <c r="G82" s="98">
        <f>'Cash Flow %s Yr2'!G82</f>
        <v>0.1</v>
      </c>
      <c r="H82" s="98">
        <f>'Cash Flow %s Yr2'!H82</f>
        <v>0.1</v>
      </c>
      <c r="I82" s="98">
        <f>'Cash Flow %s Yr2'!I82</f>
        <v>0.1</v>
      </c>
      <c r="J82" s="98">
        <f>'Cash Flow %s Yr2'!J82</f>
        <v>0.1</v>
      </c>
      <c r="K82" s="98">
        <f>'Cash Flow %s Yr2'!K82</f>
        <v>0.1</v>
      </c>
      <c r="L82" s="98">
        <f>'Cash Flow %s Yr2'!L82</f>
        <v>0.1</v>
      </c>
      <c r="M82" s="98">
        <f>'Cash Flow %s Yr2'!M82</f>
        <v>0.1</v>
      </c>
      <c r="N82" s="98">
        <f>'Cash Flow %s Yr2'!N82</f>
        <v>0.1</v>
      </c>
      <c r="O82" s="98">
        <f>'Cash Flow %s Yr2'!O82</f>
        <v>0.06</v>
      </c>
      <c r="P82" s="98">
        <f>'Cash Flow %s Yr2'!P82</f>
        <v>0</v>
      </c>
      <c r="Q82" s="98">
        <f>'Cash Flow %s Yr2'!Q82</f>
        <v>0</v>
      </c>
      <c r="R82" s="98">
        <f>'Cash Flow %s Yr2'!R82</f>
        <v>0</v>
      </c>
      <c r="S82" s="97">
        <f t="shared" si="6"/>
        <v>1</v>
      </c>
    </row>
    <row r="83" spans="1:19" s="31" customFormat="1" x14ac:dyDescent="0.75">
      <c r="A83" s="35"/>
      <c r="B83" s="65" t="str">
        <f>'Expenses w MYP'!C50</f>
        <v>3903</v>
      </c>
      <c r="C83" s="65" t="str">
        <f>'Expenses w MYP'!D50</f>
        <v>Other Post Employment Benefits</v>
      </c>
      <c r="D83" s="98">
        <f>'Cash Flow %s Yr2'!D83</f>
        <v>0.02</v>
      </c>
      <c r="E83" s="98">
        <f>'Cash Flow %s Yr2'!E83</f>
        <v>0.02</v>
      </c>
      <c r="F83" s="98">
        <f>'Cash Flow %s Yr2'!F83</f>
        <v>0.1</v>
      </c>
      <c r="G83" s="98">
        <f>'Cash Flow %s Yr2'!G83</f>
        <v>0.1</v>
      </c>
      <c r="H83" s="98">
        <f>'Cash Flow %s Yr2'!H83</f>
        <v>0.1</v>
      </c>
      <c r="I83" s="98">
        <f>'Cash Flow %s Yr2'!I83</f>
        <v>0.1</v>
      </c>
      <c r="J83" s="98">
        <f>'Cash Flow %s Yr2'!J83</f>
        <v>0.1</v>
      </c>
      <c r="K83" s="98">
        <f>'Cash Flow %s Yr2'!K83</f>
        <v>0.1</v>
      </c>
      <c r="L83" s="98">
        <f>'Cash Flow %s Yr2'!L83</f>
        <v>0.1</v>
      </c>
      <c r="M83" s="98">
        <f>'Cash Flow %s Yr2'!M83</f>
        <v>0.1</v>
      </c>
      <c r="N83" s="98">
        <f>'Cash Flow %s Yr2'!N83</f>
        <v>0.1</v>
      </c>
      <c r="O83" s="98">
        <f>'Cash Flow %s Yr2'!O83</f>
        <v>0.06</v>
      </c>
      <c r="P83" s="98">
        <f>'Cash Flow %s Yr2'!P83</f>
        <v>0</v>
      </c>
      <c r="Q83" s="98">
        <f>'Cash Flow %s Yr2'!Q83</f>
        <v>0</v>
      </c>
      <c r="R83" s="98">
        <f>'Cash Flow %s Yr2'!R83</f>
        <v>0</v>
      </c>
      <c r="S83" s="97">
        <f t="shared" si="6"/>
        <v>1</v>
      </c>
    </row>
    <row r="84" spans="1:19" s="31" customFormat="1" x14ac:dyDescent="0.75">
      <c r="A84" s="35"/>
      <c r="B84" s="65">
        <f>'Expenses w MYP'!C51</f>
        <v>0</v>
      </c>
      <c r="C84" s="65">
        <f>'Expenses w MYP'!D51</f>
        <v>0</v>
      </c>
      <c r="D84" s="98">
        <f>'Cash Flow %s Yr2'!D84</f>
        <v>0.02</v>
      </c>
      <c r="E84" s="98">
        <f>'Cash Flow %s Yr2'!E84</f>
        <v>0.02</v>
      </c>
      <c r="F84" s="98">
        <f>'Cash Flow %s Yr2'!F84</f>
        <v>0.1</v>
      </c>
      <c r="G84" s="98">
        <f>'Cash Flow %s Yr2'!G84</f>
        <v>0.1</v>
      </c>
      <c r="H84" s="98">
        <f>'Cash Flow %s Yr2'!H84</f>
        <v>0.1</v>
      </c>
      <c r="I84" s="98">
        <f>'Cash Flow %s Yr2'!I84</f>
        <v>0.1</v>
      </c>
      <c r="J84" s="98">
        <f>'Cash Flow %s Yr2'!J84</f>
        <v>0.1</v>
      </c>
      <c r="K84" s="98">
        <f>'Cash Flow %s Yr2'!K84</f>
        <v>0.1</v>
      </c>
      <c r="L84" s="98">
        <f>'Cash Flow %s Yr2'!L84</f>
        <v>0.1</v>
      </c>
      <c r="M84" s="98">
        <f>'Cash Flow %s Yr2'!M84</f>
        <v>0.1</v>
      </c>
      <c r="N84" s="98">
        <f>'Cash Flow %s Yr2'!N84</f>
        <v>0.1</v>
      </c>
      <c r="O84" s="98">
        <f>'Cash Flow %s Yr2'!O84</f>
        <v>0.06</v>
      </c>
      <c r="P84" s="98">
        <f>'Cash Flow %s Yr2'!P84</f>
        <v>0</v>
      </c>
      <c r="Q84" s="98">
        <f>'Cash Flow %s Yr2'!Q84</f>
        <v>0</v>
      </c>
      <c r="R84" s="98">
        <f>'Cash Flow %s Yr2'!R84</f>
        <v>0</v>
      </c>
      <c r="S84" s="97">
        <f t="shared" si="6"/>
        <v>1</v>
      </c>
    </row>
    <row r="85" spans="1:19" s="31" customFormat="1" x14ac:dyDescent="0.75">
      <c r="A85" s="35"/>
      <c r="B85" s="65">
        <f>'Expenses w MYP'!C52</f>
        <v>0</v>
      </c>
      <c r="C85" s="65">
        <f>'Expenses w MYP'!D52</f>
        <v>0</v>
      </c>
      <c r="D85" s="98">
        <f>'Cash Flow %s Yr2'!D85</f>
        <v>0.02</v>
      </c>
      <c r="E85" s="98">
        <f>'Cash Flow %s Yr2'!E85</f>
        <v>0.02</v>
      </c>
      <c r="F85" s="98">
        <f>'Cash Flow %s Yr2'!F85</f>
        <v>0.1</v>
      </c>
      <c r="G85" s="98">
        <f>'Cash Flow %s Yr2'!G85</f>
        <v>0.1</v>
      </c>
      <c r="H85" s="98">
        <f>'Cash Flow %s Yr2'!H85</f>
        <v>0.1</v>
      </c>
      <c r="I85" s="98">
        <f>'Cash Flow %s Yr2'!I85</f>
        <v>0.1</v>
      </c>
      <c r="J85" s="98">
        <f>'Cash Flow %s Yr2'!J85</f>
        <v>0.1</v>
      </c>
      <c r="K85" s="98">
        <f>'Cash Flow %s Yr2'!K85</f>
        <v>0.1</v>
      </c>
      <c r="L85" s="98">
        <f>'Cash Flow %s Yr2'!L85</f>
        <v>0.1</v>
      </c>
      <c r="M85" s="98">
        <f>'Cash Flow %s Yr2'!M85</f>
        <v>0.1</v>
      </c>
      <c r="N85" s="98">
        <f>'Cash Flow %s Yr2'!N85</f>
        <v>0.1</v>
      </c>
      <c r="O85" s="98">
        <f>'Cash Flow %s Yr2'!O85</f>
        <v>0.06</v>
      </c>
      <c r="P85" s="98">
        <f>'Cash Flow %s Yr2'!P85</f>
        <v>0</v>
      </c>
      <c r="Q85" s="98">
        <f>'Cash Flow %s Yr2'!Q85</f>
        <v>0</v>
      </c>
      <c r="R85" s="98">
        <f>'Cash Flow %s Yr2'!R85</f>
        <v>0</v>
      </c>
      <c r="S85" s="97">
        <f t="shared" si="6"/>
        <v>1</v>
      </c>
    </row>
    <row r="86" spans="1:19" s="31" customFormat="1" x14ac:dyDescent="0.75">
      <c r="A86" s="35"/>
      <c r="B86" s="5"/>
      <c r="C86" s="5"/>
      <c r="D86" s="108"/>
      <c r="E86" s="108"/>
      <c r="F86" s="108"/>
      <c r="G86" s="108"/>
      <c r="H86" s="108"/>
      <c r="I86" s="108"/>
      <c r="J86" s="108"/>
      <c r="K86" s="108"/>
      <c r="L86" s="108"/>
      <c r="M86" s="108"/>
      <c r="N86" s="108"/>
      <c r="O86" s="108"/>
      <c r="P86" s="88"/>
      <c r="Q86" s="88"/>
      <c r="R86" s="88"/>
      <c r="S86" s="97"/>
    </row>
    <row r="87" spans="1:19" s="31" customFormat="1" x14ac:dyDescent="0.75">
      <c r="A87" s="35"/>
      <c r="B87" s="39"/>
      <c r="C87" s="1"/>
      <c r="D87" s="84"/>
      <c r="E87" s="84"/>
      <c r="F87" s="84"/>
      <c r="G87" s="84"/>
      <c r="H87" s="84"/>
      <c r="I87" s="84"/>
      <c r="J87" s="84"/>
      <c r="K87" s="84"/>
      <c r="L87" s="84"/>
      <c r="M87" s="84"/>
      <c r="N87" s="84"/>
      <c r="O87" s="84"/>
      <c r="P87" s="84"/>
      <c r="Q87" s="84"/>
      <c r="R87" s="84"/>
      <c r="S87" s="97"/>
    </row>
    <row r="88" spans="1:19" s="31" customFormat="1" x14ac:dyDescent="0.75">
      <c r="B88" s="34" t="s">
        <v>676</v>
      </c>
      <c r="C88" s="2"/>
      <c r="D88" s="84"/>
      <c r="E88" s="84"/>
      <c r="F88" s="84"/>
      <c r="G88" s="84"/>
      <c r="H88" s="84"/>
      <c r="I88" s="84"/>
      <c r="J88" s="84"/>
      <c r="K88" s="84"/>
      <c r="L88" s="84"/>
      <c r="M88" s="84"/>
      <c r="N88" s="84"/>
      <c r="O88" s="84"/>
      <c r="P88" s="84"/>
      <c r="Q88" s="84"/>
      <c r="R88" s="84"/>
      <c r="S88" s="97"/>
    </row>
    <row r="89" spans="1:19" s="31" customFormat="1" x14ac:dyDescent="0.75">
      <c r="A89" s="35"/>
      <c r="B89" s="64" t="str">
        <f>'Expenses w MYP'!C58</f>
        <v>4100</v>
      </c>
      <c r="C89" s="64" t="str">
        <f>'Expenses w MYP'!D58</f>
        <v>Approved Textbooks and Core Curricula Materials</v>
      </c>
      <c r="D89" s="98">
        <f>'Cash Flow %s Yr2'!D89</f>
        <v>0</v>
      </c>
      <c r="E89" s="98">
        <f>'Cash Flow %s Yr2'!E89</f>
        <v>0</v>
      </c>
      <c r="F89" s="98">
        <f>'Cash Flow %s Yr2'!F89</f>
        <v>0.6</v>
      </c>
      <c r="G89" s="98">
        <f>'Cash Flow %s Yr2'!G89</f>
        <v>0</v>
      </c>
      <c r="H89" s="98">
        <f>'Cash Flow %s Yr2'!H89</f>
        <v>0</v>
      </c>
      <c r="I89" s="98">
        <f>'Cash Flow %s Yr2'!I89</f>
        <v>0</v>
      </c>
      <c r="J89" s="98">
        <f>'Cash Flow %s Yr2'!J89</f>
        <v>0.4</v>
      </c>
      <c r="K89" s="98">
        <f>'Cash Flow %s Yr2'!K89</f>
        <v>0</v>
      </c>
      <c r="L89" s="98">
        <f>'Cash Flow %s Yr2'!L89</f>
        <v>0</v>
      </c>
      <c r="M89" s="98">
        <f>'Cash Flow %s Yr2'!M89</f>
        <v>0</v>
      </c>
      <c r="N89" s="98">
        <f>'Cash Flow %s Yr2'!N89</f>
        <v>0</v>
      </c>
      <c r="O89" s="98">
        <f>'Cash Flow %s Yr2'!O89</f>
        <v>0</v>
      </c>
      <c r="P89" s="98">
        <f>'Cash Flow %s Yr2'!P89</f>
        <v>0</v>
      </c>
      <c r="Q89" s="98">
        <f>'Cash Flow %s Yr2'!Q89</f>
        <v>0</v>
      </c>
      <c r="R89" s="98">
        <f>'Cash Flow %s Yr2'!R89</f>
        <v>0</v>
      </c>
      <c r="S89" s="97">
        <f t="shared" ref="S89:S94" si="7">SUM(D89:R89)</f>
        <v>1</v>
      </c>
    </row>
    <row r="90" spans="1:19" x14ac:dyDescent="0.75">
      <c r="A90" s="35"/>
      <c r="B90" s="64" t="str">
        <f>'Expenses w MYP'!C61</f>
        <v>4200</v>
      </c>
      <c r="C90" s="64" t="str">
        <f>'Expenses w MYP'!D61</f>
        <v>Books and Other Reference Materials</v>
      </c>
      <c r="D90" s="98">
        <f>'Cash Flow %s Yr2'!D90</f>
        <v>0</v>
      </c>
      <c r="E90" s="98">
        <f>'Cash Flow %s Yr2'!E90</f>
        <v>0</v>
      </c>
      <c r="F90" s="98">
        <f>'Cash Flow %s Yr2'!F90</f>
        <v>0.3</v>
      </c>
      <c r="G90" s="98">
        <f>'Cash Flow %s Yr2'!G90</f>
        <v>0.1</v>
      </c>
      <c r="H90" s="98">
        <f>'Cash Flow %s Yr2'!H90</f>
        <v>0.1</v>
      </c>
      <c r="I90" s="98">
        <f>'Cash Flow %s Yr2'!I90</f>
        <v>0.1</v>
      </c>
      <c r="J90" s="98">
        <f>'Cash Flow %s Yr2'!J90</f>
        <v>0.1</v>
      </c>
      <c r="K90" s="98">
        <f>'Cash Flow %s Yr2'!K90</f>
        <v>0.1</v>
      </c>
      <c r="L90" s="98">
        <f>'Cash Flow %s Yr2'!L90</f>
        <v>0.1</v>
      </c>
      <c r="M90" s="98">
        <f>'Cash Flow %s Yr2'!M90</f>
        <v>0.1</v>
      </c>
      <c r="N90" s="98">
        <f>'Cash Flow %s Yr2'!N90</f>
        <v>0</v>
      </c>
      <c r="O90" s="98">
        <f>'Cash Flow %s Yr2'!O90</f>
        <v>0</v>
      </c>
      <c r="P90" s="98">
        <f>'Cash Flow %s Yr2'!P90</f>
        <v>0</v>
      </c>
      <c r="Q90" s="98">
        <f>'Cash Flow %s Yr2'!Q90</f>
        <v>0</v>
      </c>
      <c r="R90" s="98">
        <f>'Cash Flow %s Yr2'!R90</f>
        <v>0</v>
      </c>
      <c r="S90" s="97">
        <f t="shared" si="7"/>
        <v>0.99999999999999989</v>
      </c>
    </row>
    <row r="91" spans="1:19" x14ac:dyDescent="0.75">
      <c r="A91" s="35"/>
      <c r="B91" s="64" t="str">
        <f>'Expenses w MYP'!C63</f>
        <v>4300</v>
      </c>
      <c r="C91" s="64" t="str">
        <f>'Expenses w MYP'!D63</f>
        <v>Materials and Supplies</v>
      </c>
      <c r="D91" s="98">
        <f>'Cash Flow %s Yr2'!D91</f>
        <v>0</v>
      </c>
      <c r="E91" s="98">
        <f>'Cash Flow %s Yr2'!E91</f>
        <v>0</v>
      </c>
      <c r="F91" s="98">
        <f>'Cash Flow %s Yr2'!F91</f>
        <v>0.4</v>
      </c>
      <c r="G91" s="98">
        <f>'Cash Flow %s Yr2'!G91</f>
        <v>0.3</v>
      </c>
      <c r="H91" s="98">
        <f>'Cash Flow %s Yr2'!H91</f>
        <v>0</v>
      </c>
      <c r="I91" s="98">
        <f>'Cash Flow %s Yr2'!I91</f>
        <v>0</v>
      </c>
      <c r="J91" s="98">
        <f>'Cash Flow %s Yr2'!J91</f>
        <v>0.3</v>
      </c>
      <c r="K91" s="98">
        <f>'Cash Flow %s Yr2'!K91</f>
        <v>0</v>
      </c>
      <c r="L91" s="98">
        <f>'Cash Flow %s Yr2'!L91</f>
        <v>0</v>
      </c>
      <c r="M91" s="98">
        <f>'Cash Flow %s Yr2'!M91</f>
        <v>0</v>
      </c>
      <c r="N91" s="98">
        <f>'Cash Flow %s Yr2'!N91</f>
        <v>0</v>
      </c>
      <c r="O91" s="98">
        <f>'Cash Flow %s Yr2'!O91</f>
        <v>0</v>
      </c>
      <c r="P91" s="98">
        <f>'Cash Flow %s Yr2'!P91</f>
        <v>0</v>
      </c>
      <c r="Q91" s="98">
        <f>'Cash Flow %s Yr2'!Q91</f>
        <v>0</v>
      </c>
      <c r="R91" s="98">
        <f>'Cash Flow %s Yr2'!R91</f>
        <v>0</v>
      </c>
      <c r="S91" s="97">
        <f t="shared" si="7"/>
        <v>1</v>
      </c>
    </row>
    <row r="92" spans="1:19" x14ac:dyDescent="0.75">
      <c r="A92" s="35"/>
      <c r="B92" s="64" t="str">
        <f>'Expenses w MYP'!C64</f>
        <v>4315</v>
      </c>
      <c r="C92" s="64" t="str">
        <f>'Expenses w MYP'!D64</f>
        <v>Classroom Materials and Supplies</v>
      </c>
      <c r="D92" s="98">
        <f>'Cash Flow %s Yr2'!D92</f>
        <v>0</v>
      </c>
      <c r="E92" s="98">
        <f>'Cash Flow %s Yr2'!E92</f>
        <v>0</v>
      </c>
      <c r="F92" s="98">
        <f>'Cash Flow %s Yr2'!F92</f>
        <v>0.3</v>
      </c>
      <c r="G92" s="98">
        <f>'Cash Flow %s Yr2'!G92</f>
        <v>0.1</v>
      </c>
      <c r="H92" s="98">
        <f>'Cash Flow %s Yr2'!H92</f>
        <v>0.1</v>
      </c>
      <c r="I92" s="98">
        <f>'Cash Flow %s Yr2'!I92</f>
        <v>0.1</v>
      </c>
      <c r="J92" s="98">
        <f>'Cash Flow %s Yr2'!J92</f>
        <v>0.1</v>
      </c>
      <c r="K92" s="98">
        <f>'Cash Flow %s Yr2'!K92</f>
        <v>0.1</v>
      </c>
      <c r="L92" s="98">
        <f>'Cash Flow %s Yr2'!L92</f>
        <v>0.1</v>
      </c>
      <c r="M92" s="98">
        <f>'Cash Flow %s Yr2'!M92</f>
        <v>0.1</v>
      </c>
      <c r="N92" s="98">
        <f>'Cash Flow %s Yr2'!N92</f>
        <v>0</v>
      </c>
      <c r="O92" s="98">
        <f>'Cash Flow %s Yr2'!O92</f>
        <v>0</v>
      </c>
      <c r="P92" s="98">
        <f>'Cash Flow %s Yr2'!P92</f>
        <v>0</v>
      </c>
      <c r="Q92" s="98">
        <f>'Cash Flow %s Yr2'!Q92</f>
        <v>0</v>
      </c>
      <c r="R92" s="98">
        <f>'Cash Flow %s Yr2'!R92</f>
        <v>0</v>
      </c>
      <c r="S92" s="97">
        <f t="shared" si="7"/>
        <v>0.99999999999999989</v>
      </c>
    </row>
    <row r="93" spans="1:19" x14ac:dyDescent="0.75">
      <c r="A93" s="35"/>
      <c r="B93" s="64" t="str">
        <f>'Expenses w MYP'!C65</f>
        <v>4381</v>
      </c>
      <c r="C93" s="64" t="str">
        <f>'Expenses w MYP'!D65</f>
        <v>Materials for Plant &amp; Equipment</v>
      </c>
      <c r="D93" s="98">
        <f>'Cash Flow %s Yr2'!D93</f>
        <v>8.3000000000000004E-2</v>
      </c>
      <c r="E93" s="98">
        <f>'Cash Flow %s Yr2'!E93</f>
        <v>8.3000000000000004E-2</v>
      </c>
      <c r="F93" s="98">
        <f>'Cash Flow %s Yr2'!F93</f>
        <v>8.3000000000000004E-2</v>
      </c>
      <c r="G93" s="98">
        <f>'Cash Flow %s Yr2'!G93</f>
        <v>8.3000000000000004E-2</v>
      </c>
      <c r="H93" s="98">
        <f>'Cash Flow %s Yr2'!H93</f>
        <v>8.3000000000000004E-2</v>
      </c>
      <c r="I93" s="98">
        <f>'Cash Flow %s Yr2'!I93</f>
        <v>8.3000000000000004E-2</v>
      </c>
      <c r="J93" s="98">
        <f>'Cash Flow %s Yr2'!J93</f>
        <v>8.3000000000000004E-2</v>
      </c>
      <c r="K93" s="98">
        <f>'Cash Flow %s Yr2'!K93</f>
        <v>8.3000000000000004E-2</v>
      </c>
      <c r="L93" s="98">
        <f>'Cash Flow %s Yr2'!L93</f>
        <v>8.4000000000000005E-2</v>
      </c>
      <c r="M93" s="98">
        <f>'Cash Flow %s Yr2'!M93</f>
        <v>8.4000000000000005E-2</v>
      </c>
      <c r="N93" s="98">
        <f>'Cash Flow %s Yr2'!N93</f>
        <v>8.4000000000000005E-2</v>
      </c>
      <c r="O93" s="98">
        <f>'Cash Flow %s Yr2'!O93</f>
        <v>8.4000000000000005E-2</v>
      </c>
      <c r="P93" s="98">
        <f>'Cash Flow %s Yr2'!P93</f>
        <v>0</v>
      </c>
      <c r="Q93" s="98">
        <f>'Cash Flow %s Yr2'!Q93</f>
        <v>0</v>
      </c>
      <c r="R93" s="98">
        <f>'Cash Flow %s Yr2'!R93</f>
        <v>0</v>
      </c>
      <c r="S93" s="97">
        <f t="shared" si="7"/>
        <v>0.99999999999999989</v>
      </c>
    </row>
    <row r="94" spans="1:19" x14ac:dyDescent="0.75">
      <c r="A94" s="35"/>
      <c r="B94" s="64" t="str">
        <f>'Expenses w MYP'!C66</f>
        <v>4400</v>
      </c>
      <c r="C94" s="64" t="str">
        <f>'Expenses w MYP'!D66</f>
        <v>Noncapitalized Equipment</v>
      </c>
      <c r="D94" s="98">
        <f>'Cash Flow %s Yr2'!D94</f>
        <v>0</v>
      </c>
      <c r="E94" s="98">
        <f>'Cash Flow %s Yr2'!E94</f>
        <v>0</v>
      </c>
      <c r="F94" s="98">
        <f>'Cash Flow %s Yr2'!F94</f>
        <v>0.6</v>
      </c>
      <c r="G94" s="98">
        <f>'Cash Flow %s Yr2'!G94</f>
        <v>0</v>
      </c>
      <c r="H94" s="98">
        <f>'Cash Flow %s Yr2'!H94</f>
        <v>0</v>
      </c>
      <c r="I94" s="98">
        <f>'Cash Flow %s Yr2'!I94</f>
        <v>0</v>
      </c>
      <c r="J94" s="98">
        <f>'Cash Flow %s Yr2'!J94</f>
        <v>0.4</v>
      </c>
      <c r="K94" s="98">
        <f>'Cash Flow %s Yr2'!K94</f>
        <v>0</v>
      </c>
      <c r="L94" s="98">
        <f>'Cash Flow %s Yr2'!L94</f>
        <v>0</v>
      </c>
      <c r="M94" s="98">
        <f>'Cash Flow %s Yr2'!M94</f>
        <v>0</v>
      </c>
      <c r="N94" s="98">
        <f>'Cash Flow %s Yr2'!N94</f>
        <v>0</v>
      </c>
      <c r="O94" s="98">
        <f>'Cash Flow %s Yr2'!O94</f>
        <v>0</v>
      </c>
      <c r="P94" s="98">
        <f>'Cash Flow %s Yr2'!P94</f>
        <v>0</v>
      </c>
      <c r="Q94" s="98">
        <f>'Cash Flow %s Yr2'!Q94</f>
        <v>0</v>
      </c>
      <c r="R94" s="98">
        <f>'Cash Flow %s Yr2'!R94</f>
        <v>0</v>
      </c>
      <c r="S94" s="97">
        <f t="shared" si="7"/>
        <v>1</v>
      </c>
    </row>
    <row r="95" spans="1:19" hidden="1" outlineLevel="1" x14ac:dyDescent="0.75">
      <c r="A95" s="35"/>
      <c r="B95" s="64" t="str">
        <f>'Expenses w MYP'!C68</f>
        <v>4430</v>
      </c>
      <c r="C95" s="64" t="str">
        <f>'Expenses w MYP'!D68</f>
        <v>General Student Equipment</v>
      </c>
      <c r="D95" s="98">
        <f>'Cash Flow %s Yr2'!D95</f>
        <v>0</v>
      </c>
      <c r="E95" s="98">
        <f>'Cash Flow %s Yr2'!E95</f>
        <v>0</v>
      </c>
      <c r="F95" s="98">
        <f>'Cash Flow %s Yr2'!F95</f>
        <v>0.1</v>
      </c>
      <c r="G95" s="98">
        <f>'Cash Flow %s Yr2'!G95</f>
        <v>0.1</v>
      </c>
      <c r="H95" s="98">
        <f>'Cash Flow %s Yr2'!H95</f>
        <v>0.1</v>
      </c>
      <c r="I95" s="98">
        <f>'Cash Flow %s Yr2'!I95</f>
        <v>0.1</v>
      </c>
      <c r="J95" s="98">
        <f>'Cash Flow %s Yr2'!J95</f>
        <v>0.1</v>
      </c>
      <c r="K95" s="98">
        <f>'Cash Flow %s Yr2'!K95</f>
        <v>0.1</v>
      </c>
      <c r="L95" s="98">
        <f>'Cash Flow %s Yr2'!L95</f>
        <v>0.1</v>
      </c>
      <c r="M95" s="98">
        <f>'Cash Flow %s Yr2'!M95</f>
        <v>0.1</v>
      </c>
      <c r="N95" s="98">
        <f>'Cash Flow %s Yr2'!N95</f>
        <v>0.1</v>
      </c>
      <c r="O95" s="98">
        <f>'Cash Flow %s Yr2'!O95</f>
        <v>0.1</v>
      </c>
      <c r="P95" s="98">
        <f>'Cash Flow %s Yr2'!P95</f>
        <v>0</v>
      </c>
      <c r="Q95" s="98">
        <f>'Cash Flow %s Yr2'!Q95</f>
        <v>0</v>
      </c>
      <c r="R95" s="98">
        <f>'Cash Flow %s Yr2'!R95</f>
        <v>0</v>
      </c>
      <c r="S95" s="97">
        <f t="shared" ref="S95:S104" si="8">SUM(D95:R95)</f>
        <v>0.99999999999999989</v>
      </c>
    </row>
    <row r="96" spans="1:19" hidden="1" outlineLevel="1" x14ac:dyDescent="0.75">
      <c r="A96" s="35"/>
      <c r="B96" s="64" t="e">
        <f>'Expenses w MYP'!#REF!</f>
        <v>#REF!</v>
      </c>
      <c r="C96" s="64" t="e">
        <f>'Expenses w MYP'!#REF!</f>
        <v>#REF!</v>
      </c>
      <c r="D96" s="98">
        <f>'Cash Flow %s Yr2'!D96</f>
        <v>0</v>
      </c>
      <c r="E96" s="98">
        <f>'Cash Flow %s Yr2'!E96</f>
        <v>0</v>
      </c>
      <c r="F96" s="98">
        <f>'Cash Flow %s Yr2'!F96</f>
        <v>0.1</v>
      </c>
      <c r="G96" s="98">
        <f>'Cash Flow %s Yr2'!G96</f>
        <v>0.1</v>
      </c>
      <c r="H96" s="98">
        <f>'Cash Flow %s Yr2'!H96</f>
        <v>0.1</v>
      </c>
      <c r="I96" s="98">
        <f>'Cash Flow %s Yr2'!I96</f>
        <v>0.1</v>
      </c>
      <c r="J96" s="98">
        <f>'Cash Flow %s Yr2'!J96</f>
        <v>0.1</v>
      </c>
      <c r="K96" s="98">
        <f>'Cash Flow %s Yr2'!K96</f>
        <v>0.1</v>
      </c>
      <c r="L96" s="98">
        <f>'Cash Flow %s Yr2'!L96</f>
        <v>0.1</v>
      </c>
      <c r="M96" s="98">
        <f>'Cash Flow %s Yr2'!M96</f>
        <v>0.1</v>
      </c>
      <c r="N96" s="98">
        <f>'Cash Flow %s Yr2'!N96</f>
        <v>0.1</v>
      </c>
      <c r="O96" s="98">
        <f>'Cash Flow %s Yr2'!O96</f>
        <v>0.1</v>
      </c>
      <c r="P96" s="98">
        <f>'Cash Flow %s Yr2'!P96</f>
        <v>0</v>
      </c>
      <c r="Q96" s="98">
        <f>'Cash Flow %s Yr2'!Q96</f>
        <v>0</v>
      </c>
      <c r="R96" s="98">
        <f>'Cash Flow %s Yr2'!R96</f>
        <v>0</v>
      </c>
      <c r="S96" s="97">
        <f t="shared" si="8"/>
        <v>0.99999999999999989</v>
      </c>
    </row>
    <row r="97" spans="1:19" hidden="1" outlineLevel="1" x14ac:dyDescent="0.75">
      <c r="A97" s="35"/>
      <c r="B97" s="64" t="e">
        <f>'Expenses w MYP'!#REF!</f>
        <v>#REF!</v>
      </c>
      <c r="C97" s="64" t="e">
        <f>'Expenses w MYP'!#REF!</f>
        <v>#REF!</v>
      </c>
      <c r="D97" s="98">
        <f>'Cash Flow %s Yr2'!D97</f>
        <v>0</v>
      </c>
      <c r="E97" s="98">
        <f>'Cash Flow %s Yr2'!E97</f>
        <v>0</v>
      </c>
      <c r="F97" s="98">
        <f>'Cash Flow %s Yr2'!F97</f>
        <v>0.1</v>
      </c>
      <c r="G97" s="98">
        <f>'Cash Flow %s Yr2'!G97</f>
        <v>0.1</v>
      </c>
      <c r="H97" s="98">
        <f>'Cash Flow %s Yr2'!H97</f>
        <v>0.1</v>
      </c>
      <c r="I97" s="98">
        <f>'Cash Flow %s Yr2'!I97</f>
        <v>0.1</v>
      </c>
      <c r="J97" s="98">
        <f>'Cash Flow %s Yr2'!J97</f>
        <v>0.1</v>
      </c>
      <c r="K97" s="98">
        <f>'Cash Flow %s Yr2'!K97</f>
        <v>0.1</v>
      </c>
      <c r="L97" s="98">
        <f>'Cash Flow %s Yr2'!L97</f>
        <v>0.1</v>
      </c>
      <c r="M97" s="98">
        <f>'Cash Flow %s Yr2'!M97</f>
        <v>0.1</v>
      </c>
      <c r="N97" s="98">
        <f>'Cash Flow %s Yr2'!N97</f>
        <v>0.1</v>
      </c>
      <c r="O97" s="98">
        <f>'Cash Flow %s Yr2'!O97</f>
        <v>0.1</v>
      </c>
      <c r="P97" s="98">
        <f>'Cash Flow %s Yr2'!P97</f>
        <v>0</v>
      </c>
      <c r="Q97" s="98">
        <f>'Cash Flow %s Yr2'!Q97</f>
        <v>0</v>
      </c>
      <c r="R97" s="98">
        <f>'Cash Flow %s Yr2'!R97</f>
        <v>0</v>
      </c>
      <c r="S97" s="97">
        <f t="shared" si="8"/>
        <v>0.99999999999999989</v>
      </c>
    </row>
    <row r="98" spans="1:19" hidden="1" outlineLevel="1" x14ac:dyDescent="0.75">
      <c r="A98" s="35"/>
      <c r="B98" s="64" t="e">
        <f>'Expenses w MYP'!#REF!</f>
        <v>#REF!</v>
      </c>
      <c r="C98" s="64" t="e">
        <f>'Expenses w MYP'!#REF!</f>
        <v>#REF!</v>
      </c>
      <c r="D98" s="98">
        <f>'Cash Flow %s Yr2'!D98</f>
        <v>0</v>
      </c>
      <c r="E98" s="98">
        <f>'Cash Flow %s Yr2'!E98</f>
        <v>0</v>
      </c>
      <c r="F98" s="98">
        <f>'Cash Flow %s Yr2'!F98</f>
        <v>0.1</v>
      </c>
      <c r="G98" s="98">
        <f>'Cash Flow %s Yr2'!G98</f>
        <v>0.1</v>
      </c>
      <c r="H98" s="98">
        <f>'Cash Flow %s Yr2'!H98</f>
        <v>0.1</v>
      </c>
      <c r="I98" s="98">
        <f>'Cash Flow %s Yr2'!I98</f>
        <v>0.1</v>
      </c>
      <c r="J98" s="98">
        <f>'Cash Flow %s Yr2'!J98</f>
        <v>0.1</v>
      </c>
      <c r="K98" s="98">
        <f>'Cash Flow %s Yr2'!K98</f>
        <v>0.1</v>
      </c>
      <c r="L98" s="98">
        <f>'Cash Flow %s Yr2'!L98</f>
        <v>0.1</v>
      </c>
      <c r="M98" s="98">
        <f>'Cash Flow %s Yr2'!M98</f>
        <v>0.1</v>
      </c>
      <c r="N98" s="98">
        <f>'Cash Flow %s Yr2'!N98</f>
        <v>0.1</v>
      </c>
      <c r="O98" s="98">
        <f>'Cash Flow %s Yr2'!O98</f>
        <v>0.1</v>
      </c>
      <c r="P98" s="98">
        <f>'Cash Flow %s Yr2'!P98</f>
        <v>0</v>
      </c>
      <c r="Q98" s="98">
        <f>'Cash Flow %s Yr2'!Q98</f>
        <v>0</v>
      </c>
      <c r="R98" s="98">
        <f>'Cash Flow %s Yr2'!R98</f>
        <v>0</v>
      </c>
      <c r="S98" s="97">
        <f t="shared" si="8"/>
        <v>0.99999999999999989</v>
      </c>
    </row>
    <row r="99" spans="1:19" hidden="1" outlineLevel="1" x14ac:dyDescent="0.75">
      <c r="A99" s="35"/>
      <c r="B99" s="64" t="e">
        <f>'Expenses w MYP'!#REF!</f>
        <v>#REF!</v>
      </c>
      <c r="C99" s="64" t="e">
        <f>'Expenses w MYP'!#REF!</f>
        <v>#REF!</v>
      </c>
      <c r="D99" s="98">
        <f>'Cash Flow %s Yr2'!D99</f>
        <v>0</v>
      </c>
      <c r="E99" s="98">
        <f>'Cash Flow %s Yr2'!E99</f>
        <v>0</v>
      </c>
      <c r="F99" s="98">
        <f>'Cash Flow %s Yr2'!F99</f>
        <v>0.1</v>
      </c>
      <c r="G99" s="98">
        <f>'Cash Flow %s Yr2'!G99</f>
        <v>0.1</v>
      </c>
      <c r="H99" s="98">
        <f>'Cash Flow %s Yr2'!H99</f>
        <v>0.1</v>
      </c>
      <c r="I99" s="98">
        <f>'Cash Flow %s Yr2'!I99</f>
        <v>0.1</v>
      </c>
      <c r="J99" s="98">
        <f>'Cash Flow %s Yr2'!J99</f>
        <v>0.1</v>
      </c>
      <c r="K99" s="98">
        <f>'Cash Flow %s Yr2'!K99</f>
        <v>0.1</v>
      </c>
      <c r="L99" s="98">
        <f>'Cash Flow %s Yr2'!L99</f>
        <v>0.1</v>
      </c>
      <c r="M99" s="98">
        <f>'Cash Flow %s Yr2'!M99</f>
        <v>0.1</v>
      </c>
      <c r="N99" s="98">
        <f>'Cash Flow %s Yr2'!N99</f>
        <v>0.1</v>
      </c>
      <c r="O99" s="98">
        <f>'Cash Flow %s Yr2'!O99</f>
        <v>0.1</v>
      </c>
      <c r="P99" s="98">
        <f>'Cash Flow %s Yr2'!P99</f>
        <v>0</v>
      </c>
      <c r="Q99" s="98">
        <f>'Cash Flow %s Yr2'!Q99</f>
        <v>0</v>
      </c>
      <c r="R99" s="98">
        <f>'Cash Flow %s Yr2'!R99</f>
        <v>0</v>
      </c>
      <c r="S99" s="97">
        <f t="shared" si="8"/>
        <v>0.99999999999999989</v>
      </c>
    </row>
    <row r="100" spans="1:19" hidden="1" outlineLevel="1" x14ac:dyDescent="0.75">
      <c r="A100" s="35"/>
      <c r="B100" s="64" t="e">
        <f>'Expenses w MYP'!#REF!</f>
        <v>#REF!</v>
      </c>
      <c r="C100" s="64" t="e">
        <f>'Expenses w MYP'!#REF!</f>
        <v>#REF!</v>
      </c>
      <c r="D100" s="98">
        <f>'Cash Flow %s Yr2'!D100</f>
        <v>0</v>
      </c>
      <c r="E100" s="98">
        <f>'Cash Flow %s Yr2'!E100</f>
        <v>0</v>
      </c>
      <c r="F100" s="98">
        <f>'Cash Flow %s Yr2'!F100</f>
        <v>0.1</v>
      </c>
      <c r="G100" s="98">
        <f>'Cash Flow %s Yr2'!G100</f>
        <v>0.1</v>
      </c>
      <c r="H100" s="98">
        <f>'Cash Flow %s Yr2'!H100</f>
        <v>0.1</v>
      </c>
      <c r="I100" s="98">
        <f>'Cash Flow %s Yr2'!I100</f>
        <v>0.1</v>
      </c>
      <c r="J100" s="98">
        <f>'Cash Flow %s Yr2'!J100</f>
        <v>0.1</v>
      </c>
      <c r="K100" s="98">
        <f>'Cash Flow %s Yr2'!K100</f>
        <v>0.1</v>
      </c>
      <c r="L100" s="98">
        <f>'Cash Flow %s Yr2'!L100</f>
        <v>0.1</v>
      </c>
      <c r="M100" s="98">
        <f>'Cash Flow %s Yr2'!M100</f>
        <v>0.1</v>
      </c>
      <c r="N100" s="98">
        <f>'Cash Flow %s Yr2'!N100</f>
        <v>0.1</v>
      </c>
      <c r="O100" s="98">
        <f>'Cash Flow %s Yr2'!O100</f>
        <v>0.1</v>
      </c>
      <c r="P100" s="98">
        <f>'Cash Flow %s Yr2'!P100</f>
        <v>0</v>
      </c>
      <c r="Q100" s="98">
        <f>'Cash Flow %s Yr2'!Q100</f>
        <v>0</v>
      </c>
      <c r="R100" s="98">
        <f>'Cash Flow %s Yr2'!R100</f>
        <v>0</v>
      </c>
      <c r="S100" s="97">
        <f t="shared" si="8"/>
        <v>0.99999999999999989</v>
      </c>
    </row>
    <row r="101" spans="1:19" hidden="1" outlineLevel="1" x14ac:dyDescent="0.75">
      <c r="A101" s="35"/>
      <c r="B101" s="64" t="e">
        <f>'Expenses w MYP'!#REF!</f>
        <v>#REF!</v>
      </c>
      <c r="C101" s="64" t="e">
        <f>'Expenses w MYP'!#REF!</f>
        <v>#REF!</v>
      </c>
      <c r="D101" s="98">
        <f>'Cash Flow %s Yr2'!D101</f>
        <v>0</v>
      </c>
      <c r="E101" s="98">
        <f>'Cash Flow %s Yr2'!E101</f>
        <v>0</v>
      </c>
      <c r="F101" s="98">
        <f>'Cash Flow %s Yr2'!F101</f>
        <v>0.1</v>
      </c>
      <c r="G101" s="98">
        <f>'Cash Flow %s Yr2'!G101</f>
        <v>0.1</v>
      </c>
      <c r="H101" s="98">
        <f>'Cash Flow %s Yr2'!H101</f>
        <v>0.1</v>
      </c>
      <c r="I101" s="98">
        <f>'Cash Flow %s Yr2'!I101</f>
        <v>0.1</v>
      </c>
      <c r="J101" s="98">
        <f>'Cash Flow %s Yr2'!J101</f>
        <v>0.1</v>
      </c>
      <c r="K101" s="98">
        <f>'Cash Flow %s Yr2'!K101</f>
        <v>0.1</v>
      </c>
      <c r="L101" s="98">
        <f>'Cash Flow %s Yr2'!L101</f>
        <v>0.1</v>
      </c>
      <c r="M101" s="98">
        <f>'Cash Flow %s Yr2'!M101</f>
        <v>0.1</v>
      </c>
      <c r="N101" s="98">
        <f>'Cash Flow %s Yr2'!N101</f>
        <v>0.1</v>
      </c>
      <c r="O101" s="98">
        <f>'Cash Flow %s Yr2'!O101</f>
        <v>0.1</v>
      </c>
      <c r="P101" s="98">
        <f>'Cash Flow %s Yr2'!P101</f>
        <v>0</v>
      </c>
      <c r="Q101" s="98">
        <f>'Cash Flow %s Yr2'!Q101</f>
        <v>0</v>
      </c>
      <c r="R101" s="98">
        <f>'Cash Flow %s Yr2'!R101</f>
        <v>0</v>
      </c>
      <c r="S101" s="97">
        <f t="shared" si="8"/>
        <v>0.99999999999999989</v>
      </c>
    </row>
    <row r="102" spans="1:19" hidden="1" outlineLevel="1" x14ac:dyDescent="0.75">
      <c r="A102" s="35"/>
      <c r="B102" s="64" t="e">
        <f>'Expenses w MYP'!#REF!</f>
        <v>#REF!</v>
      </c>
      <c r="C102" s="64" t="e">
        <f>'Expenses w MYP'!#REF!</f>
        <v>#REF!</v>
      </c>
      <c r="D102" s="98">
        <f>'Cash Flow %s Yr2'!D102</f>
        <v>0</v>
      </c>
      <c r="E102" s="98">
        <f>'Cash Flow %s Yr2'!E102</f>
        <v>0</v>
      </c>
      <c r="F102" s="98">
        <f>'Cash Flow %s Yr2'!F102</f>
        <v>0.1</v>
      </c>
      <c r="G102" s="98">
        <f>'Cash Flow %s Yr2'!G102</f>
        <v>0.1</v>
      </c>
      <c r="H102" s="98">
        <f>'Cash Flow %s Yr2'!H102</f>
        <v>0.1</v>
      </c>
      <c r="I102" s="98">
        <f>'Cash Flow %s Yr2'!I102</f>
        <v>0.1</v>
      </c>
      <c r="J102" s="98">
        <f>'Cash Flow %s Yr2'!J102</f>
        <v>0.1</v>
      </c>
      <c r="K102" s="98">
        <f>'Cash Flow %s Yr2'!K102</f>
        <v>0.1</v>
      </c>
      <c r="L102" s="98">
        <f>'Cash Flow %s Yr2'!L102</f>
        <v>0.1</v>
      </c>
      <c r="M102" s="98">
        <f>'Cash Flow %s Yr2'!M102</f>
        <v>0.1</v>
      </c>
      <c r="N102" s="98">
        <f>'Cash Flow %s Yr2'!N102</f>
        <v>0.1</v>
      </c>
      <c r="O102" s="98">
        <f>'Cash Flow %s Yr2'!O102</f>
        <v>0.1</v>
      </c>
      <c r="P102" s="98">
        <f>'Cash Flow %s Yr2'!P102</f>
        <v>0</v>
      </c>
      <c r="Q102" s="98">
        <f>'Cash Flow %s Yr2'!Q102</f>
        <v>0</v>
      </c>
      <c r="R102" s="98">
        <f>'Cash Flow %s Yr2'!R102</f>
        <v>0</v>
      </c>
      <c r="S102" s="97">
        <f t="shared" si="8"/>
        <v>0.99999999999999989</v>
      </c>
    </row>
    <row r="103" spans="1:19" hidden="1" outlineLevel="1" x14ac:dyDescent="0.75">
      <c r="A103" s="35"/>
      <c r="B103" s="64" t="e">
        <f>'Expenses w MYP'!#REF!</f>
        <v>#REF!</v>
      </c>
      <c r="C103" s="64" t="e">
        <f>'Expenses w MYP'!#REF!</f>
        <v>#REF!</v>
      </c>
      <c r="D103" s="98">
        <f>'Cash Flow %s Yr2'!D103</f>
        <v>0</v>
      </c>
      <c r="E103" s="98">
        <f>'Cash Flow %s Yr2'!E103</f>
        <v>0</v>
      </c>
      <c r="F103" s="98">
        <f>'Cash Flow %s Yr2'!F103</f>
        <v>0.1</v>
      </c>
      <c r="G103" s="98">
        <f>'Cash Flow %s Yr2'!G103</f>
        <v>0.1</v>
      </c>
      <c r="H103" s="98">
        <f>'Cash Flow %s Yr2'!H103</f>
        <v>0.1</v>
      </c>
      <c r="I103" s="98">
        <f>'Cash Flow %s Yr2'!I103</f>
        <v>0.1</v>
      </c>
      <c r="J103" s="98">
        <f>'Cash Flow %s Yr2'!J103</f>
        <v>0.1</v>
      </c>
      <c r="K103" s="98">
        <f>'Cash Flow %s Yr2'!K103</f>
        <v>0.1</v>
      </c>
      <c r="L103" s="98">
        <f>'Cash Flow %s Yr2'!L103</f>
        <v>0.1</v>
      </c>
      <c r="M103" s="98">
        <f>'Cash Flow %s Yr2'!M103</f>
        <v>0.1</v>
      </c>
      <c r="N103" s="98">
        <f>'Cash Flow %s Yr2'!N103</f>
        <v>0.1</v>
      </c>
      <c r="O103" s="98">
        <f>'Cash Flow %s Yr2'!O103</f>
        <v>0.1</v>
      </c>
      <c r="P103" s="98">
        <f>'Cash Flow %s Yr2'!P103</f>
        <v>0</v>
      </c>
      <c r="Q103" s="98">
        <f>'Cash Flow %s Yr2'!Q103</f>
        <v>0</v>
      </c>
      <c r="R103" s="98">
        <f>'Cash Flow %s Yr2'!R103</f>
        <v>0</v>
      </c>
      <c r="S103" s="97">
        <f t="shared" si="8"/>
        <v>0.99999999999999989</v>
      </c>
    </row>
    <row r="104" spans="1:19" hidden="1" outlineLevel="1" x14ac:dyDescent="0.75">
      <c r="A104" s="35"/>
      <c r="B104" s="64" t="e">
        <f>'Expenses w MYP'!#REF!</f>
        <v>#REF!</v>
      </c>
      <c r="C104" s="64" t="e">
        <f>'Expenses w MYP'!#REF!</f>
        <v>#REF!</v>
      </c>
      <c r="D104" s="98">
        <f>'Cash Flow %s Yr2'!D104</f>
        <v>0</v>
      </c>
      <c r="E104" s="98">
        <f>'Cash Flow %s Yr2'!E104</f>
        <v>0</v>
      </c>
      <c r="F104" s="98">
        <f>'Cash Flow %s Yr2'!F104</f>
        <v>0.1</v>
      </c>
      <c r="G104" s="98">
        <f>'Cash Flow %s Yr2'!G104</f>
        <v>0.1</v>
      </c>
      <c r="H104" s="98">
        <f>'Cash Flow %s Yr2'!H104</f>
        <v>0.1</v>
      </c>
      <c r="I104" s="98">
        <f>'Cash Flow %s Yr2'!I104</f>
        <v>0.1</v>
      </c>
      <c r="J104" s="98">
        <f>'Cash Flow %s Yr2'!J104</f>
        <v>0.1</v>
      </c>
      <c r="K104" s="98">
        <f>'Cash Flow %s Yr2'!K104</f>
        <v>0.1</v>
      </c>
      <c r="L104" s="98">
        <f>'Cash Flow %s Yr2'!L104</f>
        <v>0.1</v>
      </c>
      <c r="M104" s="98">
        <f>'Cash Flow %s Yr2'!M104</f>
        <v>0.1</v>
      </c>
      <c r="N104" s="98">
        <f>'Cash Flow %s Yr2'!N104</f>
        <v>0.1</v>
      </c>
      <c r="O104" s="98">
        <f>'Cash Flow %s Yr2'!O104</f>
        <v>0.1</v>
      </c>
      <c r="P104" s="98">
        <f>'Cash Flow %s Yr2'!P104</f>
        <v>0</v>
      </c>
      <c r="Q104" s="98">
        <f>'Cash Flow %s Yr2'!Q104</f>
        <v>0</v>
      </c>
      <c r="R104" s="98">
        <f>'Cash Flow %s Yr2'!R104</f>
        <v>0</v>
      </c>
      <c r="S104" s="97">
        <f t="shared" si="8"/>
        <v>0.99999999999999989</v>
      </c>
    </row>
    <row r="105" spans="1:19" s="31" customFormat="1" collapsed="1" x14ac:dyDescent="0.75">
      <c r="A105" s="35"/>
      <c r="B105" s="64" t="str">
        <f>'Expenses w MYP'!C69</f>
        <v>4700</v>
      </c>
      <c r="C105" s="64" t="str">
        <f>'Expenses w MYP'!D69</f>
        <v>Food and Food Supplies</v>
      </c>
      <c r="D105" s="98">
        <f>'Cash Flow %s Yr2'!D105</f>
        <v>0</v>
      </c>
      <c r="E105" s="98">
        <f>'Cash Flow %s Yr2'!E105</f>
        <v>0</v>
      </c>
      <c r="F105" s="98">
        <f>'Cash Flow %s Yr2'!F105</f>
        <v>0.1</v>
      </c>
      <c r="G105" s="98">
        <f>'Cash Flow %s Yr2'!G105</f>
        <v>0.1</v>
      </c>
      <c r="H105" s="98">
        <f>'Cash Flow %s Yr2'!H105</f>
        <v>0.1</v>
      </c>
      <c r="I105" s="98">
        <f>'Cash Flow %s Yr2'!I105</f>
        <v>0.1</v>
      </c>
      <c r="J105" s="98">
        <f>'Cash Flow %s Yr2'!J105</f>
        <v>0.1</v>
      </c>
      <c r="K105" s="98">
        <f>'Cash Flow %s Yr2'!K105</f>
        <v>0.1</v>
      </c>
      <c r="L105" s="98">
        <f>'Cash Flow %s Yr2'!L105</f>
        <v>0.1</v>
      </c>
      <c r="M105" s="98">
        <f>'Cash Flow %s Yr2'!M105</f>
        <v>0.1</v>
      </c>
      <c r="N105" s="98">
        <f>'Cash Flow %s Yr2'!N105</f>
        <v>0.1</v>
      </c>
      <c r="O105" s="98">
        <f>'Cash Flow %s Yr2'!O105</f>
        <v>0.1</v>
      </c>
      <c r="P105" s="98">
        <f>'Cash Flow %s Yr2'!P105</f>
        <v>0</v>
      </c>
      <c r="Q105" s="98">
        <f>'Cash Flow %s Yr2'!Q105</f>
        <v>0</v>
      </c>
      <c r="R105" s="98">
        <f>'Cash Flow %s Yr2'!R105</f>
        <v>0</v>
      </c>
      <c r="S105" s="97">
        <f>SUM(D105:R105)</f>
        <v>0.99999999999999989</v>
      </c>
    </row>
    <row r="106" spans="1:19" s="31" customFormat="1" x14ac:dyDescent="0.75">
      <c r="A106" s="35"/>
      <c r="B106" s="3"/>
      <c r="C106" s="2"/>
      <c r="D106" s="88"/>
      <c r="E106" s="88"/>
      <c r="F106" s="105"/>
      <c r="G106" s="105"/>
      <c r="H106" s="105"/>
      <c r="I106" s="105"/>
      <c r="J106" s="105"/>
      <c r="K106" s="105"/>
      <c r="L106" s="105"/>
      <c r="M106" s="105"/>
      <c r="N106" s="105"/>
      <c r="O106" s="105"/>
      <c r="P106" s="84"/>
      <c r="Q106" s="84"/>
      <c r="R106" s="84"/>
      <c r="S106" s="97"/>
    </row>
    <row r="107" spans="1:19" s="31" customFormat="1" x14ac:dyDescent="0.75">
      <c r="A107" s="35"/>
      <c r="B107" s="3"/>
      <c r="C107" s="2"/>
      <c r="D107" s="84"/>
      <c r="E107" s="84"/>
      <c r="F107" s="84"/>
      <c r="G107" s="84"/>
      <c r="H107" s="84"/>
      <c r="I107" s="84"/>
      <c r="J107" s="84"/>
      <c r="K107" s="84"/>
      <c r="L107" s="84"/>
      <c r="M107" s="84"/>
      <c r="N107" s="84"/>
      <c r="O107" s="84"/>
      <c r="P107" s="84"/>
      <c r="Q107" s="84"/>
      <c r="R107" s="84"/>
      <c r="S107" s="97"/>
    </row>
    <row r="108" spans="1:19" s="31" customFormat="1" x14ac:dyDescent="0.75">
      <c r="B108" s="4" t="s">
        <v>720</v>
      </c>
      <c r="C108" s="2"/>
      <c r="D108" s="84"/>
      <c r="E108" s="84"/>
      <c r="F108" s="84"/>
      <c r="G108" s="84"/>
      <c r="H108" s="84"/>
      <c r="I108" s="84"/>
      <c r="J108" s="84"/>
      <c r="K108" s="84"/>
      <c r="L108" s="84"/>
      <c r="M108" s="84"/>
      <c r="N108" s="84"/>
      <c r="O108" s="84"/>
      <c r="P108" s="84"/>
      <c r="Q108" s="84"/>
      <c r="R108" s="84"/>
      <c r="S108" s="97"/>
    </row>
    <row r="109" spans="1:19" s="31" customFormat="1" x14ac:dyDescent="0.75">
      <c r="A109" s="35"/>
      <c r="B109" s="64" t="str">
        <f>'Expenses w MYP'!C73</f>
        <v>5200</v>
      </c>
      <c r="C109" s="64" t="str">
        <f>'Expenses w MYP'!D73</f>
        <v>Travel and Conferences</v>
      </c>
      <c r="D109" s="98">
        <f>'Cash Flow %s Yr2'!D109</f>
        <v>0</v>
      </c>
      <c r="E109" s="98">
        <f>'Cash Flow %s Yr2'!E109</f>
        <v>0</v>
      </c>
      <c r="F109" s="98">
        <f>'Cash Flow %s Yr2'!F109</f>
        <v>0.3</v>
      </c>
      <c r="G109" s="98">
        <f>'Cash Flow %s Yr2'!G109</f>
        <v>0.1</v>
      </c>
      <c r="H109" s="98">
        <f>'Cash Flow %s Yr2'!H109</f>
        <v>0.1</v>
      </c>
      <c r="I109" s="98">
        <f>'Cash Flow %s Yr2'!I109</f>
        <v>0.1</v>
      </c>
      <c r="J109" s="98">
        <f>'Cash Flow %s Yr2'!J109</f>
        <v>0.1</v>
      </c>
      <c r="K109" s="98">
        <f>'Cash Flow %s Yr2'!K109</f>
        <v>0.1</v>
      </c>
      <c r="L109" s="98">
        <f>'Cash Flow %s Yr2'!L109</f>
        <v>0.1</v>
      </c>
      <c r="M109" s="98">
        <f>'Cash Flow %s Yr2'!M109</f>
        <v>0.1</v>
      </c>
      <c r="N109" s="98">
        <f>'Cash Flow %s Yr2'!N109</f>
        <v>0</v>
      </c>
      <c r="O109" s="98">
        <f>'Cash Flow %s Yr2'!O109</f>
        <v>0</v>
      </c>
      <c r="P109" s="98">
        <f>'Cash Flow %s Yr2'!P109</f>
        <v>0</v>
      </c>
      <c r="Q109" s="98">
        <f>'Cash Flow %s Yr2'!Q109</f>
        <v>0</v>
      </c>
      <c r="R109" s="98">
        <f>'Cash Flow %s Yr2'!R109</f>
        <v>0</v>
      </c>
      <c r="S109" s="97">
        <f t="shared" ref="S109:S139" si="9">SUM(D109:R109)</f>
        <v>0.99999999999999989</v>
      </c>
    </row>
    <row r="110" spans="1:19" s="31" customFormat="1" x14ac:dyDescent="0.75">
      <c r="A110" s="35"/>
      <c r="B110" s="64" t="str">
        <f>'Expenses w MYP'!C74</f>
        <v>5210</v>
      </c>
      <c r="C110" s="64" t="str">
        <f>'Expenses w MYP'!D74</f>
        <v>Training and Development Expense</v>
      </c>
      <c r="D110" s="98">
        <f>'Cash Flow %s Yr2'!D110</f>
        <v>0</v>
      </c>
      <c r="E110" s="98">
        <f>'Cash Flow %s Yr2'!E110</f>
        <v>0</v>
      </c>
      <c r="F110" s="98">
        <f>'Cash Flow %s Yr2'!F110</f>
        <v>0.3</v>
      </c>
      <c r="G110" s="98">
        <f>'Cash Flow %s Yr2'!G110</f>
        <v>0.1</v>
      </c>
      <c r="H110" s="98">
        <f>'Cash Flow %s Yr2'!H110</f>
        <v>0.1</v>
      </c>
      <c r="I110" s="98">
        <f>'Cash Flow %s Yr2'!I110</f>
        <v>0.1</v>
      </c>
      <c r="J110" s="98">
        <f>'Cash Flow %s Yr2'!J110</f>
        <v>0.1</v>
      </c>
      <c r="K110" s="98">
        <f>'Cash Flow %s Yr2'!K110</f>
        <v>0.1</v>
      </c>
      <c r="L110" s="98">
        <f>'Cash Flow %s Yr2'!L110</f>
        <v>0.1</v>
      </c>
      <c r="M110" s="98">
        <f>'Cash Flow %s Yr2'!M110</f>
        <v>0.1</v>
      </c>
      <c r="N110" s="98">
        <f>'Cash Flow %s Yr2'!N110</f>
        <v>0</v>
      </c>
      <c r="O110" s="98">
        <f>'Cash Flow %s Yr2'!O110</f>
        <v>0</v>
      </c>
      <c r="P110" s="98">
        <f>'Cash Flow %s Yr2'!P110</f>
        <v>0</v>
      </c>
      <c r="Q110" s="98">
        <f>'Cash Flow %s Yr2'!Q110</f>
        <v>0</v>
      </c>
      <c r="R110" s="98">
        <f>'Cash Flow %s Yr2'!R110</f>
        <v>0</v>
      </c>
      <c r="S110" s="97">
        <f t="shared" si="9"/>
        <v>0.99999999999999989</v>
      </c>
    </row>
    <row r="111" spans="1:19" s="31" customFormat="1" x14ac:dyDescent="0.75">
      <c r="A111" s="35"/>
      <c r="B111" s="64" t="str">
        <f>'Expenses w MYP'!C75</f>
        <v>5300</v>
      </c>
      <c r="C111" s="64" t="str">
        <f>'Expenses w MYP'!D75</f>
        <v>Dues and Memberships</v>
      </c>
      <c r="D111" s="98">
        <f>'Cash Flow %s Yr2'!D111</f>
        <v>0</v>
      </c>
      <c r="E111" s="98">
        <f>'Cash Flow %s Yr2'!E111</f>
        <v>0</v>
      </c>
      <c r="F111" s="98">
        <f>'Cash Flow %s Yr2'!F111</f>
        <v>0.3</v>
      </c>
      <c r="G111" s="98">
        <f>'Cash Flow %s Yr2'!G111</f>
        <v>0.1</v>
      </c>
      <c r="H111" s="98">
        <f>'Cash Flow %s Yr2'!H111</f>
        <v>0.1</v>
      </c>
      <c r="I111" s="98">
        <f>'Cash Flow %s Yr2'!I111</f>
        <v>0.1</v>
      </c>
      <c r="J111" s="98">
        <f>'Cash Flow %s Yr2'!J111</f>
        <v>0.1</v>
      </c>
      <c r="K111" s="98">
        <f>'Cash Flow %s Yr2'!K111</f>
        <v>0.1</v>
      </c>
      <c r="L111" s="98">
        <f>'Cash Flow %s Yr2'!L111</f>
        <v>0.1</v>
      </c>
      <c r="M111" s="98">
        <f>'Cash Flow %s Yr2'!M111</f>
        <v>0.1</v>
      </c>
      <c r="N111" s="98">
        <f>'Cash Flow %s Yr2'!N111</f>
        <v>0</v>
      </c>
      <c r="O111" s="98">
        <f>'Cash Flow %s Yr2'!O111</f>
        <v>0</v>
      </c>
      <c r="P111" s="98">
        <f>'Cash Flow %s Yr2'!P111</f>
        <v>0</v>
      </c>
      <c r="Q111" s="98">
        <f>'Cash Flow %s Yr2'!Q111</f>
        <v>0</v>
      </c>
      <c r="R111" s="98">
        <f>'Cash Flow %s Yr2'!R111</f>
        <v>0</v>
      </c>
      <c r="S111" s="97">
        <f t="shared" si="9"/>
        <v>0.99999999999999989</v>
      </c>
    </row>
    <row r="112" spans="1:19" s="31" customFormat="1" x14ac:dyDescent="0.75">
      <c r="A112" s="35"/>
      <c r="B112" s="64" t="str">
        <f>'Expenses w MYP'!C76</f>
        <v>5400</v>
      </c>
      <c r="C112" s="64" t="str">
        <f>'Expenses w MYP'!D76</f>
        <v>Insurance</v>
      </c>
      <c r="D112" s="98">
        <f>'Cash Flow %s Yr2'!D112</f>
        <v>0</v>
      </c>
      <c r="E112" s="98">
        <f>'Cash Flow %s Yr2'!E112</f>
        <v>0</v>
      </c>
      <c r="F112" s="98">
        <f>'Cash Flow %s Yr2'!F112</f>
        <v>0.3</v>
      </c>
      <c r="G112" s="98">
        <f>'Cash Flow %s Yr2'!G112</f>
        <v>0.1</v>
      </c>
      <c r="H112" s="98">
        <f>'Cash Flow %s Yr2'!H112</f>
        <v>0.1</v>
      </c>
      <c r="I112" s="98">
        <f>'Cash Flow %s Yr2'!I112</f>
        <v>0.1</v>
      </c>
      <c r="J112" s="98">
        <f>'Cash Flow %s Yr2'!J112</f>
        <v>0.1</v>
      </c>
      <c r="K112" s="98">
        <f>'Cash Flow %s Yr2'!K112</f>
        <v>0.1</v>
      </c>
      <c r="L112" s="98">
        <f>'Cash Flow %s Yr2'!L112</f>
        <v>0.1</v>
      </c>
      <c r="M112" s="98">
        <f>'Cash Flow %s Yr2'!M112</f>
        <v>0.1</v>
      </c>
      <c r="N112" s="98">
        <f>'Cash Flow %s Yr2'!N112</f>
        <v>0</v>
      </c>
      <c r="O112" s="98">
        <f>'Cash Flow %s Yr2'!O112</f>
        <v>0</v>
      </c>
      <c r="P112" s="98">
        <f>'Cash Flow %s Yr2'!P112</f>
        <v>0</v>
      </c>
      <c r="Q112" s="98">
        <f>'Cash Flow %s Yr2'!Q112</f>
        <v>0</v>
      </c>
      <c r="R112" s="98">
        <f>'Cash Flow %s Yr2'!R112</f>
        <v>0</v>
      </c>
      <c r="S112" s="97">
        <f t="shared" si="9"/>
        <v>0.99999999999999989</v>
      </c>
    </row>
    <row r="113" spans="1:19" s="31" customFormat="1" x14ac:dyDescent="0.75">
      <c r="A113" s="35"/>
      <c r="B113" s="64" t="str">
        <f>'Expenses w MYP'!C77</f>
        <v>5500</v>
      </c>
      <c r="C113" s="64" t="str">
        <f>'Expenses w MYP'!D77</f>
        <v>Operation and Housekeeping Services/Supplies</v>
      </c>
      <c r="D113" s="98">
        <f>'Cash Flow %s Yr2'!D113</f>
        <v>0</v>
      </c>
      <c r="E113" s="98">
        <f>'Cash Flow %s Yr2'!E113</f>
        <v>0</v>
      </c>
      <c r="F113" s="98">
        <f>'Cash Flow %s Yr2'!F113</f>
        <v>0.6</v>
      </c>
      <c r="G113" s="98">
        <f>'Cash Flow %s Yr2'!G113</f>
        <v>0</v>
      </c>
      <c r="H113" s="98">
        <f>'Cash Flow %s Yr2'!H113</f>
        <v>0</v>
      </c>
      <c r="I113" s="98">
        <f>'Cash Flow %s Yr2'!I113</f>
        <v>0</v>
      </c>
      <c r="J113" s="98">
        <f>'Cash Flow %s Yr2'!J113</f>
        <v>0.4</v>
      </c>
      <c r="K113" s="98">
        <f>'Cash Flow %s Yr2'!K113</f>
        <v>0</v>
      </c>
      <c r="L113" s="98">
        <f>'Cash Flow %s Yr2'!L113</f>
        <v>0</v>
      </c>
      <c r="M113" s="98">
        <f>'Cash Flow %s Yr2'!M113</f>
        <v>0</v>
      </c>
      <c r="N113" s="98">
        <f>'Cash Flow %s Yr2'!N113</f>
        <v>0</v>
      </c>
      <c r="O113" s="98">
        <f>'Cash Flow %s Yr2'!O113</f>
        <v>0</v>
      </c>
      <c r="P113" s="98">
        <f>'Cash Flow %s Yr2'!P113</f>
        <v>0</v>
      </c>
      <c r="Q113" s="98">
        <f>'Cash Flow %s Yr2'!Q113</f>
        <v>0</v>
      </c>
      <c r="R113" s="98">
        <f>'Cash Flow %s Yr2'!R113</f>
        <v>0</v>
      </c>
      <c r="S113" s="97">
        <f t="shared" si="9"/>
        <v>1</v>
      </c>
    </row>
    <row r="114" spans="1:19" s="31" customFormat="1" x14ac:dyDescent="0.75">
      <c r="A114" s="35"/>
      <c r="B114" s="64" t="str">
        <f>'Expenses w MYP'!C78</f>
        <v>5501</v>
      </c>
      <c r="C114" s="64" t="str">
        <f>'Expenses w MYP'!D78</f>
        <v>Utilities</v>
      </c>
      <c r="D114" s="98">
        <f>'Cash Flow %s Yr2'!D114</f>
        <v>0</v>
      </c>
      <c r="E114" s="98">
        <f>'Cash Flow %s Yr2'!E114</f>
        <v>0</v>
      </c>
      <c r="F114" s="98">
        <f>'Cash Flow %s Yr2'!F114</f>
        <v>0.1</v>
      </c>
      <c r="G114" s="98">
        <f>'Cash Flow %s Yr2'!G114</f>
        <v>0.1</v>
      </c>
      <c r="H114" s="98">
        <f>'Cash Flow %s Yr2'!H114</f>
        <v>0.1</v>
      </c>
      <c r="I114" s="98">
        <f>'Cash Flow %s Yr2'!I114</f>
        <v>0.1</v>
      </c>
      <c r="J114" s="98">
        <f>'Cash Flow %s Yr2'!J114</f>
        <v>0.1</v>
      </c>
      <c r="K114" s="98">
        <f>'Cash Flow %s Yr2'!K114</f>
        <v>0.1</v>
      </c>
      <c r="L114" s="98">
        <f>'Cash Flow %s Yr2'!L114</f>
        <v>0.1</v>
      </c>
      <c r="M114" s="98">
        <f>'Cash Flow %s Yr2'!M114</f>
        <v>0.1</v>
      </c>
      <c r="N114" s="98">
        <f>'Cash Flow %s Yr2'!N114</f>
        <v>0.1</v>
      </c>
      <c r="O114" s="98">
        <f>'Cash Flow %s Yr2'!O114</f>
        <v>0.1</v>
      </c>
      <c r="P114" s="98">
        <f>'Cash Flow %s Yr2'!P114</f>
        <v>0</v>
      </c>
      <c r="Q114" s="98">
        <f>'Cash Flow %s Yr2'!Q114</f>
        <v>0</v>
      </c>
      <c r="R114" s="98">
        <f>'Cash Flow %s Yr2'!R114</f>
        <v>0</v>
      </c>
      <c r="S114" s="97">
        <f t="shared" si="9"/>
        <v>0.99999999999999989</v>
      </c>
    </row>
    <row r="115" spans="1:19" s="31" customFormat="1" x14ac:dyDescent="0.75">
      <c r="A115" s="35"/>
      <c r="B115" s="64" t="str">
        <f>'Expenses w MYP'!C79</f>
        <v>5505</v>
      </c>
      <c r="C115" s="64" t="str">
        <f>'Expenses w MYP'!D79</f>
        <v>Student Transportation / Field Trips</v>
      </c>
      <c r="D115" s="98">
        <f>'Cash Flow %s Yr2'!D115</f>
        <v>0</v>
      </c>
      <c r="E115" s="98">
        <f>'Cash Flow %s Yr2'!E115</f>
        <v>0</v>
      </c>
      <c r="F115" s="98">
        <f>'Cash Flow %s Yr2'!F115</f>
        <v>0.1</v>
      </c>
      <c r="G115" s="98">
        <f>'Cash Flow %s Yr2'!G115</f>
        <v>0.1</v>
      </c>
      <c r="H115" s="98">
        <f>'Cash Flow %s Yr2'!H115</f>
        <v>0.1</v>
      </c>
      <c r="I115" s="98">
        <f>'Cash Flow %s Yr2'!I115</f>
        <v>0.1</v>
      </c>
      <c r="J115" s="98">
        <f>'Cash Flow %s Yr2'!J115</f>
        <v>0.1</v>
      </c>
      <c r="K115" s="98">
        <f>'Cash Flow %s Yr2'!K115</f>
        <v>0.1</v>
      </c>
      <c r="L115" s="98">
        <f>'Cash Flow %s Yr2'!L115</f>
        <v>0.1</v>
      </c>
      <c r="M115" s="98">
        <f>'Cash Flow %s Yr2'!M115</f>
        <v>0.1</v>
      </c>
      <c r="N115" s="98">
        <f>'Cash Flow %s Yr2'!N115</f>
        <v>0.1</v>
      </c>
      <c r="O115" s="98">
        <f>'Cash Flow %s Yr2'!O115</f>
        <v>0.1</v>
      </c>
      <c r="P115" s="98">
        <f>'Cash Flow %s Yr2'!P115</f>
        <v>0</v>
      </c>
      <c r="Q115" s="98">
        <f>'Cash Flow %s Yr2'!Q115</f>
        <v>0</v>
      </c>
      <c r="R115" s="98">
        <f>'Cash Flow %s Yr2'!R115</f>
        <v>0</v>
      </c>
      <c r="S115" s="97">
        <f t="shared" si="9"/>
        <v>0.99999999999999989</v>
      </c>
    </row>
    <row r="116" spans="1:19" s="31" customFormat="1" x14ac:dyDescent="0.75">
      <c r="A116" s="35"/>
      <c r="B116" s="64" t="str">
        <f>'Expenses w MYP'!C80</f>
        <v>5600</v>
      </c>
      <c r="C116" s="64" t="str">
        <f>'Expenses w MYP'!D80</f>
        <v>Space Rental/Leases Expense</v>
      </c>
      <c r="D116" s="98">
        <f>'Cash Flow %s Yr2'!D116</f>
        <v>0</v>
      </c>
      <c r="E116" s="98">
        <f>'Cash Flow %s Yr2'!E116</f>
        <v>0</v>
      </c>
      <c r="F116" s="98">
        <f>'Cash Flow %s Yr2'!F116</f>
        <v>0.1</v>
      </c>
      <c r="G116" s="98">
        <f>'Cash Flow %s Yr2'!G116</f>
        <v>0.1</v>
      </c>
      <c r="H116" s="98">
        <f>'Cash Flow %s Yr2'!H116</f>
        <v>0.1</v>
      </c>
      <c r="I116" s="98">
        <f>'Cash Flow %s Yr2'!I116</f>
        <v>0.1</v>
      </c>
      <c r="J116" s="98">
        <f>'Cash Flow %s Yr2'!J116</f>
        <v>0.1</v>
      </c>
      <c r="K116" s="98">
        <f>'Cash Flow %s Yr2'!K116</f>
        <v>0.1</v>
      </c>
      <c r="L116" s="98">
        <f>'Cash Flow %s Yr2'!L116</f>
        <v>0.1</v>
      </c>
      <c r="M116" s="98">
        <f>'Cash Flow %s Yr2'!M116</f>
        <v>0.1</v>
      </c>
      <c r="N116" s="98">
        <f>'Cash Flow %s Yr2'!N116</f>
        <v>0.1</v>
      </c>
      <c r="O116" s="98">
        <f>'Cash Flow %s Yr2'!O116</f>
        <v>0.1</v>
      </c>
      <c r="P116" s="98">
        <f>'Cash Flow %s Yr2'!P116</f>
        <v>0</v>
      </c>
      <c r="Q116" s="98">
        <f>'Cash Flow %s Yr2'!Q116</f>
        <v>0</v>
      </c>
      <c r="R116" s="98">
        <f>'Cash Flow %s Yr2'!R116</f>
        <v>0</v>
      </c>
      <c r="S116" s="97">
        <f t="shared" si="9"/>
        <v>0.99999999999999989</v>
      </c>
    </row>
    <row r="117" spans="1:19" s="31" customFormat="1" x14ac:dyDescent="0.75">
      <c r="A117" s="35"/>
      <c r="B117" s="64" t="str">
        <f>'Expenses w MYP'!C81</f>
        <v>5601</v>
      </c>
      <c r="C117" s="64" t="str">
        <f>'Expenses w MYP'!D81</f>
        <v>Building Maintenance</v>
      </c>
      <c r="D117" s="98">
        <f>'Cash Flow %s Yr2'!D117</f>
        <v>0.05</v>
      </c>
      <c r="E117" s="98">
        <f>'Cash Flow %s Yr2'!E117</f>
        <v>0.05</v>
      </c>
      <c r="F117" s="98">
        <f>'Cash Flow %s Yr2'!F117</f>
        <v>0.09</v>
      </c>
      <c r="G117" s="98">
        <f>'Cash Flow %s Yr2'!G117</f>
        <v>0.09</v>
      </c>
      <c r="H117" s="98">
        <f>'Cash Flow %s Yr2'!H117</f>
        <v>0.09</v>
      </c>
      <c r="I117" s="98">
        <f>'Cash Flow %s Yr2'!I117</f>
        <v>0.09</v>
      </c>
      <c r="J117" s="98">
        <f>'Cash Flow %s Yr2'!J117</f>
        <v>0.09</v>
      </c>
      <c r="K117" s="98">
        <f>'Cash Flow %s Yr2'!K117</f>
        <v>0.09</v>
      </c>
      <c r="L117" s="98">
        <f>'Cash Flow %s Yr2'!L117</f>
        <v>0.09</v>
      </c>
      <c r="M117" s="98">
        <f>'Cash Flow %s Yr2'!M117</f>
        <v>0.09</v>
      </c>
      <c r="N117" s="98">
        <f>'Cash Flow %s Yr2'!N117</f>
        <v>0.09</v>
      </c>
      <c r="O117" s="98">
        <f>'Cash Flow %s Yr2'!O117</f>
        <v>0.09</v>
      </c>
      <c r="P117" s="98">
        <f>'Cash Flow %s Yr2'!P117</f>
        <v>0</v>
      </c>
      <c r="Q117" s="98">
        <f>'Cash Flow %s Yr2'!Q117</f>
        <v>0</v>
      </c>
      <c r="R117" s="98">
        <f>'Cash Flow %s Yr2'!R117</f>
        <v>0</v>
      </c>
      <c r="S117" s="97">
        <f t="shared" si="9"/>
        <v>0.99999999999999978</v>
      </c>
    </row>
    <row r="118" spans="1:19" s="31" customFormat="1" x14ac:dyDescent="0.75">
      <c r="A118" s="35"/>
      <c r="B118" s="64" t="str">
        <f>'Expenses w MYP'!C82</f>
        <v>5602</v>
      </c>
      <c r="C118" s="64" t="str">
        <f>'Expenses w MYP'!D82</f>
        <v>Other Space Rental</v>
      </c>
      <c r="D118" s="98">
        <f>'Cash Flow %s Yr2'!D118</f>
        <v>0.05</v>
      </c>
      <c r="E118" s="98">
        <f>'Cash Flow %s Yr2'!E118</f>
        <v>0.05</v>
      </c>
      <c r="F118" s="98">
        <f>'Cash Flow %s Yr2'!F118</f>
        <v>0.09</v>
      </c>
      <c r="G118" s="98">
        <f>'Cash Flow %s Yr2'!G118</f>
        <v>0.09</v>
      </c>
      <c r="H118" s="98">
        <f>'Cash Flow %s Yr2'!H118</f>
        <v>0.09</v>
      </c>
      <c r="I118" s="98">
        <f>'Cash Flow %s Yr2'!I118</f>
        <v>0.09</v>
      </c>
      <c r="J118" s="98">
        <f>'Cash Flow %s Yr2'!J118</f>
        <v>0.09</v>
      </c>
      <c r="K118" s="98">
        <f>'Cash Flow %s Yr2'!K118</f>
        <v>0.09</v>
      </c>
      <c r="L118" s="98">
        <f>'Cash Flow %s Yr2'!L118</f>
        <v>0.09</v>
      </c>
      <c r="M118" s="98">
        <f>'Cash Flow %s Yr2'!M118</f>
        <v>0.09</v>
      </c>
      <c r="N118" s="98">
        <f>'Cash Flow %s Yr2'!N118</f>
        <v>0.09</v>
      </c>
      <c r="O118" s="98">
        <f>'Cash Flow %s Yr2'!O118</f>
        <v>0.09</v>
      </c>
      <c r="P118" s="98">
        <f>'Cash Flow %s Yr2'!P118</f>
        <v>0</v>
      </c>
      <c r="Q118" s="98">
        <f>'Cash Flow %s Yr2'!Q118</f>
        <v>0</v>
      </c>
      <c r="R118" s="98">
        <f>'Cash Flow %s Yr2'!R118</f>
        <v>0</v>
      </c>
      <c r="S118" s="97">
        <f t="shared" si="9"/>
        <v>0.99999999999999978</v>
      </c>
    </row>
    <row r="119" spans="1:19" s="31" customFormat="1" x14ac:dyDescent="0.75">
      <c r="A119" s="35"/>
      <c r="B119" s="64" t="str">
        <f>'Expenses w MYP'!C83</f>
        <v>5603</v>
      </c>
      <c r="C119" s="64" t="str">
        <f>'Expenses w MYP'!D83</f>
        <v>Engagement Space Rental</v>
      </c>
      <c r="D119" s="98">
        <f>'Cash Flow %s Yr2'!D119</f>
        <v>0</v>
      </c>
      <c r="E119" s="98">
        <f>'Cash Flow %s Yr2'!E119</f>
        <v>0</v>
      </c>
      <c r="F119" s="98">
        <f>'Cash Flow %s Yr2'!F119</f>
        <v>0.1</v>
      </c>
      <c r="G119" s="98">
        <f>'Cash Flow %s Yr2'!G119</f>
        <v>0.1</v>
      </c>
      <c r="H119" s="98">
        <f>'Cash Flow %s Yr2'!H119</f>
        <v>0.1</v>
      </c>
      <c r="I119" s="98">
        <f>'Cash Flow %s Yr2'!I119</f>
        <v>0.1</v>
      </c>
      <c r="J119" s="98">
        <f>'Cash Flow %s Yr2'!J119</f>
        <v>0.1</v>
      </c>
      <c r="K119" s="98">
        <f>'Cash Flow %s Yr2'!K119</f>
        <v>0.1</v>
      </c>
      <c r="L119" s="98">
        <f>'Cash Flow %s Yr2'!L119</f>
        <v>0.1</v>
      </c>
      <c r="M119" s="98">
        <f>'Cash Flow %s Yr2'!M119</f>
        <v>0.1</v>
      </c>
      <c r="N119" s="98">
        <f>'Cash Flow %s Yr2'!N119</f>
        <v>0.1</v>
      </c>
      <c r="O119" s="98">
        <f>'Cash Flow %s Yr2'!O119</f>
        <v>0.1</v>
      </c>
      <c r="P119" s="98">
        <f>'Cash Flow %s Yr2'!P119</f>
        <v>0</v>
      </c>
      <c r="Q119" s="98">
        <f>'Cash Flow %s Yr2'!Q119</f>
        <v>0</v>
      </c>
      <c r="R119" s="98">
        <f>'Cash Flow %s Yr2'!R119</f>
        <v>0</v>
      </c>
      <c r="S119" s="97">
        <f t="shared" si="9"/>
        <v>0.99999999999999989</v>
      </c>
    </row>
    <row r="120" spans="1:19" s="31" customFormat="1" x14ac:dyDescent="0.75">
      <c r="A120" s="35"/>
      <c r="B120" s="64" t="str">
        <f>'Expenses w MYP'!C84</f>
        <v>5610</v>
      </c>
      <c r="C120" s="64" t="str">
        <f>'Expenses w MYP'!D84</f>
        <v>Equipment Repair</v>
      </c>
      <c r="D120" s="98">
        <f>'Cash Flow %s Yr2'!D120</f>
        <v>0</v>
      </c>
      <c r="E120" s="98">
        <f>'Cash Flow %s Yr2'!E120</f>
        <v>0</v>
      </c>
      <c r="F120" s="98">
        <f>'Cash Flow %s Yr2'!F120</f>
        <v>0.1</v>
      </c>
      <c r="G120" s="98">
        <f>'Cash Flow %s Yr2'!G120</f>
        <v>0.1</v>
      </c>
      <c r="H120" s="98">
        <f>'Cash Flow %s Yr2'!H120</f>
        <v>0.1</v>
      </c>
      <c r="I120" s="98">
        <f>'Cash Flow %s Yr2'!I120</f>
        <v>0.1</v>
      </c>
      <c r="J120" s="98">
        <f>'Cash Flow %s Yr2'!J120</f>
        <v>0.1</v>
      </c>
      <c r="K120" s="98">
        <f>'Cash Flow %s Yr2'!K120</f>
        <v>0.1</v>
      </c>
      <c r="L120" s="98">
        <f>'Cash Flow %s Yr2'!L120</f>
        <v>0.1</v>
      </c>
      <c r="M120" s="98">
        <f>'Cash Flow %s Yr2'!M120</f>
        <v>0.1</v>
      </c>
      <c r="N120" s="98">
        <f>'Cash Flow %s Yr2'!N120</f>
        <v>0.1</v>
      </c>
      <c r="O120" s="98">
        <f>'Cash Flow %s Yr2'!O120</f>
        <v>0.1</v>
      </c>
      <c r="P120" s="98">
        <f>'Cash Flow %s Yr2'!P120</f>
        <v>0</v>
      </c>
      <c r="Q120" s="98">
        <f>'Cash Flow %s Yr2'!Q120</f>
        <v>0</v>
      </c>
      <c r="R120" s="98">
        <f>'Cash Flow %s Yr2'!R120</f>
        <v>0</v>
      </c>
      <c r="S120" s="97">
        <f t="shared" si="9"/>
        <v>0.99999999999999989</v>
      </c>
    </row>
    <row r="121" spans="1:19" s="31" customFormat="1" x14ac:dyDescent="0.75">
      <c r="A121" s="35"/>
      <c r="B121" s="64" t="str">
        <f>'Expenses w MYP'!C85</f>
        <v>5800</v>
      </c>
      <c r="C121" s="64" t="str">
        <f>'Expenses w MYP'!D85</f>
        <v>Professional/Consulting Services and Operating Expenditures</v>
      </c>
      <c r="D121" s="98">
        <f>'Cash Flow %s Yr2'!D121</f>
        <v>0</v>
      </c>
      <c r="E121" s="98">
        <f>'Cash Flow %s Yr2'!E121</f>
        <v>0</v>
      </c>
      <c r="F121" s="98">
        <f>'Cash Flow %s Yr2'!F121</f>
        <v>0.1</v>
      </c>
      <c r="G121" s="98">
        <f>'Cash Flow %s Yr2'!G121</f>
        <v>0.1</v>
      </c>
      <c r="H121" s="98">
        <f>'Cash Flow %s Yr2'!H121</f>
        <v>0.1</v>
      </c>
      <c r="I121" s="98">
        <f>'Cash Flow %s Yr2'!I121</f>
        <v>0.1</v>
      </c>
      <c r="J121" s="98">
        <f>'Cash Flow %s Yr2'!J121</f>
        <v>0.1</v>
      </c>
      <c r="K121" s="98">
        <f>'Cash Flow %s Yr2'!K121</f>
        <v>0.1</v>
      </c>
      <c r="L121" s="98">
        <f>'Cash Flow %s Yr2'!L121</f>
        <v>0.1</v>
      </c>
      <c r="M121" s="98">
        <f>'Cash Flow %s Yr2'!M121</f>
        <v>0.1</v>
      </c>
      <c r="N121" s="98">
        <f>'Cash Flow %s Yr2'!N121</f>
        <v>0.1</v>
      </c>
      <c r="O121" s="98">
        <f>'Cash Flow %s Yr2'!O121</f>
        <v>0.1</v>
      </c>
      <c r="P121" s="98">
        <f>'Cash Flow %s Yr2'!P121</f>
        <v>0</v>
      </c>
      <c r="Q121" s="98">
        <f>'Cash Flow %s Yr2'!Q121</f>
        <v>0</v>
      </c>
      <c r="R121" s="98">
        <f>'Cash Flow %s Yr2'!R121</f>
        <v>0</v>
      </c>
      <c r="S121" s="97">
        <f t="shared" si="9"/>
        <v>0.99999999999999989</v>
      </c>
    </row>
    <row r="122" spans="1:19" s="31" customFormat="1" x14ac:dyDescent="0.75">
      <c r="A122" s="35"/>
      <c r="B122" s="64" t="str">
        <f>'Expenses w MYP'!C86</f>
        <v>5803</v>
      </c>
      <c r="C122" s="64" t="str">
        <f>'Expenses w MYP'!D86</f>
        <v>Banking and Payroll Service Fees</v>
      </c>
      <c r="D122" s="98">
        <f>'Cash Flow %s Yr2'!D122</f>
        <v>0.05</v>
      </c>
      <c r="E122" s="98">
        <f>'Cash Flow %s Yr2'!E122</f>
        <v>0.05</v>
      </c>
      <c r="F122" s="98">
        <f>'Cash Flow %s Yr2'!F122</f>
        <v>0.09</v>
      </c>
      <c r="G122" s="98">
        <f>'Cash Flow %s Yr2'!G122</f>
        <v>0.09</v>
      </c>
      <c r="H122" s="98">
        <f>'Cash Flow %s Yr2'!H122</f>
        <v>0.09</v>
      </c>
      <c r="I122" s="98">
        <f>'Cash Flow %s Yr2'!I122</f>
        <v>0.09</v>
      </c>
      <c r="J122" s="98">
        <f>'Cash Flow %s Yr2'!J122</f>
        <v>0.09</v>
      </c>
      <c r="K122" s="98">
        <f>'Cash Flow %s Yr2'!K122</f>
        <v>0.09</v>
      </c>
      <c r="L122" s="98">
        <f>'Cash Flow %s Yr2'!L122</f>
        <v>0.09</v>
      </c>
      <c r="M122" s="98">
        <f>'Cash Flow %s Yr2'!M122</f>
        <v>0.09</v>
      </c>
      <c r="N122" s="98">
        <f>'Cash Flow %s Yr2'!N122</f>
        <v>0.09</v>
      </c>
      <c r="O122" s="98">
        <f>'Cash Flow %s Yr2'!O122</f>
        <v>0.09</v>
      </c>
      <c r="P122" s="98">
        <f>'Cash Flow %s Yr2'!P122</f>
        <v>0</v>
      </c>
      <c r="Q122" s="98">
        <f>'Cash Flow %s Yr2'!Q122</f>
        <v>0</v>
      </c>
      <c r="R122" s="98">
        <f>'Cash Flow %s Yr2'!R122</f>
        <v>0</v>
      </c>
      <c r="S122" s="97">
        <f t="shared" si="9"/>
        <v>0.99999999999999978</v>
      </c>
    </row>
    <row r="123" spans="1:19" s="31" customFormat="1" x14ac:dyDescent="0.75">
      <c r="A123" s="35"/>
      <c r="B123" s="64" t="str">
        <f>'Expenses w MYP'!C87</f>
        <v>5805</v>
      </c>
      <c r="C123" s="64" t="str">
        <f>'Expenses w MYP'!D87</f>
        <v>Legal Fees</v>
      </c>
      <c r="D123" s="98">
        <f>'Cash Flow %s Yr2'!D123</f>
        <v>0.05</v>
      </c>
      <c r="E123" s="98">
        <f>'Cash Flow %s Yr2'!E123</f>
        <v>0.05</v>
      </c>
      <c r="F123" s="98">
        <f>'Cash Flow %s Yr2'!F123</f>
        <v>0.09</v>
      </c>
      <c r="G123" s="98">
        <f>'Cash Flow %s Yr2'!G123</f>
        <v>0.09</v>
      </c>
      <c r="H123" s="98">
        <f>'Cash Flow %s Yr2'!H123</f>
        <v>0.09</v>
      </c>
      <c r="I123" s="98">
        <f>'Cash Flow %s Yr2'!I123</f>
        <v>0.09</v>
      </c>
      <c r="J123" s="98">
        <f>'Cash Flow %s Yr2'!J123</f>
        <v>0.09</v>
      </c>
      <c r="K123" s="98">
        <f>'Cash Flow %s Yr2'!K123</f>
        <v>0.09</v>
      </c>
      <c r="L123" s="98">
        <f>'Cash Flow %s Yr2'!L123</f>
        <v>0.09</v>
      </c>
      <c r="M123" s="98">
        <f>'Cash Flow %s Yr2'!M123</f>
        <v>0.09</v>
      </c>
      <c r="N123" s="98">
        <f>'Cash Flow %s Yr2'!N123</f>
        <v>0.09</v>
      </c>
      <c r="O123" s="98">
        <f>'Cash Flow %s Yr2'!O123</f>
        <v>0.09</v>
      </c>
      <c r="P123" s="98">
        <f>'Cash Flow %s Yr2'!P123</f>
        <v>0</v>
      </c>
      <c r="Q123" s="98">
        <f>'Cash Flow %s Yr2'!Q123</f>
        <v>0</v>
      </c>
      <c r="R123" s="98">
        <f>'Cash Flow %s Yr2'!R123</f>
        <v>0</v>
      </c>
      <c r="S123" s="97">
        <f t="shared" si="9"/>
        <v>0.99999999999999978</v>
      </c>
    </row>
    <row r="124" spans="1:19" s="31" customFormat="1" x14ac:dyDescent="0.75">
      <c r="A124" s="35"/>
      <c r="B124" s="64" t="str">
        <f>'Expenses w MYP'!C88</f>
        <v>5806</v>
      </c>
      <c r="C124" s="64" t="str">
        <f>'Expenses w MYP'!D88</f>
        <v>Audit Services</v>
      </c>
      <c r="D124" s="98">
        <f>'Cash Flow %s Yr2'!D124</f>
        <v>0.05</v>
      </c>
      <c r="E124" s="98">
        <f>'Cash Flow %s Yr2'!E124</f>
        <v>0.05</v>
      </c>
      <c r="F124" s="98">
        <f>'Cash Flow %s Yr2'!F124</f>
        <v>0.09</v>
      </c>
      <c r="G124" s="98">
        <f>'Cash Flow %s Yr2'!G124</f>
        <v>0.09</v>
      </c>
      <c r="H124" s="98">
        <f>'Cash Flow %s Yr2'!H124</f>
        <v>0.09</v>
      </c>
      <c r="I124" s="98">
        <f>'Cash Flow %s Yr2'!I124</f>
        <v>0.09</v>
      </c>
      <c r="J124" s="98">
        <f>'Cash Flow %s Yr2'!J124</f>
        <v>0.09</v>
      </c>
      <c r="K124" s="98">
        <f>'Cash Flow %s Yr2'!K124</f>
        <v>0.09</v>
      </c>
      <c r="L124" s="98">
        <f>'Cash Flow %s Yr2'!L124</f>
        <v>0.09</v>
      </c>
      <c r="M124" s="98">
        <f>'Cash Flow %s Yr2'!M124</f>
        <v>0.09</v>
      </c>
      <c r="N124" s="98">
        <f>'Cash Flow %s Yr2'!N124</f>
        <v>0.09</v>
      </c>
      <c r="O124" s="98">
        <f>'Cash Flow %s Yr2'!O124</f>
        <v>0.09</v>
      </c>
      <c r="P124" s="98">
        <f>'Cash Flow %s Yr2'!P124</f>
        <v>0</v>
      </c>
      <c r="Q124" s="98">
        <f>'Cash Flow %s Yr2'!Q124</f>
        <v>0</v>
      </c>
      <c r="R124" s="98">
        <f>'Cash Flow %s Yr2'!R124</f>
        <v>0</v>
      </c>
      <c r="S124" s="97">
        <f t="shared" si="9"/>
        <v>0.99999999999999978</v>
      </c>
    </row>
    <row r="125" spans="1:19" s="31" customFormat="1" x14ac:dyDescent="0.75">
      <c r="A125" s="35"/>
      <c r="B125" s="64" t="str">
        <f>'Expenses w MYP'!C91</f>
        <v>5810</v>
      </c>
      <c r="C125" s="64" t="str">
        <f>'Expenses w MYP'!D91</f>
        <v>Educational Consultants</v>
      </c>
      <c r="D125" s="98">
        <f>'Cash Flow %s Yr2'!D125</f>
        <v>0.05</v>
      </c>
      <c r="E125" s="98">
        <f>'Cash Flow %s Yr2'!E125</f>
        <v>0.05</v>
      </c>
      <c r="F125" s="98">
        <f>'Cash Flow %s Yr2'!F125</f>
        <v>0.09</v>
      </c>
      <c r="G125" s="98">
        <f>'Cash Flow %s Yr2'!G125</f>
        <v>0.09</v>
      </c>
      <c r="H125" s="98">
        <f>'Cash Flow %s Yr2'!H125</f>
        <v>0.09</v>
      </c>
      <c r="I125" s="98">
        <f>'Cash Flow %s Yr2'!I125</f>
        <v>0.09</v>
      </c>
      <c r="J125" s="98">
        <f>'Cash Flow %s Yr2'!J125</f>
        <v>0.09</v>
      </c>
      <c r="K125" s="98">
        <f>'Cash Flow %s Yr2'!K125</f>
        <v>0.09</v>
      </c>
      <c r="L125" s="98">
        <f>'Cash Flow %s Yr2'!L125</f>
        <v>0.09</v>
      </c>
      <c r="M125" s="98">
        <f>'Cash Flow %s Yr2'!M125</f>
        <v>0.09</v>
      </c>
      <c r="N125" s="98">
        <f>'Cash Flow %s Yr2'!N125</f>
        <v>0.09</v>
      </c>
      <c r="O125" s="98">
        <f>'Cash Flow %s Yr2'!O125</f>
        <v>0.09</v>
      </c>
      <c r="P125" s="98">
        <f>'Cash Flow %s Yr2'!P125</f>
        <v>0</v>
      </c>
      <c r="Q125" s="98">
        <f>'Cash Flow %s Yr2'!Q125</f>
        <v>0</v>
      </c>
      <c r="R125" s="98">
        <f>'Cash Flow %s Yr2'!R125</f>
        <v>0</v>
      </c>
      <c r="S125" s="97">
        <f t="shared" si="9"/>
        <v>0.99999999999999978</v>
      </c>
    </row>
    <row r="126" spans="1:19" s="31" customFormat="1" x14ac:dyDescent="0.75">
      <c r="A126" s="35"/>
      <c r="B126" s="64" t="str">
        <f>'Expenses w MYP'!C92</f>
        <v>5811</v>
      </c>
      <c r="C126" s="64" t="str">
        <f>'Expenses w MYP'!D92</f>
        <v>Student Transportation / Field Trips</v>
      </c>
      <c r="D126" s="98">
        <f>'Cash Flow %s Yr2'!D126</f>
        <v>0.05</v>
      </c>
      <c r="E126" s="98">
        <f>'Cash Flow %s Yr2'!E126</f>
        <v>0.05</v>
      </c>
      <c r="F126" s="98">
        <f>'Cash Flow %s Yr2'!F126</f>
        <v>0.09</v>
      </c>
      <c r="G126" s="98">
        <f>'Cash Flow %s Yr2'!G126</f>
        <v>0.09</v>
      </c>
      <c r="H126" s="98">
        <f>'Cash Flow %s Yr2'!H126</f>
        <v>0.09</v>
      </c>
      <c r="I126" s="98">
        <f>'Cash Flow %s Yr2'!I126</f>
        <v>0.09</v>
      </c>
      <c r="J126" s="98">
        <f>'Cash Flow %s Yr2'!J126</f>
        <v>0.09</v>
      </c>
      <c r="K126" s="98">
        <f>'Cash Flow %s Yr2'!K126</f>
        <v>0.09</v>
      </c>
      <c r="L126" s="98">
        <f>'Cash Flow %s Yr2'!L126</f>
        <v>0.09</v>
      </c>
      <c r="M126" s="98">
        <f>'Cash Flow %s Yr2'!M126</f>
        <v>0.09</v>
      </c>
      <c r="N126" s="98">
        <f>'Cash Flow %s Yr2'!N126</f>
        <v>0.09</v>
      </c>
      <c r="O126" s="98">
        <f>'Cash Flow %s Yr2'!O126</f>
        <v>0.09</v>
      </c>
      <c r="P126" s="98">
        <f>'Cash Flow %s Yr2'!P126</f>
        <v>0</v>
      </c>
      <c r="Q126" s="98">
        <f>'Cash Flow %s Yr2'!Q126</f>
        <v>0</v>
      </c>
      <c r="R126" s="98">
        <f>'Cash Flow %s Yr2'!R126</f>
        <v>0</v>
      </c>
      <c r="S126" s="97">
        <f t="shared" si="9"/>
        <v>0.99999999999999978</v>
      </c>
    </row>
    <row r="127" spans="1:19" s="31" customFormat="1" x14ac:dyDescent="0.75">
      <c r="A127" s="35"/>
      <c r="B127" s="64" t="str">
        <f>'Expenses w MYP'!C94</f>
        <v>5815</v>
      </c>
      <c r="C127" s="64" t="str">
        <f>'Expenses w MYP'!D94</f>
        <v>Advertising / Recruiting</v>
      </c>
      <c r="D127" s="98">
        <f>'Cash Flow %s Yr2'!D127</f>
        <v>0</v>
      </c>
      <c r="E127" s="98">
        <f>'Cash Flow %s Yr2'!E127</f>
        <v>0</v>
      </c>
      <c r="F127" s="98">
        <f>'Cash Flow %s Yr2'!F127</f>
        <v>0.1</v>
      </c>
      <c r="G127" s="98">
        <f>'Cash Flow %s Yr2'!G127</f>
        <v>0.1</v>
      </c>
      <c r="H127" s="98">
        <f>'Cash Flow %s Yr2'!H127</f>
        <v>0.1</v>
      </c>
      <c r="I127" s="98">
        <f>'Cash Flow %s Yr2'!I127</f>
        <v>0.1</v>
      </c>
      <c r="J127" s="98">
        <f>'Cash Flow %s Yr2'!J127</f>
        <v>0.1</v>
      </c>
      <c r="K127" s="98">
        <f>'Cash Flow %s Yr2'!K127</f>
        <v>0.1</v>
      </c>
      <c r="L127" s="98">
        <f>'Cash Flow %s Yr2'!L127</f>
        <v>0.1</v>
      </c>
      <c r="M127" s="98">
        <f>'Cash Flow %s Yr2'!M127</f>
        <v>0.1</v>
      </c>
      <c r="N127" s="98">
        <f>'Cash Flow %s Yr2'!N127</f>
        <v>0.1</v>
      </c>
      <c r="O127" s="98">
        <f>'Cash Flow %s Yr2'!O127</f>
        <v>0.1</v>
      </c>
      <c r="P127" s="98">
        <f>'Cash Flow %s Yr2'!P127</f>
        <v>0</v>
      </c>
      <c r="Q127" s="98">
        <f>'Cash Flow %s Yr2'!Q127</f>
        <v>0</v>
      </c>
      <c r="R127" s="98">
        <f>'Cash Flow %s Yr2'!R127</f>
        <v>0</v>
      </c>
      <c r="S127" s="97">
        <f t="shared" si="9"/>
        <v>0.99999999999999989</v>
      </c>
    </row>
    <row r="128" spans="1:19" s="31" customFormat="1" x14ac:dyDescent="0.75">
      <c r="A128" s="35"/>
      <c r="B128" s="64" t="str">
        <f>'Expenses w MYP'!C95</f>
        <v>5820</v>
      </c>
      <c r="C128" s="64" t="str">
        <f>'Expenses w MYP'!D95</f>
        <v>Fundraising Expense</v>
      </c>
      <c r="D128" s="98">
        <f>'Cash Flow %s Yr2'!D128</f>
        <v>0</v>
      </c>
      <c r="E128" s="98">
        <f>'Cash Flow %s Yr2'!E128</f>
        <v>0</v>
      </c>
      <c r="F128" s="98">
        <f>'Cash Flow %s Yr2'!F128</f>
        <v>0.1</v>
      </c>
      <c r="G128" s="98">
        <f>'Cash Flow %s Yr2'!G128</f>
        <v>0.1</v>
      </c>
      <c r="H128" s="98">
        <f>'Cash Flow %s Yr2'!H128</f>
        <v>0.1</v>
      </c>
      <c r="I128" s="98">
        <f>'Cash Flow %s Yr2'!I128</f>
        <v>0.1</v>
      </c>
      <c r="J128" s="98">
        <f>'Cash Flow %s Yr2'!J128</f>
        <v>0.1</v>
      </c>
      <c r="K128" s="98">
        <f>'Cash Flow %s Yr2'!K128</f>
        <v>0.1</v>
      </c>
      <c r="L128" s="98">
        <f>'Cash Flow %s Yr2'!L128</f>
        <v>0.1</v>
      </c>
      <c r="M128" s="98">
        <f>'Cash Flow %s Yr2'!M128</f>
        <v>0.1</v>
      </c>
      <c r="N128" s="98">
        <f>'Cash Flow %s Yr2'!N128</f>
        <v>0.1</v>
      </c>
      <c r="O128" s="98">
        <f>'Cash Flow %s Yr2'!O128</f>
        <v>0.1</v>
      </c>
      <c r="P128" s="98">
        <f>'Cash Flow %s Yr2'!P128</f>
        <v>0</v>
      </c>
      <c r="Q128" s="98">
        <f>'Cash Flow %s Yr2'!Q128</f>
        <v>0</v>
      </c>
      <c r="R128" s="98">
        <f>'Cash Flow %s Yr2'!R128</f>
        <v>0</v>
      </c>
      <c r="S128" s="97">
        <f t="shared" si="9"/>
        <v>0.99999999999999989</v>
      </c>
    </row>
    <row r="129" spans="1:19" s="31" customFormat="1" x14ac:dyDescent="0.75">
      <c r="A129" s="35"/>
      <c r="B129" s="64" t="str">
        <f>'Expenses w MYP'!C97</f>
        <v>5873</v>
      </c>
      <c r="C129" s="64" t="str">
        <f>'Expenses w MYP'!D97</f>
        <v>Financial Services</v>
      </c>
      <c r="D129" s="98">
        <f>'Cash Flow %s Yr2'!D129</f>
        <v>8.3000000000000004E-2</v>
      </c>
      <c r="E129" s="98">
        <f>'Cash Flow %s Yr2'!E129</f>
        <v>8.3000000000000004E-2</v>
      </c>
      <c r="F129" s="98">
        <f>'Cash Flow %s Yr2'!F129</f>
        <v>8.3000000000000004E-2</v>
      </c>
      <c r="G129" s="98">
        <f>'Cash Flow %s Yr2'!G129</f>
        <v>8.3000000000000004E-2</v>
      </c>
      <c r="H129" s="98">
        <f>'Cash Flow %s Yr2'!H129</f>
        <v>8.3000000000000004E-2</v>
      </c>
      <c r="I129" s="98">
        <f>'Cash Flow %s Yr2'!I129</f>
        <v>8.3000000000000004E-2</v>
      </c>
      <c r="J129" s="98">
        <f>'Cash Flow %s Yr2'!J129</f>
        <v>8.3000000000000004E-2</v>
      </c>
      <c r="K129" s="98">
        <f>'Cash Flow %s Yr2'!K129</f>
        <v>8.3000000000000004E-2</v>
      </c>
      <c r="L129" s="98">
        <f>'Cash Flow %s Yr2'!L129</f>
        <v>8.4000000000000005E-2</v>
      </c>
      <c r="M129" s="98">
        <f>'Cash Flow %s Yr2'!M129</f>
        <v>8.4000000000000005E-2</v>
      </c>
      <c r="N129" s="98">
        <f>'Cash Flow %s Yr2'!N129</f>
        <v>8.4000000000000005E-2</v>
      </c>
      <c r="O129" s="98">
        <f>'Cash Flow %s Yr2'!O129</f>
        <v>8.4000000000000005E-2</v>
      </c>
      <c r="P129" s="98">
        <f>'Cash Flow %s Yr2'!P129</f>
        <v>0</v>
      </c>
      <c r="Q129" s="98">
        <f>'Cash Flow %s Yr2'!Q129</f>
        <v>0</v>
      </c>
      <c r="R129" s="98">
        <f>'Cash Flow %s Yr2'!R129</f>
        <v>0</v>
      </c>
      <c r="S129" s="97">
        <f t="shared" si="9"/>
        <v>0.99999999999999989</v>
      </c>
    </row>
    <row r="130" spans="1:19" s="31" customFormat="1" x14ac:dyDescent="0.75">
      <c r="A130" s="35"/>
      <c r="B130" s="64" t="str">
        <f>'Expenses w MYP'!C98</f>
        <v>5874</v>
      </c>
      <c r="C130" s="64" t="str">
        <f>'Expenses w MYP'!D98</f>
        <v>Personnel Services</v>
      </c>
      <c r="D130" s="98">
        <f>'Cash Flow %s Yr2'!D130</f>
        <v>8.3000000000000004E-2</v>
      </c>
      <c r="E130" s="98">
        <f>'Cash Flow %s Yr2'!E130</f>
        <v>8.3000000000000004E-2</v>
      </c>
      <c r="F130" s="98">
        <f>'Cash Flow %s Yr2'!F130</f>
        <v>8.3000000000000004E-2</v>
      </c>
      <c r="G130" s="98">
        <f>'Cash Flow %s Yr2'!G130</f>
        <v>8.3000000000000004E-2</v>
      </c>
      <c r="H130" s="98">
        <f>'Cash Flow %s Yr2'!H130</f>
        <v>8.3000000000000004E-2</v>
      </c>
      <c r="I130" s="98">
        <f>'Cash Flow %s Yr2'!I130</f>
        <v>8.3000000000000004E-2</v>
      </c>
      <c r="J130" s="98">
        <f>'Cash Flow %s Yr2'!J130</f>
        <v>8.3000000000000004E-2</v>
      </c>
      <c r="K130" s="98">
        <f>'Cash Flow %s Yr2'!K130</f>
        <v>8.3000000000000004E-2</v>
      </c>
      <c r="L130" s="98">
        <f>'Cash Flow %s Yr2'!L130</f>
        <v>8.4000000000000005E-2</v>
      </c>
      <c r="M130" s="98">
        <f>'Cash Flow %s Yr2'!M130</f>
        <v>8.4000000000000005E-2</v>
      </c>
      <c r="N130" s="98">
        <f>'Cash Flow %s Yr2'!N130</f>
        <v>8.4000000000000005E-2</v>
      </c>
      <c r="O130" s="98">
        <f>'Cash Flow %s Yr2'!O130</f>
        <v>8.4000000000000005E-2</v>
      </c>
      <c r="P130" s="98">
        <f>'Cash Flow %s Yr2'!P130</f>
        <v>0</v>
      </c>
      <c r="Q130" s="98">
        <f>'Cash Flow %s Yr2'!Q130</f>
        <v>0</v>
      </c>
      <c r="R130" s="98">
        <f>'Cash Flow %s Yr2'!R130</f>
        <v>0</v>
      </c>
      <c r="S130" s="97">
        <f t="shared" si="9"/>
        <v>0.99999999999999989</v>
      </c>
    </row>
    <row r="131" spans="1:19" s="31" customFormat="1" hidden="1" outlineLevel="1" x14ac:dyDescent="0.75">
      <c r="A131" s="35"/>
      <c r="B131" s="64" t="str">
        <f>'Expenses w MYP'!C99</f>
        <v>5875</v>
      </c>
      <c r="C131" s="64" t="str">
        <f>'Expenses w MYP'!D99</f>
        <v>District Oversight Fee</v>
      </c>
      <c r="D131" s="98">
        <f>'Cash Flow %s Yr2'!D131</f>
        <v>0</v>
      </c>
      <c r="E131" s="98">
        <f>'Cash Flow %s Yr2'!E131</f>
        <v>0</v>
      </c>
      <c r="F131" s="98">
        <f>'Cash Flow %s Yr2'!F131</f>
        <v>0.1</v>
      </c>
      <c r="G131" s="98">
        <f>'Cash Flow %s Yr2'!G131</f>
        <v>0.1</v>
      </c>
      <c r="H131" s="98">
        <f>'Cash Flow %s Yr2'!H131</f>
        <v>0.1</v>
      </c>
      <c r="I131" s="98">
        <f>'Cash Flow %s Yr2'!I131</f>
        <v>0.1</v>
      </c>
      <c r="J131" s="98">
        <f>'Cash Flow %s Yr2'!J131</f>
        <v>0.1</v>
      </c>
      <c r="K131" s="98">
        <f>'Cash Flow %s Yr2'!K131</f>
        <v>0.1</v>
      </c>
      <c r="L131" s="98">
        <f>'Cash Flow %s Yr2'!L131</f>
        <v>0.1</v>
      </c>
      <c r="M131" s="98">
        <f>'Cash Flow %s Yr2'!M131</f>
        <v>0.1</v>
      </c>
      <c r="N131" s="98">
        <f>'Cash Flow %s Yr2'!N131</f>
        <v>0.1</v>
      </c>
      <c r="O131" s="98">
        <f>'Cash Flow %s Yr2'!O131</f>
        <v>0.1</v>
      </c>
      <c r="P131" s="98">
        <f>'Cash Flow %s Yr2'!P131</f>
        <v>0</v>
      </c>
      <c r="Q131" s="98">
        <f>'Cash Flow %s Yr2'!Q131</f>
        <v>0</v>
      </c>
      <c r="R131" s="98">
        <f>'Cash Flow %s Yr2'!R131</f>
        <v>0</v>
      </c>
      <c r="S131" s="97">
        <f t="shared" si="9"/>
        <v>0.99999999999999989</v>
      </c>
    </row>
    <row r="132" spans="1:19" s="31" customFormat="1" hidden="1" outlineLevel="1" x14ac:dyDescent="0.75">
      <c r="A132" s="35"/>
      <c r="B132" s="64" t="str">
        <f>'Expenses w MYP'!C100</f>
        <v>5877</v>
      </c>
      <c r="C132" s="64" t="str">
        <f>'Expenses w MYP'!D100</f>
        <v>IT Services</v>
      </c>
      <c r="D132" s="98">
        <f>'Cash Flow %s Yr2'!D132</f>
        <v>0</v>
      </c>
      <c r="E132" s="98">
        <f>'Cash Flow %s Yr2'!E132</f>
        <v>0</v>
      </c>
      <c r="F132" s="98">
        <f>'Cash Flow %s Yr2'!F132</f>
        <v>0.1</v>
      </c>
      <c r="G132" s="98">
        <f>'Cash Flow %s Yr2'!G132</f>
        <v>0.1</v>
      </c>
      <c r="H132" s="98">
        <f>'Cash Flow %s Yr2'!H132</f>
        <v>0.1</v>
      </c>
      <c r="I132" s="98">
        <f>'Cash Flow %s Yr2'!I132</f>
        <v>0.1</v>
      </c>
      <c r="J132" s="98">
        <f>'Cash Flow %s Yr2'!J132</f>
        <v>0.1</v>
      </c>
      <c r="K132" s="98">
        <f>'Cash Flow %s Yr2'!K132</f>
        <v>0.1</v>
      </c>
      <c r="L132" s="98">
        <f>'Cash Flow %s Yr2'!L132</f>
        <v>0.1</v>
      </c>
      <c r="M132" s="98">
        <f>'Cash Flow %s Yr2'!M132</f>
        <v>0.1</v>
      </c>
      <c r="N132" s="98">
        <f>'Cash Flow %s Yr2'!N132</f>
        <v>0.1</v>
      </c>
      <c r="O132" s="98">
        <f>'Cash Flow %s Yr2'!O132</f>
        <v>0.1</v>
      </c>
      <c r="P132" s="98">
        <f>'Cash Flow %s Yr2'!P132</f>
        <v>0</v>
      </c>
      <c r="Q132" s="98">
        <f>'Cash Flow %s Yr2'!Q132</f>
        <v>0</v>
      </c>
      <c r="R132" s="98">
        <f>'Cash Flow %s Yr2'!R132</f>
        <v>0</v>
      </c>
      <c r="S132" s="97">
        <f t="shared" si="9"/>
        <v>0.99999999999999989</v>
      </c>
    </row>
    <row r="133" spans="1:19" s="31" customFormat="1" hidden="1" outlineLevel="1" x14ac:dyDescent="0.75">
      <c r="A133" s="35"/>
      <c r="B133" s="64" t="str">
        <f>'Expenses w MYP'!C101</f>
        <v>5890</v>
      </c>
      <c r="C133" s="64" t="str">
        <f>'Expenses w MYP'!D101</f>
        <v>Interest Expense / Misc. Fees</v>
      </c>
      <c r="D133" s="98">
        <f>'Cash Flow %s Yr2'!D133</f>
        <v>0</v>
      </c>
      <c r="E133" s="98">
        <f>'Cash Flow %s Yr2'!E133</f>
        <v>0</v>
      </c>
      <c r="F133" s="98">
        <f>'Cash Flow %s Yr2'!F133</f>
        <v>0.1</v>
      </c>
      <c r="G133" s="98">
        <f>'Cash Flow %s Yr2'!G133</f>
        <v>0.1</v>
      </c>
      <c r="H133" s="98">
        <f>'Cash Flow %s Yr2'!H133</f>
        <v>0.1</v>
      </c>
      <c r="I133" s="98">
        <f>'Cash Flow %s Yr2'!I133</f>
        <v>0.1</v>
      </c>
      <c r="J133" s="98">
        <f>'Cash Flow %s Yr2'!J133</f>
        <v>0.1</v>
      </c>
      <c r="K133" s="98">
        <f>'Cash Flow %s Yr2'!K133</f>
        <v>0.1</v>
      </c>
      <c r="L133" s="98">
        <f>'Cash Flow %s Yr2'!L133</f>
        <v>0.1</v>
      </c>
      <c r="M133" s="98">
        <f>'Cash Flow %s Yr2'!M133</f>
        <v>0.1</v>
      </c>
      <c r="N133" s="98">
        <f>'Cash Flow %s Yr2'!N133</f>
        <v>0.1</v>
      </c>
      <c r="O133" s="98">
        <f>'Cash Flow %s Yr2'!O133</f>
        <v>0.1</v>
      </c>
      <c r="P133" s="98">
        <f>'Cash Flow %s Yr2'!P133</f>
        <v>0</v>
      </c>
      <c r="Q133" s="98">
        <f>'Cash Flow %s Yr2'!Q133</f>
        <v>0</v>
      </c>
      <c r="R133" s="98">
        <f>'Cash Flow %s Yr2'!R133</f>
        <v>0</v>
      </c>
      <c r="S133" s="97">
        <f t="shared" si="9"/>
        <v>0.99999999999999989</v>
      </c>
    </row>
    <row r="134" spans="1:19" s="31" customFormat="1" hidden="1" outlineLevel="1" x14ac:dyDescent="0.75">
      <c r="A134" s="35"/>
      <c r="B134" s="64" t="str">
        <f>'Expenses w MYP'!C102</f>
        <v>5891</v>
      </c>
      <c r="C134" s="64" t="str">
        <f>'Expenses w MYP'!D102</f>
        <v>CSC Borrowing Fees</v>
      </c>
      <c r="D134" s="98">
        <f>'Cash Flow %s Yr2'!D134</f>
        <v>0</v>
      </c>
      <c r="E134" s="98">
        <f>'Cash Flow %s Yr2'!E134</f>
        <v>0</v>
      </c>
      <c r="F134" s="98">
        <f>'Cash Flow %s Yr2'!F134</f>
        <v>0.1</v>
      </c>
      <c r="G134" s="98">
        <f>'Cash Flow %s Yr2'!G134</f>
        <v>0.1</v>
      </c>
      <c r="H134" s="98">
        <f>'Cash Flow %s Yr2'!H134</f>
        <v>0.1</v>
      </c>
      <c r="I134" s="98">
        <f>'Cash Flow %s Yr2'!I134</f>
        <v>0.1</v>
      </c>
      <c r="J134" s="98">
        <f>'Cash Flow %s Yr2'!J134</f>
        <v>0.1</v>
      </c>
      <c r="K134" s="98">
        <f>'Cash Flow %s Yr2'!K134</f>
        <v>0.1</v>
      </c>
      <c r="L134" s="98">
        <f>'Cash Flow %s Yr2'!L134</f>
        <v>0.1</v>
      </c>
      <c r="M134" s="98">
        <f>'Cash Flow %s Yr2'!M134</f>
        <v>0.1</v>
      </c>
      <c r="N134" s="98">
        <f>'Cash Flow %s Yr2'!N134</f>
        <v>0.1</v>
      </c>
      <c r="O134" s="98">
        <f>'Cash Flow %s Yr2'!O134</f>
        <v>0.1</v>
      </c>
      <c r="P134" s="98">
        <f>'Cash Flow %s Yr2'!P134</f>
        <v>0</v>
      </c>
      <c r="Q134" s="98">
        <f>'Cash Flow %s Yr2'!Q134</f>
        <v>0</v>
      </c>
      <c r="R134" s="98">
        <f>'Cash Flow %s Yr2'!R134</f>
        <v>0</v>
      </c>
      <c r="S134" s="97">
        <f t="shared" si="9"/>
        <v>0.99999999999999989</v>
      </c>
    </row>
    <row r="135" spans="1:19" s="31" customFormat="1" hidden="1" outlineLevel="1" x14ac:dyDescent="0.75">
      <c r="A135" s="35"/>
      <c r="B135" s="64" t="str">
        <f>'Expenses w MYP'!C103</f>
        <v>5900</v>
      </c>
      <c r="C135" s="64" t="str">
        <f>'Expenses w MYP'!D103</f>
        <v>Communications</v>
      </c>
      <c r="D135" s="98">
        <f>'Cash Flow %s Yr2'!D135</f>
        <v>0</v>
      </c>
      <c r="E135" s="98">
        <f>'Cash Flow %s Yr2'!E135</f>
        <v>0</v>
      </c>
      <c r="F135" s="98">
        <f>'Cash Flow %s Yr2'!F135</f>
        <v>0.1</v>
      </c>
      <c r="G135" s="98">
        <f>'Cash Flow %s Yr2'!G135</f>
        <v>0.1</v>
      </c>
      <c r="H135" s="98">
        <f>'Cash Flow %s Yr2'!H135</f>
        <v>0.1</v>
      </c>
      <c r="I135" s="98">
        <f>'Cash Flow %s Yr2'!I135</f>
        <v>0.1</v>
      </c>
      <c r="J135" s="98">
        <f>'Cash Flow %s Yr2'!J135</f>
        <v>0.1</v>
      </c>
      <c r="K135" s="98">
        <f>'Cash Flow %s Yr2'!K135</f>
        <v>0.1</v>
      </c>
      <c r="L135" s="98">
        <f>'Cash Flow %s Yr2'!L135</f>
        <v>0.1</v>
      </c>
      <c r="M135" s="98">
        <f>'Cash Flow %s Yr2'!M135</f>
        <v>0.1</v>
      </c>
      <c r="N135" s="98">
        <f>'Cash Flow %s Yr2'!N135</f>
        <v>0.1</v>
      </c>
      <c r="O135" s="98">
        <f>'Cash Flow %s Yr2'!O135</f>
        <v>0.1</v>
      </c>
      <c r="P135" s="98">
        <f>'Cash Flow %s Yr2'!P135</f>
        <v>0</v>
      </c>
      <c r="Q135" s="98">
        <f>'Cash Flow %s Yr2'!Q135</f>
        <v>0</v>
      </c>
      <c r="R135" s="98">
        <f>'Cash Flow %s Yr2'!R135</f>
        <v>0</v>
      </c>
      <c r="S135" s="97">
        <f t="shared" si="9"/>
        <v>0.99999999999999989</v>
      </c>
    </row>
    <row r="136" spans="1:19" s="31" customFormat="1" hidden="1" outlineLevel="1" x14ac:dyDescent="0.75">
      <c r="A136" s="35"/>
      <c r="B136" s="64">
        <f>'Expenses w MYP'!C104</f>
        <v>0</v>
      </c>
      <c r="C136" s="64">
        <f>'Expenses w MYP'!D104</f>
        <v>0</v>
      </c>
      <c r="D136" s="98">
        <f>'Cash Flow %s Yr2'!D136</f>
        <v>0</v>
      </c>
      <c r="E136" s="98">
        <f>'Cash Flow %s Yr2'!E136</f>
        <v>0</v>
      </c>
      <c r="F136" s="98">
        <f>'Cash Flow %s Yr2'!F136</f>
        <v>0.1</v>
      </c>
      <c r="G136" s="98">
        <f>'Cash Flow %s Yr2'!G136</f>
        <v>0.1</v>
      </c>
      <c r="H136" s="98">
        <f>'Cash Flow %s Yr2'!H136</f>
        <v>0.1</v>
      </c>
      <c r="I136" s="98">
        <f>'Cash Flow %s Yr2'!I136</f>
        <v>0.1</v>
      </c>
      <c r="J136" s="98">
        <f>'Cash Flow %s Yr2'!J136</f>
        <v>0.1</v>
      </c>
      <c r="K136" s="98">
        <f>'Cash Flow %s Yr2'!K136</f>
        <v>0.1</v>
      </c>
      <c r="L136" s="98">
        <f>'Cash Flow %s Yr2'!L136</f>
        <v>0.1</v>
      </c>
      <c r="M136" s="98">
        <f>'Cash Flow %s Yr2'!M136</f>
        <v>0.1</v>
      </c>
      <c r="N136" s="98">
        <f>'Cash Flow %s Yr2'!N136</f>
        <v>0.1</v>
      </c>
      <c r="O136" s="98">
        <f>'Cash Flow %s Yr2'!O136</f>
        <v>0.1</v>
      </c>
      <c r="P136" s="98">
        <f>'Cash Flow %s Yr2'!P136</f>
        <v>0</v>
      </c>
      <c r="Q136" s="98">
        <f>'Cash Flow %s Yr2'!Q136</f>
        <v>0</v>
      </c>
      <c r="R136" s="98">
        <f>'Cash Flow %s Yr2'!R136</f>
        <v>0</v>
      </c>
      <c r="S136" s="97">
        <f t="shared" si="9"/>
        <v>0.99999999999999989</v>
      </c>
    </row>
    <row r="137" spans="1:19" s="31" customFormat="1" hidden="1" outlineLevel="1" x14ac:dyDescent="0.75">
      <c r="A137" s="35"/>
      <c r="B137" s="64">
        <f>'Expenses w MYP'!C105</f>
        <v>0</v>
      </c>
      <c r="C137" s="64">
        <f>'Expenses w MYP'!D105</f>
        <v>0</v>
      </c>
      <c r="D137" s="98">
        <f>'Cash Flow %s Yr2'!D137</f>
        <v>0</v>
      </c>
      <c r="E137" s="98">
        <f>'Cash Flow %s Yr2'!E137</f>
        <v>0</v>
      </c>
      <c r="F137" s="98">
        <f>'Cash Flow %s Yr2'!F137</f>
        <v>0.1</v>
      </c>
      <c r="G137" s="98">
        <f>'Cash Flow %s Yr2'!G137</f>
        <v>0.1</v>
      </c>
      <c r="H137" s="98">
        <f>'Cash Flow %s Yr2'!H137</f>
        <v>0.1</v>
      </c>
      <c r="I137" s="98">
        <f>'Cash Flow %s Yr2'!I137</f>
        <v>0.1</v>
      </c>
      <c r="J137" s="98">
        <f>'Cash Flow %s Yr2'!J137</f>
        <v>0.1</v>
      </c>
      <c r="K137" s="98">
        <f>'Cash Flow %s Yr2'!K137</f>
        <v>0.1</v>
      </c>
      <c r="L137" s="98">
        <f>'Cash Flow %s Yr2'!L137</f>
        <v>0.1</v>
      </c>
      <c r="M137" s="98">
        <f>'Cash Flow %s Yr2'!M137</f>
        <v>0.1</v>
      </c>
      <c r="N137" s="98">
        <f>'Cash Flow %s Yr2'!N137</f>
        <v>0.1</v>
      </c>
      <c r="O137" s="98">
        <f>'Cash Flow %s Yr2'!O137</f>
        <v>0.1</v>
      </c>
      <c r="P137" s="98">
        <f>'Cash Flow %s Yr2'!P137</f>
        <v>0</v>
      </c>
      <c r="Q137" s="98">
        <f>'Cash Flow %s Yr2'!Q137</f>
        <v>0</v>
      </c>
      <c r="R137" s="98">
        <f>'Cash Flow %s Yr2'!R137</f>
        <v>0</v>
      </c>
      <c r="S137" s="97">
        <f t="shared" si="9"/>
        <v>0.99999999999999989</v>
      </c>
    </row>
    <row r="138" spans="1:19" s="31" customFormat="1" hidden="1" outlineLevel="1" x14ac:dyDescent="0.75">
      <c r="A138" s="35"/>
      <c r="B138" s="64">
        <f>'Expenses w MYP'!C106</f>
        <v>0</v>
      </c>
      <c r="C138" s="64">
        <f>'Expenses w MYP'!D106</f>
        <v>0</v>
      </c>
      <c r="D138" s="98">
        <f>'Cash Flow %s Yr2'!D138</f>
        <v>0</v>
      </c>
      <c r="E138" s="98">
        <f>'Cash Flow %s Yr2'!E138</f>
        <v>0</v>
      </c>
      <c r="F138" s="98">
        <f>'Cash Flow %s Yr2'!F138</f>
        <v>0.1</v>
      </c>
      <c r="G138" s="98">
        <f>'Cash Flow %s Yr2'!G138</f>
        <v>0.1</v>
      </c>
      <c r="H138" s="98">
        <f>'Cash Flow %s Yr2'!H138</f>
        <v>0.1</v>
      </c>
      <c r="I138" s="98">
        <f>'Cash Flow %s Yr2'!I138</f>
        <v>0.1</v>
      </c>
      <c r="J138" s="98">
        <f>'Cash Flow %s Yr2'!J138</f>
        <v>0.1</v>
      </c>
      <c r="K138" s="98">
        <f>'Cash Flow %s Yr2'!K138</f>
        <v>0.1</v>
      </c>
      <c r="L138" s="98">
        <f>'Cash Flow %s Yr2'!L138</f>
        <v>0.1</v>
      </c>
      <c r="M138" s="98">
        <f>'Cash Flow %s Yr2'!M138</f>
        <v>0.1</v>
      </c>
      <c r="N138" s="98">
        <f>'Cash Flow %s Yr2'!N138</f>
        <v>0.1</v>
      </c>
      <c r="O138" s="98">
        <f>'Cash Flow %s Yr2'!O138</f>
        <v>0.1</v>
      </c>
      <c r="P138" s="98">
        <f>'Cash Flow %s Yr2'!P138</f>
        <v>0</v>
      </c>
      <c r="Q138" s="98">
        <f>'Cash Flow %s Yr2'!Q138</f>
        <v>0</v>
      </c>
      <c r="R138" s="98">
        <f>'Cash Flow %s Yr2'!R138</f>
        <v>0</v>
      </c>
      <c r="S138" s="97">
        <f t="shared" si="9"/>
        <v>0.99999999999999989</v>
      </c>
    </row>
    <row r="139" spans="1:19" s="31" customFormat="1" hidden="1" outlineLevel="1" x14ac:dyDescent="0.75">
      <c r="A139" s="35"/>
      <c r="B139" s="64">
        <f>'Expenses w MYP'!C107</f>
        <v>0</v>
      </c>
      <c r="C139" s="64">
        <f>'Expenses w MYP'!D107</f>
        <v>0</v>
      </c>
      <c r="D139" s="98">
        <f>'Cash Flow %s Yr2'!D139</f>
        <v>0</v>
      </c>
      <c r="E139" s="98">
        <f>'Cash Flow %s Yr2'!E139</f>
        <v>0</v>
      </c>
      <c r="F139" s="98">
        <f>'Cash Flow %s Yr2'!F139</f>
        <v>0.1</v>
      </c>
      <c r="G139" s="98">
        <f>'Cash Flow %s Yr2'!G139</f>
        <v>0.1</v>
      </c>
      <c r="H139" s="98">
        <f>'Cash Flow %s Yr2'!H139</f>
        <v>0.1</v>
      </c>
      <c r="I139" s="98">
        <f>'Cash Flow %s Yr2'!I139</f>
        <v>0.1</v>
      </c>
      <c r="J139" s="98">
        <f>'Cash Flow %s Yr2'!J139</f>
        <v>0.1</v>
      </c>
      <c r="K139" s="98">
        <f>'Cash Flow %s Yr2'!K139</f>
        <v>0.1</v>
      </c>
      <c r="L139" s="98">
        <f>'Cash Flow %s Yr2'!L139</f>
        <v>0.1</v>
      </c>
      <c r="M139" s="98">
        <f>'Cash Flow %s Yr2'!M139</f>
        <v>0.1</v>
      </c>
      <c r="N139" s="98">
        <f>'Cash Flow %s Yr2'!N139</f>
        <v>0.1</v>
      </c>
      <c r="O139" s="98">
        <f>'Cash Flow %s Yr2'!O139</f>
        <v>0.1</v>
      </c>
      <c r="P139" s="98">
        <f>'Cash Flow %s Yr2'!P139</f>
        <v>0</v>
      </c>
      <c r="Q139" s="98">
        <f>'Cash Flow %s Yr2'!Q139</f>
        <v>0</v>
      </c>
      <c r="R139" s="98">
        <f>'Cash Flow %s Yr2'!R139</f>
        <v>0</v>
      </c>
      <c r="S139" s="97">
        <f t="shared" si="9"/>
        <v>0.99999999999999989</v>
      </c>
    </row>
    <row r="140" spans="1:19" s="31" customFormat="1" hidden="1" outlineLevel="1" x14ac:dyDescent="0.75">
      <c r="A140" s="35"/>
      <c r="B140" s="64">
        <f>'Expenses w MYP'!C108</f>
        <v>0</v>
      </c>
      <c r="C140" s="64">
        <f>'Expenses w MYP'!D108</f>
        <v>0</v>
      </c>
      <c r="D140" s="98">
        <f>'Cash Flow %s Yr2'!D140</f>
        <v>0</v>
      </c>
      <c r="E140" s="98">
        <f>'Cash Flow %s Yr2'!E140</f>
        <v>0</v>
      </c>
      <c r="F140" s="98">
        <f>'Cash Flow %s Yr2'!F140</f>
        <v>0.1</v>
      </c>
      <c r="G140" s="98">
        <f>'Cash Flow %s Yr2'!G140</f>
        <v>0.1</v>
      </c>
      <c r="H140" s="98">
        <f>'Cash Flow %s Yr2'!H140</f>
        <v>0.1</v>
      </c>
      <c r="I140" s="98">
        <f>'Cash Flow %s Yr2'!I140</f>
        <v>0.1</v>
      </c>
      <c r="J140" s="98">
        <f>'Cash Flow %s Yr2'!J140</f>
        <v>0.1</v>
      </c>
      <c r="K140" s="98">
        <f>'Cash Flow %s Yr2'!K140</f>
        <v>0.1</v>
      </c>
      <c r="L140" s="98">
        <f>'Cash Flow %s Yr2'!L140</f>
        <v>0.1</v>
      </c>
      <c r="M140" s="98">
        <f>'Cash Flow %s Yr2'!M140</f>
        <v>0.1</v>
      </c>
      <c r="N140" s="98">
        <f>'Cash Flow %s Yr2'!N140</f>
        <v>0.1</v>
      </c>
      <c r="O140" s="98">
        <f>'Cash Flow %s Yr2'!O140</f>
        <v>0.1</v>
      </c>
      <c r="P140" s="98">
        <f>'Cash Flow %s Yr2'!P140</f>
        <v>0</v>
      </c>
      <c r="Q140" s="98">
        <f>'Cash Flow %s Yr2'!Q140</f>
        <v>0</v>
      </c>
      <c r="R140" s="98">
        <f>'Cash Flow %s Yr2'!R140</f>
        <v>0</v>
      </c>
      <c r="S140" s="97">
        <f>SUM(D140:R140)</f>
        <v>0.99999999999999989</v>
      </c>
    </row>
    <row r="141" spans="1:19" s="31" customFormat="1" collapsed="1" x14ac:dyDescent="0.75">
      <c r="A141" s="35"/>
      <c r="B141" s="64" t="str">
        <f>'Expenses w MYP'!C109</f>
        <v>5901</v>
      </c>
      <c r="C141" s="64" t="str">
        <f>'Expenses w MYP'!D109</f>
        <v>Scholar Internet Reimbursement</v>
      </c>
      <c r="D141" s="98">
        <f>'Cash Flow %s Yr2'!D141</f>
        <v>0.05</v>
      </c>
      <c r="E141" s="98">
        <f>'Cash Flow %s Yr2'!E141</f>
        <v>0.05</v>
      </c>
      <c r="F141" s="98">
        <f>'Cash Flow %s Yr2'!F141</f>
        <v>0.09</v>
      </c>
      <c r="G141" s="98">
        <f>'Cash Flow %s Yr2'!G141</f>
        <v>0.09</v>
      </c>
      <c r="H141" s="98">
        <f>'Cash Flow %s Yr2'!H141</f>
        <v>0.09</v>
      </c>
      <c r="I141" s="98">
        <f>'Cash Flow %s Yr2'!I141</f>
        <v>0.09</v>
      </c>
      <c r="J141" s="98">
        <f>'Cash Flow %s Yr2'!J141</f>
        <v>0.09</v>
      </c>
      <c r="K141" s="98">
        <f>'Cash Flow %s Yr2'!K141</f>
        <v>0.09</v>
      </c>
      <c r="L141" s="98">
        <f>'Cash Flow %s Yr2'!L141</f>
        <v>0.09</v>
      </c>
      <c r="M141" s="98">
        <f>'Cash Flow %s Yr2'!M141</f>
        <v>0.09</v>
      </c>
      <c r="N141" s="98">
        <f>'Cash Flow %s Yr2'!N141</f>
        <v>0.09</v>
      </c>
      <c r="O141" s="98">
        <f>'Cash Flow %s Yr2'!O141</f>
        <v>0.09</v>
      </c>
      <c r="P141" s="98">
        <f>'Cash Flow %s Yr2'!P141</f>
        <v>0</v>
      </c>
      <c r="Q141" s="98">
        <f>'Cash Flow %s Yr2'!Q141</f>
        <v>0</v>
      </c>
      <c r="R141" s="98">
        <f>'Cash Flow %s Yr2'!R141</f>
        <v>0</v>
      </c>
      <c r="S141" s="97">
        <f>SUM(D141:R141)</f>
        <v>0.99999999999999978</v>
      </c>
    </row>
    <row r="142" spans="1:19" s="31" customFormat="1" x14ac:dyDescent="0.75">
      <c r="A142" s="35"/>
      <c r="B142" s="3"/>
      <c r="C142" s="2"/>
      <c r="D142" s="88"/>
      <c r="E142" s="88"/>
      <c r="F142" s="88"/>
      <c r="G142" s="88"/>
      <c r="H142" s="88"/>
      <c r="I142" s="88"/>
      <c r="J142" s="88"/>
      <c r="K142" s="88"/>
      <c r="L142" s="88"/>
      <c r="M142" s="88"/>
      <c r="N142" s="88"/>
      <c r="O142" s="88"/>
      <c r="P142" s="84"/>
      <c r="Q142" s="84"/>
      <c r="R142" s="84"/>
      <c r="S142" s="97"/>
    </row>
    <row r="143" spans="1:19" s="31" customFormat="1" x14ac:dyDescent="0.75">
      <c r="A143" s="35"/>
      <c r="B143" s="3"/>
      <c r="C143" s="2"/>
      <c r="D143" s="84"/>
      <c r="E143" s="84"/>
      <c r="F143" s="84"/>
      <c r="G143" s="84"/>
      <c r="H143" s="84"/>
      <c r="I143" s="84"/>
      <c r="J143" s="84"/>
      <c r="K143" s="84"/>
      <c r="L143" s="84"/>
      <c r="M143" s="84"/>
      <c r="N143" s="84"/>
      <c r="O143" s="84"/>
      <c r="P143" s="84"/>
      <c r="Q143" s="84"/>
      <c r="R143" s="84"/>
      <c r="S143" s="97"/>
    </row>
    <row r="144" spans="1:19" s="31" customFormat="1" x14ac:dyDescent="0.75">
      <c r="B144" s="34" t="s">
        <v>721</v>
      </c>
      <c r="C144" s="2"/>
      <c r="D144" s="84"/>
      <c r="E144" s="84"/>
      <c r="F144" s="84"/>
      <c r="G144" s="84"/>
      <c r="H144" s="84"/>
      <c r="I144" s="84"/>
      <c r="J144" s="84"/>
      <c r="K144" s="84"/>
      <c r="L144" s="84"/>
      <c r="M144" s="84"/>
      <c r="N144" s="84"/>
      <c r="O144" s="84"/>
      <c r="P144" s="84"/>
      <c r="Q144" s="84"/>
      <c r="R144" s="84"/>
      <c r="S144" s="97"/>
    </row>
    <row r="145" spans="1:24" s="31" customFormat="1" x14ac:dyDescent="0.75">
      <c r="A145" s="35"/>
      <c r="B145" s="64" t="str">
        <f>'Expenses w MYP'!C113</f>
        <v>6900</v>
      </c>
      <c r="C145" s="64" t="str">
        <f>'Expenses w MYP'!D113</f>
        <v xml:space="preserve">Depreciation Expense                                                            </v>
      </c>
      <c r="D145" s="98">
        <f>'Cash Flow %s Yr2'!D145</f>
        <v>0.33</v>
      </c>
      <c r="E145" s="98">
        <f>'Cash Flow %s Yr2'!E145</f>
        <v>0.34</v>
      </c>
      <c r="F145" s="98">
        <f>'Cash Flow %s Yr2'!F145</f>
        <v>0.33</v>
      </c>
      <c r="G145" s="98">
        <f>'Cash Flow %s Yr2'!G145</f>
        <v>0</v>
      </c>
      <c r="H145" s="98">
        <f>'Cash Flow %s Yr2'!H145</f>
        <v>0</v>
      </c>
      <c r="I145" s="98">
        <f>'Cash Flow %s Yr2'!I145</f>
        <v>0</v>
      </c>
      <c r="J145" s="98">
        <f>'Cash Flow %s Yr2'!J145</f>
        <v>0</v>
      </c>
      <c r="K145" s="98">
        <f>'Cash Flow %s Yr2'!K145</f>
        <v>0</v>
      </c>
      <c r="L145" s="98">
        <f>'Cash Flow %s Yr2'!L145</f>
        <v>0</v>
      </c>
      <c r="M145" s="98">
        <f>'Cash Flow %s Yr2'!M145</f>
        <v>0</v>
      </c>
      <c r="N145" s="98">
        <f>'Cash Flow %s Yr2'!N145</f>
        <v>0</v>
      </c>
      <c r="O145" s="98">
        <f>'Cash Flow %s Yr2'!O145</f>
        <v>0</v>
      </c>
      <c r="P145" s="98">
        <f>'Cash Flow %s Yr2'!P145</f>
        <v>0</v>
      </c>
      <c r="Q145" s="98">
        <f>'Cash Flow %s Yr2'!Q145</f>
        <v>0</v>
      </c>
      <c r="R145" s="98">
        <f>'Cash Flow %s Yr2'!R145</f>
        <v>0</v>
      </c>
      <c r="S145" s="97">
        <f>SUM(D145:R145)</f>
        <v>1</v>
      </c>
    </row>
    <row r="146" spans="1:24" s="31" customFormat="1" x14ac:dyDescent="0.75">
      <c r="A146" s="35"/>
      <c r="B146" s="3"/>
      <c r="C146" s="2"/>
      <c r="D146" s="88"/>
      <c r="E146" s="88"/>
      <c r="F146" s="88"/>
      <c r="G146" s="88"/>
      <c r="H146" s="88"/>
      <c r="I146" s="84"/>
      <c r="J146" s="84"/>
      <c r="K146" s="84"/>
      <c r="L146" s="84"/>
      <c r="M146" s="84"/>
      <c r="N146" s="84"/>
      <c r="O146" s="84"/>
      <c r="P146" s="84"/>
      <c r="Q146" s="84"/>
      <c r="R146" s="84"/>
      <c r="S146" s="97"/>
    </row>
    <row r="147" spans="1:24" s="31" customFormat="1" x14ac:dyDescent="0.75">
      <c r="A147" s="35"/>
      <c r="B147" s="3"/>
      <c r="C147" s="2"/>
      <c r="D147" s="84"/>
      <c r="E147" s="91"/>
      <c r="F147" s="91"/>
      <c r="G147" s="84"/>
      <c r="H147" s="84"/>
      <c r="I147" s="84"/>
      <c r="J147" s="84"/>
      <c r="K147" s="84"/>
      <c r="L147" s="84"/>
      <c r="M147" s="84"/>
      <c r="N147" s="84"/>
      <c r="O147" s="84"/>
      <c r="P147" s="84"/>
      <c r="Q147" s="84"/>
      <c r="R147" s="84"/>
      <c r="S147" s="97"/>
    </row>
    <row r="148" spans="1:24" s="31" customFormat="1" x14ac:dyDescent="0.75">
      <c r="B148" s="34" t="s">
        <v>722</v>
      </c>
      <c r="C148" s="2"/>
      <c r="D148" s="84"/>
      <c r="E148" s="91"/>
      <c r="F148" s="91"/>
      <c r="G148" s="84"/>
      <c r="H148" s="84"/>
      <c r="I148" s="84"/>
      <c r="J148" s="84"/>
      <c r="K148" s="84"/>
      <c r="L148" s="84"/>
      <c r="M148" s="84"/>
      <c r="N148" s="84"/>
      <c r="O148" s="84"/>
      <c r="P148" s="84"/>
      <c r="Q148" s="84"/>
      <c r="R148" s="84"/>
      <c r="S148" s="97"/>
    </row>
    <row r="149" spans="1:24" s="31" customFormat="1" x14ac:dyDescent="0.75">
      <c r="A149" s="35"/>
      <c r="B149" s="64" t="str">
        <f>'Expenses w MYP'!C117</f>
        <v>7010</v>
      </c>
      <c r="C149" s="64" t="str">
        <f>'Expenses w MYP'!D117</f>
        <v>Special Education Encroachment</v>
      </c>
      <c r="D149" s="98">
        <f>'Cash Flow %s Yr2'!D149</f>
        <v>0</v>
      </c>
      <c r="E149" s="98">
        <f>'Cash Flow %s Yr2'!E149</f>
        <v>0</v>
      </c>
      <c r="F149" s="98">
        <f>'Cash Flow %s Yr2'!F149</f>
        <v>0.1</v>
      </c>
      <c r="G149" s="98">
        <f>'Cash Flow %s Yr2'!G149</f>
        <v>0.1</v>
      </c>
      <c r="H149" s="98">
        <f>'Cash Flow %s Yr2'!H149</f>
        <v>0.1</v>
      </c>
      <c r="I149" s="98">
        <f>'Cash Flow %s Yr2'!I149</f>
        <v>0.1</v>
      </c>
      <c r="J149" s="98">
        <f>'Cash Flow %s Yr2'!J149</f>
        <v>0.1</v>
      </c>
      <c r="K149" s="98">
        <f>'Cash Flow %s Yr2'!K149</f>
        <v>0.1</v>
      </c>
      <c r="L149" s="98">
        <f>'Cash Flow %s Yr2'!L149</f>
        <v>0.1</v>
      </c>
      <c r="M149" s="98">
        <f>'Cash Flow %s Yr2'!M149</f>
        <v>0.1</v>
      </c>
      <c r="N149" s="98">
        <f>'Cash Flow %s Yr2'!N149</f>
        <v>0.1</v>
      </c>
      <c r="O149" s="98">
        <f>'Cash Flow %s Yr2'!O149</f>
        <v>0.1</v>
      </c>
      <c r="P149" s="98">
        <f>'Cash Flow %s Yr2'!P149</f>
        <v>0</v>
      </c>
      <c r="Q149" s="98">
        <f>'Cash Flow %s Yr2'!Q149</f>
        <v>0</v>
      </c>
      <c r="R149" s="98">
        <f>'Cash Flow %s Yr2'!R149</f>
        <v>0</v>
      </c>
      <c r="S149" s="97">
        <f>SUM(D149:R149)</f>
        <v>0.99999999999999989</v>
      </c>
    </row>
    <row r="150" spans="1:24" s="31" customFormat="1" x14ac:dyDescent="0.75">
      <c r="A150" s="35"/>
      <c r="B150" s="64" t="str">
        <f>'Expenses w MYP'!C118</f>
        <v>7438</v>
      </c>
      <c r="C150" s="64" t="str">
        <f>'Expenses w MYP'!D118</f>
        <v>Debt Service - Interest</v>
      </c>
      <c r="D150" s="98">
        <f>'Cash Flow %s Yr2'!D150</f>
        <v>0</v>
      </c>
      <c r="E150" s="98">
        <f>'Cash Flow %s Yr2'!E150</f>
        <v>0</v>
      </c>
      <c r="F150" s="98">
        <f>'Cash Flow %s Yr2'!F150</f>
        <v>0.1</v>
      </c>
      <c r="G150" s="98">
        <f>'Cash Flow %s Yr2'!G150</f>
        <v>0.1</v>
      </c>
      <c r="H150" s="98">
        <f>'Cash Flow %s Yr2'!H150</f>
        <v>0.1</v>
      </c>
      <c r="I150" s="98">
        <f>'Cash Flow %s Yr2'!I150</f>
        <v>0.1</v>
      </c>
      <c r="J150" s="98">
        <f>'Cash Flow %s Yr2'!J150</f>
        <v>0.1</v>
      </c>
      <c r="K150" s="98">
        <f>'Cash Flow %s Yr2'!K150</f>
        <v>0.1</v>
      </c>
      <c r="L150" s="98">
        <f>'Cash Flow %s Yr2'!L150</f>
        <v>0.1</v>
      </c>
      <c r="M150" s="98">
        <f>'Cash Flow %s Yr2'!M150</f>
        <v>0.1</v>
      </c>
      <c r="N150" s="98">
        <f>'Cash Flow %s Yr2'!N150</f>
        <v>0.1</v>
      </c>
      <c r="O150" s="98">
        <f>'Cash Flow %s Yr2'!O150</f>
        <v>0.1</v>
      </c>
      <c r="P150" s="98">
        <f>'Cash Flow %s Yr2'!P150</f>
        <v>0</v>
      </c>
      <c r="Q150" s="98">
        <f>'Cash Flow %s Yr2'!Q150</f>
        <v>0</v>
      </c>
      <c r="R150" s="98">
        <f>'Cash Flow %s Yr2'!R150</f>
        <v>0</v>
      </c>
      <c r="S150" s="97">
        <f>SUM(D150:R150)</f>
        <v>0.99999999999999989</v>
      </c>
    </row>
    <row r="151" spans="1:24" s="31" customFormat="1" x14ac:dyDescent="0.75">
      <c r="A151" s="35"/>
      <c r="B151" s="39"/>
      <c r="C151" s="1"/>
      <c r="D151" s="92"/>
      <c r="E151" s="92"/>
      <c r="F151" s="92"/>
      <c r="G151" s="92"/>
      <c r="H151" s="92"/>
      <c r="I151" s="92"/>
      <c r="J151" s="92"/>
      <c r="K151" s="92"/>
      <c r="L151" s="92"/>
      <c r="M151" s="92"/>
      <c r="N151" s="92"/>
      <c r="O151" s="92"/>
      <c r="P151" s="92"/>
      <c r="Q151" s="92"/>
      <c r="R151" s="92"/>
      <c r="S151" s="97"/>
    </row>
    <row r="152" spans="1:24" s="31" customFormat="1" x14ac:dyDescent="0.75">
      <c r="A152" s="35"/>
      <c r="B152" s="39"/>
      <c r="C152" s="1"/>
      <c r="D152" s="84"/>
      <c r="E152" s="84"/>
      <c r="F152" s="84"/>
      <c r="G152" s="84"/>
      <c r="H152" s="84"/>
      <c r="I152" s="84"/>
      <c r="J152" s="84"/>
      <c r="K152" s="84"/>
      <c r="L152" s="84"/>
      <c r="M152" s="84"/>
      <c r="N152" s="84"/>
      <c r="O152" s="84"/>
      <c r="P152" s="84"/>
      <c r="Q152" s="84"/>
      <c r="R152" s="84"/>
      <c r="S152" s="97"/>
      <c r="T152" s="134"/>
    </row>
    <row r="153" spans="1:24" s="31" customFormat="1" x14ac:dyDescent="0.75">
      <c r="A153" s="35"/>
      <c r="B153" s="34" t="s">
        <v>818</v>
      </c>
      <c r="C153" s="2"/>
      <c r="D153" s="84"/>
      <c r="E153" s="91"/>
      <c r="F153" s="91"/>
      <c r="G153" s="84"/>
      <c r="H153" s="84"/>
      <c r="I153" s="84"/>
      <c r="J153" s="84"/>
      <c r="K153" s="84"/>
      <c r="L153" s="84"/>
      <c r="M153" s="84"/>
      <c r="N153" s="84"/>
      <c r="O153" s="84"/>
      <c r="P153" s="84"/>
      <c r="Q153" s="84"/>
      <c r="R153" s="84"/>
      <c r="S153" s="97"/>
    </row>
    <row r="154" spans="1:24" s="31" customFormat="1" x14ac:dyDescent="0.75">
      <c r="A154" s="35"/>
      <c r="B154" s="64"/>
      <c r="C154" s="117" t="s">
        <v>819</v>
      </c>
      <c r="D154" s="98">
        <f>'Cash Flow %s Yr2'!D154</f>
        <v>1</v>
      </c>
      <c r="E154" s="98">
        <f>'Cash Flow %s Yr2'!E154</f>
        <v>0</v>
      </c>
      <c r="F154" s="98">
        <f>'Cash Flow %s Yr2'!F154</f>
        <v>0</v>
      </c>
      <c r="G154" s="98">
        <f>'Cash Flow %s Yr2'!G154</f>
        <v>0</v>
      </c>
      <c r="H154" s="98">
        <f>'Cash Flow %s Yr2'!H154</f>
        <v>0</v>
      </c>
      <c r="I154" s="98">
        <f>'Cash Flow %s Yr2'!I154</f>
        <v>0</v>
      </c>
      <c r="J154" s="98">
        <f>'Cash Flow %s Yr2'!J154</f>
        <v>0</v>
      </c>
      <c r="K154" s="98">
        <f>'Cash Flow %s Yr2'!K154</f>
        <v>0</v>
      </c>
      <c r="L154" s="98">
        <f>'Cash Flow %s Yr2'!L154</f>
        <v>0</v>
      </c>
      <c r="M154" s="98">
        <f>'Cash Flow %s Yr2'!M154</f>
        <v>0</v>
      </c>
      <c r="N154" s="98">
        <f>'Cash Flow %s Yr2'!N154</f>
        <v>0</v>
      </c>
      <c r="O154" s="98">
        <f>'Cash Flow %s Yr2'!O154</f>
        <v>0</v>
      </c>
      <c r="P154" s="98">
        <f>'Cash Flow %s Yr2'!P154</f>
        <v>0</v>
      </c>
      <c r="Q154" s="98">
        <f>'Cash Flow %s Yr2'!Q154</f>
        <v>0</v>
      </c>
      <c r="R154" s="98">
        <f>'Cash Flow %s Yr2'!R154</f>
        <v>0</v>
      </c>
      <c r="S154" s="97">
        <f>SUM(D154:R154)</f>
        <v>1</v>
      </c>
      <c r="T154" s="130"/>
      <c r="U154" s="130"/>
      <c r="V154" s="130"/>
      <c r="W154" s="130"/>
      <c r="X154" s="130"/>
    </row>
    <row r="155" spans="1:24" s="31" customFormat="1" x14ac:dyDescent="0.75">
      <c r="A155" s="35"/>
      <c r="B155" s="64"/>
      <c r="C155" s="117" t="s">
        <v>820</v>
      </c>
      <c r="D155" s="98">
        <f>'Cash Flow %s Yr2'!D155</f>
        <v>0.5</v>
      </c>
      <c r="E155" s="98">
        <f>'Cash Flow %s Yr2'!E155</f>
        <v>0.35</v>
      </c>
      <c r="F155" s="98">
        <f>'Cash Flow %s Yr2'!F155</f>
        <v>0.15</v>
      </c>
      <c r="G155" s="98">
        <f>'Cash Flow %s Yr2'!G155</f>
        <v>0</v>
      </c>
      <c r="H155" s="98">
        <f>'Cash Flow %s Yr2'!H155</f>
        <v>0</v>
      </c>
      <c r="I155" s="98">
        <f>'Cash Flow %s Yr2'!I155</f>
        <v>0</v>
      </c>
      <c r="J155" s="98">
        <f>'Cash Flow %s Yr2'!J155</f>
        <v>0</v>
      </c>
      <c r="K155" s="98">
        <f>'Cash Flow %s Yr2'!K155</f>
        <v>0</v>
      </c>
      <c r="L155" s="98">
        <f>'Cash Flow %s Yr2'!L155</f>
        <v>0</v>
      </c>
      <c r="M155" s="98">
        <f>'Cash Flow %s Yr2'!M155</f>
        <v>0</v>
      </c>
      <c r="N155" s="98">
        <f>'Cash Flow %s Yr2'!N155</f>
        <v>0</v>
      </c>
      <c r="O155" s="98">
        <f>'Cash Flow %s Yr2'!O155</f>
        <v>0</v>
      </c>
      <c r="P155" s="98">
        <f>'Cash Flow %s Yr2'!P155</f>
        <v>0</v>
      </c>
      <c r="Q155" s="98">
        <f>'Cash Flow %s Yr2'!Q155</f>
        <v>0</v>
      </c>
      <c r="R155" s="98">
        <f>'Cash Flow %s Yr2'!R155</f>
        <v>0</v>
      </c>
      <c r="S155" s="97">
        <f>SUM(D155:R155)</f>
        <v>1</v>
      </c>
      <c r="T155" s="130"/>
      <c r="U155" s="130"/>
      <c r="V155" s="130"/>
      <c r="W155" s="130"/>
      <c r="X155" s="130"/>
    </row>
    <row r="156" spans="1:24" s="31" customFormat="1" x14ac:dyDescent="0.75">
      <c r="A156" s="35"/>
      <c r="B156" s="64"/>
      <c r="C156" s="117" t="s">
        <v>821</v>
      </c>
      <c r="D156" s="98">
        <f>'Cash Flow %s Yr2'!D156</f>
        <v>0.75</v>
      </c>
      <c r="E156" s="98">
        <f>'Cash Flow %s Yr2'!E156</f>
        <v>0.2</v>
      </c>
      <c r="F156" s="98">
        <f>'Cash Flow %s Yr2'!F156</f>
        <v>0.05</v>
      </c>
      <c r="G156" s="98">
        <f>'Cash Flow %s Yr2'!G156</f>
        <v>0</v>
      </c>
      <c r="H156" s="98">
        <f>'Cash Flow %s Yr2'!H156</f>
        <v>0</v>
      </c>
      <c r="I156" s="98">
        <f>'Cash Flow %s Yr2'!I156</f>
        <v>0</v>
      </c>
      <c r="J156" s="98">
        <f>'Cash Flow %s Yr2'!J156</f>
        <v>0</v>
      </c>
      <c r="K156" s="98">
        <f>'Cash Flow %s Yr2'!K156</f>
        <v>0</v>
      </c>
      <c r="L156" s="98">
        <f>'Cash Flow %s Yr2'!L156</f>
        <v>0</v>
      </c>
      <c r="M156" s="98">
        <f>'Cash Flow %s Yr2'!M156</f>
        <v>0</v>
      </c>
      <c r="N156" s="98">
        <f>'Cash Flow %s Yr2'!N156</f>
        <v>0</v>
      </c>
      <c r="O156" s="98">
        <f>'Cash Flow %s Yr2'!O156</f>
        <v>0</v>
      </c>
      <c r="P156" s="98">
        <f>'Cash Flow %s Yr2'!P156</f>
        <v>0</v>
      </c>
      <c r="Q156" s="98">
        <f>'Cash Flow %s Yr2'!Q156</f>
        <v>0</v>
      </c>
      <c r="R156" s="98">
        <f>'Cash Flow %s Yr2'!R156</f>
        <v>0</v>
      </c>
      <c r="S156" s="97">
        <f>SUM(D156:R156)</f>
        <v>1</v>
      </c>
      <c r="T156" s="130"/>
      <c r="U156" s="130"/>
      <c r="V156" s="130"/>
      <c r="W156" s="130"/>
      <c r="X156" s="130"/>
    </row>
    <row r="157" spans="1:24" s="39" customFormat="1" x14ac:dyDescent="0.75">
      <c r="A157" s="35"/>
      <c r="B157" s="64"/>
      <c r="C157" s="117" t="s">
        <v>822</v>
      </c>
      <c r="D157" s="98">
        <f>'Cash Flow %s Yr2'!D157</f>
        <v>0</v>
      </c>
      <c r="E157" s="98">
        <f>'Cash Flow %s Yr2'!E157</f>
        <v>0</v>
      </c>
      <c r="F157" s="98">
        <f>'Cash Flow %s Yr2'!F157</f>
        <v>0.1</v>
      </c>
      <c r="G157" s="98">
        <f>'Cash Flow %s Yr2'!G157</f>
        <v>0.1</v>
      </c>
      <c r="H157" s="98">
        <f>'Cash Flow %s Yr2'!H157</f>
        <v>0.1</v>
      </c>
      <c r="I157" s="98">
        <f>'Cash Flow %s Yr2'!I157</f>
        <v>0.1</v>
      </c>
      <c r="J157" s="98">
        <f>'Cash Flow %s Yr2'!J157</f>
        <v>0.1</v>
      </c>
      <c r="K157" s="98">
        <f>'Cash Flow %s Yr2'!K157</f>
        <v>0.1</v>
      </c>
      <c r="L157" s="98">
        <f>'Cash Flow %s Yr2'!L157</f>
        <v>0.1</v>
      </c>
      <c r="M157" s="98">
        <f>'Cash Flow %s Yr2'!M157</f>
        <v>0.1</v>
      </c>
      <c r="N157" s="98">
        <f>'Cash Flow %s Yr2'!N157</f>
        <v>0.1</v>
      </c>
      <c r="O157" s="98">
        <f>'Cash Flow %s Yr2'!O157</f>
        <v>0.1</v>
      </c>
      <c r="P157" s="98">
        <f>'Cash Flow %s Yr2'!P157</f>
        <v>0</v>
      </c>
      <c r="Q157" s="98">
        <f>'Cash Flow %s Yr2'!Q157</f>
        <v>0</v>
      </c>
      <c r="R157" s="98">
        <f>'Cash Flow %s Yr2'!R157</f>
        <v>0</v>
      </c>
      <c r="S157" s="97">
        <f>SUM(D157:R157)</f>
        <v>0.99999999999999989</v>
      </c>
      <c r="T157" s="130"/>
      <c r="U157" s="130"/>
      <c r="V157" s="130"/>
      <c r="W157" s="130"/>
      <c r="X157" s="130"/>
    </row>
    <row r="158" spans="1:24" s="39" customFormat="1" x14ac:dyDescent="0.75">
      <c r="A158" s="35"/>
      <c r="C158" s="1"/>
      <c r="D158" s="84"/>
      <c r="E158" s="84"/>
      <c r="F158" s="84"/>
      <c r="G158" s="84"/>
      <c r="H158" s="84"/>
      <c r="I158" s="84"/>
      <c r="J158" s="84"/>
      <c r="K158" s="84"/>
      <c r="L158" s="84"/>
      <c r="M158" s="84"/>
      <c r="N158" s="84"/>
      <c r="O158" s="84"/>
      <c r="P158" s="84"/>
      <c r="Q158" s="84"/>
      <c r="R158" s="84"/>
      <c r="S158" s="161"/>
    </row>
    <row r="159" spans="1:24" s="39" customFormat="1" x14ac:dyDescent="0.75">
      <c r="A159" s="35"/>
      <c r="C159" s="1"/>
      <c r="D159" s="84"/>
      <c r="E159" s="84"/>
      <c r="F159" s="84"/>
      <c r="G159" s="84"/>
      <c r="H159" s="84"/>
      <c r="I159" s="84"/>
      <c r="J159" s="84"/>
      <c r="K159" s="84"/>
      <c r="L159" s="84"/>
      <c r="M159" s="84"/>
      <c r="N159" s="84"/>
      <c r="O159" s="84"/>
      <c r="P159" s="84"/>
      <c r="Q159" s="84"/>
      <c r="R159" s="84"/>
      <c r="S159" s="161"/>
    </row>
    <row r="160" spans="1:24" s="39" customFormat="1" x14ac:dyDescent="0.75">
      <c r="A160" s="35"/>
      <c r="C160" s="1"/>
      <c r="D160" s="84"/>
      <c r="E160" s="84"/>
      <c r="F160" s="84"/>
      <c r="G160" s="84"/>
      <c r="H160" s="84"/>
      <c r="I160" s="84"/>
      <c r="J160" s="84"/>
      <c r="K160" s="84"/>
      <c r="L160" s="84"/>
      <c r="M160" s="84"/>
      <c r="N160" s="84"/>
      <c r="O160" s="84"/>
      <c r="P160" s="84"/>
      <c r="Q160" s="84"/>
      <c r="R160" s="84"/>
      <c r="S160" s="161"/>
    </row>
    <row r="161" spans="1:19" s="39" customFormat="1" x14ac:dyDescent="0.75">
      <c r="A161" s="35"/>
      <c r="C161" s="1"/>
      <c r="D161" s="84"/>
      <c r="E161" s="84"/>
      <c r="F161" s="84"/>
      <c r="G161" s="84"/>
      <c r="H161" s="84"/>
      <c r="I161" s="84"/>
      <c r="J161" s="84"/>
      <c r="K161" s="84"/>
      <c r="L161" s="84"/>
      <c r="M161" s="84"/>
      <c r="N161" s="84"/>
      <c r="O161" s="84"/>
      <c r="P161" s="84"/>
      <c r="Q161" s="84"/>
      <c r="R161" s="84"/>
      <c r="S161" s="161"/>
    </row>
    <row r="162" spans="1:19" s="39" customFormat="1" x14ac:dyDescent="0.75">
      <c r="A162" s="35"/>
      <c r="C162" s="1"/>
      <c r="D162" s="84"/>
      <c r="E162" s="84"/>
      <c r="F162" s="84"/>
      <c r="G162" s="84"/>
      <c r="H162" s="84"/>
      <c r="I162" s="84"/>
      <c r="J162" s="84"/>
      <c r="K162" s="84"/>
      <c r="L162" s="84"/>
      <c r="M162" s="84"/>
      <c r="N162" s="84"/>
      <c r="O162" s="84"/>
      <c r="P162" s="84"/>
      <c r="Q162" s="84"/>
      <c r="R162" s="84"/>
      <c r="S162" s="161"/>
    </row>
    <row r="163" spans="1:19" s="39" customFormat="1" x14ac:dyDescent="0.75">
      <c r="A163" s="35"/>
      <c r="C163" s="1"/>
      <c r="D163" s="84"/>
      <c r="E163" s="84"/>
      <c r="F163" s="84"/>
      <c r="G163" s="84"/>
      <c r="H163" s="84"/>
      <c r="I163" s="84"/>
      <c r="J163" s="84"/>
      <c r="K163" s="84"/>
      <c r="L163" s="84"/>
      <c r="M163" s="84"/>
      <c r="N163" s="84"/>
      <c r="O163" s="84"/>
      <c r="P163" s="84"/>
      <c r="Q163" s="84"/>
      <c r="R163" s="84"/>
      <c r="S163" s="161"/>
    </row>
    <row r="164" spans="1:19" s="39" customFormat="1" x14ac:dyDescent="0.75">
      <c r="A164" s="35"/>
      <c r="C164" s="1"/>
      <c r="D164" s="84"/>
      <c r="E164" s="84"/>
      <c r="F164" s="84"/>
      <c r="G164" s="84"/>
      <c r="H164" s="84"/>
      <c r="I164" s="84"/>
      <c r="J164" s="84"/>
      <c r="K164" s="84"/>
      <c r="L164" s="84"/>
      <c r="M164" s="84"/>
      <c r="N164" s="84"/>
      <c r="O164" s="84"/>
      <c r="P164" s="84"/>
      <c r="Q164" s="84"/>
      <c r="R164" s="84"/>
      <c r="S164" s="161"/>
    </row>
    <row r="165" spans="1:19" s="39" customFormat="1" x14ac:dyDescent="0.75">
      <c r="A165" s="35"/>
      <c r="C165" s="1"/>
      <c r="D165" s="84"/>
      <c r="E165" s="84"/>
      <c r="F165" s="84"/>
      <c r="G165" s="84"/>
      <c r="H165" s="84"/>
      <c r="I165" s="84"/>
      <c r="J165" s="84"/>
      <c r="K165" s="84"/>
      <c r="L165" s="84"/>
      <c r="M165" s="84"/>
      <c r="N165" s="84"/>
      <c r="O165" s="84"/>
      <c r="P165" s="84"/>
      <c r="Q165" s="84"/>
      <c r="R165" s="84"/>
      <c r="S165" s="161"/>
    </row>
    <row r="166" spans="1:19" x14ac:dyDescent="0.75">
      <c r="S166" s="161"/>
    </row>
    <row r="167" spans="1:19" x14ac:dyDescent="0.75">
      <c r="S167" s="161"/>
    </row>
    <row r="168" spans="1:19" x14ac:dyDescent="0.75">
      <c r="S168" s="161"/>
    </row>
    <row r="169" spans="1:19" x14ac:dyDescent="0.75">
      <c r="S169" s="161"/>
    </row>
  </sheetData>
  <pageMargins left="0.25" right="0.25" top="0.5" bottom="0.5" header="0.25" footer="0.25"/>
  <pageSetup scale="58" fitToHeight="3" orientation="landscape" r:id="rId1"/>
  <headerFooter alignWithMargins="0">
    <oddHeader>&amp;A</oddHeader>
    <oddFooter>Page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X74"/>
  <sheetViews>
    <sheetView showGridLines="0" tabSelected="1" zoomScale="70" zoomScaleNormal="70" workbookViewId="0">
      <pane xSplit="5" ySplit="8" topLeftCell="F17" activePane="bottomRight" state="frozen"/>
      <selection pane="topRight" activeCell="F1" sqref="F1"/>
      <selection pane="bottomLeft" activeCell="A8" sqref="A8"/>
      <selection pane="bottomRight" activeCell="P1" sqref="P1:X1048576"/>
    </sheetView>
  </sheetViews>
  <sheetFormatPr defaultRowHeight="15.75" outlineLevelRow="1" x14ac:dyDescent="0.75"/>
  <cols>
    <col min="1" max="1" width="5.6796875" style="34" customWidth="1"/>
    <col min="2" max="2" width="6.31640625" style="39" customWidth="1"/>
    <col min="3" max="3" width="42.54296875" style="1" customWidth="1"/>
    <col min="4" max="4" width="16.86328125" style="31" hidden="1" customWidth="1"/>
    <col min="5" max="5" width="20.31640625" style="31" hidden="1" customWidth="1"/>
    <col min="6" max="6" width="25.54296875" style="31" customWidth="1"/>
    <col min="7" max="7" width="10.2265625" style="31" bestFit="1" customWidth="1"/>
    <col min="8" max="8" width="28.54296875" style="31" customWidth="1"/>
    <col min="9" max="9" width="10.2265625" style="31" bestFit="1" customWidth="1"/>
    <col min="10" max="10" width="27.2265625" style="31" customWidth="1"/>
    <col min="11" max="11" width="10.2265625" style="31" bestFit="1" customWidth="1"/>
    <col min="12" max="12" width="20.31640625" style="31" customWidth="1"/>
    <col min="13" max="13" width="15.453125" style="31" bestFit="1" customWidth="1"/>
    <col min="14" max="14" width="13" customWidth="1"/>
    <col min="15" max="15" width="10.54296875" bestFit="1" customWidth="1"/>
    <col min="16" max="16" width="16.2265625" hidden="1" customWidth="1"/>
    <col min="17" max="18" width="15.6796875" hidden="1" customWidth="1"/>
    <col min="19" max="19" width="18.2265625" style="1" hidden="1" customWidth="1"/>
    <col min="20" max="20" width="4.31640625" style="1" hidden="1" customWidth="1"/>
    <col min="21" max="21" width="16.6796875" style="1" hidden="1" customWidth="1"/>
    <col min="22" max="22" width="15" style="1" hidden="1" customWidth="1"/>
    <col min="23" max="23" width="15.6796875" style="1" hidden="1" customWidth="1"/>
    <col min="24" max="24" width="18.2265625" style="1" hidden="1" customWidth="1"/>
    <col min="25" max="259" width="9.08984375" style="1"/>
    <col min="260" max="260" width="22.86328125" style="1" customWidth="1"/>
    <col min="261" max="515" width="9.08984375" style="1"/>
    <col min="516" max="516" width="22.86328125" style="1" customWidth="1"/>
    <col min="517" max="771" width="9.08984375" style="1"/>
    <col min="772" max="772" width="22.86328125" style="1" customWidth="1"/>
    <col min="773" max="1027" width="9.08984375" style="1"/>
    <col min="1028" max="1028" width="22.86328125" style="1" customWidth="1"/>
    <col min="1029" max="1283" width="9.08984375" style="1"/>
    <col min="1284" max="1284" width="22.86328125" style="1" customWidth="1"/>
    <col min="1285" max="1539" width="9.08984375" style="1"/>
    <col min="1540" max="1540" width="22.86328125" style="1" customWidth="1"/>
    <col min="1541" max="1795" width="9.08984375" style="1"/>
    <col min="1796" max="1796" width="22.86328125" style="1" customWidth="1"/>
    <col min="1797" max="2051" width="9.08984375" style="1"/>
    <col min="2052" max="2052" width="22.86328125" style="1" customWidth="1"/>
    <col min="2053" max="2307" width="9.08984375" style="1"/>
    <col min="2308" max="2308" width="22.86328125" style="1" customWidth="1"/>
    <col min="2309" max="2563" width="9.08984375" style="1"/>
    <col min="2564" max="2564" width="22.86328125" style="1" customWidth="1"/>
    <col min="2565" max="2819" width="9.08984375" style="1"/>
    <col min="2820" max="2820" width="22.86328125" style="1" customWidth="1"/>
    <col min="2821" max="3075" width="9.08984375" style="1"/>
    <col min="3076" max="3076" width="22.86328125" style="1" customWidth="1"/>
    <col min="3077" max="3331" width="9.08984375" style="1"/>
    <col min="3332" max="3332" width="22.86328125" style="1" customWidth="1"/>
    <col min="3333" max="3587" width="9.08984375" style="1"/>
    <col min="3588" max="3588" width="22.86328125" style="1" customWidth="1"/>
    <col min="3589" max="3843" width="9.08984375" style="1"/>
    <col min="3844" max="3844" width="22.86328125" style="1" customWidth="1"/>
    <col min="3845" max="4099" width="9.08984375" style="1"/>
    <col min="4100" max="4100" width="22.86328125" style="1" customWidth="1"/>
    <col min="4101" max="4355" width="9.08984375" style="1"/>
    <col min="4356" max="4356" width="22.86328125" style="1" customWidth="1"/>
    <col min="4357" max="4611" width="9.08984375" style="1"/>
    <col min="4612" max="4612" width="22.86328125" style="1" customWidth="1"/>
    <col min="4613" max="4867" width="9.08984375" style="1"/>
    <col min="4868" max="4868" width="22.86328125" style="1" customWidth="1"/>
    <col min="4869" max="5123" width="9.08984375" style="1"/>
    <col min="5124" max="5124" width="22.86328125" style="1" customWidth="1"/>
    <col min="5125" max="5379" width="9.08984375" style="1"/>
    <col min="5380" max="5380" width="22.86328125" style="1" customWidth="1"/>
    <col min="5381" max="5635" width="9.08984375" style="1"/>
    <col min="5636" max="5636" width="22.86328125" style="1" customWidth="1"/>
    <col min="5637" max="5891" width="9.08984375" style="1"/>
    <col min="5892" max="5892" width="22.86328125" style="1" customWidth="1"/>
    <col min="5893" max="6147" width="9.08984375" style="1"/>
    <col min="6148" max="6148" width="22.86328125" style="1" customWidth="1"/>
    <col min="6149" max="6403" width="9.08984375" style="1"/>
    <col min="6404" max="6404" width="22.86328125" style="1" customWidth="1"/>
    <col min="6405" max="6659" width="9.08984375" style="1"/>
    <col min="6660" max="6660" width="22.86328125" style="1" customWidth="1"/>
    <col min="6661" max="6915" width="9.08984375" style="1"/>
    <col min="6916" max="6916" width="22.86328125" style="1" customWidth="1"/>
    <col min="6917" max="7171" width="9.08984375" style="1"/>
    <col min="7172" max="7172" width="22.86328125" style="1" customWidth="1"/>
    <col min="7173" max="7427" width="9.08984375" style="1"/>
    <col min="7428" max="7428" width="22.86328125" style="1" customWidth="1"/>
    <col min="7429" max="7683" width="9.08984375" style="1"/>
    <col min="7684" max="7684" width="22.86328125" style="1" customWidth="1"/>
    <col min="7685" max="7939" width="9.08984375" style="1"/>
    <col min="7940" max="7940" width="22.86328125" style="1" customWidth="1"/>
    <col min="7941" max="8195" width="9.08984375" style="1"/>
    <col min="8196" max="8196" width="22.86328125" style="1" customWidth="1"/>
    <col min="8197" max="8451" width="9.08984375" style="1"/>
    <col min="8452" max="8452" width="22.86328125" style="1" customWidth="1"/>
    <col min="8453" max="8707" width="9.08984375" style="1"/>
    <col min="8708" max="8708" width="22.86328125" style="1" customWidth="1"/>
    <col min="8709" max="8963" width="9.08984375" style="1"/>
    <col min="8964" max="8964" width="22.86328125" style="1" customWidth="1"/>
    <col min="8965" max="9219" width="9.08984375" style="1"/>
    <col min="9220" max="9220" width="22.86328125" style="1" customWidth="1"/>
    <col min="9221" max="9475" width="9.08984375" style="1"/>
    <col min="9476" max="9476" width="22.86328125" style="1" customWidth="1"/>
    <col min="9477" max="9731" width="9.08984375" style="1"/>
    <col min="9732" max="9732" width="22.86328125" style="1" customWidth="1"/>
    <col min="9733" max="9987" width="9.08984375" style="1"/>
    <col min="9988" max="9988" width="22.86328125" style="1" customWidth="1"/>
    <col min="9989" max="10243" width="9.08984375" style="1"/>
    <col min="10244" max="10244" width="22.86328125" style="1" customWidth="1"/>
    <col min="10245" max="10499" width="9.08984375" style="1"/>
    <col min="10500" max="10500" width="22.86328125" style="1" customWidth="1"/>
    <col min="10501" max="10755" width="9.08984375" style="1"/>
    <col min="10756" max="10756" width="22.86328125" style="1" customWidth="1"/>
    <col min="10757" max="11011" width="9.08984375" style="1"/>
    <col min="11012" max="11012" width="22.86328125" style="1" customWidth="1"/>
    <col min="11013" max="11267" width="9.08984375" style="1"/>
    <col min="11268" max="11268" width="22.86328125" style="1" customWidth="1"/>
    <col min="11269" max="11523" width="9.08984375" style="1"/>
    <col min="11524" max="11524" width="22.86328125" style="1" customWidth="1"/>
    <col min="11525" max="11779" width="9.08984375" style="1"/>
    <col min="11780" max="11780" width="22.86328125" style="1" customWidth="1"/>
    <col min="11781" max="12035" width="9.08984375" style="1"/>
    <col min="12036" max="12036" width="22.86328125" style="1" customWidth="1"/>
    <col min="12037" max="12291" width="9.08984375" style="1"/>
    <col min="12292" max="12292" width="22.86328125" style="1" customWidth="1"/>
    <col min="12293" max="12547" width="9.08984375" style="1"/>
    <col min="12548" max="12548" width="22.86328125" style="1" customWidth="1"/>
    <col min="12549" max="12803" width="9.08984375" style="1"/>
    <col min="12804" max="12804" width="22.86328125" style="1" customWidth="1"/>
    <col min="12805" max="13059" width="9.08984375" style="1"/>
    <col min="13060" max="13060" width="22.86328125" style="1" customWidth="1"/>
    <col min="13061" max="13315" width="9.08984375" style="1"/>
    <col min="13316" max="13316" width="22.86328125" style="1" customWidth="1"/>
    <col min="13317" max="13571" width="9.08984375" style="1"/>
    <col min="13572" max="13572" width="22.86328125" style="1" customWidth="1"/>
    <col min="13573" max="13827" width="9.08984375" style="1"/>
    <col min="13828" max="13828" width="22.86328125" style="1" customWidth="1"/>
    <col min="13829" max="14083" width="9.08984375" style="1"/>
    <col min="14084" max="14084" width="22.86328125" style="1" customWidth="1"/>
    <col min="14085" max="14339" width="9.08984375" style="1"/>
    <col min="14340" max="14340" width="22.86328125" style="1" customWidth="1"/>
    <col min="14341" max="14595" width="9.08984375" style="1"/>
    <col min="14596" max="14596" width="22.86328125" style="1" customWidth="1"/>
    <col min="14597" max="14851" width="9.08984375" style="1"/>
    <col min="14852" max="14852" width="22.86328125" style="1" customWidth="1"/>
    <col min="14853" max="15107" width="9.08984375" style="1"/>
    <col min="15108" max="15108" width="22.86328125" style="1" customWidth="1"/>
    <col min="15109" max="15363" width="9.08984375" style="1"/>
    <col min="15364" max="15364" width="22.86328125" style="1" customWidth="1"/>
    <col min="15365" max="15619" width="9.08984375" style="1"/>
    <col min="15620" max="15620" width="22.86328125" style="1" customWidth="1"/>
    <col min="15621" max="15875" width="9.08984375" style="1"/>
    <col min="15876" max="15876" width="22.86328125" style="1" customWidth="1"/>
    <col min="15877" max="16131" width="9.08984375" style="1"/>
    <col min="16132" max="16132" width="22.86328125" style="1" customWidth="1"/>
    <col min="16133" max="16384" width="9.08984375" style="1"/>
  </cols>
  <sheetData>
    <row r="1" spans="1:24" ht="21" thickBot="1" x14ac:dyDescent="1">
      <c r="A1" s="22" t="str">
        <f>'Student Info w MYP'!$A$1</f>
        <v>Compass Charter Schools</v>
      </c>
      <c r="F1" s="803"/>
      <c r="G1" s="803"/>
      <c r="H1" s="803"/>
      <c r="I1" s="803"/>
      <c r="J1" s="803"/>
      <c r="M1"/>
    </row>
    <row r="2" spans="1:24" ht="18.5" thickBot="1" x14ac:dyDescent="0.9">
      <c r="A2" s="21" t="s">
        <v>795</v>
      </c>
      <c r="F2" s="584">
        <f ca="1">+F26+F31</f>
        <v>53174.734746867791</v>
      </c>
      <c r="H2" s="584">
        <f ca="1">+H26+H31</f>
        <v>81331.133868416771</v>
      </c>
      <c r="J2" s="584">
        <f ca="1">+J26+J31</f>
        <v>99773.239278675988</v>
      </c>
      <c r="M2"/>
    </row>
    <row r="3" spans="1:24" ht="32.25" thickBot="1" x14ac:dyDescent="0.9">
      <c r="A3" s="654" t="str">
        <f>'Student Info w MYP'!$A$3</f>
        <v>2023-24 Budget- Adopted 5.38% COLA</v>
      </c>
      <c r="B3" s="655"/>
      <c r="C3" s="656"/>
      <c r="F3" s="621" t="s">
        <v>1979</v>
      </c>
      <c r="H3" s="621" t="s">
        <v>1979</v>
      </c>
      <c r="J3" s="621" t="s">
        <v>1979</v>
      </c>
    </row>
    <row r="4" spans="1:24" ht="16.5" thickBot="1" x14ac:dyDescent="0.9">
      <c r="A4" s="554"/>
      <c r="L4" s="31" t="s">
        <v>2164</v>
      </c>
      <c r="M4" s="561" t="s">
        <v>1941</v>
      </c>
      <c r="S4"/>
      <c r="T4"/>
      <c r="U4"/>
      <c r="V4"/>
      <c r="W4"/>
    </row>
    <row r="5" spans="1:24" ht="16.5" hidden="1" thickBot="1" x14ac:dyDescent="0.9">
      <c r="C5" s="126" t="s">
        <v>2050</v>
      </c>
      <c r="D5" s="555"/>
      <c r="E5" s="555"/>
      <c r="F5" s="557">
        <v>708301.38348765112</v>
      </c>
      <c r="G5" s="556"/>
      <c r="H5" s="557">
        <v>224014.99800652824</v>
      </c>
      <c r="I5" s="556"/>
      <c r="J5" s="557">
        <v>610107.99547916837</v>
      </c>
      <c r="K5" s="556"/>
      <c r="L5" s="557">
        <f>+SUM(F5:J5)</f>
        <v>1542424.3769733477</v>
      </c>
      <c r="M5" s="559">
        <v>3010.67</v>
      </c>
    </row>
    <row r="6" spans="1:24" ht="18.5" hidden="1" thickBot="1" x14ac:dyDescent="0.9">
      <c r="A6" s="29"/>
      <c r="B6" s="40"/>
      <c r="C6" s="126" t="s">
        <v>2051</v>
      </c>
      <c r="D6" s="555"/>
      <c r="E6" s="555"/>
      <c r="F6" s="557">
        <v>406190.15068170521</v>
      </c>
      <c r="G6" s="556"/>
      <c r="H6" s="558">
        <v>-244216.1619236581</v>
      </c>
      <c r="I6" s="556"/>
      <c r="J6" s="557">
        <v>386541.42174195312</v>
      </c>
      <c r="K6" s="556"/>
      <c r="L6" s="557">
        <f>+SUM(F6:J6)</f>
        <v>548515.41050000023</v>
      </c>
      <c r="M6" s="559">
        <v>2250.0599999999995</v>
      </c>
      <c r="P6" s="800" t="s">
        <v>1957</v>
      </c>
      <c r="Q6" s="801"/>
      <c r="R6" s="801"/>
      <c r="S6" s="801"/>
      <c r="T6" s="801"/>
      <c r="U6" s="801"/>
      <c r="V6" s="801"/>
      <c r="W6" s="801"/>
      <c r="X6" s="802"/>
    </row>
    <row r="7" spans="1:24" ht="18.5" thickBot="1" x14ac:dyDescent="0.9">
      <c r="A7" s="29"/>
      <c r="B7" s="40"/>
      <c r="C7" s="126" t="s">
        <v>2163</v>
      </c>
      <c r="D7" s="555"/>
      <c r="E7" s="555"/>
      <c r="F7" s="786">
        <v>155912.11382000009</v>
      </c>
      <c r="G7" s="556"/>
      <c r="H7" s="786">
        <v>46435.891999999993</v>
      </c>
      <c r="I7" s="556"/>
      <c r="J7" s="786">
        <v>158338.51596000011</v>
      </c>
      <c r="K7" s="556"/>
      <c r="L7" s="557">
        <v>482578.10267125443</v>
      </c>
      <c r="M7" s="559">
        <f>+'2nd Int Budget Summary FY22-23'!M8</f>
        <v>2295.3050000000003</v>
      </c>
      <c r="P7" s="1"/>
      <c r="Q7" s="601" t="s">
        <v>1958</v>
      </c>
      <c r="R7" s="2"/>
      <c r="U7" s="75"/>
      <c r="V7" s="593" t="s">
        <v>2053</v>
      </c>
      <c r="W7" s="2"/>
    </row>
    <row r="8" spans="1:24" ht="22.2" customHeight="1" thickBot="1" x14ac:dyDescent="0.9">
      <c r="A8" s="30"/>
      <c r="B8" s="41"/>
      <c r="C8" s="30"/>
      <c r="D8" s="32">
        <f>'Student Info w MYP'!D$6</f>
        <v>0</v>
      </c>
      <c r="E8" s="32">
        <f>'Student Info w MYP'!E$6</f>
        <v>0</v>
      </c>
      <c r="F8" s="32" t="str">
        <f>'Student Info w MYP'!F$6</f>
        <v>Yolo</v>
      </c>
      <c r="G8" s="32"/>
      <c r="H8" s="32" t="str">
        <f>'Student Info w MYP'!G$6</f>
        <v>San Diego</v>
      </c>
      <c r="I8" s="32"/>
      <c r="J8" s="32" t="str">
        <f>'Student Info w MYP'!H$6</f>
        <v>Los Angeles</v>
      </c>
      <c r="K8" s="32"/>
      <c r="L8" s="32" t="str">
        <f>'Student Info w MYP'!I$6</f>
        <v>Total</v>
      </c>
      <c r="M8" s="560">
        <f>+'Student Info w MYP'!I63</f>
        <v>2380.3816000000002</v>
      </c>
      <c r="P8" s="260" t="s">
        <v>1630</v>
      </c>
      <c r="Q8" s="260" t="s">
        <v>1631</v>
      </c>
      <c r="R8" s="260" t="s">
        <v>1632</v>
      </c>
      <c r="S8" s="32" t="s">
        <v>675</v>
      </c>
      <c r="T8" s="31"/>
      <c r="U8" s="260" t="s">
        <v>1630</v>
      </c>
      <c r="V8" s="260" t="s">
        <v>1631</v>
      </c>
      <c r="W8" s="260" t="s">
        <v>1632</v>
      </c>
      <c r="X8" s="32" t="s">
        <v>675</v>
      </c>
    </row>
    <row r="9" spans="1:24" ht="18.5" thickBot="1" x14ac:dyDescent="0.9">
      <c r="A9" s="29" t="s">
        <v>789</v>
      </c>
      <c r="B9" s="40"/>
      <c r="C9" s="29"/>
      <c r="D9" s="46"/>
      <c r="E9" s="46"/>
      <c r="F9" s="641">
        <f>+F13/(L13-'Budget Summary w OCLC'!O13)</f>
        <v>0.2721329350178377</v>
      </c>
      <c r="G9" s="46"/>
      <c r="H9" s="641">
        <f>(+H13-'Budget Summary w OCLC'!O13)/(L13-'Budget Summary w OCLC'!O13)</f>
        <v>0.32925542805784758</v>
      </c>
      <c r="I9" s="46"/>
      <c r="J9" s="641">
        <f>+J13/(L13-'Budget Summary w OCLC'!O13)</f>
        <v>0.39861163692431473</v>
      </c>
      <c r="K9" s="46"/>
      <c r="L9" s="75" t="s">
        <v>2077</v>
      </c>
      <c r="M9" s="46"/>
    </row>
    <row r="10" spans="1:24" ht="17.75" x14ac:dyDescent="0.75">
      <c r="A10" s="29"/>
      <c r="B10" s="124"/>
      <c r="C10" s="125" t="s">
        <v>778</v>
      </c>
      <c r="D10" s="62" t="str">
        <f>IF('Revenue w MYP'!E20=0,"",'Revenue w MYP'!E20)</f>
        <v/>
      </c>
      <c r="E10" s="62" t="str">
        <f>IF('Revenue w MYP'!F20=0,"",'Revenue w MYP'!F20)</f>
        <v/>
      </c>
      <c r="F10" s="640">
        <f>IF('Revenue w MYP'!G20=0,"",'Revenue w MYP'!G20)</f>
        <v>8168540.8299333332</v>
      </c>
      <c r="G10" s="62"/>
      <c r="H10" s="62">
        <f>IF('Revenue w MYP'!H20=0,"",'Revenue w MYP'!H20)</f>
        <v>10413022.360241333</v>
      </c>
      <c r="I10" s="62"/>
      <c r="J10" s="62">
        <f>IF('Revenue w MYP'!I20=0,"",'Revenue w MYP'!I20)</f>
        <v>11427074.178423336</v>
      </c>
      <c r="K10" s="62"/>
      <c r="L10" s="62">
        <f>+J10+H10+F10</f>
        <v>30008637.368598003</v>
      </c>
      <c r="M10" s="62"/>
      <c r="P10" s="62">
        <f>+'Revenue w MYP'!AA20</f>
        <v>8566823.3111771997</v>
      </c>
      <c r="Q10" s="62">
        <f>+'Revenue w MYP'!AB20</f>
        <v>10840677.698743999</v>
      </c>
      <c r="R10" s="62">
        <f>+'Revenue w MYP'!AC20</f>
        <v>11948556.916298</v>
      </c>
      <c r="S10" s="62">
        <f>+'Revenue w MYP'!AD20</f>
        <v>31356057.926219203</v>
      </c>
      <c r="U10" s="62">
        <f>+'Revenue w MYP'!AF20</f>
        <v>9274639.237515321</v>
      </c>
      <c r="V10" s="62">
        <f>+'Revenue w MYP'!AG20</f>
        <v>11707667.727598181</v>
      </c>
      <c r="W10" s="62">
        <f>+'Revenue w MYP'!AH20</f>
        <v>12876853.984252326</v>
      </c>
      <c r="X10" s="62">
        <f>+'Revenue w MYP'!AI20</f>
        <v>33859160.949365824</v>
      </c>
    </row>
    <row r="11" spans="1:24" ht="17.75" x14ac:dyDescent="0.75">
      <c r="A11" s="29"/>
      <c r="B11" s="124"/>
      <c r="C11" s="125" t="s">
        <v>782</v>
      </c>
      <c r="D11" s="62" t="str">
        <f>IF('Revenue w MYP'!E32=0,"",'Revenue w MYP'!E32)</f>
        <v/>
      </c>
      <c r="E11" s="62" t="str">
        <f>IF('Revenue w MYP'!F32=0,"",'Revenue w MYP'!F32)</f>
        <v/>
      </c>
      <c r="F11" s="62">
        <f>IF('Revenue w MYP'!G32=0,"",'Revenue w MYP'!G32)</f>
        <v>410148.42544816004</v>
      </c>
      <c r="G11" s="62"/>
      <c r="H11" s="62">
        <f>IF('Revenue w MYP'!H32=0,"",'Revenue w MYP'!H32)</f>
        <v>919341.78332168004</v>
      </c>
      <c r="I11" s="62"/>
      <c r="J11" s="62">
        <f>IF('Revenue w MYP'!I32=0,"",'Revenue w MYP'!I32)</f>
        <v>1229685.3498124001</v>
      </c>
      <c r="K11" s="62"/>
      <c r="L11" s="62">
        <f t="shared" ref="L11:L12" si="0">+J11+H11+F11</f>
        <v>2559175.5585822402</v>
      </c>
      <c r="M11" s="62"/>
      <c r="P11" s="62">
        <f>+'Revenue w MYP'!AA32</f>
        <v>175518.34299999999</v>
      </c>
      <c r="Q11" s="62">
        <f>+'Revenue w MYP'!AB32</f>
        <v>499173.87949999998</v>
      </c>
      <c r="R11" s="62">
        <f>+'Revenue w MYP'!AC32</f>
        <v>488563.97987500002</v>
      </c>
      <c r="S11" s="62">
        <f>+'Revenue w MYP'!AD32</f>
        <v>1163256.2023749999</v>
      </c>
      <c r="U11" s="62">
        <f>+'Revenue w MYP'!AF32</f>
        <v>175518.34299999999</v>
      </c>
      <c r="V11" s="62">
        <f>+'Revenue w MYP'!AG32</f>
        <v>499173.87949999998</v>
      </c>
      <c r="W11" s="62">
        <f>+'Revenue w MYP'!AH32</f>
        <v>488563.97987500002</v>
      </c>
      <c r="X11" s="62">
        <f>+'Revenue w MYP'!AI32</f>
        <v>1163256.2023749999</v>
      </c>
    </row>
    <row r="12" spans="1:24" ht="17.75" x14ac:dyDescent="0.75">
      <c r="A12" s="29"/>
      <c r="B12" s="124"/>
      <c r="C12" s="125" t="s">
        <v>790</v>
      </c>
      <c r="D12" s="62" t="str">
        <f>IF('Revenue w MYP'!E48=0,"",'Revenue w MYP'!E48)</f>
        <v/>
      </c>
      <c r="E12" s="62" t="str">
        <f>IF('Revenue w MYP'!F48=0,"",'Revenue w MYP'!F48)</f>
        <v/>
      </c>
      <c r="F12" s="62">
        <f>IF('Revenue w MYP'!G48=0,"",'Revenue w MYP'!G48)</f>
        <v>676656.55113696004</v>
      </c>
      <c r="G12" s="62"/>
      <c r="H12" s="62">
        <f>IF('Revenue w MYP'!H48=0,"",'Revenue w MYP'!H48)</f>
        <v>870618.25593408011</v>
      </c>
      <c r="I12" s="62"/>
      <c r="J12" s="62">
        <f>IF('Revenue w MYP'!I48=0,"",'Revenue w MYP'!I48)</f>
        <v>900175.5850944001</v>
      </c>
      <c r="K12" s="62"/>
      <c r="L12" s="62">
        <f t="shared" si="0"/>
        <v>2447450.3921654401</v>
      </c>
      <c r="M12" s="62"/>
      <c r="P12" s="62">
        <f>+'Revenue w MYP'!AA48</f>
        <v>708847.12994380808</v>
      </c>
      <c r="Q12" s="62">
        <f>+'Revenue w MYP'!AB48</f>
        <v>909331.24973078421</v>
      </c>
      <c r="R12" s="62">
        <f>+'Revenue w MYP'!AC48</f>
        <v>942263.77584911988</v>
      </c>
      <c r="S12" s="62">
        <f>+'Revenue w MYP'!AD48</f>
        <v>2560442.1555237118</v>
      </c>
      <c r="U12" s="62">
        <f>+'Revenue w MYP'!AF48</f>
        <v>742647.23769099847</v>
      </c>
      <c r="V12" s="62">
        <f>+'Revenue w MYP'!AG48</f>
        <v>949979.89321732335</v>
      </c>
      <c r="W12" s="62">
        <f>+'Revenue w MYP'!AH48</f>
        <v>986456.3761415761</v>
      </c>
      <c r="X12" s="62">
        <f>+'Revenue w MYP'!AI48</f>
        <v>2679083.5070498977</v>
      </c>
    </row>
    <row r="13" spans="1:24" ht="17.75" x14ac:dyDescent="0.75">
      <c r="A13" s="29"/>
      <c r="B13" s="34" t="s">
        <v>794</v>
      </c>
      <c r="C13" s="34"/>
      <c r="D13" s="153" t="str">
        <f t="shared" ref="D13:L13" si="1">IF(SUM(D10:D12)&gt;0,SUM(D10:D12),"")</f>
        <v/>
      </c>
      <c r="E13" s="153" t="str">
        <f t="shared" si="1"/>
        <v/>
      </c>
      <c r="F13" s="153">
        <f t="shared" si="1"/>
        <v>9255345.8065184522</v>
      </c>
      <c r="G13" s="153"/>
      <c r="H13" s="153">
        <f t="shared" si="1"/>
        <v>12202982.399497094</v>
      </c>
      <c r="I13" s="153"/>
      <c r="J13" s="153">
        <f t="shared" si="1"/>
        <v>13556935.113330135</v>
      </c>
      <c r="K13" s="153"/>
      <c r="L13" s="153">
        <f t="shared" si="1"/>
        <v>35015263.319345683</v>
      </c>
      <c r="M13" s="153"/>
      <c r="P13" s="153">
        <f>+'Revenue w MYP'!AA50</f>
        <v>9451188.7841210086</v>
      </c>
      <c r="Q13" s="153">
        <f>+'Revenue w MYP'!AB50</f>
        <v>12249182.827974783</v>
      </c>
      <c r="R13" s="153">
        <f>+'Revenue w MYP'!AC50</f>
        <v>13379384.672022119</v>
      </c>
      <c r="S13" s="153">
        <f>+'Revenue w MYP'!AD50</f>
        <v>35079756.284117915</v>
      </c>
      <c r="U13" s="153">
        <f>+'Revenue w MYP'!AF50</f>
        <v>10192804.81820632</v>
      </c>
      <c r="V13" s="153">
        <f>+'Revenue w MYP'!AG50</f>
        <v>13156821.500315504</v>
      </c>
      <c r="W13" s="153">
        <f>+'Revenue w MYP'!AH50</f>
        <v>14351874.340268902</v>
      </c>
      <c r="X13" s="153">
        <f>+'Revenue w MYP'!AI50</f>
        <v>37701500.658790722</v>
      </c>
    </row>
    <row r="14" spans="1:24" s="39" customFormat="1" ht="8.4" customHeight="1" x14ac:dyDescent="0.75">
      <c r="A14" s="35"/>
      <c r="C14" s="1"/>
      <c r="D14" s="207"/>
      <c r="E14" s="207"/>
      <c r="F14" s="207"/>
      <c r="G14" s="207"/>
      <c r="H14" s="207"/>
      <c r="I14" s="207"/>
      <c r="J14" s="31"/>
      <c r="K14" s="207"/>
      <c r="L14" s="31"/>
      <c r="M14" s="207"/>
      <c r="N14"/>
      <c r="O14" s="273"/>
      <c r="P14" s="31"/>
      <c r="Q14" s="31"/>
      <c r="R14" s="31"/>
      <c r="S14" s="31"/>
      <c r="U14" s="31"/>
      <c r="V14" s="31"/>
      <c r="W14" s="31"/>
      <c r="X14" s="31"/>
    </row>
    <row r="15" spans="1:24" ht="17.75" x14ac:dyDescent="0.75">
      <c r="A15" s="29" t="s">
        <v>796</v>
      </c>
      <c r="B15" s="40"/>
      <c r="C15" s="29"/>
      <c r="D15" s="162"/>
      <c r="E15" s="162"/>
      <c r="F15" s="162"/>
      <c r="G15" s="162"/>
      <c r="H15" s="162"/>
      <c r="I15" s="162"/>
      <c r="J15" s="162"/>
      <c r="K15" s="162"/>
      <c r="L15" s="162"/>
      <c r="M15" s="162"/>
      <c r="P15" s="162"/>
      <c r="Q15" s="162"/>
      <c r="R15" s="162"/>
      <c r="S15" s="162"/>
      <c r="U15" s="162"/>
      <c r="V15" s="162"/>
      <c r="W15" s="162"/>
      <c r="X15" s="162"/>
    </row>
    <row r="16" spans="1:24" ht="17.75" x14ac:dyDescent="0.75">
      <c r="A16" s="29"/>
      <c r="B16" s="65" t="s">
        <v>555</v>
      </c>
      <c r="C16" s="122" t="s">
        <v>731</v>
      </c>
      <c r="D16" s="62" t="str">
        <f>IF(SUMIF('Expenses w MYP'!$C:$C,'Budget Summary w MYP'!$B16,'Expenses w MYP'!E:E)=0,"",SUMIF('Expenses w MYP'!$C:$C,'Budget Summary w MYP'!$B16,'Expenses w MYP'!E:E))</f>
        <v/>
      </c>
      <c r="E16" s="62" t="str">
        <f>IF(SUMIF('Expenses w MYP'!$C:$C,'Budget Summary w MYP'!$B16,'Expenses w MYP'!F:F)=0,"",SUMIF('Expenses w MYP'!$C:$C,'Budget Summary w MYP'!$B16,'Expenses w MYP'!F:F))</f>
        <v/>
      </c>
      <c r="F16" s="62">
        <f ca="1">IF(SUMIF('Expenses w MYP'!$C:$C,'Budget Summary w MYP'!$B16,'Expenses w MYP'!G:G)=0,"",SUMIF('Expenses w MYP'!$C:$C,'Budget Summary w MYP'!$B16,'Expenses w MYP'!G:G))</f>
        <v>3514570.2663867436</v>
      </c>
      <c r="G16" s="270">
        <f ca="1">+F16/F24</f>
        <v>0.39303321734488489</v>
      </c>
      <c r="H16" s="62">
        <f ca="1">IF(SUMIF('Expenses w MYP'!$C:$C,'Budget Summary w MYP'!$B16,'Expenses w MYP'!H:H)=0,"",SUMIF('Expenses w MYP'!$C:$C,'Budget Summary w MYP'!$B16,'Expenses w MYP'!H:H))</f>
        <v>4895521.2784536891</v>
      </c>
      <c r="I16" s="270">
        <f ca="1">+H16/H24</f>
        <v>0.4141148447414757</v>
      </c>
      <c r="J16" s="62">
        <f ca="1">IF(SUMIF('Expenses w MYP'!$C:$C,'Budget Summary w MYP'!$B16,'Expenses w MYP'!I:I)=0,"",SUMIF('Expenses w MYP'!$C:$C,'Budget Summary w MYP'!$B16,'Expenses w MYP'!I:I))</f>
        <v>5148503.1539204605</v>
      </c>
      <c r="K16" s="270">
        <f ca="1">+J16/J24</f>
        <v>0.3943049189083041</v>
      </c>
      <c r="L16" s="62">
        <f ca="1">IF(SUMIF('Expenses w MYP'!$C:$C,'Budget Summary w MYP'!$B16,'Expenses w MYP'!K:K)=0,"",SUMIF('Expenses w MYP'!$C:$C,'Budget Summary w MYP'!$B16,'Expenses w MYP'!K:K))</f>
        <v>13558594.698760893</v>
      </c>
      <c r="M16" s="270">
        <f ca="1">+L16/L24</f>
        <v>0.40089296674488795</v>
      </c>
      <c r="O16" s="273"/>
      <c r="P16" s="62">
        <f ca="1">+'Expenses w MYP'!O16</f>
        <v>3644257.9092164142</v>
      </c>
      <c r="Q16" s="62">
        <f ca="1">+'Expenses w MYP'!P16</f>
        <v>5076166.013628629</v>
      </c>
      <c r="R16" s="62">
        <f ca="1">+'Expenses w MYP'!Q16</f>
        <v>5278482.9203001251</v>
      </c>
      <c r="S16" s="62">
        <f ca="1">+'Expenses w MYP'!R16</f>
        <v>13998906.843145169</v>
      </c>
      <c r="T16" s="273"/>
      <c r="U16" s="62">
        <f ca="1">+'Expenses w MYP'!T16</f>
        <v>3749941.3885836899</v>
      </c>
      <c r="V16" s="62">
        <f ca="1">+'Expenses w MYP'!U16</f>
        <v>5223374.8280238593</v>
      </c>
      <c r="W16" s="62">
        <f ca="1">+'Expenses w MYP'!V16</f>
        <v>5431558.9249888286</v>
      </c>
      <c r="X16" s="62">
        <f ca="1">+'Expenses w MYP'!W16</f>
        <v>14404875.141596379</v>
      </c>
    </row>
    <row r="17" spans="1:24" ht="17.75" x14ac:dyDescent="0.75">
      <c r="A17" s="29"/>
      <c r="B17" s="123" t="s">
        <v>736</v>
      </c>
      <c r="C17" s="122" t="s">
        <v>732</v>
      </c>
      <c r="D17" s="62" t="str">
        <f>IF(SUMIF('Expenses w MYP'!$C:$C,'Budget Summary w MYP'!$B17,'Expenses w MYP'!E:E)=0,"",SUMIF('Expenses w MYP'!$C:$C,'Budget Summary w MYP'!$B17,'Expenses w MYP'!E:E))</f>
        <v/>
      </c>
      <c r="E17" s="62" t="str">
        <f>IF(SUMIF('Expenses w MYP'!$C:$C,'Budget Summary w MYP'!$B17,'Expenses w MYP'!F:F)=0,"",SUMIF('Expenses w MYP'!$C:$C,'Budget Summary w MYP'!$B17,'Expenses w MYP'!F:F))</f>
        <v/>
      </c>
      <c r="F17" s="62">
        <f ca="1">IF(SUMIF('Expenses w MYP'!$C:$C,'Budget Summary w MYP'!$B17,'Expenses w MYP'!G:G)=0,"",SUMIF('Expenses w MYP'!$C:$C,'Budget Summary w MYP'!$B17,'Expenses w MYP'!G:G))</f>
        <v>891441.02392491023</v>
      </c>
      <c r="G17" s="270">
        <f ca="1">+F17/F24</f>
        <v>9.9689551538438836E-2</v>
      </c>
      <c r="H17" s="62">
        <f ca="1">IF(SUMIF('Expenses w MYP'!$C:$C,'Budget Summary w MYP'!$B17,'Expenses w MYP'!H:H)=0,"",SUMIF('Expenses w MYP'!$C:$C,'Budget Summary w MYP'!$B17,'Expenses w MYP'!H:H))</f>
        <v>1107636.9319311758</v>
      </c>
      <c r="I17" s="270">
        <f ca="1">+H17/H24</f>
        <v>9.3695618915067988E-2</v>
      </c>
      <c r="J17" s="62">
        <f ca="1">IF(SUMIF('Expenses w MYP'!$C:$C,'Budget Summary w MYP'!$B17,'Expenses w MYP'!I:I)=0,"",SUMIF('Expenses w MYP'!$C:$C,'Budget Summary w MYP'!$B17,'Expenses w MYP'!I:I))</f>
        <v>1305874.2820156901</v>
      </c>
      <c r="K17" s="270">
        <f ca="1">+J17/J24</f>
        <v>0.1000121078847049</v>
      </c>
      <c r="L17" s="62">
        <f ca="1">IF(SUMIF('Expenses w MYP'!$C:$C,'Budget Summary w MYP'!$B17,'Expenses w MYP'!K:K)=0,"",SUMIF('Expenses w MYP'!$C:$C,'Budget Summary w MYP'!$B17,'Expenses w MYP'!K:K))</f>
        <v>3304952.2378717759</v>
      </c>
      <c r="M17" s="270">
        <f ca="1">+L17/L24</f>
        <v>9.7718984675576825E-2</v>
      </c>
      <c r="O17" s="274"/>
      <c r="P17" s="62">
        <f ca="1">+'Expenses w MYP'!O29</f>
        <v>924335.19770773943</v>
      </c>
      <c r="Q17" s="62">
        <f ca="1">+'Expenses w MYP'!P29</f>
        <v>1148508.7347194362</v>
      </c>
      <c r="R17" s="62">
        <f ca="1">+'Expenses w MYP'!Q29</f>
        <v>1354061.0430220689</v>
      </c>
      <c r="S17" s="62">
        <f ca="1">+'Expenses w MYP'!R29</f>
        <v>3426904.9754492445</v>
      </c>
      <c r="T17" s="273"/>
      <c r="U17" s="62">
        <f ca="1">+'Expenses w MYP'!T29</f>
        <v>951140.91844126384</v>
      </c>
      <c r="V17" s="62">
        <f ca="1">+'Expenses w MYP'!U29</f>
        <v>1181815.4880263</v>
      </c>
      <c r="W17" s="62">
        <f ca="1">+'Expenses w MYP'!V29</f>
        <v>1393328.8132697088</v>
      </c>
      <c r="X17" s="62">
        <f ca="1">+'Expenses w MYP'!W29</f>
        <v>3526285.2197372722</v>
      </c>
    </row>
    <row r="18" spans="1:24" ht="18.5" thickBot="1" x14ac:dyDescent="0.9">
      <c r="A18" s="29"/>
      <c r="B18" s="123" t="s">
        <v>737</v>
      </c>
      <c r="C18" s="122" t="s">
        <v>672</v>
      </c>
      <c r="D18" s="62" t="str">
        <f>IF(SUMIF('Expenses w MYP'!$C:$C,'Budget Summary w MYP'!$B18,'Expenses w MYP'!E:E)=0,"",SUMIF('Expenses w MYP'!$C:$C,'Budget Summary w MYP'!$B18,'Expenses w MYP'!E:E))</f>
        <v/>
      </c>
      <c r="E18" s="62" t="str">
        <f>IF(SUMIF('Expenses w MYP'!$C:$C,'Budget Summary w MYP'!$B18,'Expenses w MYP'!F:F)=0,"",SUMIF('Expenses w MYP'!$C:$C,'Budget Summary w MYP'!$B18,'Expenses w MYP'!F:F))</f>
        <v/>
      </c>
      <c r="F18" s="269">
        <f ca="1">IF(SUMIF('Expenses w MYP'!$C:$C,'Budget Summary w MYP'!$B18,'Expenses w MYP'!G:G)=0,"",SUMIF('Expenses w MYP'!$C:$C,'Budget Summary w MYP'!$B18,'Expenses w MYP'!G:G))</f>
        <v>1411346.9877217372</v>
      </c>
      <c r="G18" s="271">
        <f ca="1">+F18/F24</f>
        <v>0.15783046157292172</v>
      </c>
      <c r="H18" s="269">
        <f ca="1">IF(SUMIF('Expenses w MYP'!$C:$C,'Budget Summary w MYP'!$B18,'Expenses w MYP'!H:H)=0,"",SUMIF('Expenses w MYP'!$C:$C,'Budget Summary w MYP'!$B18,'Expenses w MYP'!H:H))</f>
        <v>1952480.1407253153</v>
      </c>
      <c r="I18" s="271">
        <f ca="1">+H18/H24</f>
        <v>0.16516137186368626</v>
      </c>
      <c r="J18" s="269">
        <f ca="1">IF(SUMIF('Expenses w MYP'!$C:$C,'Budget Summary w MYP'!$B18,'Expenses w MYP'!I:I)=0,"",SUMIF('Expenses w MYP'!$C:$C,'Budget Summary w MYP'!$B18,'Expenses w MYP'!I:I))</f>
        <v>2067485.8849903869</v>
      </c>
      <c r="K18" s="271">
        <f ca="1">+J18/J24</f>
        <v>0.15834113913369707</v>
      </c>
      <c r="L18" s="269">
        <f ca="1">IF(SUMIF('Expenses w MYP'!$C:$C,'Budget Summary w MYP'!$B18,'Expenses w MYP'!K:K)=0,"",SUMIF('Expenses w MYP'!$C:$C,'Budget Summary w MYP'!$B18,'Expenses w MYP'!K:K))</f>
        <v>5431313.0134374388</v>
      </c>
      <c r="M18" s="271">
        <f ca="1">+L18/L24</f>
        <v>0.1605900342663123</v>
      </c>
      <c r="N18" s="505"/>
      <c r="O18" s="505"/>
      <c r="P18" s="269">
        <f ca="1">+'Expenses w MYP'!O53</f>
        <v>1463425.6915686692</v>
      </c>
      <c r="Q18" s="269">
        <f ca="1">+'Expenses w MYP'!P53</f>
        <v>2024526.6579180798</v>
      </c>
      <c r="R18" s="269">
        <f ca="1">+'Expenses w MYP'!Q53</f>
        <v>2143776.114146532</v>
      </c>
      <c r="S18" s="269">
        <f ca="1">+'Expenses w MYP'!R53</f>
        <v>5631728.4636332812</v>
      </c>
      <c r="T18" s="273"/>
      <c r="U18" s="269">
        <f ca="1">+'Expenses w MYP'!T53</f>
        <v>1505865.0366241604</v>
      </c>
      <c r="V18" s="269">
        <f ca="1">+'Expenses w MYP'!U53</f>
        <v>2083237.9309977039</v>
      </c>
      <c r="W18" s="269">
        <f ca="1">+'Expenses w MYP'!V53</f>
        <v>2205945.6214567814</v>
      </c>
      <c r="X18" s="269">
        <f ca="1">+'Expenses w MYP'!W53</f>
        <v>5795048.5890786452</v>
      </c>
    </row>
    <row r="19" spans="1:24" s="263" customFormat="1" ht="15" customHeight="1" x14ac:dyDescent="0.75">
      <c r="B19" s="264"/>
      <c r="C19" s="265" t="s">
        <v>1326</v>
      </c>
      <c r="D19" s="266"/>
      <c r="E19" s="267"/>
      <c r="F19" s="266">
        <f ca="1">SUM(F16:F18)</f>
        <v>5817358.2780333916</v>
      </c>
      <c r="G19" s="267">
        <f ca="1">+F19/F24</f>
        <v>0.65055323045624547</v>
      </c>
      <c r="H19" s="266">
        <f ca="1">SUM(H16:H18)</f>
        <v>7955638.3511101799</v>
      </c>
      <c r="I19" s="267">
        <f ca="1">+H19/H24</f>
        <v>0.67297183552022988</v>
      </c>
      <c r="J19" s="266">
        <f ca="1">SUM(J16:J18)</f>
        <v>8521863.3209265377</v>
      </c>
      <c r="K19" s="267">
        <f ca="1">+J19/J24</f>
        <v>0.65265816592670611</v>
      </c>
      <c r="L19" s="266">
        <f ca="1">SUM(L16:L18)</f>
        <v>22294859.950070109</v>
      </c>
      <c r="M19" s="267">
        <f ca="1">+L19/L24</f>
        <v>0.65920198568677713</v>
      </c>
      <c r="N19" s="268"/>
      <c r="O19" s="273"/>
      <c r="P19" s="266">
        <f t="shared" ref="P19:X19" ca="1" si="2">SUM(P16:P18)</f>
        <v>6032018.7984928228</v>
      </c>
      <c r="Q19" s="266">
        <f t="shared" ca="1" si="2"/>
        <v>8249201.4062661445</v>
      </c>
      <c r="R19" s="266">
        <f t="shared" ca="1" si="2"/>
        <v>8776320.0774687268</v>
      </c>
      <c r="S19" s="266">
        <f t="shared" ca="1" si="2"/>
        <v>23057540.282227695</v>
      </c>
      <c r="T19" s="273"/>
      <c r="U19" s="266">
        <f t="shared" ca="1" si="2"/>
        <v>6206947.3436491145</v>
      </c>
      <c r="V19" s="266">
        <f t="shared" ca="1" si="2"/>
        <v>8488428.247047862</v>
      </c>
      <c r="W19" s="266">
        <f t="shared" ca="1" si="2"/>
        <v>9030833.3597153183</v>
      </c>
      <c r="X19" s="266">
        <f t="shared" ca="1" si="2"/>
        <v>23726208.950412296</v>
      </c>
    </row>
    <row r="20" spans="1:24" ht="17.75" x14ac:dyDescent="0.75">
      <c r="A20" s="29"/>
      <c r="B20" s="123" t="s">
        <v>558</v>
      </c>
      <c r="C20" s="122" t="s">
        <v>676</v>
      </c>
      <c r="D20" s="62" t="str">
        <f>IF(SUMIF('Expenses w MYP'!$C:$C,'Budget Summary w MYP'!$B20,'Expenses w MYP'!E:E)=0,"",SUMIF('Expenses w MYP'!$C:$C,'Budget Summary w MYP'!$B20,'Expenses w MYP'!E:E))</f>
        <v/>
      </c>
      <c r="E20" s="62" t="str">
        <f>IF(SUMIF('Expenses w MYP'!$C:$C,'Budget Summary w MYP'!$B20,'Expenses w MYP'!F:F)=0,"",SUMIF('Expenses w MYP'!$C:$C,'Budget Summary w MYP'!$B20,'Expenses w MYP'!F:F))</f>
        <v/>
      </c>
      <c r="F20" s="62">
        <f>IF(SUMIF('Expenses w MYP'!$C:$C,'Budget Summary w MYP'!$B20,'Expenses w MYP'!G:G)=0,"",SUMIF('Expenses w MYP'!$C:$C,'Budget Summary w MYP'!$B20,'Expenses w MYP'!G:G))</f>
        <v>1517317.9991322069</v>
      </c>
      <c r="G20" s="270">
        <f ca="1">+F20/F24</f>
        <v>0.16968116433402144</v>
      </c>
      <c r="H20" s="62">
        <f>IF(SUMIF('Expenses w MYP'!$C:$C,'Budget Summary w MYP'!$B20,'Expenses w MYP'!H:H)=0,"",SUMIF('Expenses w MYP'!$C:$C,'Budget Summary w MYP'!$B20,'Expenses w MYP'!H:H))</f>
        <v>1874813.027450738</v>
      </c>
      <c r="I20" s="270">
        <f ca="1">+H20/H24</f>
        <v>0.15859146791969211</v>
      </c>
      <c r="J20" s="62">
        <f>IF(SUMIF('Expenses w MYP'!$C:$C,'Budget Summary w MYP'!$B20,'Expenses w MYP'!I:I)=0,"",SUMIF('Expenses w MYP'!$C:$C,'Budget Summary w MYP'!$B20,'Expenses w MYP'!I:I))</f>
        <v>2227518.9734170553</v>
      </c>
      <c r="K20" s="270">
        <f ca="1">+J20/J24</f>
        <v>0.17059748472934314</v>
      </c>
      <c r="L20" s="62">
        <f>IF(SUMIF('Expenses w MYP'!$C:$C,'Budget Summary w MYP'!$B20,'Expenses w MYP'!K:K)=0,"",SUMIF('Expenses w MYP'!$C:$C,'Budget Summary w MYP'!$B20,'Expenses w MYP'!K:K))</f>
        <v>5619650</v>
      </c>
      <c r="M20" s="270">
        <f ca="1">+L20/L24</f>
        <v>0.16615867725390435</v>
      </c>
      <c r="O20" s="273"/>
      <c r="P20" s="62">
        <f>+'Expenses w MYP'!O70</f>
        <v>1573307.0333001853</v>
      </c>
      <c r="Q20" s="62">
        <f>+'Expenses w MYP'!P70</f>
        <v>1943993.6281636697</v>
      </c>
      <c r="R20" s="62">
        <f>+'Expenses w MYP'!Q70</f>
        <v>2309714.4235361451</v>
      </c>
      <c r="S20" s="62">
        <f>+'Expenses w MYP'!R70</f>
        <v>5827015.084999999</v>
      </c>
      <c r="T20" s="273"/>
      <c r="U20" s="62">
        <f>+'Expenses w MYP'!T70</f>
        <v>1618932.9372658902</v>
      </c>
      <c r="V20" s="62">
        <f>+'Expenses w MYP'!U70</f>
        <v>2000369.4433804164</v>
      </c>
      <c r="W20" s="62">
        <f>+'Expenses w MYP'!V70</f>
        <v>2376696.1418186929</v>
      </c>
      <c r="X20" s="62">
        <f>+'Expenses w MYP'!W70</f>
        <v>5995998.522464999</v>
      </c>
    </row>
    <row r="21" spans="1:24" ht="17.75" x14ac:dyDescent="0.75">
      <c r="A21" s="29"/>
      <c r="B21" s="123" t="s">
        <v>559</v>
      </c>
      <c r="C21" s="122" t="s">
        <v>720</v>
      </c>
      <c r="D21" s="62" t="str">
        <f>IF(SUMIF('Expenses w MYP'!$C:$C,'Budget Summary w MYP'!$B21,'Expenses w MYP'!E:E)=0,"",SUMIF('Expenses w MYP'!$C:$C,'Budget Summary w MYP'!$B21,'Expenses w MYP'!E:E))</f>
        <v/>
      </c>
      <c r="E21" s="62" t="str">
        <f>IF(SUMIF('Expenses w MYP'!$C:$C,'Budget Summary w MYP'!$B21,'Expenses w MYP'!F:F)=0,"",SUMIF('Expenses w MYP'!$C:$C,'Budget Summary w MYP'!$B21,'Expenses w MYP'!F:F))</f>
        <v/>
      </c>
      <c r="F21" s="62">
        <f>IF(SUMIF('Expenses w MYP'!$C:$C,'Budget Summary w MYP'!$B21,'Expenses w MYP'!G:G)=0,"",SUMIF('Expenses w MYP'!$C:$C,'Budget Summary w MYP'!$B21,'Expenses w MYP'!G:G))</f>
        <v>1607494.7946059857</v>
      </c>
      <c r="G21" s="270">
        <f ca="1">+F21/F24</f>
        <v>0.179765605209733</v>
      </c>
      <c r="H21" s="62">
        <f>IF(SUMIF('Expenses w MYP'!$C:$C,'Budget Summary w MYP'!$B21,'Expenses w MYP'!H:H)=0,"",SUMIF('Expenses w MYP'!$C:$C,'Budget Summary w MYP'!$B21,'Expenses w MYP'!H:H))</f>
        <v>1991199.8870677585</v>
      </c>
      <c r="I21" s="270">
        <f ca="1">+H21/H24</f>
        <v>0.16843669656007793</v>
      </c>
      <c r="J21" s="62">
        <f>IF(SUMIF('Expenses w MYP'!$C:$C,'Budget Summary w MYP'!$B21,'Expenses w MYP'!I:I)=0,"",SUMIF('Expenses w MYP'!$C:$C,'Budget Summary w MYP'!$B21,'Expenses w MYP'!I:I))</f>
        <v>2307779.5797078661</v>
      </c>
      <c r="K21" s="270">
        <f ca="1">+J21/J24</f>
        <v>0.17674434934395078</v>
      </c>
      <c r="L21" s="62">
        <f>IF(SUMIF('Expenses w MYP'!$C:$C,'Budget Summary w MYP'!$B21,'Expenses w MYP'!K:K)=0,"",SUMIF('Expenses w MYP'!$C:$C,'Budget Summary w MYP'!$B21,'Expenses w MYP'!K:K))</f>
        <v>5906474.2613816103</v>
      </c>
      <c r="M21" s="270">
        <f ca="1">+L21/L24</f>
        <v>0.17463933705931864</v>
      </c>
      <c r="O21" s="273"/>
      <c r="P21" s="62">
        <f>+'Expenses w MYP'!O110</f>
        <v>1629597.3525269462</v>
      </c>
      <c r="Q21" s="62">
        <f>+'Expenses w MYP'!P110</f>
        <v>2027461.1629005587</v>
      </c>
      <c r="R21" s="62">
        <f>+'Expenses w MYP'!Q110</f>
        <v>2355722.6461990867</v>
      </c>
      <c r="S21" s="62">
        <f>+'Expenses w MYP'!R110</f>
        <v>6012781.1616265913</v>
      </c>
      <c r="T21" s="273"/>
      <c r="U21" s="62">
        <f>+'Expenses w MYP'!T110</f>
        <v>1676855.6757502276</v>
      </c>
      <c r="V21" s="62">
        <f>+'Expenses w MYP'!U110</f>
        <v>2086257.5366246747</v>
      </c>
      <c r="W21" s="62">
        <f>+'Expenses w MYP'!V110</f>
        <v>2424038.6029388593</v>
      </c>
      <c r="X21" s="62">
        <f>+'Expenses w MYP'!W110</f>
        <v>6187151.8153137621</v>
      </c>
    </row>
    <row r="22" spans="1:24" ht="17.75" x14ac:dyDescent="0.75">
      <c r="A22" s="29"/>
      <c r="B22" s="123" t="s">
        <v>560</v>
      </c>
      <c r="C22" s="83" t="s">
        <v>721</v>
      </c>
      <c r="D22" s="62" t="str">
        <f>IF(SUMIF('Expenses w MYP'!$C:$C,'Budget Summary w MYP'!$B22,'Expenses w MYP'!E:E)=0,"",SUMIF('Expenses w MYP'!$C:$C,'Budget Summary w MYP'!$B22,'Expenses w MYP'!E:E))</f>
        <v/>
      </c>
      <c r="E22" s="62" t="str">
        <f>IF(SUMIF('Expenses w MYP'!$C:$C,'Budget Summary w MYP'!$B22,'Expenses w MYP'!F:F)=0,"",SUMIF('Expenses w MYP'!$C:$C,'Budget Summary w MYP'!$B22,'Expenses w MYP'!F:F))</f>
        <v/>
      </c>
      <c r="F22" s="62" t="str">
        <f>IF(SUMIF('Expenses w MYP'!$C:$C,'Budget Summary w MYP'!$B22,'Expenses w MYP'!G:G)=0,"",SUMIF('Expenses w MYP'!$C:$C,'Budget Summary w MYP'!$B22,'Expenses w MYP'!G:G))</f>
        <v/>
      </c>
      <c r="G22" s="546"/>
      <c r="H22" s="62"/>
      <c r="I22" s="270"/>
      <c r="J22" s="62"/>
      <c r="K22" s="270"/>
      <c r="L22" s="62"/>
      <c r="M22" s="270"/>
      <c r="O22" s="273"/>
      <c r="P22" s="62">
        <f>+'Expenses w MYP'!O114</f>
        <v>0</v>
      </c>
      <c r="Q22" s="62">
        <f>+'Expenses w MYP'!P114</f>
        <v>0</v>
      </c>
      <c r="R22" s="62">
        <f>+'Expenses w MYP'!Q114</f>
        <v>0</v>
      </c>
      <c r="S22" s="62">
        <f>+'Expenses w MYP'!R114</f>
        <v>0</v>
      </c>
      <c r="T22" s="273"/>
      <c r="U22" s="62">
        <f>+'Expenses w MYP'!T114</f>
        <v>0</v>
      </c>
      <c r="V22" s="62">
        <f>+'Expenses w MYP'!U114</f>
        <v>0</v>
      </c>
      <c r="W22" s="62">
        <f>+'Expenses w MYP'!V114</f>
        <v>0</v>
      </c>
      <c r="X22" s="62">
        <f>+'Expenses w MYP'!W114</f>
        <v>0</v>
      </c>
    </row>
    <row r="23" spans="1:24" ht="17.75" x14ac:dyDescent="0.75">
      <c r="A23" s="29"/>
      <c r="B23" s="123" t="s">
        <v>683</v>
      </c>
      <c r="C23" s="83" t="s">
        <v>722</v>
      </c>
      <c r="D23" s="62" t="str">
        <f>IF(SUMIF('Expenses w MYP'!$C:$C,'Budget Summary w MYP'!$B23,'Expenses w MYP'!E:E)=0,"",SUMIF('Expenses w MYP'!$C:$C,'Budget Summary w MYP'!$B23,'Expenses w MYP'!E:E))</f>
        <v/>
      </c>
      <c r="E23" s="62" t="str">
        <f>IF(SUMIF('Expenses w MYP'!$C:$C,'Budget Summary w MYP'!$B23,'Expenses w MYP'!F:F)=0,"",SUMIF('Expenses w MYP'!$C:$C,'Budget Summary w MYP'!$B23,'Expenses w MYP'!F:F))</f>
        <v/>
      </c>
      <c r="F23" s="62" t="str">
        <f>IF(SUMIF('Expenses w MYP'!$C:$C,'Budget Summary w MYP'!$B23,'Expenses w MYP'!G:G)=0,"",SUMIF('Expenses w MYP'!$C:$C,'Budget Summary w MYP'!$B23,'Expenses w MYP'!G:G))</f>
        <v/>
      </c>
      <c r="G23" s="62"/>
      <c r="H23" s="62" t="str">
        <f>IF(SUMIF('Expenses w MYP'!$C:$C,'Budget Summary w MYP'!$B23,'Expenses w MYP'!H:H)=0,"",SUMIF('Expenses w MYP'!$C:$C,'Budget Summary w MYP'!$B23,'Expenses w MYP'!H:H))</f>
        <v/>
      </c>
      <c r="I23" s="62"/>
      <c r="J23" s="62"/>
      <c r="K23" s="62"/>
      <c r="L23" s="62" t="str">
        <f>IF(SUMIF('Expenses w MYP'!$C:$C,'Budget Summary w MYP'!$B23,'Expenses w MYP'!J:J)=0,"",SUMIF('Expenses w MYP'!$C:$C,'Budget Summary w MYP'!$B23,'Expenses w MYP'!J:J))</f>
        <v/>
      </c>
      <c r="M23" s="62"/>
      <c r="P23" s="62">
        <f>+'Expenses w MYP'!O119</f>
        <v>0</v>
      </c>
      <c r="Q23" s="62">
        <f>+'Expenses w MYP'!P119</f>
        <v>0</v>
      </c>
      <c r="R23" s="62">
        <f>+'Expenses w MYP'!Q119</f>
        <v>0</v>
      </c>
      <c r="S23" s="62">
        <f>+'Expenses w MYP'!R119</f>
        <v>0</v>
      </c>
      <c r="T23" s="273"/>
      <c r="U23" s="62">
        <f>+'Expenses w MYP'!T119</f>
        <v>0</v>
      </c>
      <c r="V23" s="62">
        <f>+'Expenses w MYP'!U119</f>
        <v>0</v>
      </c>
      <c r="W23" s="62">
        <f>+'Expenses w MYP'!V119</f>
        <v>0</v>
      </c>
      <c r="X23" s="62">
        <f>+'Expenses w MYP'!W119</f>
        <v>0</v>
      </c>
    </row>
    <row r="24" spans="1:24" ht="17.75" x14ac:dyDescent="0.75">
      <c r="A24" s="29"/>
      <c r="B24" s="34" t="s">
        <v>730</v>
      </c>
      <c r="C24" s="34"/>
      <c r="D24" s="153" t="str">
        <f t="shared" ref="D24:E24" si="3">IF(SUM(D16:D23)&gt;0,SUM(D16:D23),"")</f>
        <v/>
      </c>
      <c r="E24" s="153" t="str">
        <f t="shared" si="3"/>
        <v/>
      </c>
      <c r="F24" s="153">
        <f ca="1">IF(SUM(F19:F23)&gt;0,SUM(F19:F23),"")</f>
        <v>8942171.0717715845</v>
      </c>
      <c r="G24" s="153"/>
      <c r="H24" s="153">
        <f ca="1">IF(SUM(H19:H23)&gt;0,SUM(H19:H23),"")</f>
        <v>11821651.265628677</v>
      </c>
      <c r="I24" s="153"/>
      <c r="J24" s="153">
        <f ca="1">IF(SUM(J19:J23)&gt;0,SUM(J19:J23),"")</f>
        <v>13057161.874051459</v>
      </c>
      <c r="K24" s="153"/>
      <c r="L24" s="153">
        <f ca="1">IF(SUM(L19:L23)&gt;0,SUM(L19:L23),"")</f>
        <v>33820984.211451717</v>
      </c>
      <c r="M24" s="153"/>
      <c r="O24" s="273"/>
      <c r="P24" s="153">
        <f t="shared" ref="P24:X24" ca="1" si="4">IF(SUM(P19:P23)&gt;0,SUM(P19:P23),"")</f>
        <v>9234923.1843199544</v>
      </c>
      <c r="Q24" s="153">
        <f t="shared" ca="1" si="4"/>
        <v>12220656.197330374</v>
      </c>
      <c r="R24" s="153">
        <f t="shared" ca="1" si="4"/>
        <v>13441757.147203958</v>
      </c>
      <c r="S24" s="153">
        <f t="shared" ca="1" si="4"/>
        <v>34897336.528854288</v>
      </c>
      <c r="T24" s="153" t="str">
        <f t="shared" si="4"/>
        <v/>
      </c>
      <c r="U24" s="153">
        <f t="shared" ca="1" si="4"/>
        <v>9502735.9566652328</v>
      </c>
      <c r="V24" s="153">
        <f t="shared" ca="1" si="4"/>
        <v>12575055.227052953</v>
      </c>
      <c r="W24" s="153">
        <f t="shared" ca="1" si="4"/>
        <v>13831568.10447287</v>
      </c>
      <c r="X24" s="153">
        <f t="shared" ca="1" si="4"/>
        <v>35909359.288191058</v>
      </c>
    </row>
    <row r="25" spans="1:24" s="31" customFormat="1" ht="16.5" thickBot="1" x14ac:dyDescent="0.9">
      <c r="A25" s="82"/>
      <c r="B25" s="80"/>
      <c r="C25" s="81"/>
      <c r="D25" s="163"/>
      <c r="E25" s="163"/>
      <c r="F25" s="163"/>
      <c r="G25" s="163"/>
      <c r="H25" s="163"/>
      <c r="I25" s="163"/>
      <c r="J25" s="163"/>
      <c r="K25" s="163"/>
      <c r="L25" s="163"/>
      <c r="M25" s="163"/>
      <c r="N25"/>
      <c r="O25"/>
      <c r="P25" s="163"/>
      <c r="Q25" s="163"/>
      <c r="R25" s="163"/>
      <c r="S25" s="163"/>
      <c r="T25" s="164"/>
      <c r="U25" s="163"/>
      <c r="V25" s="163"/>
      <c r="W25" s="163"/>
      <c r="X25" s="163"/>
    </row>
    <row r="26" spans="1:24" s="31" customFormat="1" x14ac:dyDescent="0.75">
      <c r="A26" s="34" t="s">
        <v>797</v>
      </c>
      <c r="B26" s="3"/>
      <c r="C26" s="2"/>
      <c r="D26" s="153" t="str">
        <f>IF(D24="","",D13-D24)</f>
        <v/>
      </c>
      <c r="E26" s="153" t="str">
        <f>IF(E24="","",E13-E24)</f>
        <v/>
      </c>
      <c r="F26" s="45">
        <f ca="1">IF(F24="","",F13-F24)</f>
        <v>313174.73474686779</v>
      </c>
      <c r="G26" s="153"/>
      <c r="H26" s="45">
        <f ca="1">IF(H24="","",H13-H24)</f>
        <v>381331.13386841677</v>
      </c>
      <c r="I26" s="153"/>
      <c r="J26" s="45">
        <f ca="1">IF(J24="","",J13-J24)</f>
        <v>499773.23927867599</v>
      </c>
      <c r="K26" s="153"/>
      <c r="L26" s="153">
        <f ca="1">IF(L24="","",L13-L24)</f>
        <v>1194279.1078939661</v>
      </c>
      <c r="M26" s="153"/>
      <c r="N26"/>
      <c r="O26"/>
      <c r="P26" s="153">
        <f ca="1">+P13-P24</f>
        <v>216265.59980105422</v>
      </c>
      <c r="Q26" s="153">
        <f t="shared" ref="Q26:X26" ca="1" si="5">+Q13-Q24</f>
        <v>28526.630644408986</v>
      </c>
      <c r="R26" s="153">
        <f t="shared" ca="1" si="5"/>
        <v>-62372.475181838498</v>
      </c>
      <c r="S26" s="153">
        <f t="shared" ca="1" si="5"/>
        <v>182419.75526362658</v>
      </c>
      <c r="T26" s="273"/>
      <c r="U26" s="153">
        <f t="shared" ca="1" si="5"/>
        <v>690068.86154108681</v>
      </c>
      <c r="V26" s="153">
        <f t="shared" ca="1" si="5"/>
        <v>581766.27326255105</v>
      </c>
      <c r="W26" s="153">
        <f t="shared" ca="1" si="5"/>
        <v>520306.23579603247</v>
      </c>
      <c r="X26" s="153">
        <f t="shared" ca="1" si="5"/>
        <v>1792141.3705996647</v>
      </c>
    </row>
    <row r="27" spans="1:24" s="31" customFormat="1" x14ac:dyDescent="0.75">
      <c r="A27" s="34"/>
      <c r="B27" s="39" t="s">
        <v>1235</v>
      </c>
      <c r="C27" s="2"/>
      <c r="F27" s="207">
        <f ca="1">+F26/SUM('Revenue w MYP'!G8:G10)</f>
        <v>4.1046862718003368E-2</v>
      </c>
      <c r="G27" s="207"/>
      <c r="H27" s="207">
        <f ca="1">+H26/SUM('Revenue w MYP'!H8:H10)</f>
        <v>3.9596344376003109E-2</v>
      </c>
      <c r="I27" s="207"/>
      <c r="J27" s="207">
        <f ca="1">+J26/SUM('Revenue w MYP'!I8:I10)</f>
        <v>4.7179974325779778E-2</v>
      </c>
      <c r="K27" s="110"/>
      <c r="M27" s="110"/>
      <c r="N27"/>
      <c r="O27"/>
      <c r="P27"/>
      <c r="Q27"/>
      <c r="R27"/>
    </row>
    <row r="28" spans="1:24" s="39" customFormat="1" hidden="1" x14ac:dyDescent="0.75">
      <c r="A28" s="35"/>
      <c r="C28" s="1"/>
      <c r="D28" s="207"/>
      <c r="E28" s="207"/>
      <c r="F28" s="207">
        <f ca="1">+F26/L26</f>
        <v>0.26222909927573895</v>
      </c>
      <c r="G28" s="207"/>
      <c r="H28" s="207">
        <f ca="1">+H26/L26</f>
        <v>0.31929817020819323</v>
      </c>
      <c r="I28" s="207"/>
      <c r="J28" s="207">
        <f ca="1">+J26/L26</f>
        <v>0.41847273051606315</v>
      </c>
      <c r="K28" s="207"/>
      <c r="L28" s="31"/>
      <c r="M28" s="207"/>
      <c r="N28"/>
      <c r="O28"/>
      <c r="P28"/>
      <c r="Q28"/>
      <c r="R28"/>
    </row>
    <row r="29" spans="1:24" s="39" customFormat="1" ht="9" customHeight="1" thickBot="1" x14ac:dyDescent="0.9">
      <c r="A29" s="35"/>
      <c r="C29" s="1"/>
      <c r="D29" s="207"/>
      <c r="E29" s="207"/>
      <c r="F29" s="310"/>
      <c r="G29" s="310"/>
      <c r="H29" s="310"/>
      <c r="I29" s="310"/>
      <c r="J29" s="310"/>
      <c r="K29" s="310"/>
      <c r="L29" s="310"/>
      <c r="M29" s="207"/>
      <c r="N29"/>
      <c r="O29"/>
      <c r="P29"/>
      <c r="Q29"/>
      <c r="R29"/>
    </row>
    <row r="30" spans="1:24" s="259" customFormat="1" ht="16.75" outlineLevel="1" thickBot="1" x14ac:dyDescent="0.95">
      <c r="C30" s="308" t="s">
        <v>2057</v>
      </c>
      <c r="D30" s="153"/>
      <c r="E30" s="153"/>
      <c r="F30" s="574">
        <v>710002.60234463436</v>
      </c>
      <c r="G30" s="153"/>
      <c r="H30" s="574">
        <v>878992.02200000081</v>
      </c>
      <c r="I30" s="153"/>
      <c r="J30" s="574">
        <v>958470.79915717803</v>
      </c>
      <c r="K30" s="153"/>
      <c r="L30" s="574">
        <v>8256843</v>
      </c>
      <c r="M30" s="153"/>
      <c r="N30" s="153"/>
      <c r="O30" s="153"/>
      <c r="P30" s="153"/>
    </row>
    <row r="31" spans="1:24" s="259" customFormat="1" ht="16" outlineLevel="1" x14ac:dyDescent="0.8">
      <c r="C31" s="308" t="s">
        <v>1956</v>
      </c>
      <c r="D31" s="153"/>
      <c r="E31" s="153"/>
      <c r="F31" s="153">
        <v>-260000</v>
      </c>
      <c r="G31" s="153"/>
      <c r="H31" s="153">
        <v>-300000</v>
      </c>
      <c r="I31" s="153"/>
      <c r="J31" s="153">
        <v>-400000</v>
      </c>
      <c r="K31" s="153"/>
      <c r="L31" s="153">
        <f>-SUM(F31:J31)</f>
        <v>960000</v>
      </c>
      <c r="M31" s="153"/>
      <c r="N31" s="153"/>
      <c r="O31" s="153"/>
      <c r="P31" s="153"/>
    </row>
    <row r="32" spans="1:24" s="259" customFormat="1" ht="16" outlineLevel="1" x14ac:dyDescent="0.8">
      <c r="C32" s="308" t="s">
        <v>1345</v>
      </c>
      <c r="D32" s="153"/>
      <c r="E32" s="309"/>
      <c r="F32" s="153">
        <f ca="1">F30+F26+F31</f>
        <v>763177.33709150215</v>
      </c>
      <c r="G32" s="309"/>
      <c r="H32" s="153">
        <f ca="1">H30+H26+H31</f>
        <v>960323.15586841758</v>
      </c>
      <c r="I32" s="309"/>
      <c r="J32" s="153">
        <f ca="1">J30+J26+J31</f>
        <v>1058244.038435854</v>
      </c>
      <c r="K32" s="309"/>
      <c r="L32" s="153">
        <f>+L30+L31</f>
        <v>9216843</v>
      </c>
      <c r="M32" s="153"/>
      <c r="N32" s="153"/>
      <c r="O32" s="153"/>
      <c r="P32" s="153"/>
      <c r="Q32" s="153"/>
      <c r="R32" s="153"/>
    </row>
    <row r="33" spans="1:18" s="39" customFormat="1" outlineLevel="1" x14ac:dyDescent="0.75">
      <c r="A33" s="35"/>
      <c r="C33" s="209" t="s">
        <v>1275</v>
      </c>
      <c r="D33" s="257" t="e">
        <f>D32/SUM('Revenue w MYP'!E8:E10)</f>
        <v>#DIV/0!</v>
      </c>
      <c r="E33" s="257" t="e">
        <f>E32/SUM('Revenue w MYP'!F8:F10)</f>
        <v>#DIV/0!</v>
      </c>
      <c r="F33" s="210">
        <f ca="1">F32/SUM('Revenue w MYP'!G8:G10)</f>
        <v>0.10002733908406249</v>
      </c>
      <c r="G33" s="210"/>
      <c r="H33" s="210">
        <f ca="1">H32/SUM('Revenue w MYP'!H8:H10)</f>
        <v>9.9717235270742652E-2</v>
      </c>
      <c r="I33" s="210"/>
      <c r="J33" s="210">
        <f ca="1">J32/SUM('Revenue w MYP'!I8:I10)</f>
        <v>9.9901160446033893E-2</v>
      </c>
      <c r="K33" s="257"/>
      <c r="L33" s="210"/>
      <c r="M33" s="257"/>
      <c r="N33"/>
      <c r="O33"/>
      <c r="P33"/>
      <c r="Q33"/>
      <c r="R33"/>
    </row>
    <row r="34" spans="1:18" s="39" customFormat="1" ht="16" outlineLevel="1" x14ac:dyDescent="0.8">
      <c r="A34" s="35"/>
      <c r="C34" s="308" t="s">
        <v>1346</v>
      </c>
      <c r="D34" s="31"/>
      <c r="E34" s="31"/>
      <c r="F34" s="31"/>
      <c r="G34" s="31"/>
      <c r="H34" s="31"/>
      <c r="I34" s="31"/>
      <c r="J34" s="31"/>
      <c r="K34" s="31"/>
      <c r="L34" s="153">
        <f ca="1">+L32+J32+H32+F32</f>
        <v>11998587.531395774</v>
      </c>
      <c r="M34" s="31"/>
      <c r="N34" s="274">
        <f ca="1">+L34/L13</f>
        <v>0.34266735114816743</v>
      </c>
      <c r="O34"/>
      <c r="P34"/>
      <c r="Q34"/>
      <c r="R34"/>
    </row>
    <row r="35" spans="1:18" s="39" customFormat="1" ht="8.4" customHeight="1" outlineLevel="1" thickBot="1" x14ac:dyDescent="0.9">
      <c r="A35" s="35"/>
      <c r="C35" s="1"/>
      <c r="D35" s="31"/>
      <c r="E35" s="31"/>
      <c r="F35" s="31"/>
      <c r="G35" s="31"/>
      <c r="H35" s="31"/>
      <c r="I35" s="31"/>
      <c r="J35" s="31"/>
      <c r="K35" s="31"/>
      <c r="L35" s="31"/>
      <c r="M35" s="31"/>
      <c r="N35"/>
      <c r="O35"/>
      <c r="P35"/>
      <c r="Q35"/>
      <c r="R35"/>
    </row>
    <row r="36" spans="1:18" s="247" customFormat="1" ht="16" outlineLevel="1" x14ac:dyDescent="0.8">
      <c r="A36" s="246"/>
      <c r="C36" s="248" t="s">
        <v>1315</v>
      </c>
      <c r="D36" s="249"/>
      <c r="E36" s="249"/>
      <c r="F36" s="249"/>
      <c r="G36" s="249"/>
      <c r="H36" s="249"/>
      <c r="I36" s="249"/>
      <c r="J36" s="250"/>
      <c r="K36" s="259"/>
      <c r="L36" s="259"/>
      <c r="M36" s="259"/>
    </row>
    <row r="37" spans="1:18" s="247" customFormat="1" ht="16" outlineLevel="1" x14ac:dyDescent="0.8">
      <c r="A37" s="246"/>
      <c r="C37" s="251" t="s">
        <v>1316</v>
      </c>
      <c r="D37" s="575" t="e">
        <f>(+'Expenses w MYP'!E11+'Expenses w MYP'!E27+'Expenses w MYP'!E14+'Expenses w MYP'!E16+(SUM('Expenses w MYP'!E41:E47)*Payroll!$G$70))/'Revenue w MYP'!E15</f>
        <v>#VALUE!</v>
      </c>
      <c r="E37" s="575" t="e">
        <f>(+'Expenses w MYP'!F11+'Expenses w MYP'!F27+'Expenses w MYP'!F14+'Expenses w MYP'!F16+(SUM('Expenses w MYP'!F41:F47)*Payroll!$G$70))/'Revenue w MYP'!F15</f>
        <v>#VALUE!</v>
      </c>
      <c r="F37" s="576">
        <v>0.50801773941338368</v>
      </c>
      <c r="G37" s="576"/>
      <c r="H37" s="576">
        <v>0.53922824689932281</v>
      </c>
      <c r="I37" s="576"/>
      <c r="J37" s="583">
        <v>0.50237950723361335</v>
      </c>
      <c r="P37" s="252"/>
      <c r="Q37" s="787"/>
      <c r="R37" s="788" t="s">
        <v>2174</v>
      </c>
    </row>
    <row r="38" spans="1:18" s="247" customFormat="1" ht="16" outlineLevel="1" x14ac:dyDescent="0.8">
      <c r="A38" s="246"/>
      <c r="C38" s="251" t="s">
        <v>1317</v>
      </c>
      <c r="D38" s="575" t="e">
        <f>(+'Expenses w MYP'!E11+'Expenses w MYP'!E14+'Expenses w MYP'!E16+'Expenses w MYP'!E27+'Expenses w MYP'!E128+(SUM('Expenses w MYP'!E41:E47)*Payroll!$G$70))/'Revenue w MYP'!E45</f>
        <v>#VALUE!</v>
      </c>
      <c r="E38" s="575" t="e">
        <f>(+'Expenses w MYP'!F11+'Expenses w MYP'!F14+'Expenses w MYP'!F16+'Expenses w MYP'!F27+'Expenses w MYP'!F128+(SUM('Expenses w MYP'!F41:F47)*Payroll!$G$70))/'Revenue w MYP'!F45</f>
        <v>#VALUE!</v>
      </c>
      <c r="F38" s="576">
        <v>0.81768160971518444</v>
      </c>
      <c r="G38" s="576"/>
      <c r="H38" s="576">
        <v>0.8244579857231974</v>
      </c>
      <c r="I38" s="576"/>
      <c r="J38" s="583">
        <v>0.80786743338897526</v>
      </c>
      <c r="P38" s="252"/>
      <c r="Q38" s="787"/>
      <c r="R38" s="795" t="s">
        <v>2175</v>
      </c>
    </row>
    <row r="39" spans="1:18" s="247" customFormat="1" ht="16" outlineLevel="1" x14ac:dyDescent="0.8">
      <c r="A39" s="246"/>
      <c r="C39" s="251" t="s">
        <v>1318</v>
      </c>
      <c r="D39" s="212" t="e">
        <f t="shared" ref="D39:F39" si="6">IF(D37&gt;40%,"Met")</f>
        <v>#VALUE!</v>
      </c>
      <c r="E39" s="212" t="e">
        <f t="shared" si="6"/>
        <v>#VALUE!</v>
      </c>
      <c r="F39" s="577" t="str">
        <f t="shared" si="6"/>
        <v>Met</v>
      </c>
      <c r="G39" s="578"/>
      <c r="H39" s="577" t="str">
        <f t="shared" ref="H39" si="7">IF(H37&gt;40%,"Met")</f>
        <v>Met</v>
      </c>
      <c r="I39" s="578"/>
      <c r="J39" s="579" t="str">
        <f t="shared" ref="J39" si="8">IF(J37&gt;40%,"Met")</f>
        <v>Met</v>
      </c>
      <c r="P39" s="212"/>
      <c r="Q39" s="790"/>
      <c r="R39" s="795" t="s">
        <v>2185</v>
      </c>
    </row>
    <row r="40" spans="1:18" s="247" customFormat="1" ht="16.75" outlineLevel="1" thickBot="1" x14ac:dyDescent="0.95">
      <c r="A40" s="246"/>
      <c r="C40" s="253" t="s">
        <v>1319</v>
      </c>
      <c r="D40" s="254" t="e">
        <f t="shared" ref="D40:F40" si="9">IF(D38&gt;80%,"Met")</f>
        <v>#VALUE!</v>
      </c>
      <c r="E40" s="254" t="e">
        <f t="shared" si="9"/>
        <v>#VALUE!</v>
      </c>
      <c r="F40" s="580" t="str">
        <f t="shared" si="9"/>
        <v>Met</v>
      </c>
      <c r="G40" s="581"/>
      <c r="H40" s="580" t="str">
        <f t="shared" ref="H40" si="10">IF(H38&gt;80%,"Met")</f>
        <v>Met</v>
      </c>
      <c r="I40" s="581"/>
      <c r="J40" s="582" t="str">
        <f t="shared" ref="J40" si="11">IF(J38&gt;80%,"Met")</f>
        <v>Met</v>
      </c>
      <c r="P40" s="212"/>
      <c r="Q40" s="791"/>
      <c r="R40" s="795" t="s">
        <v>2186</v>
      </c>
    </row>
    <row r="41" spans="1:18" s="247" customFormat="1" ht="16" hidden="1" outlineLevel="1" x14ac:dyDescent="0.8">
      <c r="A41" s="246" t="s">
        <v>2184</v>
      </c>
      <c r="C41" s="248" t="s">
        <v>1315</v>
      </c>
      <c r="D41" s="249"/>
      <c r="E41" s="249"/>
      <c r="F41" s="249"/>
      <c r="G41" s="249"/>
      <c r="H41" s="249"/>
      <c r="I41" s="249"/>
      <c r="J41" s="250"/>
      <c r="P41" s="259"/>
      <c r="Q41" s="792"/>
      <c r="R41" s="792"/>
    </row>
    <row r="42" spans="1:18" s="247" customFormat="1" ht="16" hidden="1" outlineLevel="1" x14ac:dyDescent="0.8">
      <c r="A42" s="246"/>
      <c r="C42" s="251" t="s">
        <v>1316</v>
      </c>
      <c r="D42" s="575" t="e">
        <f>(+'Expenses w MYP'!E16+'Expenses w MYP'!E32+'Expenses w MYP'!E19+'Expenses w MYP'!E21+(SUM('Expenses w MYP'!E46:E52)*Payroll!$G$70))/'Revenue w MYP'!E20</f>
        <v>#VALUE!</v>
      </c>
      <c r="E42" s="575" t="e">
        <f>(+'Expenses w MYP'!F16+'Expenses w MYP'!F32+'Expenses w MYP'!F19+'Expenses w MYP'!F21+(SUM('Expenses w MYP'!F46:F52)*Payroll!$G$70))/'Revenue w MYP'!F20</f>
        <v>#VALUE!</v>
      </c>
      <c r="F42" s="576">
        <f ca="1">+'Expenses w MYP'!G130/SUM('Revenue w MYP'!G8:G10)</f>
        <v>0.63257462174764101</v>
      </c>
      <c r="G42" s="576"/>
      <c r="H42" s="576">
        <f ca="1">+'Expenses w MYP'!H130/SUM('Revenue w MYP'!H8:H10)</f>
        <v>0.6859445289955709</v>
      </c>
      <c r="I42" s="576"/>
      <c r="J42" s="583">
        <f ca="1">+'Expenses w MYP'!I130/SUM('Revenue w MYP'!I8:I10)</f>
        <v>0.6674395978169394</v>
      </c>
      <c r="P42" s="252"/>
      <c r="Q42" s="787"/>
      <c r="R42" s="788" t="s">
        <v>2174</v>
      </c>
    </row>
    <row r="43" spans="1:18" s="247" customFormat="1" ht="16" hidden="1" outlineLevel="1" x14ac:dyDescent="0.8">
      <c r="A43" s="246"/>
      <c r="C43" s="251" t="s">
        <v>1317</v>
      </c>
      <c r="D43" s="575" t="e">
        <f>(+'Expenses w MYP'!E16+'Expenses w MYP'!E19+'Expenses w MYP'!E21+'Expenses w MYP'!E32+'Expenses w MYP'!E133+(SUM('Expenses w MYP'!E46:E52)*Payroll!$G$70))/'Revenue w MYP'!E50</f>
        <v>#VALUE!</v>
      </c>
      <c r="E43" s="575" t="e">
        <f>(+'Expenses w MYP'!F16+'Expenses w MYP'!F19+'Expenses w MYP'!F21+'Expenses w MYP'!F32+'Expenses w MYP'!F133+(SUM('Expenses w MYP'!F46:F52)*Payroll!$G$70))/'Revenue w MYP'!F50</f>
        <v>#VALUE!</v>
      </c>
      <c r="F43" s="576">
        <f ca="1">+(+'Expenses w MYP'!G130+'Expenses w MYP'!G131+'Expenses w MYP'!G132)/'Revenue w MYP'!G50</f>
        <v>0.8070194403718558</v>
      </c>
      <c r="G43" s="576"/>
      <c r="H43" s="576">
        <f ca="1">+('Expenses w MYP'!H132+'Expenses w MYP'!H131+'Expenses w MYP'!H130)/'Revenue w MYP'!H50</f>
        <v>0.809960385870647</v>
      </c>
      <c r="I43" s="576"/>
      <c r="J43" s="583">
        <f ca="1">+('Expenses w MYP'!I132+'Expenses w MYP'!I131+'Expenses w MYP'!I130)/'Revenue w MYP'!I50</f>
        <v>0.80743614825819898</v>
      </c>
      <c r="P43" s="252"/>
      <c r="Q43" s="787"/>
      <c r="R43" s="789" t="s">
        <v>2175</v>
      </c>
    </row>
    <row r="44" spans="1:18" s="247" customFormat="1" ht="16" hidden="1" outlineLevel="1" x14ac:dyDescent="0.8">
      <c r="A44" s="246"/>
      <c r="C44" s="251" t="s">
        <v>1318</v>
      </c>
      <c r="D44" s="212" t="e">
        <f t="shared" ref="D44:J44" si="12">IF(D42&gt;40%,"Met")</f>
        <v>#VALUE!</v>
      </c>
      <c r="E44" s="212" t="e">
        <f t="shared" si="12"/>
        <v>#VALUE!</v>
      </c>
      <c r="F44" s="577" t="str">
        <f t="shared" ca="1" si="12"/>
        <v>Met</v>
      </c>
      <c r="G44" s="578"/>
      <c r="H44" s="577" t="str">
        <f t="shared" ca="1" si="12"/>
        <v>Met</v>
      </c>
      <c r="I44" s="578"/>
      <c r="J44" s="579" t="str">
        <f t="shared" ca="1" si="12"/>
        <v>Met</v>
      </c>
      <c r="P44" s="212"/>
      <c r="Q44" s="790"/>
      <c r="R44" s="789" t="s">
        <v>2176</v>
      </c>
    </row>
    <row r="45" spans="1:18" s="247" customFormat="1" ht="16.75" hidden="1" outlineLevel="1" thickBot="1" x14ac:dyDescent="0.95">
      <c r="A45" s="246"/>
      <c r="C45" s="253" t="s">
        <v>1319</v>
      </c>
      <c r="D45" s="254" t="e">
        <f t="shared" ref="D45:J45" si="13">IF(D43&gt;80%,"Met")</f>
        <v>#VALUE!</v>
      </c>
      <c r="E45" s="254" t="e">
        <f t="shared" si="13"/>
        <v>#VALUE!</v>
      </c>
      <c r="F45" s="580" t="str">
        <f t="shared" ca="1" si="13"/>
        <v>Met</v>
      </c>
      <c r="G45" s="581"/>
      <c r="H45" s="580" t="str">
        <f t="shared" ca="1" si="13"/>
        <v>Met</v>
      </c>
      <c r="I45" s="581"/>
      <c r="J45" s="582" t="str">
        <f t="shared" ca="1" si="13"/>
        <v>Met</v>
      </c>
      <c r="P45" s="212"/>
      <c r="Q45" s="791"/>
      <c r="R45" s="789" t="s">
        <v>2177</v>
      </c>
    </row>
    <row r="46" spans="1:18" s="39" customFormat="1" ht="12.75" hidden="1" customHeight="1" outlineLevel="1" x14ac:dyDescent="0.75">
      <c r="A46" s="35"/>
      <c r="C46" s="1"/>
      <c r="D46" s="31"/>
      <c r="E46" s="31"/>
      <c r="F46" s="31"/>
      <c r="G46" s="31"/>
      <c r="H46" s="31"/>
      <c r="I46" s="31"/>
      <c r="J46" s="31"/>
      <c r="N46"/>
      <c r="O46"/>
      <c r="P46" s="31"/>
      <c r="Q46" s="792"/>
      <c r="R46" s="792"/>
    </row>
    <row r="47" spans="1:18" s="39" customFormat="1" ht="5.4" hidden="1" customHeight="1" outlineLevel="1" x14ac:dyDescent="0.8">
      <c r="A47" s="35"/>
      <c r="C47" s="1" t="s">
        <v>1955</v>
      </c>
      <c r="D47" s="31"/>
      <c r="E47" s="31"/>
      <c r="F47" s="307">
        <f>SUM('Revenue w MYP'!G8:G10)*0.05</f>
        <v>381484.37421200005</v>
      </c>
      <c r="G47" s="259"/>
      <c r="H47" s="307">
        <f>SUM('Revenue w MYP'!H8:H10)*0.05</f>
        <v>481523.15558140003</v>
      </c>
      <c r="I47" s="259"/>
      <c r="J47" s="307">
        <f>SUM('Revenue w MYP'!I8:I10)*0.05</f>
        <v>529645.51848600002</v>
      </c>
      <c r="N47"/>
      <c r="O47"/>
      <c r="P47" s="31"/>
      <c r="Q47" s="792"/>
      <c r="R47" s="792"/>
    </row>
    <row r="48" spans="1:18" s="39" customFormat="1" ht="5.4" customHeight="1" thickBot="1" x14ac:dyDescent="0.9">
      <c r="A48" s="35"/>
      <c r="C48" s="1"/>
      <c r="D48" s="31"/>
      <c r="E48" s="31"/>
      <c r="F48" s="31"/>
      <c r="G48" s="31"/>
      <c r="H48" s="31"/>
      <c r="I48" s="31"/>
      <c r="J48" s="31"/>
      <c r="N48"/>
      <c r="O48"/>
      <c r="P48" s="31"/>
      <c r="Q48" s="793"/>
      <c r="R48" s="792"/>
    </row>
    <row r="49" spans="2:18" ht="16.5" thickBot="1" x14ac:dyDescent="0.9">
      <c r="B49" s="650" t="s">
        <v>2060</v>
      </c>
      <c r="C49" s="651"/>
      <c r="F49" s="584">
        <v>0</v>
      </c>
      <c r="G49" s="310"/>
      <c r="H49" s="584">
        <v>0</v>
      </c>
      <c r="I49" s="310"/>
      <c r="J49" s="584">
        <v>0</v>
      </c>
      <c r="P49" s="31"/>
      <c r="Q49" s="793"/>
      <c r="R49" s="790" t="s">
        <v>2178</v>
      </c>
    </row>
    <row r="50" spans="2:18" x14ac:dyDescent="0.75">
      <c r="B50" s="618"/>
      <c r="C50" s="618"/>
      <c r="P50" s="31"/>
      <c r="Q50" s="793"/>
      <c r="R50" s="795" t="s">
        <v>2179</v>
      </c>
    </row>
    <row r="51" spans="2:18" x14ac:dyDescent="0.75">
      <c r="B51" s="618"/>
      <c r="N51" s="646"/>
      <c r="P51" s="31"/>
      <c r="Q51" s="791"/>
      <c r="R51" s="795" t="s">
        <v>2180</v>
      </c>
    </row>
    <row r="52" spans="2:18" x14ac:dyDescent="0.75">
      <c r="N52" s="519"/>
      <c r="P52" s="31"/>
      <c r="Q52" s="794"/>
      <c r="R52" s="795" t="s">
        <v>2181</v>
      </c>
    </row>
    <row r="53" spans="2:18" x14ac:dyDescent="0.75">
      <c r="N53" s="519"/>
      <c r="O53" s="519"/>
      <c r="P53" s="31"/>
      <c r="Q53" s="794"/>
      <c r="R53" s="796" t="s">
        <v>2182</v>
      </c>
    </row>
    <row r="54" spans="2:18" x14ac:dyDescent="0.75">
      <c r="H54" s="310"/>
      <c r="J54" s="157"/>
      <c r="N54" s="519"/>
      <c r="P54" s="31"/>
      <c r="Q54" s="794"/>
      <c r="R54" s="797" t="s">
        <v>2183</v>
      </c>
    </row>
    <row r="55" spans="2:18" x14ac:dyDescent="0.75">
      <c r="F55" s="157"/>
      <c r="H55" s="157"/>
      <c r="J55" s="157"/>
      <c r="L55" s="648"/>
      <c r="M55" s="75"/>
      <c r="N55" s="519"/>
    </row>
    <row r="56" spans="2:18" x14ac:dyDescent="0.75">
      <c r="L56" s="648"/>
      <c r="M56" s="75"/>
      <c r="N56" s="519"/>
    </row>
    <row r="57" spans="2:18" x14ac:dyDescent="0.75">
      <c r="L57" s="648"/>
      <c r="M57" s="75"/>
      <c r="N57" s="519"/>
      <c r="O57" s="519"/>
      <c r="P57" s="519"/>
    </row>
    <row r="58" spans="2:18" x14ac:dyDescent="0.75">
      <c r="L58" s="647"/>
      <c r="M58" s="75"/>
      <c r="N58" s="519"/>
    </row>
    <row r="59" spans="2:18" x14ac:dyDescent="0.75">
      <c r="L59" s="648"/>
      <c r="M59" s="75"/>
      <c r="N59" s="519"/>
      <c r="O59" s="519"/>
    </row>
    <row r="60" spans="2:18" x14ac:dyDescent="0.75">
      <c r="L60" s="648"/>
    </row>
    <row r="61" spans="2:18" x14ac:dyDescent="0.75">
      <c r="L61" s="648"/>
      <c r="M61" s="75"/>
      <c r="N61" s="519"/>
      <c r="O61" s="519"/>
    </row>
    <row r="62" spans="2:18" x14ac:dyDescent="0.75">
      <c r="L62" s="648"/>
    </row>
    <row r="63" spans="2:18" x14ac:dyDescent="0.75">
      <c r="L63" s="648"/>
    </row>
    <row r="64" spans="2:18" x14ac:dyDescent="0.75">
      <c r="L64" s="647"/>
      <c r="M64" s="75"/>
      <c r="N64" s="519"/>
      <c r="O64" s="519"/>
      <c r="P64" s="519"/>
    </row>
    <row r="65" spans="12:17" x14ac:dyDescent="0.75">
      <c r="L65" s="647"/>
      <c r="M65" s="75"/>
      <c r="N65" s="519"/>
      <c r="O65" s="519"/>
      <c r="P65" s="519"/>
      <c r="Q65" s="164"/>
    </row>
    <row r="66" spans="12:17" x14ac:dyDescent="0.75">
      <c r="L66" s="647"/>
      <c r="M66" s="75"/>
      <c r="N66" s="519"/>
    </row>
    <row r="67" spans="12:17" x14ac:dyDescent="0.75">
      <c r="L67" s="164"/>
      <c r="N67" s="164"/>
      <c r="O67" s="164"/>
      <c r="P67" s="164"/>
    </row>
    <row r="68" spans="12:17" x14ac:dyDescent="0.75">
      <c r="L68" s="164"/>
    </row>
    <row r="69" spans="12:17" x14ac:dyDescent="0.75">
      <c r="L69" s="164"/>
    </row>
    <row r="70" spans="12:17" x14ac:dyDescent="0.75">
      <c r="L70" s="164"/>
    </row>
    <row r="71" spans="12:17" x14ac:dyDescent="0.75">
      <c r="L71" s="164"/>
    </row>
    <row r="72" spans="12:17" x14ac:dyDescent="0.75">
      <c r="L72" s="647"/>
      <c r="M72" s="75"/>
      <c r="N72" s="519"/>
    </row>
    <row r="74" spans="12:17" x14ac:dyDescent="0.75">
      <c r="L74" s="647"/>
      <c r="N74" s="519"/>
    </row>
  </sheetData>
  <mergeCells count="2">
    <mergeCell ref="P6:X6"/>
    <mergeCell ref="F1:J1"/>
  </mergeCells>
  <conditionalFormatting sqref="F39:F40 H39:H40 J39:J40">
    <cfRule type="cellIs" dxfId="8" priority="1" operator="equal">
      <formula>FALSE</formula>
    </cfRule>
    <cfRule type="cellIs" dxfId="7" priority="2" operator="equal">
      <formula>"Met"</formula>
    </cfRule>
  </conditionalFormatting>
  <conditionalFormatting sqref="F44:F45 H44:H45 J44:J45">
    <cfRule type="cellIs" dxfId="6" priority="3" operator="equal">
      <formula>FALSE</formula>
    </cfRule>
    <cfRule type="cellIs" dxfId="5" priority="4" operator="equal">
      <formula>"Met"</formula>
    </cfRule>
  </conditionalFormatting>
  <pageMargins left="0.25" right="0.25" top="0.5" bottom="0.25" header="0.3" footer="0.3"/>
  <pageSetup scale="79" orientation="landscape" r:id="rId1"/>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7" tint="-0.249977111117893"/>
    <pageSetUpPr fitToPage="1"/>
  </sheetPr>
  <dimension ref="A1:X169"/>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7.86328125" style="84" customWidth="1"/>
    <col min="19" max="19" width="10.31640625" style="1" bestFit="1" customWidth="1"/>
    <col min="20" max="24" width="11.54296875" style="1" customWidth="1"/>
    <col min="25"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20" ht="20.25" x14ac:dyDescent="0.85">
      <c r="A1" s="22" t="str">
        <f>'Student Info w MYP'!$A$1</f>
        <v>Compass Charter Schools</v>
      </c>
      <c r="D1" s="160" t="s">
        <v>1061</v>
      </c>
    </row>
    <row r="2" spans="1:20" ht="17.75" x14ac:dyDescent="0.75">
      <c r="A2" s="21" t="s">
        <v>798</v>
      </c>
      <c r="D2" s="160" t="s">
        <v>1060</v>
      </c>
    </row>
    <row r="3" spans="1:20" ht="17.75" x14ac:dyDescent="0.75">
      <c r="A3" s="21" t="str">
        <f>'Cash Flow $s Yr4'!A3</f>
        <v>San Diego</v>
      </c>
    </row>
    <row r="5" spans="1:20" ht="17.75" x14ac:dyDescent="0.75">
      <c r="A5" s="29"/>
      <c r="B5" s="40"/>
      <c r="C5" s="29"/>
      <c r="D5" s="85"/>
      <c r="E5" s="85"/>
      <c r="F5" s="85"/>
      <c r="G5" s="85"/>
      <c r="H5" s="85"/>
      <c r="I5" s="85"/>
      <c r="J5" s="85"/>
      <c r="K5" s="85"/>
      <c r="L5" s="85"/>
      <c r="M5" s="85"/>
      <c r="N5" s="85"/>
      <c r="O5" s="85"/>
      <c r="P5" s="85"/>
      <c r="Q5" s="85"/>
      <c r="R5" s="85"/>
    </row>
    <row r="6" spans="1:20"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20" ht="17.75" x14ac:dyDescent="0.75">
      <c r="A7" s="29" t="s">
        <v>789</v>
      </c>
      <c r="B7" s="40"/>
      <c r="D7" s="31"/>
      <c r="F7" s="85"/>
      <c r="G7" s="85"/>
      <c r="H7" s="85"/>
      <c r="I7" s="31"/>
      <c r="J7" s="31"/>
      <c r="K7" s="85"/>
      <c r="L7" s="85"/>
      <c r="M7" s="85"/>
      <c r="N7" s="85"/>
      <c r="O7" s="85"/>
      <c r="P7" s="85"/>
      <c r="Q7" s="85"/>
      <c r="R7" s="85"/>
    </row>
    <row r="8" spans="1:20" ht="17.75" hidden="1" x14ac:dyDescent="0.75">
      <c r="A8" s="29"/>
      <c r="B8" s="40"/>
      <c r="C8" s="95" t="s">
        <v>811</v>
      </c>
      <c r="D8" s="96" t="s">
        <v>781</v>
      </c>
      <c r="F8" s="85"/>
      <c r="G8" s="85"/>
      <c r="H8" s="85"/>
      <c r="I8" s="31"/>
      <c r="J8" s="31"/>
      <c r="K8" s="85"/>
      <c r="L8" s="85"/>
      <c r="M8" s="85"/>
      <c r="N8" s="85"/>
      <c r="O8" s="85"/>
      <c r="P8" s="85"/>
      <c r="Q8" s="85"/>
      <c r="R8" s="85"/>
    </row>
    <row r="9" spans="1:20" ht="17.75" x14ac:dyDescent="0.75">
      <c r="A9" s="29"/>
      <c r="B9" s="40"/>
      <c r="C9" s="1" t="s">
        <v>812</v>
      </c>
      <c r="D9" s="101">
        <f>'Cash Flow %s Yr3'!D9</f>
        <v>0</v>
      </c>
      <c r="E9" s="101">
        <f>'Cash Flow %s Yr3'!E9</f>
        <v>0.05</v>
      </c>
      <c r="F9" s="101">
        <f>'Cash Flow %s Yr3'!F9</f>
        <v>0.05</v>
      </c>
      <c r="G9" s="101">
        <f>'Cash Flow %s Yr3'!G9</f>
        <v>0.09</v>
      </c>
      <c r="H9" s="101">
        <f>'Cash Flow %s Yr3'!H9</f>
        <v>0.09</v>
      </c>
      <c r="I9" s="101">
        <f>'Cash Flow %s Yr3'!I9</f>
        <v>0.09</v>
      </c>
      <c r="J9" s="101">
        <f>'Cash Flow %s Yr3'!J9</f>
        <v>0.09</v>
      </c>
      <c r="K9" s="101">
        <f>'Cash Flow %s Yr3'!K9</f>
        <v>0.09</v>
      </c>
      <c r="L9" s="101">
        <f>'Cash Flow %s Yr3'!L9</f>
        <v>0.09</v>
      </c>
      <c r="M9" s="101">
        <f>'Cash Flow %s Yr3'!M9</f>
        <v>0.09</v>
      </c>
      <c r="N9" s="101">
        <f>'Cash Flow %s Yr3'!N9</f>
        <v>0.09</v>
      </c>
      <c r="O9" s="101">
        <f>'Cash Flow %s Yr3'!O9</f>
        <v>0.09</v>
      </c>
      <c r="P9" s="101">
        <f>'Cash Flow %s Yr3'!P9</f>
        <v>0.09</v>
      </c>
      <c r="Q9" s="101">
        <f>'Cash Flow %s Yr3'!Q9</f>
        <v>0</v>
      </c>
      <c r="R9" s="101">
        <f>'Cash Flow %s Yr3'!R9</f>
        <v>0</v>
      </c>
      <c r="S9" s="97">
        <f>SUM(D9:R9)</f>
        <v>0.99999999999999978</v>
      </c>
    </row>
    <row r="10" spans="1:20" ht="17.75" hidden="1" x14ac:dyDescent="0.75">
      <c r="A10" s="29"/>
      <c r="B10" s="40"/>
      <c r="C10" s="1" t="s">
        <v>813</v>
      </c>
      <c r="D10" s="101">
        <f>'Cash Flow %s Yr3'!D10</f>
        <v>0</v>
      </c>
      <c r="E10" s="101">
        <f>'Cash Flow %s Yr3'!E10</f>
        <v>0</v>
      </c>
      <c r="F10" s="101">
        <f>'Cash Flow %s Yr3'!F10</f>
        <v>0</v>
      </c>
      <c r="G10" s="101">
        <f>'Cash Flow %s Yr3'!G10</f>
        <v>0.37</v>
      </c>
      <c r="H10" s="101">
        <f>'Cash Flow %s Yr3'!H10</f>
        <v>0</v>
      </c>
      <c r="I10" s="101">
        <f>'Cash Flow %s Yr3'!I10</f>
        <v>0</v>
      </c>
      <c r="J10" s="101">
        <f>'Cash Flow %s Yr3'!J10</f>
        <v>0.18</v>
      </c>
      <c r="K10" s="101">
        <f>'Cash Flow %s Yr3'!K10</f>
        <v>0</v>
      </c>
      <c r="L10" s="101">
        <f>'Cash Flow %s Yr3'!L10</f>
        <v>0.09</v>
      </c>
      <c r="M10" s="101">
        <f>'Cash Flow %s Yr3'!M10</f>
        <v>0.09</v>
      </c>
      <c r="N10" s="101">
        <f>'Cash Flow %s Yr3'!N10</f>
        <v>0.09</v>
      </c>
      <c r="O10" s="101">
        <f>'Cash Flow %s Yr3'!O10</f>
        <v>0.09</v>
      </c>
      <c r="P10" s="101">
        <f>'Cash Flow %s Yr3'!P10</f>
        <v>0.09</v>
      </c>
      <c r="Q10" s="101">
        <f>'Cash Flow %s Yr3'!Q10</f>
        <v>0</v>
      </c>
      <c r="R10" s="101">
        <f>'Cash Flow %s Yr3'!R10</f>
        <v>0</v>
      </c>
      <c r="S10" s="97">
        <f>SUM(D10:R10)</f>
        <v>0.99999999999999989</v>
      </c>
      <c r="T10" s="1">
        <f>'Cash Flow %s Yr3'!T10</f>
        <v>0</v>
      </c>
    </row>
    <row r="11" spans="1:20" s="31" customFormat="1" ht="17.75" x14ac:dyDescent="0.75">
      <c r="B11" s="68" t="s">
        <v>778</v>
      </c>
      <c r="C11" s="47"/>
      <c r="D11" s="194"/>
      <c r="E11" s="194"/>
      <c r="F11" s="194"/>
      <c r="G11" s="194"/>
      <c r="H11" s="194"/>
      <c r="I11" s="194"/>
      <c r="J11" s="194"/>
      <c r="K11" s="194"/>
      <c r="L11" s="194"/>
      <c r="M11" s="194"/>
      <c r="N11" s="194"/>
      <c r="O11" s="194"/>
      <c r="P11" s="194"/>
      <c r="Q11" s="194"/>
      <c r="R11" s="194"/>
      <c r="S11" s="97"/>
    </row>
    <row r="12" spans="1:20" s="31" customFormat="1" x14ac:dyDescent="0.75">
      <c r="A12" s="48"/>
      <c r="B12" s="63" t="str">
        <f>'Revenue w MYP'!C8</f>
        <v>8011</v>
      </c>
      <c r="C12" s="63" t="str">
        <f>'Revenue w MYP'!D8</f>
        <v>LCFF; state aid portion</v>
      </c>
      <c r="D12" s="101">
        <f>D$9</f>
        <v>0</v>
      </c>
      <c r="E12" s="101">
        <f t="shared" ref="E12:R12" si="0">E$9</f>
        <v>0.05</v>
      </c>
      <c r="F12" s="101">
        <f t="shared" si="0"/>
        <v>0.05</v>
      </c>
      <c r="G12" s="101">
        <f t="shared" si="0"/>
        <v>0.09</v>
      </c>
      <c r="H12" s="101">
        <f t="shared" si="0"/>
        <v>0.09</v>
      </c>
      <c r="I12" s="101">
        <f t="shared" si="0"/>
        <v>0.09</v>
      </c>
      <c r="J12" s="101">
        <f t="shared" si="0"/>
        <v>0.09</v>
      </c>
      <c r="K12" s="101">
        <f t="shared" si="0"/>
        <v>0.09</v>
      </c>
      <c r="L12" s="101">
        <f t="shared" si="0"/>
        <v>0.09</v>
      </c>
      <c r="M12" s="101">
        <f t="shared" si="0"/>
        <v>0.09</v>
      </c>
      <c r="N12" s="101">
        <f t="shared" si="0"/>
        <v>0.09</v>
      </c>
      <c r="O12" s="101">
        <f t="shared" si="0"/>
        <v>0.09</v>
      </c>
      <c r="P12" s="101">
        <f t="shared" si="0"/>
        <v>0.09</v>
      </c>
      <c r="Q12" s="101">
        <f t="shared" si="0"/>
        <v>0</v>
      </c>
      <c r="R12" s="101">
        <f t="shared" si="0"/>
        <v>0</v>
      </c>
      <c r="S12" s="97">
        <f t="shared" ref="S12:S21" si="1">SUM(D12:R12)</f>
        <v>0.99999999999999978</v>
      </c>
    </row>
    <row r="13" spans="1:20" s="31" customFormat="1" x14ac:dyDescent="0.75">
      <c r="A13" s="48"/>
      <c r="B13" s="63" t="str">
        <f>'Revenue w MYP'!C9</f>
        <v>8012</v>
      </c>
      <c r="C13" s="63" t="str">
        <f>'Revenue w MYP'!D9</f>
        <v>LCFF; EPA portion</v>
      </c>
      <c r="D13" s="100">
        <v>0</v>
      </c>
      <c r="E13" s="100">
        <v>0</v>
      </c>
      <c r="F13" s="100">
        <v>0</v>
      </c>
      <c r="G13" s="100">
        <v>0.25</v>
      </c>
      <c r="H13" s="100">
        <v>0</v>
      </c>
      <c r="I13" s="100">
        <v>0</v>
      </c>
      <c r="J13" s="100">
        <v>0.25</v>
      </c>
      <c r="K13" s="100">
        <v>0</v>
      </c>
      <c r="L13" s="100">
        <v>0</v>
      </c>
      <c r="M13" s="100">
        <v>0.25</v>
      </c>
      <c r="N13" s="100">
        <v>0</v>
      </c>
      <c r="O13" s="100">
        <v>0</v>
      </c>
      <c r="P13" s="100">
        <v>0.25</v>
      </c>
      <c r="Q13" s="100">
        <v>0</v>
      </c>
      <c r="R13" s="100">
        <v>0</v>
      </c>
      <c r="S13" s="97">
        <f t="shared" si="1"/>
        <v>1</v>
      </c>
    </row>
    <row r="14" spans="1:20" s="31" customFormat="1" x14ac:dyDescent="0.75">
      <c r="A14" s="48"/>
      <c r="B14" s="63" t="str">
        <f>'Revenue w MYP'!C10</f>
        <v>8096</v>
      </c>
      <c r="C14" s="63" t="str">
        <f>'Revenue w MYP'!D10</f>
        <v>In-Lieu of Property Taxes, all grades</v>
      </c>
      <c r="D14" s="100">
        <v>0</v>
      </c>
      <c r="E14" s="100">
        <f>'Cash Flow %s Yr3'!E14</f>
        <v>0.06</v>
      </c>
      <c r="F14" s="100">
        <f>'Cash Flow %s Yr3'!F14</f>
        <v>0.12</v>
      </c>
      <c r="G14" s="100">
        <f>'Cash Flow %s Yr3'!G14</f>
        <v>0.08</v>
      </c>
      <c r="H14" s="100">
        <f>'Cash Flow %s Yr3'!H14</f>
        <v>0.08</v>
      </c>
      <c r="I14" s="100">
        <f>'Cash Flow %s Yr3'!I14</f>
        <v>0.08</v>
      </c>
      <c r="J14" s="100">
        <f>'Cash Flow %s Yr3'!J14</f>
        <v>0.08</v>
      </c>
      <c r="K14" s="100">
        <f>'Cash Flow %s Yr3'!K14</f>
        <v>0.08</v>
      </c>
      <c r="L14" s="100">
        <f>'Cash Flow %s Yr3'!L14</f>
        <v>0.14000000000000001</v>
      </c>
      <c r="M14" s="100">
        <f>'Cash Flow %s Yr3'!M14</f>
        <v>7.0000000000000007E-2</v>
      </c>
      <c r="N14" s="100">
        <f>'Cash Flow %s Yr3'!N14</f>
        <v>7.0000000000000007E-2</v>
      </c>
      <c r="O14" s="100">
        <f>'Cash Flow %s Yr3'!O14</f>
        <v>7.0000000000000007E-2</v>
      </c>
      <c r="P14" s="100">
        <f>'Cash Flow %s Yr3'!P14</f>
        <v>7.0000000000000007E-2</v>
      </c>
      <c r="Q14" s="100">
        <v>0</v>
      </c>
      <c r="R14" s="100">
        <v>0</v>
      </c>
      <c r="S14" s="97">
        <f t="shared" si="1"/>
        <v>1.0000000000000002</v>
      </c>
    </row>
    <row r="15" spans="1:20" s="31" customFormat="1" x14ac:dyDescent="0.75">
      <c r="A15" s="48"/>
      <c r="B15" s="63" t="str">
        <f>'Revenue w MYP'!C11</f>
        <v>8019</v>
      </c>
      <c r="C15" s="63" t="str">
        <f>'Revenue w MYP'!D11</f>
        <v>Prior Year Income / Adjustments</v>
      </c>
      <c r="D15" s="101">
        <f>'Cash Flow %s Yr3'!D15</f>
        <v>1</v>
      </c>
      <c r="E15" s="101">
        <f>'Cash Flow %s Yr3'!E15</f>
        <v>0</v>
      </c>
      <c r="F15" s="101">
        <f>'Cash Flow %s Yr3'!F15</f>
        <v>0</v>
      </c>
      <c r="G15" s="101">
        <f>'Cash Flow %s Yr3'!G15</f>
        <v>0</v>
      </c>
      <c r="H15" s="101">
        <f>'Cash Flow %s Yr3'!H15</f>
        <v>0</v>
      </c>
      <c r="I15" s="101">
        <f>'Cash Flow %s Yr3'!I15</f>
        <v>0</v>
      </c>
      <c r="J15" s="101">
        <f>'Cash Flow %s Yr3'!J15</f>
        <v>0</v>
      </c>
      <c r="K15" s="101">
        <f>'Cash Flow %s Yr3'!K15</f>
        <v>0</v>
      </c>
      <c r="L15" s="101">
        <f>'Cash Flow %s Yr3'!L15</f>
        <v>0</v>
      </c>
      <c r="M15" s="101">
        <f>'Cash Flow %s Yr3'!M15</f>
        <v>0</v>
      </c>
      <c r="N15" s="101">
        <f>'Cash Flow %s Yr3'!N15</f>
        <v>0</v>
      </c>
      <c r="O15" s="101">
        <f>'Cash Flow %s Yr3'!O15</f>
        <v>0</v>
      </c>
      <c r="P15" s="101">
        <f>'Cash Flow %s Yr3'!P15</f>
        <v>0</v>
      </c>
      <c r="Q15" s="101">
        <f>'Cash Flow %s Yr3'!Q15</f>
        <v>0</v>
      </c>
      <c r="R15" s="101">
        <f>'Cash Flow %s Yr3'!R15</f>
        <v>0</v>
      </c>
      <c r="S15" s="97">
        <f t="shared" si="1"/>
        <v>1</v>
      </c>
    </row>
    <row r="16" spans="1:20" s="31" customFormat="1" x14ac:dyDescent="0.75">
      <c r="A16" s="48"/>
      <c r="B16" s="63" t="str">
        <f>'Revenue w MYP'!C12</f>
        <v>8520</v>
      </c>
      <c r="C16" s="63" t="str">
        <f>'Revenue w MYP'!D12</f>
        <v>State Child Nutrition program</v>
      </c>
      <c r="D16" s="101">
        <f>'Cash Flow %s Yr3'!D16</f>
        <v>0</v>
      </c>
      <c r="E16" s="101">
        <f>'Cash Flow %s Yr3'!E16</f>
        <v>0.05</v>
      </c>
      <c r="F16" s="101">
        <f>'Cash Flow %s Yr3'!F16</f>
        <v>0.05</v>
      </c>
      <c r="G16" s="101">
        <f>'Cash Flow %s Yr3'!G16</f>
        <v>0.09</v>
      </c>
      <c r="H16" s="101">
        <f>'Cash Flow %s Yr3'!H16</f>
        <v>0.09</v>
      </c>
      <c r="I16" s="101">
        <f>'Cash Flow %s Yr3'!I16</f>
        <v>0.09</v>
      </c>
      <c r="J16" s="101">
        <f>'Cash Flow %s Yr3'!J16</f>
        <v>0.09</v>
      </c>
      <c r="K16" s="101">
        <f>'Cash Flow %s Yr3'!K16</f>
        <v>0.09</v>
      </c>
      <c r="L16" s="101">
        <f>'Cash Flow %s Yr3'!L16</f>
        <v>0.09</v>
      </c>
      <c r="M16" s="101">
        <f>'Cash Flow %s Yr3'!M16</f>
        <v>0.09</v>
      </c>
      <c r="N16" s="101">
        <f>'Cash Flow %s Yr3'!N16</f>
        <v>0.09</v>
      </c>
      <c r="O16" s="101">
        <f>'Cash Flow %s Yr3'!O16</f>
        <v>0.09</v>
      </c>
      <c r="P16" s="101">
        <f>'Cash Flow %s Yr3'!P16</f>
        <v>0.09</v>
      </c>
      <c r="Q16" s="101">
        <f>'Cash Flow %s Yr3'!Q16</f>
        <v>0</v>
      </c>
      <c r="R16" s="101">
        <f>'Cash Flow %s Yr3'!R16</f>
        <v>0</v>
      </c>
      <c r="S16" s="97">
        <f t="shared" si="1"/>
        <v>0.99999999999999978</v>
      </c>
    </row>
    <row r="17" spans="1:20" s="31" customFormat="1" x14ac:dyDescent="0.75">
      <c r="A17" s="48"/>
      <c r="B17" s="63" t="str">
        <f>'Revenue w MYP'!C14</f>
        <v>8560</v>
      </c>
      <c r="C17" s="63" t="str">
        <f>'Revenue w MYP'!D14</f>
        <v>Restricted Lottery</v>
      </c>
      <c r="D17" s="101" t="str">
        <f>'Cash Flow %s Yr3'!D17</f>
        <v/>
      </c>
      <c r="E17" s="101" t="str">
        <f>'Cash Flow %s Yr3'!E17</f>
        <v/>
      </c>
      <c r="F17" s="101">
        <f>'Cash Flow %s Yr3'!F17</f>
        <v>0</v>
      </c>
      <c r="G17" s="101" t="str">
        <f>'Cash Flow %s Yr3'!G17</f>
        <v/>
      </c>
      <c r="H17" s="101" t="str">
        <f>'Cash Flow %s Yr3'!H17</f>
        <v/>
      </c>
      <c r="I17" s="101">
        <f>'Cash Flow %s Yr3'!I17</f>
        <v>0.25</v>
      </c>
      <c r="J17" s="101" t="str">
        <f>'Cash Flow %s Yr3'!J17</f>
        <v/>
      </c>
      <c r="K17" s="101" t="str">
        <f>'Cash Flow %s Yr3'!K17</f>
        <v/>
      </c>
      <c r="L17" s="101">
        <f>'Cash Flow %s Yr3'!L17</f>
        <v>0.25</v>
      </c>
      <c r="M17" s="101" t="str">
        <f>'Cash Flow %s Yr3'!M17</f>
        <v/>
      </c>
      <c r="N17" s="101" t="str">
        <f>'Cash Flow %s Yr3'!N17</f>
        <v/>
      </c>
      <c r="O17" s="101">
        <f>'Cash Flow %s Yr3'!O17</f>
        <v>0.25</v>
      </c>
      <c r="P17" s="101" t="str">
        <f>'Cash Flow %s Yr3'!P17</f>
        <v/>
      </c>
      <c r="Q17" s="101" t="str">
        <f>'Cash Flow %s Yr3'!Q17</f>
        <v/>
      </c>
      <c r="R17" s="101">
        <f>'Cash Flow %s Yr3'!R17</f>
        <v>0.25</v>
      </c>
      <c r="S17" s="97">
        <f t="shared" si="1"/>
        <v>1</v>
      </c>
      <c r="T17" s="1"/>
    </row>
    <row r="18" spans="1:20" s="31" customFormat="1" x14ac:dyDescent="0.75">
      <c r="A18" s="47"/>
      <c r="B18" s="63" t="str">
        <f>'Revenue w MYP'!C15</f>
        <v>8550</v>
      </c>
      <c r="C18" s="63" t="str">
        <f>'Revenue w MYP'!D15</f>
        <v>Mandate Block Grant</v>
      </c>
      <c r="D18" s="101">
        <f>'Cash Flow %s Yr3'!D18</f>
        <v>0</v>
      </c>
      <c r="E18" s="101">
        <f>'Cash Flow %s Yr3'!E18</f>
        <v>0</v>
      </c>
      <c r="F18" s="101">
        <f>'Cash Flow %s Yr3'!F18</f>
        <v>0</v>
      </c>
      <c r="G18" s="101">
        <f>'Cash Flow %s Yr3'!G18</f>
        <v>0.1</v>
      </c>
      <c r="H18" s="101">
        <f>'Cash Flow %s Yr3'!H18</f>
        <v>0.1</v>
      </c>
      <c r="I18" s="101">
        <f>'Cash Flow %s Yr3'!I18</f>
        <v>0.1</v>
      </c>
      <c r="J18" s="101">
        <f>'Cash Flow %s Yr3'!J18</f>
        <v>0.1</v>
      </c>
      <c r="K18" s="101">
        <f>'Cash Flow %s Yr3'!K18</f>
        <v>0.1</v>
      </c>
      <c r="L18" s="101">
        <f>'Cash Flow %s Yr3'!L18</f>
        <v>0.1</v>
      </c>
      <c r="M18" s="101">
        <f>'Cash Flow %s Yr3'!M18</f>
        <v>0.1</v>
      </c>
      <c r="N18" s="101">
        <f>'Cash Flow %s Yr3'!N18</f>
        <v>0.1</v>
      </c>
      <c r="O18" s="101">
        <f>'Cash Flow %s Yr3'!O18</f>
        <v>0.1</v>
      </c>
      <c r="P18" s="101">
        <f>'Cash Flow %s Yr3'!P18</f>
        <v>0.1</v>
      </c>
      <c r="Q18" s="101">
        <f>'Cash Flow %s Yr3'!Q18</f>
        <v>0</v>
      </c>
      <c r="R18" s="101">
        <f>'Cash Flow %s Yr3'!R18</f>
        <v>0</v>
      </c>
      <c r="S18" s="97">
        <f t="shared" si="1"/>
        <v>0.99999999999999989</v>
      </c>
    </row>
    <row r="19" spans="1:20" s="31" customFormat="1" x14ac:dyDescent="0.75">
      <c r="A19" s="48"/>
      <c r="B19" s="63" t="str">
        <f>'Revenue w MYP'!C17</f>
        <v>8590</v>
      </c>
      <c r="C19" s="63" t="str">
        <f>'Revenue w MYP'!D17</f>
        <v>CSEPDBG</v>
      </c>
      <c r="D19" s="101">
        <f>'Cash Flow %s Yr3'!D19</f>
        <v>0</v>
      </c>
      <c r="E19" s="101">
        <f>'Cash Flow %s Yr3'!E19</f>
        <v>0</v>
      </c>
      <c r="F19" s="101">
        <f>'Cash Flow %s Yr3'!F19</f>
        <v>0</v>
      </c>
      <c r="G19" s="101">
        <f>'Cash Flow %s Yr3'!G19</f>
        <v>0.5</v>
      </c>
      <c r="H19" s="101">
        <f>'Cash Flow %s Yr3'!H19</f>
        <v>0</v>
      </c>
      <c r="I19" s="101">
        <f>'Cash Flow %s Yr3'!I19</f>
        <v>0</v>
      </c>
      <c r="J19" s="101">
        <f>'Cash Flow %s Yr3'!J19</f>
        <v>0</v>
      </c>
      <c r="K19" s="101">
        <f>'Cash Flow %s Yr3'!K19</f>
        <v>0</v>
      </c>
      <c r="L19" s="101">
        <f>'Cash Flow %s Yr3'!L19</f>
        <v>0.5</v>
      </c>
      <c r="M19" s="101">
        <f>'Cash Flow %s Yr3'!M19</f>
        <v>0</v>
      </c>
      <c r="N19" s="101">
        <f>'Cash Flow %s Yr3'!N19</f>
        <v>0</v>
      </c>
      <c r="O19" s="101">
        <f>'Cash Flow %s Yr3'!O19</f>
        <v>0</v>
      </c>
      <c r="P19" s="101">
        <f>'Cash Flow %s Yr3'!P19</f>
        <v>0</v>
      </c>
      <c r="Q19" s="101">
        <f>'Cash Flow %s Yr3'!Q19</f>
        <v>0</v>
      </c>
      <c r="R19" s="101">
        <f>'Cash Flow %s Yr3'!R19</f>
        <v>0</v>
      </c>
      <c r="S19" s="97">
        <f t="shared" si="1"/>
        <v>1</v>
      </c>
    </row>
    <row r="20" spans="1:20" s="31" customFormat="1" ht="17.75" x14ac:dyDescent="0.75">
      <c r="A20" s="29"/>
      <c r="B20" s="63" t="str">
        <f>'Revenue w MYP'!C18</f>
        <v>8550</v>
      </c>
      <c r="C20" s="63" t="str">
        <f>'Revenue w MYP'!D18</f>
        <v>One Time Mandate Block Grant</v>
      </c>
      <c r="D20" s="101">
        <f>'Cash Flow %s Yr3'!D20</f>
        <v>0</v>
      </c>
      <c r="E20" s="101">
        <f>'Cash Flow %s Yr3'!E20</f>
        <v>0.05</v>
      </c>
      <c r="F20" s="101">
        <f>'Cash Flow %s Yr3'!F20</f>
        <v>0.05</v>
      </c>
      <c r="G20" s="101">
        <f>'Cash Flow %s Yr3'!G20</f>
        <v>0.09</v>
      </c>
      <c r="H20" s="101">
        <f>'Cash Flow %s Yr3'!H20</f>
        <v>0.09</v>
      </c>
      <c r="I20" s="101">
        <f>'Cash Flow %s Yr3'!I20</f>
        <v>0.09</v>
      </c>
      <c r="J20" s="101">
        <f>'Cash Flow %s Yr3'!J20</f>
        <v>0.09</v>
      </c>
      <c r="K20" s="101">
        <f>'Cash Flow %s Yr3'!K20</f>
        <v>0.09</v>
      </c>
      <c r="L20" s="101">
        <f>'Cash Flow %s Yr3'!L20</f>
        <v>0.09</v>
      </c>
      <c r="M20" s="101">
        <f>'Cash Flow %s Yr3'!M20</f>
        <v>0.09</v>
      </c>
      <c r="N20" s="101">
        <f>'Cash Flow %s Yr3'!N20</f>
        <v>0.09</v>
      </c>
      <c r="O20" s="101">
        <f>'Cash Flow %s Yr3'!O20</f>
        <v>0.09</v>
      </c>
      <c r="P20" s="101">
        <f>'Cash Flow %s Yr3'!P20</f>
        <v>0.09</v>
      </c>
      <c r="Q20" s="101">
        <f>'Cash Flow %s Yr3'!Q20</f>
        <v>0</v>
      </c>
      <c r="R20" s="101">
        <f>'Cash Flow %s Yr3'!R20</f>
        <v>0</v>
      </c>
      <c r="S20" s="97">
        <f t="shared" si="1"/>
        <v>0.99999999999999978</v>
      </c>
    </row>
    <row r="21" spans="1:20" s="31" customFormat="1" ht="17.75" x14ac:dyDescent="0.75">
      <c r="A21" s="29"/>
      <c r="B21" s="63" t="str">
        <f>'Revenue w MYP'!C19</f>
        <v>8599</v>
      </c>
      <c r="C21" s="63" t="str">
        <f>'Revenue w MYP'!D19</f>
        <v>Prior Year State Income</v>
      </c>
      <c r="D21" s="101">
        <f>'Cash Flow %s Yr3'!D21</f>
        <v>0</v>
      </c>
      <c r="E21" s="101">
        <f>'Cash Flow %s Yr3'!E21</f>
        <v>0.05</v>
      </c>
      <c r="F21" s="101">
        <f>'Cash Flow %s Yr3'!F21</f>
        <v>0.05</v>
      </c>
      <c r="G21" s="101">
        <f>'Cash Flow %s Yr3'!G21</f>
        <v>0.09</v>
      </c>
      <c r="H21" s="101">
        <f>'Cash Flow %s Yr3'!H21</f>
        <v>0.09</v>
      </c>
      <c r="I21" s="101">
        <f>'Cash Flow %s Yr3'!I21</f>
        <v>0.09</v>
      </c>
      <c r="J21" s="101">
        <f>'Cash Flow %s Yr3'!J21</f>
        <v>0.09</v>
      </c>
      <c r="K21" s="101">
        <f>'Cash Flow %s Yr3'!K21</f>
        <v>0.09</v>
      </c>
      <c r="L21" s="101">
        <f>'Cash Flow %s Yr3'!L21</f>
        <v>0.09</v>
      </c>
      <c r="M21" s="101">
        <f>'Cash Flow %s Yr3'!M21</f>
        <v>0.09</v>
      </c>
      <c r="N21" s="101">
        <f>'Cash Flow %s Yr3'!N21</f>
        <v>0.09</v>
      </c>
      <c r="O21" s="101">
        <f>'Cash Flow %s Yr3'!O21</f>
        <v>0.09</v>
      </c>
      <c r="P21" s="101">
        <f>'Cash Flow %s Yr3'!P21</f>
        <v>0.09</v>
      </c>
      <c r="Q21" s="101">
        <f>'Cash Flow %s Yr3'!Q21</f>
        <v>0</v>
      </c>
      <c r="R21" s="101">
        <f>'Cash Flow %s Yr3'!R21</f>
        <v>0</v>
      </c>
      <c r="S21" s="97">
        <f t="shared" si="1"/>
        <v>0.99999999999999978</v>
      </c>
    </row>
    <row r="22" spans="1:20" s="31" customFormat="1" ht="17.75" x14ac:dyDescent="0.75">
      <c r="A22" s="29"/>
      <c r="B22" s="69"/>
      <c r="C22" s="48"/>
      <c r="D22" s="106"/>
      <c r="E22" s="106"/>
      <c r="F22" s="106"/>
      <c r="G22" s="106"/>
      <c r="H22" s="106"/>
      <c r="I22" s="106"/>
      <c r="J22" s="106"/>
      <c r="K22" s="106"/>
      <c r="L22" s="106"/>
      <c r="M22" s="106"/>
      <c r="N22" s="106"/>
      <c r="O22" s="106"/>
      <c r="P22" s="106"/>
      <c r="Q22" s="106"/>
      <c r="R22" s="107"/>
      <c r="S22" s="97"/>
    </row>
    <row r="23" spans="1:20" s="31" customFormat="1" ht="17.75" x14ac:dyDescent="0.75">
      <c r="A23" s="29"/>
      <c r="B23" s="69"/>
      <c r="C23" s="48"/>
      <c r="D23" s="105"/>
      <c r="E23" s="105"/>
      <c r="F23" s="105"/>
      <c r="G23" s="105"/>
      <c r="H23" s="105"/>
      <c r="I23" s="105"/>
      <c r="J23" s="105"/>
      <c r="K23" s="105"/>
      <c r="L23" s="105"/>
      <c r="M23" s="105"/>
      <c r="N23" s="105"/>
      <c r="O23" s="105"/>
      <c r="P23" s="105"/>
      <c r="Q23" s="105"/>
      <c r="R23" s="105"/>
      <c r="S23" s="97"/>
    </row>
    <row r="24" spans="1:20" s="31" customFormat="1" ht="17.75" x14ac:dyDescent="0.75">
      <c r="B24" s="29" t="s">
        <v>782</v>
      </c>
      <c r="C24" s="48"/>
      <c r="D24" s="105"/>
      <c r="E24" s="105"/>
      <c r="F24" s="105"/>
      <c r="G24" s="105"/>
      <c r="H24" s="105"/>
      <c r="I24" s="105"/>
      <c r="J24" s="105"/>
      <c r="K24" s="105"/>
      <c r="L24" s="105"/>
      <c r="M24" s="105"/>
      <c r="N24" s="105"/>
      <c r="O24" s="105"/>
      <c r="P24" s="105"/>
      <c r="Q24" s="105"/>
      <c r="R24" s="105"/>
      <c r="S24" s="97"/>
    </row>
    <row r="25" spans="1:20" s="31" customFormat="1" ht="17.75" x14ac:dyDescent="0.75">
      <c r="A25" s="29"/>
      <c r="B25" s="63" t="str">
        <f>'Revenue w MYP'!C23</f>
        <v>8181</v>
      </c>
      <c r="C25" s="63" t="str">
        <f>'Revenue w MYP'!D23</f>
        <v>Special Education, federal</v>
      </c>
      <c r="D25" s="101">
        <f>'Cash Flow %s Yr3'!D25</f>
        <v>0</v>
      </c>
      <c r="E25" s="101">
        <f>'Cash Flow %s Yr3'!E25</f>
        <v>0</v>
      </c>
      <c r="F25" s="101">
        <f>'Cash Flow %s Yr3'!F25</f>
        <v>0</v>
      </c>
      <c r="G25" s="101">
        <f>'Cash Flow %s Yr3'!G25</f>
        <v>0.1</v>
      </c>
      <c r="H25" s="101">
        <f>'Cash Flow %s Yr3'!H25</f>
        <v>0.1</v>
      </c>
      <c r="I25" s="101">
        <f>'Cash Flow %s Yr3'!I25</f>
        <v>0.1</v>
      </c>
      <c r="J25" s="101">
        <f>'Cash Flow %s Yr3'!J25</f>
        <v>0.1</v>
      </c>
      <c r="K25" s="101">
        <f>'Cash Flow %s Yr3'!K25</f>
        <v>0.1</v>
      </c>
      <c r="L25" s="101">
        <f>'Cash Flow %s Yr3'!L25</f>
        <v>0.1</v>
      </c>
      <c r="M25" s="101">
        <f>'Cash Flow %s Yr3'!M25</f>
        <v>0.1</v>
      </c>
      <c r="N25" s="101">
        <f>'Cash Flow %s Yr3'!N25</f>
        <v>0.1</v>
      </c>
      <c r="O25" s="101">
        <f>'Cash Flow %s Yr3'!O25</f>
        <v>0.1</v>
      </c>
      <c r="P25" s="101">
        <f>'Cash Flow %s Yr3'!P25</f>
        <v>0.1</v>
      </c>
      <c r="Q25" s="101">
        <f>'Cash Flow %s Yr3'!Q25</f>
        <v>0</v>
      </c>
      <c r="R25" s="101">
        <f>'Cash Flow %s Yr3'!R25</f>
        <v>0</v>
      </c>
      <c r="S25" s="97">
        <f t="shared" ref="S25:S32" si="2">SUM(D25:R25)</f>
        <v>0.99999999999999989</v>
      </c>
    </row>
    <row r="26" spans="1:20" s="31" customFormat="1" ht="17.75" x14ac:dyDescent="0.75">
      <c r="A26" s="29"/>
      <c r="B26" s="63" t="str">
        <f>'Revenue w MYP'!C24</f>
        <v>8220</v>
      </c>
      <c r="C26" s="63" t="str">
        <f>'Revenue w MYP'!D24</f>
        <v>Federal Child Nutrition Programs</v>
      </c>
      <c r="D26" s="101">
        <f>'Cash Flow %s Yr3'!D26</f>
        <v>0</v>
      </c>
      <c r="E26" s="101">
        <f>'Cash Flow %s Yr3'!E26</f>
        <v>0</v>
      </c>
      <c r="F26" s="101">
        <f>'Cash Flow %s Yr3'!F26</f>
        <v>0</v>
      </c>
      <c r="G26" s="101">
        <f>'Cash Flow %s Yr3'!G26</f>
        <v>0</v>
      </c>
      <c r="H26" s="101">
        <f>'Cash Flow %s Yr3'!H26</f>
        <v>0</v>
      </c>
      <c r="I26" s="101">
        <f>'Cash Flow %s Yr3'!I26</f>
        <v>0</v>
      </c>
      <c r="J26" s="101">
        <f>'Cash Flow %s Yr3'!J26</f>
        <v>0.25</v>
      </c>
      <c r="K26" s="101">
        <f>'Cash Flow %s Yr3'!K26</f>
        <v>0</v>
      </c>
      <c r="L26" s="101">
        <f>'Cash Flow %s Yr3'!L26</f>
        <v>0</v>
      </c>
      <c r="M26" s="101">
        <f>'Cash Flow %s Yr3'!M26</f>
        <v>0.5</v>
      </c>
      <c r="N26" s="101">
        <f>'Cash Flow %s Yr3'!N26</f>
        <v>0</v>
      </c>
      <c r="O26" s="101">
        <f>'Cash Flow %s Yr3'!O26</f>
        <v>0.25</v>
      </c>
      <c r="P26" s="101">
        <f>'Cash Flow %s Yr3'!P26</f>
        <v>0</v>
      </c>
      <c r="Q26" s="101">
        <f>'Cash Flow %s Yr3'!Q26</f>
        <v>0</v>
      </c>
      <c r="R26" s="101">
        <f>'Cash Flow %s Yr3'!R26</f>
        <v>0</v>
      </c>
      <c r="S26" s="97">
        <f t="shared" si="2"/>
        <v>1</v>
      </c>
    </row>
    <row r="27" spans="1:20" s="31" customFormat="1" ht="17.75" x14ac:dyDescent="0.75">
      <c r="A27" s="29"/>
      <c r="B27" s="63" t="str">
        <f>'Revenue w MYP'!C25</f>
        <v>8290</v>
      </c>
      <c r="C27" s="63" t="str">
        <f>'Revenue w MYP'!D25</f>
        <v>All Other Federal Revenue, inc Facilities Incentive Grants program</v>
      </c>
      <c r="D27" s="101">
        <f>'Cash Flow %s Yr3'!D27</f>
        <v>0</v>
      </c>
      <c r="E27" s="101">
        <f>'Cash Flow %s Yr3'!E27</f>
        <v>0</v>
      </c>
      <c r="F27" s="101">
        <f>'Cash Flow %s Yr3'!F27</f>
        <v>0</v>
      </c>
      <c r="G27" s="101">
        <f>'Cash Flow %s Yr3'!G27</f>
        <v>0</v>
      </c>
      <c r="H27" s="101">
        <f>'Cash Flow %s Yr3'!H27</f>
        <v>0</v>
      </c>
      <c r="I27" s="101">
        <f>'Cash Flow %s Yr3'!I27</f>
        <v>0</v>
      </c>
      <c r="J27" s="101">
        <f>'Cash Flow %s Yr3'!J27</f>
        <v>0.25</v>
      </c>
      <c r="K27" s="101">
        <f>'Cash Flow %s Yr3'!K27</f>
        <v>0</v>
      </c>
      <c r="L27" s="101">
        <f>'Cash Flow %s Yr3'!L27</f>
        <v>0</v>
      </c>
      <c r="M27" s="101">
        <f>'Cash Flow %s Yr3'!M27</f>
        <v>0.5</v>
      </c>
      <c r="N27" s="101">
        <f>'Cash Flow %s Yr3'!N27</f>
        <v>0</v>
      </c>
      <c r="O27" s="101">
        <f>'Cash Flow %s Yr3'!O27</f>
        <v>0.25</v>
      </c>
      <c r="P27" s="101">
        <f>'Cash Flow %s Yr3'!P27</f>
        <v>0</v>
      </c>
      <c r="Q27" s="101">
        <f>'Cash Flow %s Yr3'!Q27</f>
        <v>0</v>
      </c>
      <c r="R27" s="101">
        <f>'Cash Flow %s Yr3'!R27</f>
        <v>0</v>
      </c>
      <c r="S27" s="97">
        <f t="shared" si="2"/>
        <v>1</v>
      </c>
    </row>
    <row r="28" spans="1:20" s="31" customFormat="1" ht="17.75" x14ac:dyDescent="0.75">
      <c r="A28" s="29"/>
      <c r="B28" s="63" t="str">
        <f>'Revenue w MYP'!C26</f>
        <v>8291</v>
      </c>
      <c r="C28" s="63" t="str">
        <f>'Revenue w MYP'!D26</f>
        <v>Title I</v>
      </c>
      <c r="D28" s="101">
        <f>'Cash Flow %s Yr3'!D28</f>
        <v>0</v>
      </c>
      <c r="E28" s="101">
        <f>'Cash Flow %s Yr3'!E28</f>
        <v>0</v>
      </c>
      <c r="F28" s="101">
        <f>'Cash Flow %s Yr3'!F28</f>
        <v>0</v>
      </c>
      <c r="G28" s="101">
        <f>'Cash Flow %s Yr3'!G28</f>
        <v>0</v>
      </c>
      <c r="H28" s="101">
        <f>'Cash Flow %s Yr3'!H28</f>
        <v>0</v>
      </c>
      <c r="I28" s="101">
        <f>'Cash Flow %s Yr3'!I28</f>
        <v>0</v>
      </c>
      <c r="J28" s="101">
        <f>'Cash Flow %s Yr3'!J28</f>
        <v>0.25</v>
      </c>
      <c r="K28" s="101">
        <f>'Cash Flow %s Yr3'!K28</f>
        <v>0</v>
      </c>
      <c r="L28" s="101">
        <f>'Cash Flow %s Yr3'!L28</f>
        <v>0</v>
      </c>
      <c r="M28" s="101">
        <f>'Cash Flow %s Yr3'!M28</f>
        <v>0.5</v>
      </c>
      <c r="N28" s="101">
        <f>'Cash Flow %s Yr3'!N28</f>
        <v>0</v>
      </c>
      <c r="O28" s="101">
        <f>'Cash Flow %s Yr3'!O28</f>
        <v>0.25</v>
      </c>
      <c r="P28" s="101">
        <f>'Cash Flow %s Yr3'!P28</f>
        <v>0</v>
      </c>
      <c r="Q28" s="101">
        <f>'Cash Flow %s Yr3'!Q28</f>
        <v>0</v>
      </c>
      <c r="R28" s="101">
        <f>'Cash Flow %s Yr3'!R28</f>
        <v>0</v>
      </c>
      <c r="S28" s="97">
        <f t="shared" si="2"/>
        <v>1</v>
      </c>
    </row>
    <row r="29" spans="1:20" s="31" customFormat="1" ht="17.75" x14ac:dyDescent="0.75">
      <c r="A29" s="29"/>
      <c r="B29" s="63" t="str">
        <f>'Revenue w MYP'!C27</f>
        <v>8292</v>
      </c>
      <c r="C29" s="63" t="str">
        <f>'Revenue w MYP'!D27</f>
        <v>Title II</v>
      </c>
      <c r="D29" s="101">
        <f>'Cash Flow %s Yr3'!D29</f>
        <v>0</v>
      </c>
      <c r="E29" s="101">
        <f>'Cash Flow %s Yr3'!E29</f>
        <v>0</v>
      </c>
      <c r="F29" s="101">
        <f>'Cash Flow %s Yr3'!F29</f>
        <v>0</v>
      </c>
      <c r="G29" s="101">
        <f>'Cash Flow %s Yr3'!G29</f>
        <v>0</v>
      </c>
      <c r="H29" s="101">
        <f>'Cash Flow %s Yr3'!H29</f>
        <v>0</v>
      </c>
      <c r="I29" s="101">
        <f>'Cash Flow %s Yr3'!I29</f>
        <v>0</v>
      </c>
      <c r="J29" s="101">
        <f>'Cash Flow %s Yr3'!J29</f>
        <v>0.25</v>
      </c>
      <c r="K29" s="101">
        <f>'Cash Flow %s Yr3'!K29</f>
        <v>0</v>
      </c>
      <c r="L29" s="101">
        <f>'Cash Flow %s Yr3'!L29</f>
        <v>0</v>
      </c>
      <c r="M29" s="101">
        <f>'Cash Flow %s Yr3'!M29</f>
        <v>0.5</v>
      </c>
      <c r="N29" s="101">
        <f>'Cash Flow %s Yr3'!N29</f>
        <v>0</v>
      </c>
      <c r="O29" s="101">
        <f>'Cash Flow %s Yr3'!O29</f>
        <v>0.25</v>
      </c>
      <c r="P29" s="101">
        <f>'Cash Flow %s Yr3'!P29</f>
        <v>0</v>
      </c>
      <c r="Q29" s="101">
        <f>'Cash Flow %s Yr3'!Q29</f>
        <v>0</v>
      </c>
      <c r="R29" s="101">
        <f>'Cash Flow %s Yr3'!R29</f>
        <v>0</v>
      </c>
      <c r="S29" s="97">
        <f t="shared" si="2"/>
        <v>1</v>
      </c>
    </row>
    <row r="30" spans="1:20" s="31" customFormat="1" ht="17.75" x14ac:dyDescent="0.75">
      <c r="A30" s="29"/>
      <c r="B30" s="63" t="str">
        <f>'Revenue w MYP'!C28</f>
        <v>8293</v>
      </c>
      <c r="C30" s="63" t="str">
        <f>'Revenue w MYP'!D28</f>
        <v>Title III</v>
      </c>
      <c r="D30" s="101">
        <f>'Cash Flow %s Yr3'!D30</f>
        <v>0</v>
      </c>
      <c r="E30" s="101">
        <f>'Cash Flow %s Yr3'!E30</f>
        <v>0</v>
      </c>
      <c r="F30" s="101">
        <f>'Cash Flow %s Yr3'!F30</f>
        <v>0</v>
      </c>
      <c r="G30" s="101">
        <f>'Cash Flow %s Yr3'!G30</f>
        <v>0</v>
      </c>
      <c r="H30" s="101">
        <f>'Cash Flow %s Yr3'!H30</f>
        <v>0</v>
      </c>
      <c r="I30" s="101">
        <f>'Cash Flow %s Yr3'!I30</f>
        <v>0</v>
      </c>
      <c r="J30" s="101">
        <f>'Cash Flow %s Yr3'!J30</f>
        <v>0.25</v>
      </c>
      <c r="K30" s="101">
        <f>'Cash Flow %s Yr3'!K30</f>
        <v>0</v>
      </c>
      <c r="L30" s="101">
        <f>'Cash Flow %s Yr3'!L30</f>
        <v>0</v>
      </c>
      <c r="M30" s="101">
        <f>'Cash Flow %s Yr3'!M30</f>
        <v>0.5</v>
      </c>
      <c r="N30" s="101">
        <f>'Cash Flow %s Yr3'!N30</f>
        <v>0</v>
      </c>
      <c r="O30" s="101">
        <f>'Cash Flow %s Yr3'!O30</f>
        <v>0.25</v>
      </c>
      <c r="P30" s="101">
        <f>'Cash Flow %s Yr3'!P30</f>
        <v>0</v>
      </c>
      <c r="Q30" s="101">
        <f>'Cash Flow %s Yr3'!Q30</f>
        <v>0</v>
      </c>
      <c r="R30" s="101">
        <f>'Cash Flow %s Yr3'!R30</f>
        <v>0</v>
      </c>
      <c r="S30" s="97">
        <f t="shared" si="2"/>
        <v>1</v>
      </c>
    </row>
    <row r="31" spans="1:20" s="31" customFormat="1" ht="17.75" x14ac:dyDescent="0.75">
      <c r="A31" s="29"/>
      <c r="B31" s="63" t="str">
        <f>'Revenue w MYP'!C30</f>
        <v>8295</v>
      </c>
      <c r="C31" s="63" t="str">
        <f>'Revenue w MYP'!D30</f>
        <v>Title V</v>
      </c>
      <c r="D31" s="101">
        <f>'Cash Flow %s Yr3'!D31</f>
        <v>0</v>
      </c>
      <c r="E31" s="101">
        <f>'Cash Flow %s Yr3'!E31</f>
        <v>0</v>
      </c>
      <c r="F31" s="101">
        <f>'Cash Flow %s Yr3'!F31</f>
        <v>0</v>
      </c>
      <c r="G31" s="101">
        <f>'Cash Flow %s Yr3'!G31</f>
        <v>0</v>
      </c>
      <c r="H31" s="101">
        <f>'Cash Flow %s Yr3'!H31</f>
        <v>0</v>
      </c>
      <c r="I31" s="101">
        <f>'Cash Flow %s Yr3'!I31</f>
        <v>0</v>
      </c>
      <c r="J31" s="101">
        <f>'Cash Flow %s Yr3'!J31</f>
        <v>0.25</v>
      </c>
      <c r="K31" s="101">
        <f>'Cash Flow %s Yr3'!K31</f>
        <v>0</v>
      </c>
      <c r="L31" s="101">
        <f>'Cash Flow %s Yr3'!L31</f>
        <v>0</v>
      </c>
      <c r="M31" s="101">
        <f>'Cash Flow %s Yr3'!M31</f>
        <v>0.5</v>
      </c>
      <c r="N31" s="101">
        <f>'Cash Flow %s Yr3'!N31</f>
        <v>0</v>
      </c>
      <c r="O31" s="101">
        <f>'Cash Flow %s Yr3'!O31</f>
        <v>0.25</v>
      </c>
      <c r="P31" s="101">
        <f>'Cash Flow %s Yr3'!P31</f>
        <v>0</v>
      </c>
      <c r="Q31" s="101">
        <f>'Cash Flow %s Yr3'!Q31</f>
        <v>0</v>
      </c>
      <c r="R31" s="101">
        <f>'Cash Flow %s Yr3'!R31</f>
        <v>0</v>
      </c>
      <c r="S31" s="97">
        <f t="shared" si="2"/>
        <v>1</v>
      </c>
    </row>
    <row r="32" spans="1:20" s="31" customFormat="1" ht="17.75" x14ac:dyDescent="0.75">
      <c r="A32" s="29"/>
      <c r="B32" s="63" t="str">
        <f>'Revenue w MYP'!C31</f>
        <v>8299</v>
      </c>
      <c r="C32" s="63" t="str">
        <f>'Revenue w MYP'!D31</f>
        <v>Prior Year Federal Revenue</v>
      </c>
      <c r="D32" s="101">
        <f>'Cash Flow %s Yr3'!D32</f>
        <v>0</v>
      </c>
      <c r="E32" s="101">
        <f>'Cash Flow %s Yr3'!E32</f>
        <v>0</v>
      </c>
      <c r="F32" s="101">
        <f>'Cash Flow %s Yr3'!F32</f>
        <v>0.5</v>
      </c>
      <c r="G32" s="101">
        <f>'Cash Flow %s Yr3'!G32</f>
        <v>0</v>
      </c>
      <c r="H32" s="101">
        <f>'Cash Flow %s Yr3'!H32</f>
        <v>0</v>
      </c>
      <c r="I32" s="101">
        <f>'Cash Flow %s Yr3'!I32</f>
        <v>0</v>
      </c>
      <c r="J32" s="101">
        <f>'Cash Flow %s Yr3'!J32</f>
        <v>0</v>
      </c>
      <c r="K32" s="101">
        <f>'Cash Flow %s Yr3'!K32</f>
        <v>0.4</v>
      </c>
      <c r="L32" s="101">
        <f>'Cash Flow %s Yr3'!L32</f>
        <v>0</v>
      </c>
      <c r="M32" s="101">
        <f>'Cash Flow %s Yr3'!M32</f>
        <v>0</v>
      </c>
      <c r="N32" s="101">
        <f>'Cash Flow %s Yr3'!N32</f>
        <v>0.1</v>
      </c>
      <c r="O32" s="101">
        <f>'Cash Flow %s Yr3'!O32</f>
        <v>0</v>
      </c>
      <c r="P32" s="101">
        <f>'Cash Flow %s Yr3'!P32</f>
        <v>0</v>
      </c>
      <c r="Q32" s="101">
        <f>'Cash Flow %s Yr3'!Q32</f>
        <v>0</v>
      </c>
      <c r="R32" s="101">
        <f>'Cash Flow %s Yr3'!R32</f>
        <v>0</v>
      </c>
      <c r="S32" s="97">
        <f t="shared" si="2"/>
        <v>1</v>
      </c>
    </row>
    <row r="33" spans="1:19" s="31" customFormat="1" ht="17.75" x14ac:dyDescent="0.75">
      <c r="A33" s="29"/>
      <c r="B33" s="69"/>
      <c r="C33" s="48"/>
      <c r="D33" s="106"/>
      <c r="E33" s="106"/>
      <c r="F33" s="106"/>
      <c r="G33" s="106"/>
      <c r="H33" s="106"/>
      <c r="I33" s="106"/>
      <c r="J33" s="106"/>
      <c r="K33" s="106"/>
      <c r="L33" s="106"/>
      <c r="M33" s="106"/>
      <c r="N33" s="106"/>
      <c r="O33" s="106"/>
      <c r="P33" s="106"/>
      <c r="Q33" s="106"/>
      <c r="R33" s="106"/>
      <c r="S33" s="97"/>
    </row>
    <row r="34" spans="1:19" s="31" customFormat="1" ht="17.75" x14ac:dyDescent="0.75">
      <c r="A34" s="29"/>
      <c r="B34" s="69"/>
      <c r="C34" s="48"/>
      <c r="D34" s="108"/>
      <c r="E34" s="108"/>
      <c r="F34" s="108"/>
      <c r="G34" s="108"/>
      <c r="H34" s="108"/>
      <c r="I34" s="108"/>
      <c r="J34" s="108"/>
      <c r="K34" s="108"/>
      <c r="L34" s="108"/>
      <c r="M34" s="108"/>
      <c r="N34" s="108"/>
      <c r="O34" s="108"/>
      <c r="P34" s="108"/>
      <c r="Q34" s="108"/>
      <c r="R34" s="108"/>
      <c r="S34" s="97"/>
    </row>
    <row r="35" spans="1:19" s="31" customFormat="1" ht="17.75" x14ac:dyDescent="0.75">
      <c r="B35" s="29" t="s">
        <v>790</v>
      </c>
      <c r="C35" s="48"/>
      <c r="D35" s="108"/>
      <c r="E35" s="108"/>
      <c r="F35" s="108"/>
      <c r="G35" s="108"/>
      <c r="H35" s="108"/>
      <c r="I35" s="108"/>
      <c r="J35" s="108"/>
      <c r="K35" s="108"/>
      <c r="L35" s="108"/>
      <c r="M35" s="108"/>
      <c r="N35" s="108"/>
      <c r="O35" s="108"/>
      <c r="P35" s="108"/>
      <c r="Q35" s="108"/>
      <c r="R35" s="108"/>
      <c r="S35" s="97"/>
    </row>
    <row r="36" spans="1:19" s="31" customFormat="1" ht="17.75" x14ac:dyDescent="0.75">
      <c r="A36" s="29"/>
      <c r="B36" s="63" t="str">
        <f>'Revenue w MYP'!C35</f>
        <v>8660</v>
      </c>
      <c r="C36" s="63" t="str">
        <f>'Revenue w MYP'!D35</f>
        <v>Interest</v>
      </c>
      <c r="D36" s="101">
        <f>'Cash Flow %s Yr3'!D36</f>
        <v>8.3000000000000004E-2</v>
      </c>
      <c r="E36" s="101">
        <f>'Cash Flow %s Yr3'!E36</f>
        <v>8.3000000000000004E-2</v>
      </c>
      <c r="F36" s="101">
        <f>'Cash Flow %s Yr3'!F36</f>
        <v>8.3000000000000004E-2</v>
      </c>
      <c r="G36" s="101">
        <f>'Cash Flow %s Yr3'!G36</f>
        <v>8.3000000000000004E-2</v>
      </c>
      <c r="H36" s="101">
        <f>'Cash Flow %s Yr3'!H36</f>
        <v>8.3000000000000004E-2</v>
      </c>
      <c r="I36" s="101">
        <f>'Cash Flow %s Yr3'!I36</f>
        <v>8.3000000000000004E-2</v>
      </c>
      <c r="J36" s="101">
        <f>'Cash Flow %s Yr3'!J36</f>
        <v>8.3000000000000004E-2</v>
      </c>
      <c r="K36" s="101">
        <f>'Cash Flow %s Yr3'!K36</f>
        <v>8.3000000000000004E-2</v>
      </c>
      <c r="L36" s="101">
        <f>'Cash Flow %s Yr3'!L36</f>
        <v>8.4000000000000005E-2</v>
      </c>
      <c r="M36" s="101">
        <f>'Cash Flow %s Yr3'!M36</f>
        <v>8.4000000000000005E-2</v>
      </c>
      <c r="N36" s="101">
        <f>'Cash Flow %s Yr3'!N36</f>
        <v>8.4000000000000005E-2</v>
      </c>
      <c r="O36" s="101">
        <f>'Cash Flow %s Yr3'!O36</f>
        <v>8.4000000000000005E-2</v>
      </c>
      <c r="P36" s="101">
        <f>'Cash Flow %s Yr3'!P36</f>
        <v>0</v>
      </c>
      <c r="Q36" s="101">
        <f>'Cash Flow %s Yr3'!Q36</f>
        <v>0</v>
      </c>
      <c r="R36" s="101">
        <f>'Cash Flow %s Yr3'!R36</f>
        <v>0</v>
      </c>
      <c r="S36" s="97">
        <f t="shared" ref="S36:S47" si="3">SUM(D36:R36)</f>
        <v>0.99999999999999989</v>
      </c>
    </row>
    <row r="37" spans="1:19" s="31" customFormat="1" ht="17.75" x14ac:dyDescent="0.75">
      <c r="A37" s="29"/>
      <c r="B37" s="63" t="str">
        <f>'Revenue w MYP'!C36</f>
        <v>8682</v>
      </c>
      <c r="C37" s="63" t="str">
        <f>'Revenue w MYP'!D36</f>
        <v>Foundation Grants / Donations</v>
      </c>
      <c r="D37" s="101">
        <f>'Cash Flow %s Yr3'!D37</f>
        <v>0</v>
      </c>
      <c r="E37" s="101">
        <f>'Cash Flow %s Yr3'!E37</f>
        <v>0</v>
      </c>
      <c r="F37" s="101">
        <f>'Cash Flow %s Yr3'!F37</f>
        <v>0.1</v>
      </c>
      <c r="G37" s="101">
        <f>'Cash Flow %s Yr3'!G37</f>
        <v>0.1</v>
      </c>
      <c r="H37" s="101">
        <f>'Cash Flow %s Yr3'!H37</f>
        <v>0.1</v>
      </c>
      <c r="I37" s="101">
        <f>'Cash Flow %s Yr3'!I37</f>
        <v>0.1</v>
      </c>
      <c r="J37" s="101">
        <f>'Cash Flow %s Yr3'!J37</f>
        <v>0.1</v>
      </c>
      <c r="K37" s="101">
        <f>'Cash Flow %s Yr3'!K37</f>
        <v>0.1</v>
      </c>
      <c r="L37" s="101">
        <f>'Cash Flow %s Yr3'!L37</f>
        <v>0.1</v>
      </c>
      <c r="M37" s="101">
        <f>'Cash Flow %s Yr3'!M37</f>
        <v>0.1</v>
      </c>
      <c r="N37" s="101">
        <f>'Cash Flow %s Yr3'!N37</f>
        <v>0.1</v>
      </c>
      <c r="O37" s="101">
        <f>'Cash Flow %s Yr3'!O37</f>
        <v>0.1</v>
      </c>
      <c r="P37" s="101">
        <f>'Cash Flow %s Yr3'!P37</f>
        <v>0</v>
      </c>
      <c r="Q37" s="101">
        <f>'Cash Flow %s Yr3'!Q37</f>
        <v>0</v>
      </c>
      <c r="R37" s="101">
        <f>'Cash Flow %s Yr3'!R37</f>
        <v>0</v>
      </c>
      <c r="S37" s="97">
        <f t="shared" si="3"/>
        <v>0.99999999999999989</v>
      </c>
    </row>
    <row r="38" spans="1:19" s="31" customFormat="1" ht="17.75" x14ac:dyDescent="0.75">
      <c r="A38" s="29"/>
      <c r="B38" s="63" t="str">
        <f>'Revenue w MYP'!C37</f>
        <v>8683</v>
      </c>
      <c r="C38" s="63" t="str">
        <f>'Revenue w MYP'!D37</f>
        <v>All Other Local Revenue</v>
      </c>
      <c r="D38" s="101">
        <f>'Cash Flow %s Yr3'!D38</f>
        <v>0</v>
      </c>
      <c r="E38" s="101">
        <f>'Cash Flow %s Yr3'!E38</f>
        <v>0</v>
      </c>
      <c r="F38" s="101">
        <f>'Cash Flow %s Yr3'!F38</f>
        <v>0.1</v>
      </c>
      <c r="G38" s="101">
        <f>'Cash Flow %s Yr3'!G38</f>
        <v>0.1</v>
      </c>
      <c r="H38" s="101">
        <f>'Cash Flow %s Yr3'!H38</f>
        <v>0.1</v>
      </c>
      <c r="I38" s="101">
        <f>'Cash Flow %s Yr3'!I38</f>
        <v>0.1</v>
      </c>
      <c r="J38" s="101">
        <f>'Cash Flow %s Yr3'!J38</f>
        <v>0.1</v>
      </c>
      <c r="K38" s="101">
        <f>'Cash Flow %s Yr3'!K38</f>
        <v>0.1</v>
      </c>
      <c r="L38" s="101">
        <f>'Cash Flow %s Yr3'!L38</f>
        <v>0.1</v>
      </c>
      <c r="M38" s="101">
        <f>'Cash Flow %s Yr3'!M38</f>
        <v>0.1</v>
      </c>
      <c r="N38" s="101">
        <f>'Cash Flow %s Yr3'!N38</f>
        <v>0.1</v>
      </c>
      <c r="O38" s="101">
        <f>'Cash Flow %s Yr3'!O38</f>
        <v>0.1</v>
      </c>
      <c r="P38" s="101">
        <f>'Cash Flow %s Yr3'!P38</f>
        <v>0</v>
      </c>
      <c r="Q38" s="101">
        <f>'Cash Flow %s Yr3'!Q38</f>
        <v>0</v>
      </c>
      <c r="R38" s="101">
        <f>'Cash Flow %s Yr3'!R38</f>
        <v>0</v>
      </c>
      <c r="S38" s="97">
        <f t="shared" si="3"/>
        <v>0.99999999999999989</v>
      </c>
    </row>
    <row r="39" spans="1:19" s="31" customFormat="1" x14ac:dyDescent="0.75">
      <c r="A39" s="47"/>
      <c r="B39" s="63" t="str">
        <f>'Revenue w MYP'!C38</f>
        <v>8684</v>
      </c>
      <c r="C39" s="63" t="str">
        <f>'Revenue w MYP'!D38</f>
        <v>Student Body (ASB) Fundraising Revenue</v>
      </c>
      <c r="D39" s="101">
        <f>'Cash Flow %s Yr3'!D39</f>
        <v>0</v>
      </c>
      <c r="E39" s="101">
        <f>'Cash Flow %s Yr3'!E39</f>
        <v>0</v>
      </c>
      <c r="F39" s="101">
        <f>'Cash Flow %s Yr3'!F39</f>
        <v>0.1</v>
      </c>
      <c r="G39" s="101">
        <f>'Cash Flow %s Yr3'!G39</f>
        <v>0.1</v>
      </c>
      <c r="H39" s="101">
        <f>'Cash Flow %s Yr3'!H39</f>
        <v>0.1</v>
      </c>
      <c r="I39" s="101">
        <f>'Cash Flow %s Yr3'!I39</f>
        <v>0.1</v>
      </c>
      <c r="J39" s="101">
        <f>'Cash Flow %s Yr3'!J39</f>
        <v>0.1</v>
      </c>
      <c r="K39" s="101">
        <f>'Cash Flow %s Yr3'!K39</f>
        <v>0.1</v>
      </c>
      <c r="L39" s="101">
        <f>'Cash Flow %s Yr3'!L39</f>
        <v>0.1</v>
      </c>
      <c r="M39" s="101">
        <f>'Cash Flow %s Yr3'!M39</f>
        <v>0.1</v>
      </c>
      <c r="N39" s="101">
        <f>'Cash Flow %s Yr3'!N39</f>
        <v>0.1</v>
      </c>
      <c r="O39" s="101">
        <f>'Cash Flow %s Yr3'!O39</f>
        <v>0.1</v>
      </c>
      <c r="P39" s="101">
        <f>'Cash Flow %s Yr3'!P39</f>
        <v>0</v>
      </c>
      <c r="Q39" s="101">
        <f>'Cash Flow %s Yr3'!Q39</f>
        <v>0</v>
      </c>
      <c r="R39" s="101">
        <f>'Cash Flow %s Yr3'!R39</f>
        <v>0</v>
      </c>
      <c r="S39" s="97">
        <f t="shared" si="3"/>
        <v>0.99999999999999989</v>
      </c>
    </row>
    <row r="40" spans="1:19" s="31" customFormat="1" x14ac:dyDescent="0.75">
      <c r="A40" s="48"/>
      <c r="B40" s="63" t="str">
        <f>'Revenue w MYP'!C39</f>
        <v>8685</v>
      </c>
      <c r="C40" s="63" t="str">
        <f>'Revenue w MYP'!D39</f>
        <v>School Site Fundraising</v>
      </c>
      <c r="D40" s="101">
        <f>'Cash Flow %s Yr3'!D40</f>
        <v>0</v>
      </c>
      <c r="E40" s="101">
        <f>'Cash Flow %s Yr3'!E40</f>
        <v>0</v>
      </c>
      <c r="F40" s="101">
        <f>'Cash Flow %s Yr3'!F40</f>
        <v>0.1</v>
      </c>
      <c r="G40" s="101">
        <f>'Cash Flow %s Yr3'!G40</f>
        <v>0.1</v>
      </c>
      <c r="H40" s="101">
        <f>'Cash Flow %s Yr3'!H40</f>
        <v>0.1</v>
      </c>
      <c r="I40" s="101">
        <f>'Cash Flow %s Yr3'!I40</f>
        <v>0.1</v>
      </c>
      <c r="J40" s="101">
        <f>'Cash Flow %s Yr3'!J40</f>
        <v>0.1</v>
      </c>
      <c r="K40" s="101">
        <f>'Cash Flow %s Yr3'!K40</f>
        <v>0.1</v>
      </c>
      <c r="L40" s="101">
        <f>'Cash Flow %s Yr3'!L40</f>
        <v>0.1</v>
      </c>
      <c r="M40" s="101">
        <f>'Cash Flow %s Yr3'!M40</f>
        <v>0.1</v>
      </c>
      <c r="N40" s="101">
        <f>'Cash Flow %s Yr3'!N40</f>
        <v>0.1</v>
      </c>
      <c r="O40" s="101">
        <f>'Cash Flow %s Yr3'!O40</f>
        <v>0.1</v>
      </c>
      <c r="P40" s="101">
        <f>'Cash Flow %s Yr3'!P40</f>
        <v>0</v>
      </c>
      <c r="Q40" s="101">
        <f>'Cash Flow %s Yr3'!Q40</f>
        <v>0</v>
      </c>
      <c r="R40" s="101">
        <f>'Cash Flow %s Yr3'!R40</f>
        <v>0</v>
      </c>
      <c r="S40" s="97">
        <f t="shared" si="3"/>
        <v>0.99999999999999989</v>
      </c>
    </row>
    <row r="41" spans="1:19" s="31" customFormat="1" ht="17.75" x14ac:dyDescent="0.75">
      <c r="A41" s="29"/>
      <c r="B41" s="63" t="str">
        <f>'Revenue w MYP'!C40</f>
        <v>8698</v>
      </c>
      <c r="C41" s="63" t="str">
        <f>'Revenue w MYP'!D40</f>
        <v>E-Rate</v>
      </c>
      <c r="D41" s="101">
        <f>'Cash Flow %s Yr3'!D41</f>
        <v>0</v>
      </c>
      <c r="E41" s="101">
        <f>'Cash Flow %s Yr3'!E41</f>
        <v>0</v>
      </c>
      <c r="F41" s="101">
        <f>'Cash Flow %s Yr3'!F41</f>
        <v>0.1</v>
      </c>
      <c r="G41" s="101">
        <f>'Cash Flow %s Yr3'!G41</f>
        <v>0.1</v>
      </c>
      <c r="H41" s="101">
        <f>'Cash Flow %s Yr3'!H41</f>
        <v>0.1</v>
      </c>
      <c r="I41" s="101">
        <f>'Cash Flow %s Yr3'!I41</f>
        <v>0.1</v>
      </c>
      <c r="J41" s="101">
        <f>'Cash Flow %s Yr3'!J41</f>
        <v>0.1</v>
      </c>
      <c r="K41" s="101">
        <f>'Cash Flow %s Yr3'!K41</f>
        <v>0.1</v>
      </c>
      <c r="L41" s="101">
        <f>'Cash Flow %s Yr3'!L41</f>
        <v>0.1</v>
      </c>
      <c r="M41" s="101">
        <f>'Cash Flow %s Yr3'!M41</f>
        <v>0.1</v>
      </c>
      <c r="N41" s="101">
        <f>'Cash Flow %s Yr3'!N41</f>
        <v>0.1</v>
      </c>
      <c r="O41" s="101">
        <f>'Cash Flow %s Yr3'!O41</f>
        <v>0.1</v>
      </c>
      <c r="P41" s="101">
        <f>'Cash Flow %s Yr3'!P41</f>
        <v>0</v>
      </c>
      <c r="Q41" s="101">
        <f>'Cash Flow %s Yr3'!Q41</f>
        <v>0</v>
      </c>
      <c r="R41" s="101">
        <f>'Cash Flow %s Yr3'!R41</f>
        <v>0</v>
      </c>
      <c r="S41" s="97">
        <f t="shared" si="3"/>
        <v>0.99999999999999989</v>
      </c>
    </row>
    <row r="42" spans="1:19" s="31" customFormat="1" ht="17.75" x14ac:dyDescent="0.75">
      <c r="A42" s="29"/>
      <c r="B42" s="63" t="str">
        <f>'Revenue w MYP'!C41</f>
        <v>8699</v>
      </c>
      <c r="C42" s="63" t="str">
        <f>'Revenue w MYP'!D41</f>
        <v>All Other Local Revenue</v>
      </c>
      <c r="D42" s="101">
        <f>'Cash Flow %s Yr3'!D42</f>
        <v>0</v>
      </c>
      <c r="E42" s="101">
        <f>'Cash Flow %s Yr3'!E42</f>
        <v>0</v>
      </c>
      <c r="F42" s="101">
        <f>'Cash Flow %s Yr3'!F42</f>
        <v>0.1</v>
      </c>
      <c r="G42" s="101">
        <f>'Cash Flow %s Yr3'!G42</f>
        <v>0.1</v>
      </c>
      <c r="H42" s="101">
        <f>'Cash Flow %s Yr3'!H42</f>
        <v>0.1</v>
      </c>
      <c r="I42" s="101">
        <f>'Cash Flow %s Yr3'!I42</f>
        <v>0.1</v>
      </c>
      <c r="J42" s="101">
        <f>'Cash Flow %s Yr3'!J42</f>
        <v>0.1</v>
      </c>
      <c r="K42" s="101">
        <f>'Cash Flow %s Yr3'!K42</f>
        <v>0.1</v>
      </c>
      <c r="L42" s="101">
        <f>'Cash Flow %s Yr3'!L42</f>
        <v>0.1</v>
      </c>
      <c r="M42" s="101">
        <f>'Cash Flow %s Yr3'!M42</f>
        <v>0.1</v>
      </c>
      <c r="N42" s="101">
        <f>'Cash Flow %s Yr3'!N42</f>
        <v>0.1</v>
      </c>
      <c r="O42" s="101">
        <f>'Cash Flow %s Yr3'!O42</f>
        <v>0.1</v>
      </c>
      <c r="P42" s="101">
        <f>'Cash Flow %s Yr3'!P42</f>
        <v>0</v>
      </c>
      <c r="Q42" s="101">
        <f>'Cash Flow %s Yr3'!Q42</f>
        <v>0</v>
      </c>
      <c r="R42" s="101">
        <f>'Cash Flow %s Yr3'!R42</f>
        <v>0</v>
      </c>
      <c r="S42" s="97">
        <f t="shared" si="3"/>
        <v>0.99999999999999989</v>
      </c>
    </row>
    <row r="43" spans="1:19" s="31" customFormat="1" ht="17.75" x14ac:dyDescent="0.75">
      <c r="A43" s="29"/>
      <c r="B43" s="63" t="str">
        <f>'Revenue w MYP'!C42</f>
        <v>8785</v>
      </c>
      <c r="C43" s="63" t="str">
        <f>'Revenue w MYP'!D42</f>
        <v>CMO Management fee</v>
      </c>
      <c r="D43" s="101">
        <f>'Cash Flow %s Yr3'!D43</f>
        <v>0</v>
      </c>
      <c r="E43" s="101">
        <f>'Cash Flow %s Yr3'!E43</f>
        <v>0</v>
      </c>
      <c r="F43" s="101">
        <f>'Cash Flow %s Yr3'!F43</f>
        <v>0.1</v>
      </c>
      <c r="G43" s="101">
        <f>'Cash Flow %s Yr3'!G43</f>
        <v>0.1</v>
      </c>
      <c r="H43" s="101">
        <f>'Cash Flow %s Yr3'!H43</f>
        <v>0.1</v>
      </c>
      <c r="I43" s="101">
        <f>'Cash Flow %s Yr3'!I43</f>
        <v>0.1</v>
      </c>
      <c r="J43" s="101">
        <f>'Cash Flow %s Yr3'!J43</f>
        <v>0.1</v>
      </c>
      <c r="K43" s="101">
        <f>'Cash Flow %s Yr3'!K43</f>
        <v>0.1</v>
      </c>
      <c r="L43" s="101">
        <f>'Cash Flow %s Yr3'!L43</f>
        <v>0.1</v>
      </c>
      <c r="M43" s="101">
        <f>'Cash Flow %s Yr3'!M43</f>
        <v>0.1</v>
      </c>
      <c r="N43" s="101">
        <f>'Cash Flow %s Yr3'!N43</f>
        <v>0.1</v>
      </c>
      <c r="O43" s="101">
        <f>'Cash Flow %s Yr3'!O43</f>
        <v>0.1</v>
      </c>
      <c r="P43" s="101">
        <f>'Cash Flow %s Yr3'!P43</f>
        <v>0</v>
      </c>
      <c r="Q43" s="101">
        <f>'Cash Flow %s Yr3'!Q43</f>
        <v>0</v>
      </c>
      <c r="R43" s="101">
        <f>'Cash Flow %s Yr3'!R43</f>
        <v>0</v>
      </c>
      <c r="S43" s="97">
        <f t="shared" si="3"/>
        <v>0.99999999999999989</v>
      </c>
    </row>
    <row r="44" spans="1:19" s="31" customFormat="1" ht="17.75" x14ac:dyDescent="0.75">
      <c r="A44" s="29"/>
      <c r="B44" s="63" t="str">
        <f>'Revenue w MYP'!C43</f>
        <v>8792</v>
      </c>
      <c r="C44" s="63" t="str">
        <f>'Revenue w MYP'!D43</f>
        <v>SPED State / Other Transfers from County</v>
      </c>
      <c r="D44" s="101">
        <f>'Cash Flow %s Yr3'!D44</f>
        <v>0</v>
      </c>
      <c r="E44" s="101">
        <f>'Cash Flow %s Yr3'!E44</f>
        <v>0</v>
      </c>
      <c r="F44" s="101">
        <f>'Cash Flow %s Yr3'!F44</f>
        <v>0.1</v>
      </c>
      <c r="G44" s="101">
        <f>'Cash Flow %s Yr3'!G44</f>
        <v>0.1</v>
      </c>
      <c r="H44" s="101">
        <f>'Cash Flow %s Yr3'!H44</f>
        <v>0.1</v>
      </c>
      <c r="I44" s="101">
        <f>'Cash Flow %s Yr3'!I44</f>
        <v>0.1</v>
      </c>
      <c r="J44" s="101">
        <f>'Cash Flow %s Yr3'!J44</f>
        <v>0.1</v>
      </c>
      <c r="K44" s="101">
        <f>'Cash Flow %s Yr3'!K44</f>
        <v>0.1</v>
      </c>
      <c r="L44" s="101">
        <f>'Cash Flow %s Yr3'!L44</f>
        <v>0.1</v>
      </c>
      <c r="M44" s="101">
        <f>'Cash Flow %s Yr3'!M44</f>
        <v>0.1</v>
      </c>
      <c r="N44" s="101">
        <f>'Cash Flow %s Yr3'!N44</f>
        <v>0.1</v>
      </c>
      <c r="O44" s="101">
        <f>'Cash Flow %s Yr3'!O44</f>
        <v>0.1</v>
      </c>
      <c r="P44" s="101">
        <f>'Cash Flow %s Yr3'!P44</f>
        <v>0</v>
      </c>
      <c r="Q44" s="101">
        <f>'Cash Flow %s Yr3'!Q44</f>
        <v>0</v>
      </c>
      <c r="R44" s="101">
        <f>'Cash Flow %s Yr3'!R44</f>
        <v>0</v>
      </c>
      <c r="S44" s="97">
        <f t="shared" si="3"/>
        <v>0.99999999999999989</v>
      </c>
    </row>
    <row r="45" spans="1:19" s="31" customFormat="1" ht="17.75" x14ac:dyDescent="0.75">
      <c r="A45" s="29"/>
      <c r="B45" s="63" t="str">
        <f>'Revenue w MYP'!C44</f>
        <v>8639</v>
      </c>
      <c r="C45" s="63" t="str">
        <f>'Revenue w MYP'!D44</f>
        <v>Student Lunch Revenue</v>
      </c>
      <c r="D45" s="101">
        <f>'Cash Flow %s Yr3'!D45</f>
        <v>0</v>
      </c>
      <c r="E45" s="101">
        <f>'Cash Flow %s Yr3'!E45</f>
        <v>0</v>
      </c>
      <c r="F45" s="101">
        <f>'Cash Flow %s Yr3'!F45</f>
        <v>0.1</v>
      </c>
      <c r="G45" s="101">
        <f>'Cash Flow %s Yr3'!G45</f>
        <v>0.1</v>
      </c>
      <c r="H45" s="101">
        <f>'Cash Flow %s Yr3'!H45</f>
        <v>0.1</v>
      </c>
      <c r="I45" s="101">
        <f>'Cash Flow %s Yr3'!I45</f>
        <v>0.1</v>
      </c>
      <c r="J45" s="101">
        <f>'Cash Flow %s Yr3'!J45</f>
        <v>0.1</v>
      </c>
      <c r="K45" s="101">
        <f>'Cash Flow %s Yr3'!K45</f>
        <v>0.1</v>
      </c>
      <c r="L45" s="101">
        <f>'Cash Flow %s Yr3'!L45</f>
        <v>0.1</v>
      </c>
      <c r="M45" s="101">
        <f>'Cash Flow %s Yr3'!M45</f>
        <v>0.1</v>
      </c>
      <c r="N45" s="101">
        <f>'Cash Flow %s Yr3'!N45</f>
        <v>0.1</v>
      </c>
      <c r="O45" s="101">
        <f>'Cash Flow %s Yr3'!O45</f>
        <v>0.1</v>
      </c>
      <c r="P45" s="101">
        <f>'Cash Flow %s Yr3'!P45</f>
        <v>0</v>
      </c>
      <c r="Q45" s="101">
        <f>'Cash Flow %s Yr3'!Q45</f>
        <v>0</v>
      </c>
      <c r="R45" s="101">
        <f>'Cash Flow %s Yr3'!R45</f>
        <v>0</v>
      </c>
      <c r="S45" s="97">
        <f>SUM(D45:R45)</f>
        <v>0.99999999999999989</v>
      </c>
    </row>
    <row r="46" spans="1:19" s="31" customFormat="1" ht="17.75" x14ac:dyDescent="0.75">
      <c r="A46" s="29"/>
      <c r="B46" s="63" t="str">
        <f>'Revenue w MYP'!C45</f>
        <v>8986</v>
      </c>
      <c r="C46" s="63" t="str">
        <f>'Revenue w MYP'!D45</f>
        <v>Rental Income</v>
      </c>
      <c r="D46" s="101">
        <f>'Cash Flow %s Yr3'!D46</f>
        <v>0</v>
      </c>
      <c r="E46" s="101">
        <f>'Cash Flow %s Yr3'!E46</f>
        <v>0</v>
      </c>
      <c r="F46" s="101">
        <f>'Cash Flow %s Yr3'!F46</f>
        <v>0.1</v>
      </c>
      <c r="G46" s="101">
        <f>'Cash Flow %s Yr3'!G46</f>
        <v>0.1</v>
      </c>
      <c r="H46" s="101">
        <f>'Cash Flow %s Yr3'!H46</f>
        <v>0.1</v>
      </c>
      <c r="I46" s="101">
        <f>'Cash Flow %s Yr3'!I46</f>
        <v>0.1</v>
      </c>
      <c r="J46" s="101">
        <f>'Cash Flow %s Yr3'!J46</f>
        <v>0.1</v>
      </c>
      <c r="K46" s="101">
        <f>'Cash Flow %s Yr3'!K46</f>
        <v>0.1</v>
      </c>
      <c r="L46" s="101">
        <f>'Cash Flow %s Yr3'!L46</f>
        <v>0.1</v>
      </c>
      <c r="M46" s="101">
        <f>'Cash Flow %s Yr3'!M46</f>
        <v>0.1</v>
      </c>
      <c r="N46" s="101">
        <f>'Cash Flow %s Yr3'!N46</f>
        <v>0.1</v>
      </c>
      <c r="O46" s="101">
        <f>'Cash Flow %s Yr3'!O46</f>
        <v>0.1</v>
      </c>
      <c r="P46" s="101">
        <f>'Cash Flow %s Yr3'!P46</f>
        <v>0</v>
      </c>
      <c r="Q46" s="101">
        <f>'Cash Flow %s Yr3'!Q46</f>
        <v>0</v>
      </c>
      <c r="R46" s="101">
        <f>'Cash Flow %s Yr3'!R46</f>
        <v>0</v>
      </c>
      <c r="S46" s="97">
        <f>SUM(D46:R46)</f>
        <v>0.99999999999999989</v>
      </c>
    </row>
    <row r="47" spans="1:19" s="31" customFormat="1" ht="17.75" x14ac:dyDescent="0.75">
      <c r="A47" s="29"/>
      <c r="B47" s="63" t="str">
        <f>'Revenue w MYP'!C47</f>
        <v>8662</v>
      </c>
      <c r="C47" s="63" t="str">
        <f>'Revenue w MYP'!D47</f>
        <v>Increase/Decrease in Investment</v>
      </c>
      <c r="D47" s="101">
        <f>'Cash Flow %s Yr3'!D47</f>
        <v>0</v>
      </c>
      <c r="E47" s="101">
        <f>'Cash Flow %s Yr3'!E47</f>
        <v>0</v>
      </c>
      <c r="F47" s="101">
        <f>'Cash Flow %s Yr3'!F47</f>
        <v>0.1</v>
      </c>
      <c r="G47" s="101">
        <f>'Cash Flow %s Yr3'!G47</f>
        <v>0.1</v>
      </c>
      <c r="H47" s="101">
        <f>'Cash Flow %s Yr3'!H47</f>
        <v>0.1</v>
      </c>
      <c r="I47" s="101">
        <f>'Cash Flow %s Yr3'!I47</f>
        <v>0.1</v>
      </c>
      <c r="J47" s="101">
        <f>'Cash Flow %s Yr3'!J47</f>
        <v>0.1</v>
      </c>
      <c r="K47" s="101">
        <f>'Cash Flow %s Yr3'!K47</f>
        <v>0.1</v>
      </c>
      <c r="L47" s="101">
        <f>'Cash Flow %s Yr3'!L47</f>
        <v>0.1</v>
      </c>
      <c r="M47" s="101">
        <f>'Cash Flow %s Yr3'!M47</f>
        <v>0.1</v>
      </c>
      <c r="N47" s="101">
        <f>'Cash Flow %s Yr3'!N47</f>
        <v>0.1</v>
      </c>
      <c r="O47" s="101">
        <f>'Cash Flow %s Yr3'!O47</f>
        <v>0.1</v>
      </c>
      <c r="P47" s="101">
        <f>'Cash Flow %s Yr3'!P47</f>
        <v>0</v>
      </c>
      <c r="Q47" s="101">
        <f>'Cash Flow %s Yr3'!Q47</f>
        <v>0</v>
      </c>
      <c r="R47" s="101">
        <f>'Cash Flow %s Yr3'!R47</f>
        <v>0</v>
      </c>
      <c r="S47" s="97">
        <f t="shared" si="3"/>
        <v>0.99999999999999989</v>
      </c>
    </row>
    <row r="48" spans="1:19" s="31" customFormat="1" ht="17.75" x14ac:dyDescent="0.75">
      <c r="A48" s="29"/>
      <c r="B48" s="69"/>
      <c r="C48" s="48"/>
      <c r="D48" s="105"/>
      <c r="E48" s="105"/>
      <c r="F48" s="105"/>
      <c r="G48" s="105"/>
      <c r="H48" s="105"/>
      <c r="I48" s="105"/>
      <c r="J48" s="105"/>
      <c r="K48" s="105"/>
      <c r="L48" s="105"/>
      <c r="M48" s="105"/>
      <c r="N48" s="105"/>
      <c r="O48" s="105"/>
      <c r="P48" s="88"/>
      <c r="Q48" s="88"/>
      <c r="R48" s="88"/>
      <c r="S48" s="97"/>
    </row>
    <row r="49" spans="1:19" s="31" customFormat="1" ht="17.75" x14ac:dyDescent="0.75">
      <c r="A49" s="29"/>
      <c r="B49" s="69"/>
      <c r="C49" s="48"/>
      <c r="D49" s="105"/>
      <c r="E49" s="105"/>
      <c r="F49" s="105"/>
      <c r="G49" s="105"/>
      <c r="H49" s="105"/>
      <c r="I49" s="105"/>
      <c r="J49" s="105"/>
      <c r="K49" s="105"/>
      <c r="L49" s="105"/>
      <c r="M49" s="105"/>
      <c r="N49" s="105"/>
      <c r="O49" s="105"/>
      <c r="P49" s="88"/>
      <c r="Q49" s="88"/>
      <c r="R49" s="88"/>
      <c r="S49" s="97"/>
    </row>
    <row r="50" spans="1:19" s="31" customFormat="1" ht="17.75" x14ac:dyDescent="0.75">
      <c r="A50" s="29"/>
      <c r="B50" s="69"/>
      <c r="C50" s="48"/>
      <c r="D50" s="88"/>
      <c r="E50" s="88"/>
      <c r="F50" s="88"/>
      <c r="G50" s="88"/>
      <c r="H50" s="88"/>
      <c r="I50" s="88"/>
      <c r="J50" s="88"/>
      <c r="K50" s="88"/>
      <c r="L50" s="88"/>
      <c r="M50" s="88"/>
      <c r="N50" s="88"/>
      <c r="O50" s="88"/>
      <c r="P50" s="88"/>
      <c r="Q50" s="88"/>
      <c r="R50" s="88"/>
      <c r="S50" s="97"/>
    </row>
    <row r="51" spans="1:19" s="31" customFormat="1" ht="17.75" x14ac:dyDescent="0.75">
      <c r="A51" s="29" t="s">
        <v>796</v>
      </c>
      <c r="B51" s="70"/>
      <c r="C51" s="34"/>
      <c r="D51" s="89"/>
      <c r="E51" s="89"/>
      <c r="F51" s="89"/>
      <c r="G51" s="89"/>
      <c r="H51" s="89"/>
      <c r="I51" s="89"/>
      <c r="J51" s="89"/>
      <c r="K51" s="89"/>
      <c r="L51" s="89"/>
      <c r="M51" s="89"/>
      <c r="N51" s="89"/>
      <c r="O51" s="89"/>
      <c r="P51" s="89"/>
      <c r="Q51" s="89"/>
      <c r="R51" s="89"/>
      <c r="S51" s="97"/>
    </row>
    <row r="52" spans="1:19" x14ac:dyDescent="0.75">
      <c r="A52" s="1"/>
      <c r="B52" s="34" t="s">
        <v>731</v>
      </c>
      <c r="C52" s="2"/>
      <c r="S52" s="161"/>
    </row>
    <row r="53" spans="1:19" x14ac:dyDescent="0.75">
      <c r="A53" s="35"/>
      <c r="B53" s="65" t="str">
        <f>'Expenses w MYP'!C8</f>
        <v>1100</v>
      </c>
      <c r="C53" s="65" t="str">
        <f>'Expenses w MYP'!D8</f>
        <v>Teachers' Salaries</v>
      </c>
      <c r="D53" s="98">
        <f>'Cash Flow %s Yr3'!D53</f>
        <v>0</v>
      </c>
      <c r="E53" s="98">
        <f>'Cash Flow %s Yr3'!E53</f>
        <v>0</v>
      </c>
      <c r="F53" s="98">
        <f>'Cash Flow %s Yr3'!F53</f>
        <v>0.1</v>
      </c>
      <c r="G53" s="98">
        <f>'Cash Flow %s Yr3'!G53</f>
        <v>0.1</v>
      </c>
      <c r="H53" s="98">
        <f>'Cash Flow %s Yr3'!H53</f>
        <v>0.1</v>
      </c>
      <c r="I53" s="98">
        <f>'Cash Flow %s Yr3'!I53</f>
        <v>0.1</v>
      </c>
      <c r="J53" s="98">
        <f>'Cash Flow %s Yr3'!J53</f>
        <v>0.1</v>
      </c>
      <c r="K53" s="98">
        <f>'Cash Flow %s Yr3'!K53</f>
        <v>0.1</v>
      </c>
      <c r="L53" s="98">
        <f>'Cash Flow %s Yr3'!L53</f>
        <v>0.1</v>
      </c>
      <c r="M53" s="98">
        <f>'Cash Flow %s Yr3'!M53</f>
        <v>0.1</v>
      </c>
      <c r="N53" s="98">
        <f>'Cash Flow %s Yr3'!N53</f>
        <v>0.1</v>
      </c>
      <c r="O53" s="98">
        <f>'Cash Flow %s Yr3'!O53</f>
        <v>0.1</v>
      </c>
      <c r="P53" s="98">
        <f>'Cash Flow %s Yr3'!P53</f>
        <v>0</v>
      </c>
      <c r="Q53" s="98">
        <f>'Cash Flow %s Yr3'!Q53</f>
        <v>0</v>
      </c>
      <c r="R53" s="98">
        <f>'Cash Flow %s Yr3'!R53</f>
        <v>0</v>
      </c>
      <c r="S53" s="97">
        <f t="shared" ref="S53:S60" si="4">SUM(D53:R53)</f>
        <v>0.99999999999999989</v>
      </c>
    </row>
    <row r="54" spans="1:19" x14ac:dyDescent="0.75">
      <c r="A54" s="35"/>
      <c r="B54" s="65" t="str">
        <f>'Expenses w MYP'!C9</f>
        <v>1105</v>
      </c>
      <c r="C54" s="65" t="str">
        <f>'Expenses w MYP'!D9</f>
        <v>Teachers' Stipends / Bonus</v>
      </c>
      <c r="D54" s="98">
        <f>'Cash Flow %s Yr3'!D54</f>
        <v>0</v>
      </c>
      <c r="E54" s="98">
        <f>'Cash Flow %s Yr3'!E54</f>
        <v>0</v>
      </c>
      <c r="F54" s="98">
        <f>'Cash Flow %s Yr3'!F54</f>
        <v>0</v>
      </c>
      <c r="G54" s="98">
        <f>'Cash Flow %s Yr3'!G54</f>
        <v>0</v>
      </c>
      <c r="H54" s="98">
        <f>'Cash Flow %s Yr3'!H54</f>
        <v>0</v>
      </c>
      <c r="I54" s="98">
        <f>'Cash Flow %s Yr3'!I54</f>
        <v>0</v>
      </c>
      <c r="J54" s="98">
        <f>'Cash Flow %s Yr3'!J54</f>
        <v>0</v>
      </c>
      <c r="K54" s="98">
        <f>'Cash Flow %s Yr3'!K54</f>
        <v>0</v>
      </c>
      <c r="L54" s="98">
        <f>'Cash Flow %s Yr3'!L54</f>
        <v>0</v>
      </c>
      <c r="M54" s="98">
        <f>'Cash Flow %s Yr3'!M54</f>
        <v>0</v>
      </c>
      <c r="N54" s="98">
        <f>'Cash Flow %s Yr3'!N54</f>
        <v>0</v>
      </c>
      <c r="O54" s="98">
        <f>'Cash Flow %s Yr3'!O54</f>
        <v>1</v>
      </c>
      <c r="P54" s="98">
        <f>'Cash Flow %s Yr3'!P54</f>
        <v>0</v>
      </c>
      <c r="Q54" s="98">
        <f>'Cash Flow %s Yr3'!Q54</f>
        <v>0</v>
      </c>
      <c r="R54" s="98">
        <f>'Cash Flow %s Yr3'!R54</f>
        <v>0</v>
      </c>
      <c r="S54" s="97">
        <f t="shared" si="4"/>
        <v>1</v>
      </c>
    </row>
    <row r="55" spans="1:19" x14ac:dyDescent="0.75">
      <c r="A55" s="35"/>
      <c r="B55" s="65" t="str">
        <f>'Expenses w MYP'!C10</f>
        <v>1120</v>
      </c>
      <c r="C55" s="65" t="str">
        <f>'Expenses w MYP'!D10</f>
        <v>Substitute Expense</v>
      </c>
      <c r="D55" s="98">
        <f>'Cash Flow %s Yr3'!D55</f>
        <v>0</v>
      </c>
      <c r="E55" s="98">
        <f>'Cash Flow %s Yr3'!E55</f>
        <v>0</v>
      </c>
      <c r="F55" s="98">
        <f>'Cash Flow %s Yr3'!F55</f>
        <v>0.1</v>
      </c>
      <c r="G55" s="98">
        <f>'Cash Flow %s Yr3'!G55</f>
        <v>0.1</v>
      </c>
      <c r="H55" s="98">
        <f>'Cash Flow %s Yr3'!H55</f>
        <v>0.1</v>
      </c>
      <c r="I55" s="98">
        <f>'Cash Flow %s Yr3'!I55</f>
        <v>0.1</v>
      </c>
      <c r="J55" s="98">
        <f>'Cash Flow %s Yr3'!J55</f>
        <v>0.1</v>
      </c>
      <c r="K55" s="98">
        <f>'Cash Flow %s Yr3'!K55</f>
        <v>0.1</v>
      </c>
      <c r="L55" s="98">
        <f>'Cash Flow %s Yr3'!L55</f>
        <v>0.1</v>
      </c>
      <c r="M55" s="98">
        <f>'Cash Flow %s Yr3'!M55</f>
        <v>0.1</v>
      </c>
      <c r="N55" s="98">
        <f>'Cash Flow %s Yr3'!N55</f>
        <v>0.1</v>
      </c>
      <c r="O55" s="98">
        <f>'Cash Flow %s Yr3'!O55</f>
        <v>0.1</v>
      </c>
      <c r="P55" s="98">
        <f>'Cash Flow %s Yr3'!P55</f>
        <v>0</v>
      </c>
      <c r="Q55" s="98">
        <f>'Cash Flow %s Yr3'!Q55</f>
        <v>0</v>
      </c>
      <c r="R55" s="98">
        <f>'Cash Flow %s Yr3'!R55</f>
        <v>0</v>
      </c>
      <c r="S55" s="97">
        <f t="shared" si="4"/>
        <v>0.99999999999999989</v>
      </c>
    </row>
    <row r="56" spans="1:19" x14ac:dyDescent="0.75">
      <c r="A56" s="35"/>
      <c r="B56" s="65" t="str">
        <f>'Expenses w MYP'!C11</f>
        <v>1200</v>
      </c>
      <c r="C56" s="65" t="str">
        <f>'Expenses w MYP'!D11</f>
        <v>Certificated Pupil Support Salaries</v>
      </c>
      <c r="D56" s="98">
        <f>'Cash Flow %s Yr3'!D56</f>
        <v>0</v>
      </c>
      <c r="E56" s="98">
        <f>'Cash Flow %s Yr3'!E56</f>
        <v>0</v>
      </c>
      <c r="F56" s="98">
        <f>'Cash Flow %s Yr3'!F56</f>
        <v>0.1</v>
      </c>
      <c r="G56" s="98">
        <f>'Cash Flow %s Yr3'!G56</f>
        <v>0.1</v>
      </c>
      <c r="H56" s="98">
        <f>'Cash Flow %s Yr3'!H56</f>
        <v>0.1</v>
      </c>
      <c r="I56" s="98">
        <f>'Cash Flow %s Yr3'!I56</f>
        <v>0.1</v>
      </c>
      <c r="J56" s="98">
        <f>'Cash Flow %s Yr3'!J56</f>
        <v>0.1</v>
      </c>
      <c r="K56" s="98">
        <f>'Cash Flow %s Yr3'!K56</f>
        <v>0.1</v>
      </c>
      <c r="L56" s="98">
        <f>'Cash Flow %s Yr3'!L56</f>
        <v>0.1</v>
      </c>
      <c r="M56" s="98">
        <f>'Cash Flow %s Yr3'!M56</f>
        <v>0.1</v>
      </c>
      <c r="N56" s="98">
        <f>'Cash Flow %s Yr3'!N56</f>
        <v>0.1</v>
      </c>
      <c r="O56" s="98">
        <f>'Cash Flow %s Yr3'!O56</f>
        <v>0.1</v>
      </c>
      <c r="P56" s="98">
        <f>'Cash Flow %s Yr3'!P56</f>
        <v>0</v>
      </c>
      <c r="Q56" s="98">
        <f>'Cash Flow %s Yr3'!Q56</f>
        <v>0</v>
      </c>
      <c r="R56" s="98">
        <f>'Cash Flow %s Yr3'!R56</f>
        <v>0</v>
      </c>
      <c r="S56" s="97">
        <f t="shared" si="4"/>
        <v>0.99999999999999989</v>
      </c>
    </row>
    <row r="57" spans="1:19" x14ac:dyDescent="0.75">
      <c r="A57" s="35"/>
      <c r="B57" s="65" t="str">
        <f>'Expenses w MYP'!C12</f>
        <v>1300</v>
      </c>
      <c r="C57" s="65" t="str">
        <f>'Expenses w MYP'!D12</f>
        <v>Certificated Supervisor and Administrator Salaries</v>
      </c>
      <c r="D57" s="98">
        <f>'Cash Flow %s Yr3'!D57</f>
        <v>8.3000000000000004E-2</v>
      </c>
      <c r="E57" s="98">
        <f>'Cash Flow %s Yr3'!E57</f>
        <v>8.3000000000000004E-2</v>
      </c>
      <c r="F57" s="98">
        <f>'Cash Flow %s Yr3'!F57</f>
        <v>8.3000000000000004E-2</v>
      </c>
      <c r="G57" s="98">
        <f>'Cash Flow %s Yr3'!G57</f>
        <v>8.3000000000000004E-2</v>
      </c>
      <c r="H57" s="98">
        <f>'Cash Flow %s Yr3'!H57</f>
        <v>8.3000000000000004E-2</v>
      </c>
      <c r="I57" s="98">
        <f>'Cash Flow %s Yr3'!I57</f>
        <v>8.3000000000000004E-2</v>
      </c>
      <c r="J57" s="98">
        <f>'Cash Flow %s Yr3'!J57</f>
        <v>8.3000000000000004E-2</v>
      </c>
      <c r="K57" s="98">
        <f>'Cash Flow %s Yr3'!K57</f>
        <v>8.3000000000000004E-2</v>
      </c>
      <c r="L57" s="98">
        <f>'Cash Flow %s Yr3'!L57</f>
        <v>8.4000000000000005E-2</v>
      </c>
      <c r="M57" s="98">
        <f>'Cash Flow %s Yr3'!M57</f>
        <v>8.4000000000000005E-2</v>
      </c>
      <c r="N57" s="98">
        <f>'Cash Flow %s Yr3'!N57</f>
        <v>8.4000000000000005E-2</v>
      </c>
      <c r="O57" s="98">
        <f>'Cash Flow %s Yr3'!O57</f>
        <v>8.4000000000000005E-2</v>
      </c>
      <c r="P57" s="98">
        <f>'Cash Flow %s Yr3'!P57</f>
        <v>0</v>
      </c>
      <c r="Q57" s="98">
        <f>'Cash Flow %s Yr3'!Q57</f>
        <v>0</v>
      </c>
      <c r="R57" s="98">
        <f>'Cash Flow %s Yr3'!R57</f>
        <v>0</v>
      </c>
      <c r="S57" s="97">
        <f t="shared" si="4"/>
        <v>0.99999999999999989</v>
      </c>
    </row>
    <row r="58" spans="1:19" x14ac:dyDescent="0.75">
      <c r="A58" s="35"/>
      <c r="B58" s="65" t="str">
        <f>'Expenses w MYP'!C13</f>
        <v>1305</v>
      </c>
      <c r="C58" s="65" t="str">
        <f>'Expenses w MYP'!D13</f>
        <v>Certificated Sup. and Admin. Stipends / Bonus</v>
      </c>
      <c r="D58" s="98">
        <f>'Cash Flow %s Yr3'!D58</f>
        <v>0</v>
      </c>
      <c r="E58" s="98">
        <f>'Cash Flow %s Yr3'!E58</f>
        <v>0</v>
      </c>
      <c r="F58" s="98">
        <f>'Cash Flow %s Yr3'!F58</f>
        <v>0</v>
      </c>
      <c r="G58" s="98">
        <f>'Cash Flow %s Yr3'!G58</f>
        <v>0</v>
      </c>
      <c r="H58" s="98">
        <f>'Cash Flow %s Yr3'!H58</f>
        <v>0</v>
      </c>
      <c r="I58" s="98">
        <f>'Cash Flow %s Yr3'!I58</f>
        <v>0</v>
      </c>
      <c r="J58" s="98">
        <f>'Cash Flow %s Yr3'!J58</f>
        <v>0</v>
      </c>
      <c r="K58" s="98">
        <f>'Cash Flow %s Yr3'!K58</f>
        <v>0</v>
      </c>
      <c r="L58" s="98">
        <f>'Cash Flow %s Yr3'!L58</f>
        <v>0</v>
      </c>
      <c r="M58" s="98">
        <f>'Cash Flow %s Yr3'!M58</f>
        <v>0</v>
      </c>
      <c r="N58" s="98">
        <f>'Cash Flow %s Yr3'!N58</f>
        <v>0</v>
      </c>
      <c r="O58" s="98">
        <f>'Cash Flow %s Yr3'!O58</f>
        <v>1</v>
      </c>
      <c r="P58" s="98">
        <f>'Cash Flow %s Yr3'!P58</f>
        <v>0</v>
      </c>
      <c r="Q58" s="98">
        <f>'Cash Flow %s Yr3'!Q58</f>
        <v>0</v>
      </c>
      <c r="R58" s="98">
        <f>'Cash Flow %s Yr3'!R58</f>
        <v>0</v>
      </c>
      <c r="S58" s="97">
        <f t="shared" si="4"/>
        <v>1</v>
      </c>
    </row>
    <row r="59" spans="1:19" x14ac:dyDescent="0.75">
      <c r="A59" s="35"/>
      <c r="B59" s="65" t="str">
        <f>'Expenses w MYP'!C14</f>
        <v>1900</v>
      </c>
      <c r="C59" s="65" t="str">
        <f>'Expenses w MYP'!D14</f>
        <v>Other Certificated Salaries</v>
      </c>
      <c r="D59" s="98">
        <f>'Cash Flow %s Yr3'!D59</f>
        <v>8.3000000000000004E-2</v>
      </c>
      <c r="E59" s="98">
        <f>'Cash Flow %s Yr3'!E59</f>
        <v>8.3000000000000004E-2</v>
      </c>
      <c r="F59" s="98">
        <f>'Cash Flow %s Yr3'!F59</f>
        <v>8.3000000000000004E-2</v>
      </c>
      <c r="G59" s="98">
        <f>'Cash Flow %s Yr3'!G59</f>
        <v>8.3000000000000004E-2</v>
      </c>
      <c r="H59" s="98">
        <f>'Cash Flow %s Yr3'!H59</f>
        <v>8.3000000000000004E-2</v>
      </c>
      <c r="I59" s="98">
        <f>'Cash Flow %s Yr3'!I59</f>
        <v>8.3000000000000004E-2</v>
      </c>
      <c r="J59" s="98">
        <f>'Cash Flow %s Yr3'!J59</f>
        <v>8.3000000000000004E-2</v>
      </c>
      <c r="K59" s="98">
        <f>'Cash Flow %s Yr3'!K59</f>
        <v>8.3000000000000004E-2</v>
      </c>
      <c r="L59" s="98">
        <f>'Cash Flow %s Yr3'!L59</f>
        <v>8.4000000000000005E-2</v>
      </c>
      <c r="M59" s="98">
        <f>'Cash Flow %s Yr3'!M59</f>
        <v>8.4000000000000005E-2</v>
      </c>
      <c r="N59" s="98">
        <f>'Cash Flow %s Yr3'!N59</f>
        <v>8.4000000000000005E-2</v>
      </c>
      <c r="O59" s="98">
        <f>'Cash Flow %s Yr3'!O59</f>
        <v>8.4000000000000005E-2</v>
      </c>
      <c r="P59" s="98">
        <f>'Cash Flow %s Yr3'!P59</f>
        <v>0</v>
      </c>
      <c r="Q59" s="98">
        <f>'Cash Flow %s Yr3'!Q59</f>
        <v>0</v>
      </c>
      <c r="R59" s="98">
        <f>'Cash Flow %s Yr3'!R59</f>
        <v>0</v>
      </c>
      <c r="S59" s="97">
        <f t="shared" si="4"/>
        <v>0.99999999999999989</v>
      </c>
    </row>
    <row r="60" spans="1:19" x14ac:dyDescent="0.75">
      <c r="A60" s="35"/>
      <c r="B60" s="65" t="str">
        <f>'Expenses w MYP'!C15</f>
        <v>1910</v>
      </c>
      <c r="C60" s="65" t="str">
        <f>'Expenses w MYP'!D15</f>
        <v>Other Certificated Overtime</v>
      </c>
      <c r="D60" s="98">
        <f>'Cash Flow %s Yr3'!D60</f>
        <v>0</v>
      </c>
      <c r="E60" s="98">
        <f>'Cash Flow %s Yr3'!E60</f>
        <v>0</v>
      </c>
      <c r="F60" s="98">
        <f>'Cash Flow %s Yr3'!F60</f>
        <v>0.1</v>
      </c>
      <c r="G60" s="98">
        <f>'Cash Flow %s Yr3'!G60</f>
        <v>0.1</v>
      </c>
      <c r="H60" s="98">
        <f>'Cash Flow %s Yr3'!H60</f>
        <v>0.1</v>
      </c>
      <c r="I60" s="98">
        <f>'Cash Flow %s Yr3'!I60</f>
        <v>0.1</v>
      </c>
      <c r="J60" s="98">
        <f>'Cash Flow %s Yr3'!J60</f>
        <v>0.1</v>
      </c>
      <c r="K60" s="98">
        <f>'Cash Flow %s Yr3'!K60</f>
        <v>0.1</v>
      </c>
      <c r="L60" s="98">
        <f>'Cash Flow %s Yr3'!L60</f>
        <v>0.1</v>
      </c>
      <c r="M60" s="98">
        <f>'Cash Flow %s Yr3'!M60</f>
        <v>0.1</v>
      </c>
      <c r="N60" s="98">
        <f>'Cash Flow %s Yr3'!N60</f>
        <v>0.1</v>
      </c>
      <c r="O60" s="98">
        <f>'Cash Flow %s Yr3'!O60</f>
        <v>0.1</v>
      </c>
      <c r="P60" s="98">
        <f>'Cash Flow %s Yr3'!P60</f>
        <v>0</v>
      </c>
      <c r="Q60" s="98">
        <f>'Cash Flow %s Yr3'!Q60</f>
        <v>0</v>
      </c>
      <c r="R60" s="98">
        <f>'Cash Flow %s Yr3'!R60</f>
        <v>0</v>
      </c>
      <c r="S60" s="97">
        <f t="shared" si="4"/>
        <v>0.99999999999999989</v>
      </c>
    </row>
    <row r="61" spans="1:19" x14ac:dyDescent="0.75">
      <c r="A61" s="35"/>
      <c r="C61" s="2"/>
      <c r="D61" s="88"/>
      <c r="E61" s="88"/>
      <c r="F61" s="105"/>
      <c r="G61" s="105"/>
      <c r="H61" s="105"/>
      <c r="I61" s="105"/>
      <c r="J61" s="105"/>
      <c r="K61" s="105"/>
      <c r="L61" s="105"/>
      <c r="M61" s="105"/>
      <c r="N61" s="105"/>
      <c r="O61" s="105"/>
      <c r="P61" s="88"/>
      <c r="Q61" s="88"/>
      <c r="R61" s="88"/>
      <c r="S61" s="97"/>
    </row>
    <row r="62" spans="1:19" s="31" customFormat="1" x14ac:dyDescent="0.75">
      <c r="A62" s="35"/>
      <c r="B62" s="39"/>
      <c r="C62" s="2"/>
      <c r="D62" s="88"/>
      <c r="E62" s="88"/>
      <c r="F62" s="88"/>
      <c r="G62" s="88"/>
      <c r="H62" s="88"/>
      <c r="I62" s="88"/>
      <c r="J62" s="88"/>
      <c r="K62" s="88"/>
      <c r="L62" s="88"/>
      <c r="M62" s="88"/>
      <c r="N62" s="88"/>
      <c r="O62" s="88"/>
      <c r="P62" s="88"/>
      <c r="Q62" s="88"/>
      <c r="R62" s="88"/>
      <c r="S62" s="97"/>
    </row>
    <row r="63" spans="1:19" s="31" customFormat="1" x14ac:dyDescent="0.75">
      <c r="B63" s="4" t="s">
        <v>732</v>
      </c>
      <c r="C63" s="2"/>
      <c r="D63" s="88"/>
      <c r="E63" s="88"/>
      <c r="F63" s="88"/>
      <c r="G63" s="88"/>
      <c r="H63" s="88"/>
      <c r="I63" s="88"/>
      <c r="J63" s="88"/>
      <c r="K63" s="88"/>
      <c r="L63" s="88"/>
      <c r="M63" s="88"/>
      <c r="N63" s="88"/>
      <c r="O63" s="88"/>
      <c r="P63" s="88"/>
      <c r="Q63" s="88"/>
      <c r="R63" s="88"/>
      <c r="S63" s="97"/>
    </row>
    <row r="64" spans="1:19" s="31" customFormat="1" x14ac:dyDescent="0.75">
      <c r="A64" s="35"/>
      <c r="B64" s="65" t="str">
        <f>'Expenses w MYP'!C19</f>
        <v>2100</v>
      </c>
      <c r="C64" s="65" t="str">
        <f>'Expenses w MYP'!D19</f>
        <v>Instructional Aide Salaries</v>
      </c>
      <c r="D64" s="98">
        <f>'Cash Flow %s Yr3'!D64</f>
        <v>0</v>
      </c>
      <c r="E64" s="98">
        <f>'Cash Flow %s Yr3'!E64</f>
        <v>0</v>
      </c>
      <c r="F64" s="98">
        <f>'Cash Flow %s Yr3'!F64</f>
        <v>0.1</v>
      </c>
      <c r="G64" s="98">
        <f>'Cash Flow %s Yr3'!G64</f>
        <v>0.1</v>
      </c>
      <c r="H64" s="98">
        <f>'Cash Flow %s Yr3'!H64</f>
        <v>0.1</v>
      </c>
      <c r="I64" s="98">
        <f>'Cash Flow %s Yr3'!I64</f>
        <v>0.1</v>
      </c>
      <c r="J64" s="98">
        <f>'Cash Flow %s Yr3'!J64</f>
        <v>0.1</v>
      </c>
      <c r="K64" s="98">
        <f>'Cash Flow %s Yr3'!K64</f>
        <v>0.1</v>
      </c>
      <c r="L64" s="98">
        <f>'Cash Flow %s Yr3'!L64</f>
        <v>0.1</v>
      </c>
      <c r="M64" s="98">
        <f>'Cash Flow %s Yr3'!M64</f>
        <v>0.1</v>
      </c>
      <c r="N64" s="98">
        <f>'Cash Flow %s Yr3'!N64</f>
        <v>0.1</v>
      </c>
      <c r="O64" s="98">
        <f>'Cash Flow %s Yr3'!O64</f>
        <v>0.1</v>
      </c>
      <c r="P64" s="98">
        <f>'Cash Flow %s Yr3'!P64</f>
        <v>0</v>
      </c>
      <c r="Q64" s="98">
        <f>'Cash Flow %s Yr3'!Q64</f>
        <v>0</v>
      </c>
      <c r="R64" s="98">
        <f>'Cash Flow %s Yr3'!R64</f>
        <v>0</v>
      </c>
      <c r="S64" s="97">
        <f t="shared" ref="S64:S73" si="5">SUM(D64:R64)</f>
        <v>0.99999999999999989</v>
      </c>
    </row>
    <row r="65" spans="1:19" s="31" customFormat="1" x14ac:dyDescent="0.75">
      <c r="A65" s="35"/>
      <c r="B65" s="65" t="str">
        <f>'Expenses w MYP'!C20</f>
        <v>2110</v>
      </c>
      <c r="C65" s="65" t="str">
        <f>'Expenses w MYP'!D20</f>
        <v>Instructional Aide Overtime</v>
      </c>
      <c r="D65" s="98">
        <f>'Cash Flow %s Yr3'!D65</f>
        <v>0</v>
      </c>
      <c r="E65" s="98">
        <f>'Cash Flow %s Yr3'!E65</f>
        <v>0</v>
      </c>
      <c r="F65" s="98">
        <f>'Cash Flow %s Yr3'!F65</f>
        <v>0.1</v>
      </c>
      <c r="G65" s="98">
        <f>'Cash Flow %s Yr3'!G65</f>
        <v>0.1</v>
      </c>
      <c r="H65" s="98">
        <f>'Cash Flow %s Yr3'!H65</f>
        <v>0.1</v>
      </c>
      <c r="I65" s="98">
        <f>'Cash Flow %s Yr3'!I65</f>
        <v>0.1</v>
      </c>
      <c r="J65" s="98">
        <f>'Cash Flow %s Yr3'!J65</f>
        <v>0.1</v>
      </c>
      <c r="K65" s="98">
        <f>'Cash Flow %s Yr3'!K65</f>
        <v>0.1</v>
      </c>
      <c r="L65" s="98">
        <f>'Cash Flow %s Yr3'!L65</f>
        <v>0.1</v>
      </c>
      <c r="M65" s="98">
        <f>'Cash Flow %s Yr3'!M65</f>
        <v>0.1</v>
      </c>
      <c r="N65" s="98">
        <f>'Cash Flow %s Yr3'!N65</f>
        <v>0.1</v>
      </c>
      <c r="O65" s="98">
        <f>'Cash Flow %s Yr3'!O65</f>
        <v>0.1</v>
      </c>
      <c r="P65" s="98">
        <f>'Cash Flow %s Yr3'!P65</f>
        <v>0</v>
      </c>
      <c r="Q65" s="98">
        <f>'Cash Flow %s Yr3'!Q65</f>
        <v>0</v>
      </c>
      <c r="R65" s="98">
        <f>'Cash Flow %s Yr3'!R65</f>
        <v>0</v>
      </c>
      <c r="S65" s="97">
        <f t="shared" si="5"/>
        <v>0.99999999999999989</v>
      </c>
    </row>
    <row r="66" spans="1:19" s="31" customFormat="1" x14ac:dyDescent="0.75">
      <c r="A66" s="35"/>
      <c r="B66" s="65" t="str">
        <f>'Expenses w MYP'!C21</f>
        <v>2200</v>
      </c>
      <c r="C66" s="65" t="str">
        <f>'Expenses w MYP'!D21</f>
        <v>Classified Support Salaries (Maintenance / Food)</v>
      </c>
      <c r="D66" s="98">
        <f>'Cash Flow %s Yr3'!D66</f>
        <v>0</v>
      </c>
      <c r="E66" s="98">
        <f>'Cash Flow %s Yr3'!E66</f>
        <v>0</v>
      </c>
      <c r="F66" s="98">
        <f>'Cash Flow %s Yr3'!F66</f>
        <v>0.1</v>
      </c>
      <c r="G66" s="98">
        <f>'Cash Flow %s Yr3'!G66</f>
        <v>0.1</v>
      </c>
      <c r="H66" s="98">
        <f>'Cash Flow %s Yr3'!H66</f>
        <v>0.1</v>
      </c>
      <c r="I66" s="98">
        <f>'Cash Flow %s Yr3'!I66</f>
        <v>0.1</v>
      </c>
      <c r="J66" s="98">
        <f>'Cash Flow %s Yr3'!J66</f>
        <v>0.1</v>
      </c>
      <c r="K66" s="98">
        <f>'Cash Flow %s Yr3'!K66</f>
        <v>0.1</v>
      </c>
      <c r="L66" s="98">
        <f>'Cash Flow %s Yr3'!L66</f>
        <v>0.1</v>
      </c>
      <c r="M66" s="98">
        <f>'Cash Flow %s Yr3'!M66</f>
        <v>0.1</v>
      </c>
      <c r="N66" s="98">
        <f>'Cash Flow %s Yr3'!N66</f>
        <v>0.1</v>
      </c>
      <c r="O66" s="98">
        <f>'Cash Flow %s Yr3'!O66</f>
        <v>0.1</v>
      </c>
      <c r="P66" s="98">
        <f>'Cash Flow %s Yr3'!P66</f>
        <v>0</v>
      </c>
      <c r="Q66" s="98">
        <f>'Cash Flow %s Yr3'!Q66</f>
        <v>0</v>
      </c>
      <c r="R66" s="98">
        <f>'Cash Flow %s Yr3'!R66</f>
        <v>0</v>
      </c>
      <c r="S66" s="97">
        <f t="shared" si="5"/>
        <v>0.99999999999999989</v>
      </c>
    </row>
    <row r="67" spans="1:19" s="31" customFormat="1" x14ac:dyDescent="0.75">
      <c r="A67" s="35"/>
      <c r="B67" s="65" t="str">
        <f>'Expenses w MYP'!C22</f>
        <v>2210</v>
      </c>
      <c r="C67" s="65" t="str">
        <f>'Expenses w MYP'!D22</f>
        <v>Classified Support Overtime</v>
      </c>
      <c r="D67" s="98">
        <f>'Cash Flow %s Yr3'!D67</f>
        <v>0</v>
      </c>
      <c r="E67" s="98">
        <f>'Cash Flow %s Yr3'!E67</f>
        <v>0</v>
      </c>
      <c r="F67" s="98">
        <f>'Cash Flow %s Yr3'!F67</f>
        <v>0.1</v>
      </c>
      <c r="G67" s="98">
        <f>'Cash Flow %s Yr3'!G67</f>
        <v>0.1</v>
      </c>
      <c r="H67" s="98">
        <f>'Cash Flow %s Yr3'!H67</f>
        <v>0.1</v>
      </c>
      <c r="I67" s="98">
        <f>'Cash Flow %s Yr3'!I67</f>
        <v>0.1</v>
      </c>
      <c r="J67" s="98">
        <f>'Cash Flow %s Yr3'!J67</f>
        <v>0.1</v>
      </c>
      <c r="K67" s="98">
        <f>'Cash Flow %s Yr3'!K67</f>
        <v>0.1</v>
      </c>
      <c r="L67" s="98">
        <f>'Cash Flow %s Yr3'!L67</f>
        <v>0.1</v>
      </c>
      <c r="M67" s="98">
        <f>'Cash Flow %s Yr3'!M67</f>
        <v>0.1</v>
      </c>
      <c r="N67" s="98">
        <f>'Cash Flow %s Yr3'!N67</f>
        <v>0.1</v>
      </c>
      <c r="O67" s="98">
        <f>'Cash Flow %s Yr3'!O67</f>
        <v>0.1</v>
      </c>
      <c r="P67" s="98">
        <f>'Cash Flow %s Yr3'!P67</f>
        <v>0</v>
      </c>
      <c r="Q67" s="98">
        <f>'Cash Flow %s Yr3'!Q67</f>
        <v>0</v>
      </c>
      <c r="R67" s="98">
        <f>'Cash Flow %s Yr3'!R67</f>
        <v>0</v>
      </c>
      <c r="S67" s="97">
        <f t="shared" si="5"/>
        <v>0.99999999999999989</v>
      </c>
    </row>
    <row r="68" spans="1:19" s="31" customFormat="1" x14ac:dyDescent="0.75">
      <c r="A68" s="35"/>
      <c r="B68" s="65" t="str">
        <f>'Expenses w MYP'!C23</f>
        <v>2300</v>
      </c>
      <c r="C68" s="65" t="str">
        <f>'Expenses w MYP'!D23</f>
        <v>Classified Supervisor and Administrator Salaries</v>
      </c>
      <c r="D68" s="98">
        <f>'Cash Flow %s Yr3'!D68</f>
        <v>8.3000000000000004E-2</v>
      </c>
      <c r="E68" s="98">
        <f>'Cash Flow %s Yr3'!E68</f>
        <v>8.3000000000000004E-2</v>
      </c>
      <c r="F68" s="98">
        <f>'Cash Flow %s Yr3'!F68</f>
        <v>8.3000000000000004E-2</v>
      </c>
      <c r="G68" s="98">
        <f>'Cash Flow %s Yr3'!G68</f>
        <v>8.3000000000000004E-2</v>
      </c>
      <c r="H68" s="98">
        <f>'Cash Flow %s Yr3'!H68</f>
        <v>8.3000000000000004E-2</v>
      </c>
      <c r="I68" s="98">
        <f>'Cash Flow %s Yr3'!I68</f>
        <v>8.3000000000000004E-2</v>
      </c>
      <c r="J68" s="98">
        <f>'Cash Flow %s Yr3'!J68</f>
        <v>8.3000000000000004E-2</v>
      </c>
      <c r="K68" s="98">
        <f>'Cash Flow %s Yr3'!K68</f>
        <v>8.3000000000000004E-2</v>
      </c>
      <c r="L68" s="98">
        <f>'Cash Flow %s Yr3'!L68</f>
        <v>8.4000000000000005E-2</v>
      </c>
      <c r="M68" s="98">
        <f>'Cash Flow %s Yr3'!M68</f>
        <v>8.4000000000000005E-2</v>
      </c>
      <c r="N68" s="98">
        <f>'Cash Flow %s Yr3'!N68</f>
        <v>8.4000000000000005E-2</v>
      </c>
      <c r="O68" s="98">
        <f>'Cash Flow %s Yr3'!O68</f>
        <v>8.4000000000000005E-2</v>
      </c>
      <c r="P68" s="98">
        <f>'Cash Flow %s Yr3'!P68</f>
        <v>0</v>
      </c>
      <c r="Q68" s="98">
        <f>'Cash Flow %s Yr3'!Q68</f>
        <v>0</v>
      </c>
      <c r="R68" s="98">
        <f>'Cash Flow %s Yr3'!R68</f>
        <v>0</v>
      </c>
      <c r="S68" s="97">
        <f t="shared" si="5"/>
        <v>0.99999999999999989</v>
      </c>
    </row>
    <row r="69" spans="1:19" s="31" customFormat="1" x14ac:dyDescent="0.75">
      <c r="A69" s="35"/>
      <c r="B69" s="65" t="str">
        <f>'Expenses w MYP'!C24</f>
        <v>2400</v>
      </c>
      <c r="C69" s="65" t="str">
        <f>'Expenses w MYP'!D24</f>
        <v>Clerical, Technical, and Office Staff Salaries</v>
      </c>
      <c r="D69" s="98">
        <f>'Cash Flow %s Yr3'!D69</f>
        <v>8.3000000000000004E-2</v>
      </c>
      <c r="E69" s="98">
        <f>'Cash Flow %s Yr3'!E69</f>
        <v>8.3000000000000004E-2</v>
      </c>
      <c r="F69" s="98">
        <f>'Cash Flow %s Yr3'!F69</f>
        <v>8.3000000000000004E-2</v>
      </c>
      <c r="G69" s="98">
        <f>'Cash Flow %s Yr3'!G69</f>
        <v>8.3000000000000004E-2</v>
      </c>
      <c r="H69" s="98">
        <f>'Cash Flow %s Yr3'!H69</f>
        <v>8.3000000000000004E-2</v>
      </c>
      <c r="I69" s="98">
        <f>'Cash Flow %s Yr3'!I69</f>
        <v>8.3000000000000004E-2</v>
      </c>
      <c r="J69" s="98">
        <f>'Cash Flow %s Yr3'!J69</f>
        <v>8.3000000000000004E-2</v>
      </c>
      <c r="K69" s="98">
        <f>'Cash Flow %s Yr3'!K69</f>
        <v>8.3000000000000004E-2</v>
      </c>
      <c r="L69" s="98">
        <f>'Cash Flow %s Yr3'!L69</f>
        <v>8.4000000000000005E-2</v>
      </c>
      <c r="M69" s="98">
        <f>'Cash Flow %s Yr3'!M69</f>
        <v>8.4000000000000005E-2</v>
      </c>
      <c r="N69" s="98">
        <f>'Cash Flow %s Yr3'!N69</f>
        <v>8.4000000000000005E-2</v>
      </c>
      <c r="O69" s="98">
        <f>'Cash Flow %s Yr3'!O69</f>
        <v>8.4000000000000005E-2</v>
      </c>
      <c r="P69" s="98">
        <f>'Cash Flow %s Yr3'!P69</f>
        <v>0</v>
      </c>
      <c r="Q69" s="98">
        <f>'Cash Flow %s Yr3'!Q69</f>
        <v>0</v>
      </c>
      <c r="R69" s="98">
        <f>'Cash Flow %s Yr3'!R69</f>
        <v>0</v>
      </c>
      <c r="S69" s="97">
        <f t="shared" si="5"/>
        <v>0.99999999999999989</v>
      </c>
    </row>
    <row r="70" spans="1:19" s="31" customFormat="1" x14ac:dyDescent="0.75">
      <c r="A70" s="35"/>
      <c r="B70" s="65" t="str">
        <f>'Expenses w MYP'!C25</f>
        <v>2410</v>
      </c>
      <c r="C70" s="65" t="str">
        <f>'Expenses w MYP'!D25</f>
        <v>Clerical, Technical, and Office Staff Overtime</v>
      </c>
      <c r="D70" s="98">
        <f>'Cash Flow %s Yr3'!D70</f>
        <v>0</v>
      </c>
      <c r="E70" s="98">
        <f>'Cash Flow %s Yr3'!E70</f>
        <v>0</v>
      </c>
      <c r="F70" s="98">
        <f>'Cash Flow %s Yr3'!F70</f>
        <v>0.1</v>
      </c>
      <c r="G70" s="98">
        <f>'Cash Flow %s Yr3'!G70</f>
        <v>0.1</v>
      </c>
      <c r="H70" s="98">
        <f>'Cash Flow %s Yr3'!H70</f>
        <v>0.1</v>
      </c>
      <c r="I70" s="98">
        <f>'Cash Flow %s Yr3'!I70</f>
        <v>0.1</v>
      </c>
      <c r="J70" s="98">
        <f>'Cash Flow %s Yr3'!J70</f>
        <v>0.1</v>
      </c>
      <c r="K70" s="98">
        <f>'Cash Flow %s Yr3'!K70</f>
        <v>0.1</v>
      </c>
      <c r="L70" s="98">
        <f>'Cash Flow %s Yr3'!L70</f>
        <v>0.1</v>
      </c>
      <c r="M70" s="98">
        <f>'Cash Flow %s Yr3'!M70</f>
        <v>0.1</v>
      </c>
      <c r="N70" s="98">
        <f>'Cash Flow %s Yr3'!N70</f>
        <v>0.1</v>
      </c>
      <c r="O70" s="98">
        <f>'Cash Flow %s Yr3'!O70</f>
        <v>0.1</v>
      </c>
      <c r="P70" s="98">
        <f>'Cash Flow %s Yr3'!P70</f>
        <v>0</v>
      </c>
      <c r="Q70" s="98">
        <f>'Cash Flow %s Yr3'!Q70</f>
        <v>0</v>
      </c>
      <c r="R70" s="98">
        <f>'Cash Flow %s Yr3'!R70</f>
        <v>0</v>
      </c>
      <c r="S70" s="97">
        <f t="shared" si="5"/>
        <v>0.99999999999999989</v>
      </c>
    </row>
    <row r="71" spans="1:19" s="31" customFormat="1" x14ac:dyDescent="0.75">
      <c r="A71" s="35"/>
      <c r="B71" s="65" t="str">
        <f>'Expenses w MYP'!C26</f>
        <v>2900</v>
      </c>
      <c r="C71" s="65" t="str">
        <f>'Expenses w MYP'!D26</f>
        <v>Other Classified Salaries</v>
      </c>
      <c r="D71" s="98">
        <f>'Cash Flow %s Yr3'!D71</f>
        <v>0</v>
      </c>
      <c r="E71" s="98">
        <f>'Cash Flow %s Yr3'!E71</f>
        <v>0</v>
      </c>
      <c r="F71" s="98">
        <f>'Cash Flow %s Yr3'!F71</f>
        <v>0.1</v>
      </c>
      <c r="G71" s="98">
        <f>'Cash Flow %s Yr3'!G71</f>
        <v>0.1</v>
      </c>
      <c r="H71" s="98">
        <f>'Cash Flow %s Yr3'!H71</f>
        <v>0.1</v>
      </c>
      <c r="I71" s="98">
        <f>'Cash Flow %s Yr3'!I71</f>
        <v>0.1</v>
      </c>
      <c r="J71" s="98">
        <f>'Cash Flow %s Yr3'!J71</f>
        <v>0.1</v>
      </c>
      <c r="K71" s="98">
        <f>'Cash Flow %s Yr3'!K71</f>
        <v>0.1</v>
      </c>
      <c r="L71" s="98">
        <f>'Cash Flow %s Yr3'!L71</f>
        <v>0.1</v>
      </c>
      <c r="M71" s="98">
        <f>'Cash Flow %s Yr3'!M71</f>
        <v>0.1</v>
      </c>
      <c r="N71" s="98">
        <f>'Cash Flow %s Yr3'!N71</f>
        <v>0.1</v>
      </c>
      <c r="O71" s="98">
        <f>'Cash Flow %s Yr3'!O71</f>
        <v>0.1</v>
      </c>
      <c r="P71" s="98">
        <f>'Cash Flow %s Yr3'!P71</f>
        <v>0</v>
      </c>
      <c r="Q71" s="98">
        <f>'Cash Flow %s Yr3'!Q71</f>
        <v>0</v>
      </c>
      <c r="R71" s="98">
        <f>'Cash Flow %s Yr3'!R71</f>
        <v>0</v>
      </c>
      <c r="S71" s="97">
        <f t="shared" si="5"/>
        <v>0.99999999999999989</v>
      </c>
    </row>
    <row r="72" spans="1:19" s="31" customFormat="1" x14ac:dyDescent="0.75">
      <c r="A72" s="35"/>
      <c r="B72" s="65" t="str">
        <f>'Expenses w MYP'!C27</f>
        <v>2905</v>
      </c>
      <c r="C72" s="65" t="str">
        <f>'Expenses w MYP'!D27</f>
        <v>Other Stipends</v>
      </c>
      <c r="D72" s="98">
        <f>'Cash Flow %s Yr3'!D72</f>
        <v>0</v>
      </c>
      <c r="E72" s="98">
        <f>'Cash Flow %s Yr3'!E72</f>
        <v>0</v>
      </c>
      <c r="F72" s="98">
        <f>'Cash Flow %s Yr3'!F72</f>
        <v>0.1</v>
      </c>
      <c r="G72" s="98">
        <f>'Cash Flow %s Yr3'!G72</f>
        <v>0.1</v>
      </c>
      <c r="H72" s="98">
        <f>'Cash Flow %s Yr3'!H72</f>
        <v>0.1</v>
      </c>
      <c r="I72" s="98">
        <f>'Cash Flow %s Yr3'!I72</f>
        <v>0.1</v>
      </c>
      <c r="J72" s="98">
        <f>'Cash Flow %s Yr3'!J72</f>
        <v>0.1</v>
      </c>
      <c r="K72" s="98">
        <f>'Cash Flow %s Yr3'!K72</f>
        <v>0.1</v>
      </c>
      <c r="L72" s="98">
        <f>'Cash Flow %s Yr3'!L72</f>
        <v>0.1</v>
      </c>
      <c r="M72" s="98">
        <f>'Cash Flow %s Yr3'!M72</f>
        <v>0.1</v>
      </c>
      <c r="N72" s="98">
        <f>'Cash Flow %s Yr3'!N72</f>
        <v>0.1</v>
      </c>
      <c r="O72" s="98">
        <f>'Cash Flow %s Yr3'!O72</f>
        <v>0.1</v>
      </c>
      <c r="P72" s="98">
        <f>'Cash Flow %s Yr3'!P72</f>
        <v>0</v>
      </c>
      <c r="Q72" s="98">
        <f>'Cash Flow %s Yr3'!Q72</f>
        <v>0</v>
      </c>
      <c r="R72" s="98">
        <f>'Cash Flow %s Yr3'!R72</f>
        <v>0</v>
      </c>
      <c r="S72" s="97">
        <f t="shared" si="5"/>
        <v>0.99999999999999989</v>
      </c>
    </row>
    <row r="73" spans="1:19" s="31" customFormat="1" x14ac:dyDescent="0.75">
      <c r="A73" s="35"/>
      <c r="B73" s="65" t="str">
        <f>'Expenses w MYP'!C28</f>
        <v>2910</v>
      </c>
      <c r="C73" s="65" t="str">
        <f>'Expenses w MYP'!D28</f>
        <v>Other Classified Overtime</v>
      </c>
      <c r="D73" s="98">
        <f>'Cash Flow %s Yr3'!D73</f>
        <v>0</v>
      </c>
      <c r="E73" s="98">
        <f>'Cash Flow %s Yr3'!E73</f>
        <v>0</v>
      </c>
      <c r="F73" s="98">
        <f>'Cash Flow %s Yr3'!F73</f>
        <v>0.1</v>
      </c>
      <c r="G73" s="98">
        <f>'Cash Flow %s Yr3'!G73</f>
        <v>0.1</v>
      </c>
      <c r="H73" s="98">
        <f>'Cash Flow %s Yr3'!H73</f>
        <v>0.1</v>
      </c>
      <c r="I73" s="98">
        <f>'Cash Flow %s Yr3'!I73</f>
        <v>0.1</v>
      </c>
      <c r="J73" s="98">
        <f>'Cash Flow %s Yr3'!J73</f>
        <v>0.1</v>
      </c>
      <c r="K73" s="98">
        <f>'Cash Flow %s Yr3'!K73</f>
        <v>0.1</v>
      </c>
      <c r="L73" s="98">
        <f>'Cash Flow %s Yr3'!L73</f>
        <v>0.1</v>
      </c>
      <c r="M73" s="98">
        <f>'Cash Flow %s Yr3'!M73</f>
        <v>0.1</v>
      </c>
      <c r="N73" s="98">
        <f>'Cash Flow %s Yr3'!N73</f>
        <v>0.1</v>
      </c>
      <c r="O73" s="98">
        <f>'Cash Flow %s Yr3'!O73</f>
        <v>0.1</v>
      </c>
      <c r="P73" s="98">
        <f>'Cash Flow %s Yr3'!P73</f>
        <v>0</v>
      </c>
      <c r="Q73" s="98">
        <f>'Cash Flow %s Yr3'!Q73</f>
        <v>0</v>
      </c>
      <c r="R73" s="98">
        <f>'Cash Flow %s Yr3'!R73</f>
        <v>0</v>
      </c>
      <c r="S73" s="97">
        <f t="shared" si="5"/>
        <v>0.99999999999999989</v>
      </c>
    </row>
    <row r="74" spans="1:19" s="31" customFormat="1" x14ac:dyDescent="0.75">
      <c r="A74" s="35"/>
      <c r="B74" s="39"/>
      <c r="C74" s="2"/>
      <c r="D74" s="88"/>
      <c r="E74" s="88"/>
      <c r="F74" s="105"/>
      <c r="G74" s="105"/>
      <c r="H74" s="105"/>
      <c r="I74" s="105"/>
      <c r="J74" s="105"/>
      <c r="K74" s="105"/>
      <c r="L74" s="105"/>
      <c r="M74" s="105"/>
      <c r="N74" s="105"/>
      <c r="O74" s="105"/>
      <c r="P74" s="88"/>
      <c r="Q74" s="88"/>
      <c r="R74" s="88"/>
      <c r="S74" s="97"/>
    </row>
    <row r="75" spans="1:19" s="31" customFormat="1" x14ac:dyDescent="0.75">
      <c r="A75" s="35"/>
      <c r="B75" s="39"/>
      <c r="C75" s="2"/>
      <c r="D75" s="88"/>
      <c r="E75" s="88"/>
      <c r="F75" s="88"/>
      <c r="G75" s="88"/>
      <c r="H75" s="88"/>
      <c r="I75" s="88"/>
      <c r="J75" s="88"/>
      <c r="K75" s="88"/>
      <c r="L75" s="88"/>
      <c r="M75" s="88"/>
      <c r="N75" s="88"/>
      <c r="O75" s="88"/>
      <c r="P75" s="88"/>
      <c r="Q75" s="88"/>
      <c r="R75" s="88"/>
      <c r="S75" s="97"/>
    </row>
    <row r="76" spans="1:19" s="31" customFormat="1" x14ac:dyDescent="0.75">
      <c r="B76" s="34" t="s">
        <v>733</v>
      </c>
      <c r="C76" s="2"/>
      <c r="D76" s="88"/>
      <c r="E76" s="88"/>
      <c r="F76" s="88"/>
      <c r="G76" s="88"/>
      <c r="H76" s="88"/>
      <c r="I76" s="88"/>
      <c r="J76" s="88"/>
      <c r="K76" s="88"/>
      <c r="L76" s="88"/>
      <c r="M76" s="88"/>
      <c r="N76" s="88"/>
      <c r="O76" s="88"/>
      <c r="P76" s="88"/>
      <c r="Q76" s="88"/>
      <c r="R76" s="88"/>
      <c r="S76" s="97"/>
    </row>
    <row r="77" spans="1:19" s="31" customFormat="1" x14ac:dyDescent="0.75">
      <c r="A77" s="35"/>
      <c r="B77" s="65" t="str">
        <f>'Expenses w MYP'!C32</f>
        <v>3101</v>
      </c>
      <c r="C77" s="65" t="str">
        <f>'Expenses w MYP'!D32</f>
        <v>State Teachers' Retirement System, certificated positions</v>
      </c>
      <c r="D77" s="98">
        <f>'Cash Flow %s Yr3'!D77</f>
        <v>0.02</v>
      </c>
      <c r="E77" s="98">
        <f>'Cash Flow %s Yr3'!E77</f>
        <v>0.02</v>
      </c>
      <c r="F77" s="98">
        <f>'Cash Flow %s Yr3'!F77</f>
        <v>0.1</v>
      </c>
      <c r="G77" s="98">
        <f>'Cash Flow %s Yr3'!G77</f>
        <v>0.1</v>
      </c>
      <c r="H77" s="98">
        <f>'Cash Flow %s Yr3'!H77</f>
        <v>0.1</v>
      </c>
      <c r="I77" s="98">
        <f>'Cash Flow %s Yr3'!I77</f>
        <v>0.1</v>
      </c>
      <c r="J77" s="98">
        <f>'Cash Flow %s Yr3'!J77</f>
        <v>0.1</v>
      </c>
      <c r="K77" s="98">
        <f>'Cash Flow %s Yr3'!K77</f>
        <v>0.1</v>
      </c>
      <c r="L77" s="98">
        <f>'Cash Flow %s Yr3'!L77</f>
        <v>0.1</v>
      </c>
      <c r="M77" s="98">
        <f>'Cash Flow %s Yr3'!M77</f>
        <v>0.1</v>
      </c>
      <c r="N77" s="98">
        <f>'Cash Flow %s Yr3'!N77</f>
        <v>0.1</v>
      </c>
      <c r="O77" s="98">
        <f>'Cash Flow %s Yr3'!O77</f>
        <v>0.06</v>
      </c>
      <c r="P77" s="98">
        <f>'Cash Flow %s Yr3'!P77</f>
        <v>0</v>
      </c>
      <c r="Q77" s="98">
        <f>'Cash Flow %s Yr3'!Q77</f>
        <v>0</v>
      </c>
      <c r="R77" s="98">
        <f>'Cash Flow %s Yr3'!R77</f>
        <v>0</v>
      </c>
      <c r="S77" s="97">
        <f t="shared" ref="S77:S85" si="6">SUM(D77:R77)</f>
        <v>1</v>
      </c>
    </row>
    <row r="78" spans="1:19" s="31" customFormat="1" x14ac:dyDescent="0.75">
      <c r="A78" s="35"/>
      <c r="B78" s="65" t="str">
        <f>'Expenses w MYP'!C45</f>
        <v>3602</v>
      </c>
      <c r="C78" s="65" t="str">
        <f>'Expenses w MYP'!D45</f>
        <v>Worker's Comp - Classified</v>
      </c>
      <c r="D78" s="98">
        <f>'Cash Flow %s Yr3'!D78</f>
        <v>0.02</v>
      </c>
      <c r="E78" s="98">
        <f>'Cash Flow %s Yr3'!E78</f>
        <v>0.02</v>
      </c>
      <c r="F78" s="98">
        <f>'Cash Flow %s Yr3'!F78</f>
        <v>0.1</v>
      </c>
      <c r="G78" s="98">
        <f>'Cash Flow %s Yr3'!G78</f>
        <v>0.1</v>
      </c>
      <c r="H78" s="98">
        <f>'Cash Flow %s Yr3'!H78</f>
        <v>0.1</v>
      </c>
      <c r="I78" s="98">
        <f>'Cash Flow %s Yr3'!I78</f>
        <v>0.1</v>
      </c>
      <c r="J78" s="98">
        <f>'Cash Flow %s Yr3'!J78</f>
        <v>0.1</v>
      </c>
      <c r="K78" s="98">
        <f>'Cash Flow %s Yr3'!K78</f>
        <v>0.1</v>
      </c>
      <c r="L78" s="98">
        <f>'Cash Flow %s Yr3'!L78</f>
        <v>0.1</v>
      </c>
      <c r="M78" s="98">
        <f>'Cash Flow %s Yr3'!M78</f>
        <v>0.1</v>
      </c>
      <c r="N78" s="98">
        <f>'Cash Flow %s Yr3'!N78</f>
        <v>0.1</v>
      </c>
      <c r="O78" s="98">
        <f>'Cash Flow %s Yr3'!O78</f>
        <v>0.06</v>
      </c>
      <c r="P78" s="98">
        <f>'Cash Flow %s Yr3'!P78</f>
        <v>0</v>
      </c>
      <c r="Q78" s="98">
        <f>'Cash Flow %s Yr3'!Q78</f>
        <v>0</v>
      </c>
      <c r="R78" s="98">
        <f>'Cash Flow %s Yr3'!R78</f>
        <v>0</v>
      </c>
      <c r="S78" s="97">
        <f t="shared" si="6"/>
        <v>1</v>
      </c>
    </row>
    <row r="79" spans="1:19" s="31" customFormat="1" x14ac:dyDescent="0.75">
      <c r="A79" s="35"/>
      <c r="B79" s="65" t="str">
        <f>'Expenses w MYP'!C46</f>
        <v>3603</v>
      </c>
      <c r="C79" s="65" t="str">
        <f>'Expenses w MYP'!D46</f>
        <v>Worker Compensation Insurance</v>
      </c>
      <c r="D79" s="98">
        <f>'Cash Flow %s Yr3'!D79</f>
        <v>0.02</v>
      </c>
      <c r="E79" s="98">
        <f>'Cash Flow %s Yr3'!E79</f>
        <v>0.02</v>
      </c>
      <c r="F79" s="98">
        <f>'Cash Flow %s Yr3'!F79</f>
        <v>0.1</v>
      </c>
      <c r="G79" s="98">
        <f>'Cash Flow %s Yr3'!G79</f>
        <v>0.1</v>
      </c>
      <c r="H79" s="98">
        <f>'Cash Flow %s Yr3'!H79</f>
        <v>0.1</v>
      </c>
      <c r="I79" s="98">
        <f>'Cash Flow %s Yr3'!I79</f>
        <v>0.1</v>
      </c>
      <c r="J79" s="98">
        <f>'Cash Flow %s Yr3'!J79</f>
        <v>0.1</v>
      </c>
      <c r="K79" s="98">
        <f>'Cash Flow %s Yr3'!K79</f>
        <v>0.1</v>
      </c>
      <c r="L79" s="98">
        <f>'Cash Flow %s Yr3'!L79</f>
        <v>0.1</v>
      </c>
      <c r="M79" s="98">
        <f>'Cash Flow %s Yr3'!M79</f>
        <v>0.1</v>
      </c>
      <c r="N79" s="98">
        <f>'Cash Flow %s Yr3'!N79</f>
        <v>0.1</v>
      </c>
      <c r="O79" s="98">
        <f>'Cash Flow %s Yr3'!O79</f>
        <v>0.06</v>
      </c>
      <c r="P79" s="98">
        <f>'Cash Flow %s Yr3'!P79</f>
        <v>0</v>
      </c>
      <c r="Q79" s="98">
        <f>'Cash Flow %s Yr3'!Q79</f>
        <v>0</v>
      </c>
      <c r="R79" s="98">
        <f>'Cash Flow %s Yr3'!R79</f>
        <v>0</v>
      </c>
      <c r="S79" s="97">
        <f t="shared" si="6"/>
        <v>1</v>
      </c>
    </row>
    <row r="80" spans="1:19" s="31" customFormat="1" x14ac:dyDescent="0.75">
      <c r="A80" s="35"/>
      <c r="B80" s="65" t="str">
        <f>'Expenses w MYP'!C47</f>
        <v>3703</v>
      </c>
      <c r="C80" s="65">
        <f>'Expenses w MYP'!D47</f>
        <v>0</v>
      </c>
      <c r="D80" s="98">
        <f>'Cash Flow %s Yr3'!D80</f>
        <v>0.02</v>
      </c>
      <c r="E80" s="98">
        <f>'Cash Flow %s Yr3'!E80</f>
        <v>0.02</v>
      </c>
      <c r="F80" s="98">
        <f>'Cash Flow %s Yr3'!F80</f>
        <v>0.1</v>
      </c>
      <c r="G80" s="98">
        <f>'Cash Flow %s Yr3'!G80</f>
        <v>0.1</v>
      </c>
      <c r="H80" s="98">
        <f>'Cash Flow %s Yr3'!H80</f>
        <v>0.1</v>
      </c>
      <c r="I80" s="98">
        <f>'Cash Flow %s Yr3'!I80</f>
        <v>0.1</v>
      </c>
      <c r="J80" s="98">
        <f>'Cash Flow %s Yr3'!J80</f>
        <v>0.1</v>
      </c>
      <c r="K80" s="98">
        <f>'Cash Flow %s Yr3'!K80</f>
        <v>0.1</v>
      </c>
      <c r="L80" s="98">
        <f>'Cash Flow %s Yr3'!L80</f>
        <v>0.1</v>
      </c>
      <c r="M80" s="98">
        <f>'Cash Flow %s Yr3'!M80</f>
        <v>0.1</v>
      </c>
      <c r="N80" s="98">
        <f>'Cash Flow %s Yr3'!N80</f>
        <v>0.1</v>
      </c>
      <c r="O80" s="98">
        <f>'Cash Flow %s Yr3'!O80</f>
        <v>0.06</v>
      </c>
      <c r="P80" s="98">
        <f>'Cash Flow %s Yr3'!P80</f>
        <v>0</v>
      </c>
      <c r="Q80" s="98">
        <f>'Cash Flow %s Yr3'!Q80</f>
        <v>0</v>
      </c>
      <c r="R80" s="98">
        <f>'Cash Flow %s Yr3'!R80</f>
        <v>0</v>
      </c>
      <c r="S80" s="97">
        <f t="shared" si="6"/>
        <v>1</v>
      </c>
    </row>
    <row r="81" spans="1:19" s="31" customFormat="1" x14ac:dyDescent="0.75">
      <c r="A81" s="35"/>
      <c r="B81" s="65" t="str">
        <f>'Expenses w MYP'!C48</f>
        <v>3901</v>
      </c>
      <c r="C81" s="65" t="str">
        <f>'Expenses w MYP'!D48</f>
        <v>Other Employee Benefits - Certificated</v>
      </c>
      <c r="D81" s="98">
        <f>'Cash Flow %s Yr3'!D81</f>
        <v>0.02</v>
      </c>
      <c r="E81" s="98">
        <f>'Cash Flow %s Yr3'!E81</f>
        <v>0.02</v>
      </c>
      <c r="F81" s="98">
        <f>'Cash Flow %s Yr3'!F81</f>
        <v>0.1</v>
      </c>
      <c r="G81" s="98">
        <f>'Cash Flow %s Yr3'!G81</f>
        <v>0.1</v>
      </c>
      <c r="H81" s="98">
        <f>'Cash Flow %s Yr3'!H81</f>
        <v>0.1</v>
      </c>
      <c r="I81" s="98">
        <f>'Cash Flow %s Yr3'!I81</f>
        <v>0.1</v>
      </c>
      <c r="J81" s="98">
        <f>'Cash Flow %s Yr3'!J81</f>
        <v>0.1</v>
      </c>
      <c r="K81" s="98">
        <f>'Cash Flow %s Yr3'!K81</f>
        <v>0.1</v>
      </c>
      <c r="L81" s="98">
        <f>'Cash Flow %s Yr3'!L81</f>
        <v>0.1</v>
      </c>
      <c r="M81" s="98">
        <f>'Cash Flow %s Yr3'!M81</f>
        <v>0.1</v>
      </c>
      <c r="N81" s="98">
        <f>'Cash Flow %s Yr3'!N81</f>
        <v>0.1</v>
      </c>
      <c r="O81" s="98">
        <f>'Cash Flow %s Yr3'!O81</f>
        <v>0.06</v>
      </c>
      <c r="P81" s="98">
        <f>'Cash Flow %s Yr3'!P81</f>
        <v>0</v>
      </c>
      <c r="Q81" s="98">
        <f>'Cash Flow %s Yr3'!Q81</f>
        <v>0</v>
      </c>
      <c r="R81" s="98">
        <f>'Cash Flow %s Yr3'!R81</f>
        <v>0</v>
      </c>
      <c r="S81" s="97">
        <f t="shared" si="6"/>
        <v>1</v>
      </c>
    </row>
    <row r="82" spans="1:19" s="31" customFormat="1" x14ac:dyDescent="0.75">
      <c r="A82" s="35"/>
      <c r="B82" s="65" t="str">
        <f>'Expenses w MYP'!C49</f>
        <v>3902</v>
      </c>
      <c r="C82" s="65" t="str">
        <f>'Expenses w MYP'!D49</f>
        <v>Other Employee Benefits - Classified</v>
      </c>
      <c r="D82" s="98">
        <f>'Cash Flow %s Yr3'!D82</f>
        <v>0.02</v>
      </c>
      <c r="E82" s="98">
        <f>'Cash Flow %s Yr3'!E82</f>
        <v>0.02</v>
      </c>
      <c r="F82" s="98">
        <f>'Cash Flow %s Yr3'!F82</f>
        <v>0.1</v>
      </c>
      <c r="G82" s="98">
        <f>'Cash Flow %s Yr3'!G82</f>
        <v>0.1</v>
      </c>
      <c r="H82" s="98">
        <f>'Cash Flow %s Yr3'!H82</f>
        <v>0.1</v>
      </c>
      <c r="I82" s="98">
        <f>'Cash Flow %s Yr3'!I82</f>
        <v>0.1</v>
      </c>
      <c r="J82" s="98">
        <f>'Cash Flow %s Yr3'!J82</f>
        <v>0.1</v>
      </c>
      <c r="K82" s="98">
        <f>'Cash Flow %s Yr3'!K82</f>
        <v>0.1</v>
      </c>
      <c r="L82" s="98">
        <f>'Cash Flow %s Yr3'!L82</f>
        <v>0.1</v>
      </c>
      <c r="M82" s="98">
        <f>'Cash Flow %s Yr3'!M82</f>
        <v>0.1</v>
      </c>
      <c r="N82" s="98">
        <f>'Cash Flow %s Yr3'!N82</f>
        <v>0.1</v>
      </c>
      <c r="O82" s="98">
        <f>'Cash Flow %s Yr3'!O82</f>
        <v>0.06</v>
      </c>
      <c r="P82" s="98">
        <f>'Cash Flow %s Yr3'!P82</f>
        <v>0</v>
      </c>
      <c r="Q82" s="98">
        <f>'Cash Flow %s Yr3'!Q82</f>
        <v>0</v>
      </c>
      <c r="R82" s="98">
        <f>'Cash Flow %s Yr3'!R82</f>
        <v>0</v>
      </c>
      <c r="S82" s="97">
        <f t="shared" si="6"/>
        <v>1</v>
      </c>
    </row>
    <row r="83" spans="1:19" s="31" customFormat="1" x14ac:dyDescent="0.75">
      <c r="A83" s="35"/>
      <c r="B83" s="65" t="str">
        <f>'Expenses w MYP'!C50</f>
        <v>3903</v>
      </c>
      <c r="C83" s="65" t="str">
        <f>'Expenses w MYP'!D50</f>
        <v>Other Post Employment Benefits</v>
      </c>
      <c r="D83" s="98">
        <f>'Cash Flow %s Yr3'!D83</f>
        <v>0.02</v>
      </c>
      <c r="E83" s="98">
        <f>'Cash Flow %s Yr3'!E83</f>
        <v>0.02</v>
      </c>
      <c r="F83" s="98">
        <f>'Cash Flow %s Yr3'!F83</f>
        <v>0.1</v>
      </c>
      <c r="G83" s="98">
        <f>'Cash Flow %s Yr3'!G83</f>
        <v>0.1</v>
      </c>
      <c r="H83" s="98">
        <f>'Cash Flow %s Yr3'!H83</f>
        <v>0.1</v>
      </c>
      <c r="I83" s="98">
        <f>'Cash Flow %s Yr3'!I83</f>
        <v>0.1</v>
      </c>
      <c r="J83" s="98">
        <f>'Cash Flow %s Yr3'!J83</f>
        <v>0.1</v>
      </c>
      <c r="K83" s="98">
        <f>'Cash Flow %s Yr3'!K83</f>
        <v>0.1</v>
      </c>
      <c r="L83" s="98">
        <f>'Cash Flow %s Yr3'!L83</f>
        <v>0.1</v>
      </c>
      <c r="M83" s="98">
        <f>'Cash Flow %s Yr3'!M83</f>
        <v>0.1</v>
      </c>
      <c r="N83" s="98">
        <f>'Cash Flow %s Yr3'!N83</f>
        <v>0.1</v>
      </c>
      <c r="O83" s="98">
        <f>'Cash Flow %s Yr3'!O83</f>
        <v>0.06</v>
      </c>
      <c r="P83" s="98">
        <f>'Cash Flow %s Yr3'!P83</f>
        <v>0</v>
      </c>
      <c r="Q83" s="98">
        <f>'Cash Flow %s Yr3'!Q83</f>
        <v>0</v>
      </c>
      <c r="R83" s="98">
        <f>'Cash Flow %s Yr3'!R83</f>
        <v>0</v>
      </c>
      <c r="S83" s="97">
        <f t="shared" si="6"/>
        <v>1</v>
      </c>
    </row>
    <row r="84" spans="1:19" s="31" customFormat="1" x14ac:dyDescent="0.75">
      <c r="A84" s="35"/>
      <c r="B84" s="65">
        <f>'Expenses w MYP'!C51</f>
        <v>0</v>
      </c>
      <c r="C84" s="65">
        <f>'Expenses w MYP'!D51</f>
        <v>0</v>
      </c>
      <c r="D84" s="98">
        <f>'Cash Flow %s Yr3'!D84</f>
        <v>0.02</v>
      </c>
      <c r="E84" s="98">
        <f>'Cash Flow %s Yr3'!E84</f>
        <v>0.02</v>
      </c>
      <c r="F84" s="98">
        <f>'Cash Flow %s Yr3'!F84</f>
        <v>0.1</v>
      </c>
      <c r="G84" s="98">
        <f>'Cash Flow %s Yr3'!G84</f>
        <v>0.1</v>
      </c>
      <c r="H84" s="98">
        <f>'Cash Flow %s Yr3'!H84</f>
        <v>0.1</v>
      </c>
      <c r="I84" s="98">
        <f>'Cash Flow %s Yr3'!I84</f>
        <v>0.1</v>
      </c>
      <c r="J84" s="98">
        <f>'Cash Flow %s Yr3'!J84</f>
        <v>0.1</v>
      </c>
      <c r="K84" s="98">
        <f>'Cash Flow %s Yr3'!K84</f>
        <v>0.1</v>
      </c>
      <c r="L84" s="98">
        <f>'Cash Flow %s Yr3'!L84</f>
        <v>0.1</v>
      </c>
      <c r="M84" s="98">
        <f>'Cash Flow %s Yr3'!M84</f>
        <v>0.1</v>
      </c>
      <c r="N84" s="98">
        <f>'Cash Flow %s Yr3'!N84</f>
        <v>0.1</v>
      </c>
      <c r="O84" s="98">
        <f>'Cash Flow %s Yr3'!O84</f>
        <v>0.06</v>
      </c>
      <c r="P84" s="98">
        <f>'Cash Flow %s Yr3'!P84</f>
        <v>0</v>
      </c>
      <c r="Q84" s="98">
        <f>'Cash Flow %s Yr3'!Q84</f>
        <v>0</v>
      </c>
      <c r="R84" s="98">
        <f>'Cash Flow %s Yr3'!R84</f>
        <v>0</v>
      </c>
      <c r="S84" s="97">
        <f t="shared" si="6"/>
        <v>1</v>
      </c>
    </row>
    <row r="85" spans="1:19" s="31" customFormat="1" x14ac:dyDescent="0.75">
      <c r="A85" s="35"/>
      <c r="B85" s="65">
        <f>'Expenses w MYP'!C52</f>
        <v>0</v>
      </c>
      <c r="C85" s="65">
        <f>'Expenses w MYP'!D52</f>
        <v>0</v>
      </c>
      <c r="D85" s="98">
        <f>'Cash Flow %s Yr3'!D85</f>
        <v>0.02</v>
      </c>
      <c r="E85" s="98">
        <f>'Cash Flow %s Yr3'!E85</f>
        <v>0.02</v>
      </c>
      <c r="F85" s="98">
        <f>'Cash Flow %s Yr3'!F85</f>
        <v>0.1</v>
      </c>
      <c r="G85" s="98">
        <f>'Cash Flow %s Yr3'!G85</f>
        <v>0.1</v>
      </c>
      <c r="H85" s="98">
        <f>'Cash Flow %s Yr3'!H85</f>
        <v>0.1</v>
      </c>
      <c r="I85" s="98">
        <f>'Cash Flow %s Yr3'!I85</f>
        <v>0.1</v>
      </c>
      <c r="J85" s="98">
        <f>'Cash Flow %s Yr3'!J85</f>
        <v>0.1</v>
      </c>
      <c r="K85" s="98">
        <f>'Cash Flow %s Yr3'!K85</f>
        <v>0.1</v>
      </c>
      <c r="L85" s="98">
        <f>'Cash Flow %s Yr3'!L85</f>
        <v>0.1</v>
      </c>
      <c r="M85" s="98">
        <f>'Cash Flow %s Yr3'!M85</f>
        <v>0.1</v>
      </c>
      <c r="N85" s="98">
        <f>'Cash Flow %s Yr3'!N85</f>
        <v>0.1</v>
      </c>
      <c r="O85" s="98">
        <f>'Cash Flow %s Yr3'!O85</f>
        <v>0.06</v>
      </c>
      <c r="P85" s="98">
        <f>'Cash Flow %s Yr3'!P85</f>
        <v>0</v>
      </c>
      <c r="Q85" s="98">
        <f>'Cash Flow %s Yr3'!Q85</f>
        <v>0</v>
      </c>
      <c r="R85" s="98">
        <f>'Cash Flow %s Yr3'!R85</f>
        <v>0</v>
      </c>
      <c r="S85" s="97">
        <f t="shared" si="6"/>
        <v>1</v>
      </c>
    </row>
    <row r="86" spans="1:19" s="31" customFormat="1" x14ac:dyDescent="0.75">
      <c r="A86" s="35"/>
      <c r="B86" s="5"/>
      <c r="C86" s="5"/>
      <c r="D86" s="108"/>
      <c r="E86" s="108"/>
      <c r="F86" s="108"/>
      <c r="G86" s="108"/>
      <c r="H86" s="108"/>
      <c r="I86" s="108"/>
      <c r="J86" s="108"/>
      <c r="K86" s="108"/>
      <c r="L86" s="108"/>
      <c r="M86" s="108"/>
      <c r="N86" s="108"/>
      <c r="O86" s="108"/>
      <c r="P86" s="88"/>
      <c r="Q86" s="88"/>
      <c r="R86" s="88"/>
      <c r="S86" s="97"/>
    </row>
    <row r="87" spans="1:19" s="31" customFormat="1" x14ac:dyDescent="0.75">
      <c r="A87" s="35"/>
      <c r="B87" s="39"/>
      <c r="C87" s="1"/>
      <c r="D87" s="84"/>
      <c r="E87" s="84"/>
      <c r="F87" s="84"/>
      <c r="G87" s="84"/>
      <c r="H87" s="84"/>
      <c r="I87" s="84"/>
      <c r="J87" s="84"/>
      <c r="K87" s="84"/>
      <c r="L87" s="84"/>
      <c r="M87" s="84"/>
      <c r="N87" s="84"/>
      <c r="O87" s="84"/>
      <c r="P87" s="84"/>
      <c r="Q87" s="84"/>
      <c r="R87" s="84"/>
      <c r="S87" s="97"/>
    </row>
    <row r="88" spans="1:19" s="31" customFormat="1" x14ac:dyDescent="0.75">
      <c r="B88" s="34" t="s">
        <v>676</v>
      </c>
      <c r="C88" s="2"/>
      <c r="D88" s="84"/>
      <c r="E88" s="84"/>
      <c r="F88" s="84"/>
      <c r="G88" s="84"/>
      <c r="H88" s="84"/>
      <c r="I88" s="84"/>
      <c r="J88" s="84"/>
      <c r="K88" s="84"/>
      <c r="L88" s="84"/>
      <c r="M88" s="84"/>
      <c r="N88" s="84"/>
      <c r="O88" s="84"/>
      <c r="P88" s="84"/>
      <c r="Q88" s="84"/>
      <c r="R88" s="84"/>
      <c r="S88" s="97"/>
    </row>
    <row r="89" spans="1:19" s="31" customFormat="1" x14ac:dyDescent="0.75">
      <c r="A89" s="35"/>
      <c r="B89" s="64" t="str">
        <f>'Expenses w MYP'!C58</f>
        <v>4100</v>
      </c>
      <c r="C89" s="64" t="str">
        <f>'Expenses w MYP'!D58</f>
        <v>Approved Textbooks and Core Curricula Materials</v>
      </c>
      <c r="D89" s="98">
        <f>'Cash Flow %s Yr3'!D89</f>
        <v>0</v>
      </c>
      <c r="E89" s="98">
        <f>'Cash Flow %s Yr3'!E89</f>
        <v>0</v>
      </c>
      <c r="F89" s="98">
        <f>'Cash Flow %s Yr3'!F89</f>
        <v>0.6</v>
      </c>
      <c r="G89" s="98">
        <f>'Cash Flow %s Yr3'!G89</f>
        <v>0</v>
      </c>
      <c r="H89" s="98">
        <f>'Cash Flow %s Yr3'!H89</f>
        <v>0</v>
      </c>
      <c r="I89" s="98">
        <f>'Cash Flow %s Yr3'!I89</f>
        <v>0</v>
      </c>
      <c r="J89" s="98">
        <f>'Cash Flow %s Yr3'!J89</f>
        <v>0.4</v>
      </c>
      <c r="K89" s="98">
        <f>'Cash Flow %s Yr3'!K89</f>
        <v>0</v>
      </c>
      <c r="L89" s="98">
        <f>'Cash Flow %s Yr3'!L89</f>
        <v>0</v>
      </c>
      <c r="M89" s="98">
        <f>'Cash Flow %s Yr3'!M89</f>
        <v>0</v>
      </c>
      <c r="N89" s="98">
        <f>'Cash Flow %s Yr3'!N89</f>
        <v>0</v>
      </c>
      <c r="O89" s="98">
        <f>'Cash Flow %s Yr3'!O89</f>
        <v>0</v>
      </c>
      <c r="P89" s="98">
        <f>'Cash Flow %s Yr3'!P89</f>
        <v>0</v>
      </c>
      <c r="Q89" s="98">
        <f>'Cash Flow %s Yr3'!Q89</f>
        <v>0</v>
      </c>
      <c r="R89" s="98">
        <f>'Cash Flow %s Yr3'!R89</f>
        <v>0</v>
      </c>
      <c r="S89" s="97">
        <f t="shared" ref="S89:S94" si="7">SUM(D89:R89)</f>
        <v>1</v>
      </c>
    </row>
    <row r="90" spans="1:19" x14ac:dyDescent="0.75">
      <c r="A90" s="35"/>
      <c r="B90" s="64" t="str">
        <f>'Expenses w MYP'!C61</f>
        <v>4200</v>
      </c>
      <c r="C90" s="64" t="str">
        <f>'Expenses w MYP'!D61</f>
        <v>Books and Other Reference Materials</v>
      </c>
      <c r="D90" s="98">
        <f>'Cash Flow %s Yr3'!D90</f>
        <v>0</v>
      </c>
      <c r="E90" s="98">
        <f>'Cash Flow %s Yr3'!E90</f>
        <v>0</v>
      </c>
      <c r="F90" s="98">
        <f>'Cash Flow %s Yr3'!F90</f>
        <v>0.3</v>
      </c>
      <c r="G90" s="98">
        <f>'Cash Flow %s Yr3'!G90</f>
        <v>0.1</v>
      </c>
      <c r="H90" s="98">
        <f>'Cash Flow %s Yr3'!H90</f>
        <v>0.1</v>
      </c>
      <c r="I90" s="98">
        <f>'Cash Flow %s Yr3'!I90</f>
        <v>0.1</v>
      </c>
      <c r="J90" s="98">
        <f>'Cash Flow %s Yr3'!J90</f>
        <v>0.1</v>
      </c>
      <c r="K90" s="98">
        <f>'Cash Flow %s Yr3'!K90</f>
        <v>0.1</v>
      </c>
      <c r="L90" s="98">
        <f>'Cash Flow %s Yr3'!L90</f>
        <v>0.1</v>
      </c>
      <c r="M90" s="98">
        <f>'Cash Flow %s Yr3'!M90</f>
        <v>0.1</v>
      </c>
      <c r="N90" s="98">
        <f>'Cash Flow %s Yr3'!N90</f>
        <v>0</v>
      </c>
      <c r="O90" s="98">
        <f>'Cash Flow %s Yr3'!O90</f>
        <v>0</v>
      </c>
      <c r="P90" s="98">
        <f>'Cash Flow %s Yr3'!P90</f>
        <v>0</v>
      </c>
      <c r="Q90" s="98">
        <f>'Cash Flow %s Yr3'!Q90</f>
        <v>0</v>
      </c>
      <c r="R90" s="98">
        <f>'Cash Flow %s Yr3'!R90</f>
        <v>0</v>
      </c>
      <c r="S90" s="97">
        <f t="shared" si="7"/>
        <v>0.99999999999999989</v>
      </c>
    </row>
    <row r="91" spans="1:19" x14ac:dyDescent="0.75">
      <c r="A91" s="35"/>
      <c r="B91" s="64" t="str">
        <f>'Expenses w MYP'!C63</f>
        <v>4300</v>
      </c>
      <c r="C91" s="64" t="str">
        <f>'Expenses w MYP'!D63</f>
        <v>Materials and Supplies</v>
      </c>
      <c r="D91" s="98">
        <f>'Cash Flow %s Yr3'!D91</f>
        <v>0</v>
      </c>
      <c r="E91" s="98">
        <f>'Cash Flow %s Yr3'!E91</f>
        <v>0</v>
      </c>
      <c r="F91" s="98">
        <f>'Cash Flow %s Yr3'!F91</f>
        <v>0.4</v>
      </c>
      <c r="G91" s="98">
        <f>'Cash Flow %s Yr3'!G91</f>
        <v>0.3</v>
      </c>
      <c r="H91" s="98">
        <f>'Cash Flow %s Yr3'!H91</f>
        <v>0</v>
      </c>
      <c r="I91" s="98">
        <f>'Cash Flow %s Yr3'!I91</f>
        <v>0</v>
      </c>
      <c r="J91" s="98">
        <f>'Cash Flow %s Yr3'!J91</f>
        <v>0.3</v>
      </c>
      <c r="K91" s="98">
        <f>'Cash Flow %s Yr3'!K91</f>
        <v>0</v>
      </c>
      <c r="L91" s="98">
        <f>'Cash Flow %s Yr3'!L91</f>
        <v>0</v>
      </c>
      <c r="M91" s="98">
        <f>'Cash Flow %s Yr3'!M91</f>
        <v>0</v>
      </c>
      <c r="N91" s="98">
        <f>'Cash Flow %s Yr3'!N91</f>
        <v>0</v>
      </c>
      <c r="O91" s="98">
        <f>'Cash Flow %s Yr3'!O91</f>
        <v>0</v>
      </c>
      <c r="P91" s="98">
        <f>'Cash Flow %s Yr3'!P91</f>
        <v>0</v>
      </c>
      <c r="Q91" s="98">
        <f>'Cash Flow %s Yr3'!Q91</f>
        <v>0</v>
      </c>
      <c r="R91" s="98">
        <f>'Cash Flow %s Yr3'!R91</f>
        <v>0</v>
      </c>
      <c r="S91" s="97">
        <f t="shared" si="7"/>
        <v>1</v>
      </c>
    </row>
    <row r="92" spans="1:19" x14ac:dyDescent="0.75">
      <c r="A92" s="35"/>
      <c r="B92" s="64" t="str">
        <f>'Expenses w MYP'!C64</f>
        <v>4315</v>
      </c>
      <c r="C92" s="64" t="str">
        <f>'Expenses w MYP'!D64</f>
        <v>Classroom Materials and Supplies</v>
      </c>
      <c r="D92" s="98">
        <f>'Cash Flow %s Yr3'!D92</f>
        <v>0</v>
      </c>
      <c r="E92" s="98">
        <f>'Cash Flow %s Yr3'!E92</f>
        <v>0</v>
      </c>
      <c r="F92" s="98">
        <f>'Cash Flow %s Yr3'!F92</f>
        <v>0.3</v>
      </c>
      <c r="G92" s="98">
        <f>'Cash Flow %s Yr3'!G92</f>
        <v>0.1</v>
      </c>
      <c r="H92" s="98">
        <f>'Cash Flow %s Yr3'!H92</f>
        <v>0.1</v>
      </c>
      <c r="I92" s="98">
        <f>'Cash Flow %s Yr3'!I92</f>
        <v>0.1</v>
      </c>
      <c r="J92" s="98">
        <f>'Cash Flow %s Yr3'!J92</f>
        <v>0.1</v>
      </c>
      <c r="K92" s="98">
        <f>'Cash Flow %s Yr3'!K92</f>
        <v>0.1</v>
      </c>
      <c r="L92" s="98">
        <f>'Cash Flow %s Yr3'!L92</f>
        <v>0.1</v>
      </c>
      <c r="M92" s="98">
        <f>'Cash Flow %s Yr3'!M92</f>
        <v>0.1</v>
      </c>
      <c r="N92" s="98">
        <f>'Cash Flow %s Yr3'!N92</f>
        <v>0</v>
      </c>
      <c r="O92" s="98">
        <f>'Cash Flow %s Yr3'!O92</f>
        <v>0</v>
      </c>
      <c r="P92" s="98">
        <f>'Cash Flow %s Yr3'!P92</f>
        <v>0</v>
      </c>
      <c r="Q92" s="98">
        <f>'Cash Flow %s Yr3'!Q92</f>
        <v>0</v>
      </c>
      <c r="R92" s="98">
        <f>'Cash Flow %s Yr3'!R92</f>
        <v>0</v>
      </c>
      <c r="S92" s="97">
        <f t="shared" si="7"/>
        <v>0.99999999999999989</v>
      </c>
    </row>
    <row r="93" spans="1:19" x14ac:dyDescent="0.75">
      <c r="A93" s="35"/>
      <c r="B93" s="64" t="str">
        <f>'Expenses w MYP'!C65</f>
        <v>4381</v>
      </c>
      <c r="C93" s="64" t="str">
        <f>'Expenses w MYP'!D65</f>
        <v>Materials for Plant &amp; Equipment</v>
      </c>
      <c r="D93" s="98">
        <f>'Cash Flow %s Yr3'!D93</f>
        <v>8.3000000000000004E-2</v>
      </c>
      <c r="E93" s="98">
        <f>'Cash Flow %s Yr3'!E93</f>
        <v>8.3000000000000004E-2</v>
      </c>
      <c r="F93" s="98">
        <f>'Cash Flow %s Yr3'!F93</f>
        <v>8.3000000000000004E-2</v>
      </c>
      <c r="G93" s="98">
        <f>'Cash Flow %s Yr3'!G93</f>
        <v>8.3000000000000004E-2</v>
      </c>
      <c r="H93" s="98">
        <f>'Cash Flow %s Yr3'!H93</f>
        <v>8.3000000000000004E-2</v>
      </c>
      <c r="I93" s="98">
        <f>'Cash Flow %s Yr3'!I93</f>
        <v>8.3000000000000004E-2</v>
      </c>
      <c r="J93" s="98">
        <f>'Cash Flow %s Yr3'!J93</f>
        <v>8.3000000000000004E-2</v>
      </c>
      <c r="K93" s="98">
        <f>'Cash Flow %s Yr3'!K93</f>
        <v>8.3000000000000004E-2</v>
      </c>
      <c r="L93" s="98">
        <f>'Cash Flow %s Yr3'!L93</f>
        <v>8.4000000000000005E-2</v>
      </c>
      <c r="M93" s="98">
        <f>'Cash Flow %s Yr3'!M93</f>
        <v>8.4000000000000005E-2</v>
      </c>
      <c r="N93" s="98">
        <f>'Cash Flow %s Yr3'!N93</f>
        <v>8.4000000000000005E-2</v>
      </c>
      <c r="O93" s="98">
        <f>'Cash Flow %s Yr3'!O93</f>
        <v>8.4000000000000005E-2</v>
      </c>
      <c r="P93" s="98">
        <f>'Cash Flow %s Yr3'!P93</f>
        <v>0</v>
      </c>
      <c r="Q93" s="98">
        <f>'Cash Flow %s Yr3'!Q93</f>
        <v>0</v>
      </c>
      <c r="R93" s="98">
        <f>'Cash Flow %s Yr3'!R93</f>
        <v>0</v>
      </c>
      <c r="S93" s="97">
        <f t="shared" si="7"/>
        <v>0.99999999999999989</v>
      </c>
    </row>
    <row r="94" spans="1:19" x14ac:dyDescent="0.75">
      <c r="A94" s="35"/>
      <c r="B94" s="64" t="str">
        <f>'Expenses w MYP'!C66</f>
        <v>4400</v>
      </c>
      <c r="C94" s="64" t="str">
        <f>'Expenses w MYP'!D66</f>
        <v>Noncapitalized Equipment</v>
      </c>
      <c r="D94" s="98">
        <f>'Cash Flow %s Yr3'!D94</f>
        <v>0</v>
      </c>
      <c r="E94" s="98">
        <f>'Cash Flow %s Yr3'!E94</f>
        <v>0</v>
      </c>
      <c r="F94" s="98">
        <f>'Cash Flow %s Yr3'!F94</f>
        <v>0.6</v>
      </c>
      <c r="G94" s="98">
        <f>'Cash Flow %s Yr3'!G94</f>
        <v>0</v>
      </c>
      <c r="H94" s="98">
        <f>'Cash Flow %s Yr3'!H94</f>
        <v>0</v>
      </c>
      <c r="I94" s="98">
        <f>'Cash Flow %s Yr3'!I94</f>
        <v>0</v>
      </c>
      <c r="J94" s="98">
        <f>'Cash Flow %s Yr3'!J94</f>
        <v>0.4</v>
      </c>
      <c r="K94" s="98">
        <f>'Cash Flow %s Yr3'!K94</f>
        <v>0</v>
      </c>
      <c r="L94" s="98">
        <f>'Cash Flow %s Yr3'!L94</f>
        <v>0</v>
      </c>
      <c r="M94" s="98">
        <f>'Cash Flow %s Yr3'!M94</f>
        <v>0</v>
      </c>
      <c r="N94" s="98">
        <f>'Cash Flow %s Yr3'!N94</f>
        <v>0</v>
      </c>
      <c r="O94" s="98">
        <f>'Cash Flow %s Yr3'!O94</f>
        <v>0</v>
      </c>
      <c r="P94" s="98">
        <f>'Cash Flow %s Yr3'!P94</f>
        <v>0</v>
      </c>
      <c r="Q94" s="98">
        <f>'Cash Flow %s Yr3'!Q94</f>
        <v>0</v>
      </c>
      <c r="R94" s="98">
        <f>'Cash Flow %s Yr3'!R94</f>
        <v>0</v>
      </c>
      <c r="S94" s="97">
        <f t="shared" si="7"/>
        <v>1</v>
      </c>
    </row>
    <row r="95" spans="1:19" hidden="1" outlineLevel="1" x14ac:dyDescent="0.75">
      <c r="A95" s="35"/>
      <c r="B95" s="64" t="str">
        <f>'Expenses w MYP'!C68</f>
        <v>4430</v>
      </c>
      <c r="C95" s="64" t="str">
        <f>'Expenses w MYP'!D68</f>
        <v>General Student Equipment</v>
      </c>
      <c r="D95" s="98">
        <f>'Cash Flow %s Yr3'!D95</f>
        <v>0</v>
      </c>
      <c r="E95" s="98">
        <f>'Cash Flow %s Yr3'!E95</f>
        <v>0</v>
      </c>
      <c r="F95" s="98">
        <f>'Cash Flow %s Yr3'!F95</f>
        <v>0.1</v>
      </c>
      <c r="G95" s="98">
        <f>'Cash Flow %s Yr3'!G95</f>
        <v>0.1</v>
      </c>
      <c r="H95" s="98">
        <f>'Cash Flow %s Yr3'!H95</f>
        <v>0.1</v>
      </c>
      <c r="I95" s="98">
        <f>'Cash Flow %s Yr3'!I95</f>
        <v>0.1</v>
      </c>
      <c r="J95" s="98">
        <f>'Cash Flow %s Yr3'!J95</f>
        <v>0.1</v>
      </c>
      <c r="K95" s="98">
        <f>'Cash Flow %s Yr3'!K95</f>
        <v>0.1</v>
      </c>
      <c r="L95" s="98">
        <f>'Cash Flow %s Yr3'!L95</f>
        <v>0.1</v>
      </c>
      <c r="M95" s="98">
        <f>'Cash Flow %s Yr3'!M95</f>
        <v>0.1</v>
      </c>
      <c r="N95" s="98">
        <f>'Cash Flow %s Yr3'!N95</f>
        <v>0.1</v>
      </c>
      <c r="O95" s="98">
        <f>'Cash Flow %s Yr3'!O95</f>
        <v>0.1</v>
      </c>
      <c r="P95" s="98">
        <f>'Cash Flow %s Yr3'!P95</f>
        <v>0</v>
      </c>
      <c r="Q95" s="98">
        <f>'Cash Flow %s Yr3'!Q95</f>
        <v>0</v>
      </c>
      <c r="R95" s="98">
        <f>'Cash Flow %s Yr3'!R95</f>
        <v>0</v>
      </c>
      <c r="S95" s="97">
        <f t="shared" ref="S95:S104" si="8">SUM(D95:R95)</f>
        <v>0.99999999999999989</v>
      </c>
    </row>
    <row r="96" spans="1:19" hidden="1" outlineLevel="1" x14ac:dyDescent="0.75">
      <c r="A96" s="35"/>
      <c r="B96" s="64" t="e">
        <f>'Expenses w MYP'!#REF!</f>
        <v>#REF!</v>
      </c>
      <c r="C96" s="64" t="e">
        <f>'Expenses w MYP'!#REF!</f>
        <v>#REF!</v>
      </c>
      <c r="D96" s="98">
        <f>'Cash Flow %s Yr3'!D96</f>
        <v>0</v>
      </c>
      <c r="E96" s="98">
        <f>'Cash Flow %s Yr3'!E96</f>
        <v>0</v>
      </c>
      <c r="F96" s="98">
        <f>'Cash Flow %s Yr3'!F96</f>
        <v>0.1</v>
      </c>
      <c r="G96" s="98">
        <f>'Cash Flow %s Yr3'!G96</f>
        <v>0.1</v>
      </c>
      <c r="H96" s="98">
        <f>'Cash Flow %s Yr3'!H96</f>
        <v>0.1</v>
      </c>
      <c r="I96" s="98">
        <f>'Cash Flow %s Yr3'!I96</f>
        <v>0.1</v>
      </c>
      <c r="J96" s="98">
        <f>'Cash Flow %s Yr3'!J96</f>
        <v>0.1</v>
      </c>
      <c r="K96" s="98">
        <f>'Cash Flow %s Yr3'!K96</f>
        <v>0.1</v>
      </c>
      <c r="L96" s="98">
        <f>'Cash Flow %s Yr3'!L96</f>
        <v>0.1</v>
      </c>
      <c r="M96" s="98">
        <f>'Cash Flow %s Yr3'!M96</f>
        <v>0.1</v>
      </c>
      <c r="N96" s="98">
        <f>'Cash Flow %s Yr3'!N96</f>
        <v>0.1</v>
      </c>
      <c r="O96" s="98">
        <f>'Cash Flow %s Yr3'!O96</f>
        <v>0.1</v>
      </c>
      <c r="P96" s="98">
        <f>'Cash Flow %s Yr3'!P96</f>
        <v>0</v>
      </c>
      <c r="Q96" s="98">
        <f>'Cash Flow %s Yr3'!Q96</f>
        <v>0</v>
      </c>
      <c r="R96" s="98">
        <f>'Cash Flow %s Yr3'!R96</f>
        <v>0</v>
      </c>
      <c r="S96" s="97">
        <f t="shared" si="8"/>
        <v>0.99999999999999989</v>
      </c>
    </row>
    <row r="97" spans="1:19" hidden="1" outlineLevel="1" x14ac:dyDescent="0.75">
      <c r="A97" s="35"/>
      <c r="B97" s="64" t="e">
        <f>'Expenses w MYP'!#REF!</f>
        <v>#REF!</v>
      </c>
      <c r="C97" s="64" t="e">
        <f>'Expenses w MYP'!#REF!</f>
        <v>#REF!</v>
      </c>
      <c r="D97" s="98">
        <f>'Cash Flow %s Yr3'!D97</f>
        <v>0</v>
      </c>
      <c r="E97" s="98">
        <f>'Cash Flow %s Yr3'!E97</f>
        <v>0</v>
      </c>
      <c r="F97" s="98">
        <f>'Cash Flow %s Yr3'!F97</f>
        <v>0.1</v>
      </c>
      <c r="G97" s="98">
        <f>'Cash Flow %s Yr3'!G97</f>
        <v>0.1</v>
      </c>
      <c r="H97" s="98">
        <f>'Cash Flow %s Yr3'!H97</f>
        <v>0.1</v>
      </c>
      <c r="I97" s="98">
        <f>'Cash Flow %s Yr3'!I97</f>
        <v>0.1</v>
      </c>
      <c r="J97" s="98">
        <f>'Cash Flow %s Yr3'!J97</f>
        <v>0.1</v>
      </c>
      <c r="K97" s="98">
        <f>'Cash Flow %s Yr3'!K97</f>
        <v>0.1</v>
      </c>
      <c r="L97" s="98">
        <f>'Cash Flow %s Yr3'!L97</f>
        <v>0.1</v>
      </c>
      <c r="M97" s="98">
        <f>'Cash Flow %s Yr3'!M97</f>
        <v>0.1</v>
      </c>
      <c r="N97" s="98">
        <f>'Cash Flow %s Yr3'!N97</f>
        <v>0.1</v>
      </c>
      <c r="O97" s="98">
        <f>'Cash Flow %s Yr3'!O97</f>
        <v>0.1</v>
      </c>
      <c r="P97" s="98">
        <f>'Cash Flow %s Yr3'!P97</f>
        <v>0</v>
      </c>
      <c r="Q97" s="98">
        <f>'Cash Flow %s Yr3'!Q97</f>
        <v>0</v>
      </c>
      <c r="R97" s="98">
        <f>'Cash Flow %s Yr3'!R97</f>
        <v>0</v>
      </c>
      <c r="S97" s="97">
        <f t="shared" si="8"/>
        <v>0.99999999999999989</v>
      </c>
    </row>
    <row r="98" spans="1:19" hidden="1" outlineLevel="1" x14ac:dyDescent="0.75">
      <c r="A98" s="35"/>
      <c r="B98" s="64" t="e">
        <f>'Expenses w MYP'!#REF!</f>
        <v>#REF!</v>
      </c>
      <c r="C98" s="64" t="e">
        <f>'Expenses w MYP'!#REF!</f>
        <v>#REF!</v>
      </c>
      <c r="D98" s="98">
        <f>'Cash Flow %s Yr3'!D98</f>
        <v>0</v>
      </c>
      <c r="E98" s="98">
        <f>'Cash Flow %s Yr3'!E98</f>
        <v>0</v>
      </c>
      <c r="F98" s="98">
        <f>'Cash Flow %s Yr3'!F98</f>
        <v>0.1</v>
      </c>
      <c r="G98" s="98">
        <f>'Cash Flow %s Yr3'!G98</f>
        <v>0.1</v>
      </c>
      <c r="H98" s="98">
        <f>'Cash Flow %s Yr3'!H98</f>
        <v>0.1</v>
      </c>
      <c r="I98" s="98">
        <f>'Cash Flow %s Yr3'!I98</f>
        <v>0.1</v>
      </c>
      <c r="J98" s="98">
        <f>'Cash Flow %s Yr3'!J98</f>
        <v>0.1</v>
      </c>
      <c r="K98" s="98">
        <f>'Cash Flow %s Yr3'!K98</f>
        <v>0.1</v>
      </c>
      <c r="L98" s="98">
        <f>'Cash Flow %s Yr3'!L98</f>
        <v>0.1</v>
      </c>
      <c r="M98" s="98">
        <f>'Cash Flow %s Yr3'!M98</f>
        <v>0.1</v>
      </c>
      <c r="N98" s="98">
        <f>'Cash Flow %s Yr3'!N98</f>
        <v>0.1</v>
      </c>
      <c r="O98" s="98">
        <f>'Cash Flow %s Yr3'!O98</f>
        <v>0.1</v>
      </c>
      <c r="P98" s="98">
        <f>'Cash Flow %s Yr3'!P98</f>
        <v>0</v>
      </c>
      <c r="Q98" s="98">
        <f>'Cash Flow %s Yr3'!Q98</f>
        <v>0</v>
      </c>
      <c r="R98" s="98">
        <f>'Cash Flow %s Yr3'!R98</f>
        <v>0</v>
      </c>
      <c r="S98" s="97">
        <f t="shared" si="8"/>
        <v>0.99999999999999989</v>
      </c>
    </row>
    <row r="99" spans="1:19" hidden="1" outlineLevel="1" x14ac:dyDescent="0.75">
      <c r="A99" s="35"/>
      <c r="B99" s="64" t="e">
        <f>'Expenses w MYP'!#REF!</f>
        <v>#REF!</v>
      </c>
      <c r="C99" s="64" t="e">
        <f>'Expenses w MYP'!#REF!</f>
        <v>#REF!</v>
      </c>
      <c r="D99" s="98">
        <f>'Cash Flow %s Yr3'!D99</f>
        <v>0</v>
      </c>
      <c r="E99" s="98">
        <f>'Cash Flow %s Yr3'!E99</f>
        <v>0</v>
      </c>
      <c r="F99" s="98">
        <f>'Cash Flow %s Yr3'!F99</f>
        <v>0.1</v>
      </c>
      <c r="G99" s="98">
        <f>'Cash Flow %s Yr3'!G99</f>
        <v>0.1</v>
      </c>
      <c r="H99" s="98">
        <f>'Cash Flow %s Yr3'!H99</f>
        <v>0.1</v>
      </c>
      <c r="I99" s="98">
        <f>'Cash Flow %s Yr3'!I99</f>
        <v>0.1</v>
      </c>
      <c r="J99" s="98">
        <f>'Cash Flow %s Yr3'!J99</f>
        <v>0.1</v>
      </c>
      <c r="K99" s="98">
        <f>'Cash Flow %s Yr3'!K99</f>
        <v>0.1</v>
      </c>
      <c r="L99" s="98">
        <f>'Cash Flow %s Yr3'!L99</f>
        <v>0.1</v>
      </c>
      <c r="M99" s="98">
        <f>'Cash Flow %s Yr3'!M99</f>
        <v>0.1</v>
      </c>
      <c r="N99" s="98">
        <f>'Cash Flow %s Yr3'!N99</f>
        <v>0.1</v>
      </c>
      <c r="O99" s="98">
        <f>'Cash Flow %s Yr3'!O99</f>
        <v>0.1</v>
      </c>
      <c r="P99" s="98">
        <f>'Cash Flow %s Yr3'!P99</f>
        <v>0</v>
      </c>
      <c r="Q99" s="98">
        <f>'Cash Flow %s Yr3'!Q99</f>
        <v>0</v>
      </c>
      <c r="R99" s="98">
        <f>'Cash Flow %s Yr3'!R99</f>
        <v>0</v>
      </c>
      <c r="S99" s="97">
        <f t="shared" si="8"/>
        <v>0.99999999999999989</v>
      </c>
    </row>
    <row r="100" spans="1:19" hidden="1" outlineLevel="1" x14ac:dyDescent="0.75">
      <c r="A100" s="35"/>
      <c r="B100" s="64" t="e">
        <f>'Expenses w MYP'!#REF!</f>
        <v>#REF!</v>
      </c>
      <c r="C100" s="64" t="e">
        <f>'Expenses w MYP'!#REF!</f>
        <v>#REF!</v>
      </c>
      <c r="D100" s="98">
        <f>'Cash Flow %s Yr3'!D100</f>
        <v>0</v>
      </c>
      <c r="E100" s="98">
        <f>'Cash Flow %s Yr3'!E100</f>
        <v>0</v>
      </c>
      <c r="F100" s="98">
        <f>'Cash Flow %s Yr3'!F100</f>
        <v>0.1</v>
      </c>
      <c r="G100" s="98">
        <f>'Cash Flow %s Yr3'!G100</f>
        <v>0.1</v>
      </c>
      <c r="H100" s="98">
        <f>'Cash Flow %s Yr3'!H100</f>
        <v>0.1</v>
      </c>
      <c r="I100" s="98">
        <f>'Cash Flow %s Yr3'!I100</f>
        <v>0.1</v>
      </c>
      <c r="J100" s="98">
        <f>'Cash Flow %s Yr3'!J100</f>
        <v>0.1</v>
      </c>
      <c r="K100" s="98">
        <f>'Cash Flow %s Yr3'!K100</f>
        <v>0.1</v>
      </c>
      <c r="L100" s="98">
        <f>'Cash Flow %s Yr3'!L100</f>
        <v>0.1</v>
      </c>
      <c r="M100" s="98">
        <f>'Cash Flow %s Yr3'!M100</f>
        <v>0.1</v>
      </c>
      <c r="N100" s="98">
        <f>'Cash Flow %s Yr3'!N100</f>
        <v>0.1</v>
      </c>
      <c r="O100" s="98">
        <f>'Cash Flow %s Yr3'!O100</f>
        <v>0.1</v>
      </c>
      <c r="P100" s="98">
        <f>'Cash Flow %s Yr3'!P100</f>
        <v>0</v>
      </c>
      <c r="Q100" s="98">
        <f>'Cash Flow %s Yr3'!Q100</f>
        <v>0</v>
      </c>
      <c r="R100" s="98">
        <f>'Cash Flow %s Yr3'!R100</f>
        <v>0</v>
      </c>
      <c r="S100" s="97">
        <f t="shared" si="8"/>
        <v>0.99999999999999989</v>
      </c>
    </row>
    <row r="101" spans="1:19" hidden="1" outlineLevel="1" x14ac:dyDescent="0.75">
      <c r="A101" s="35"/>
      <c r="B101" s="64" t="e">
        <f>'Expenses w MYP'!#REF!</f>
        <v>#REF!</v>
      </c>
      <c r="C101" s="64" t="e">
        <f>'Expenses w MYP'!#REF!</f>
        <v>#REF!</v>
      </c>
      <c r="D101" s="98">
        <f>'Cash Flow %s Yr3'!D101</f>
        <v>0</v>
      </c>
      <c r="E101" s="98">
        <f>'Cash Flow %s Yr3'!E101</f>
        <v>0</v>
      </c>
      <c r="F101" s="98">
        <f>'Cash Flow %s Yr3'!F101</f>
        <v>0.1</v>
      </c>
      <c r="G101" s="98">
        <f>'Cash Flow %s Yr3'!G101</f>
        <v>0.1</v>
      </c>
      <c r="H101" s="98">
        <f>'Cash Flow %s Yr3'!H101</f>
        <v>0.1</v>
      </c>
      <c r="I101" s="98">
        <f>'Cash Flow %s Yr3'!I101</f>
        <v>0.1</v>
      </c>
      <c r="J101" s="98">
        <f>'Cash Flow %s Yr3'!J101</f>
        <v>0.1</v>
      </c>
      <c r="K101" s="98">
        <f>'Cash Flow %s Yr3'!K101</f>
        <v>0.1</v>
      </c>
      <c r="L101" s="98">
        <f>'Cash Flow %s Yr3'!L101</f>
        <v>0.1</v>
      </c>
      <c r="M101" s="98">
        <f>'Cash Flow %s Yr3'!M101</f>
        <v>0.1</v>
      </c>
      <c r="N101" s="98">
        <f>'Cash Flow %s Yr3'!N101</f>
        <v>0.1</v>
      </c>
      <c r="O101" s="98">
        <f>'Cash Flow %s Yr3'!O101</f>
        <v>0.1</v>
      </c>
      <c r="P101" s="98">
        <f>'Cash Flow %s Yr3'!P101</f>
        <v>0</v>
      </c>
      <c r="Q101" s="98">
        <f>'Cash Flow %s Yr3'!Q101</f>
        <v>0</v>
      </c>
      <c r="R101" s="98">
        <f>'Cash Flow %s Yr3'!R101</f>
        <v>0</v>
      </c>
      <c r="S101" s="97">
        <f t="shared" si="8"/>
        <v>0.99999999999999989</v>
      </c>
    </row>
    <row r="102" spans="1:19" hidden="1" outlineLevel="1" x14ac:dyDescent="0.75">
      <c r="A102" s="35"/>
      <c r="B102" s="64" t="e">
        <f>'Expenses w MYP'!#REF!</f>
        <v>#REF!</v>
      </c>
      <c r="C102" s="64" t="e">
        <f>'Expenses w MYP'!#REF!</f>
        <v>#REF!</v>
      </c>
      <c r="D102" s="98">
        <f>'Cash Flow %s Yr3'!D102</f>
        <v>0</v>
      </c>
      <c r="E102" s="98">
        <f>'Cash Flow %s Yr3'!E102</f>
        <v>0</v>
      </c>
      <c r="F102" s="98">
        <f>'Cash Flow %s Yr3'!F102</f>
        <v>0.1</v>
      </c>
      <c r="G102" s="98">
        <f>'Cash Flow %s Yr3'!G102</f>
        <v>0.1</v>
      </c>
      <c r="H102" s="98">
        <f>'Cash Flow %s Yr3'!H102</f>
        <v>0.1</v>
      </c>
      <c r="I102" s="98">
        <f>'Cash Flow %s Yr3'!I102</f>
        <v>0.1</v>
      </c>
      <c r="J102" s="98">
        <f>'Cash Flow %s Yr3'!J102</f>
        <v>0.1</v>
      </c>
      <c r="K102" s="98">
        <f>'Cash Flow %s Yr3'!K102</f>
        <v>0.1</v>
      </c>
      <c r="L102" s="98">
        <f>'Cash Flow %s Yr3'!L102</f>
        <v>0.1</v>
      </c>
      <c r="M102" s="98">
        <f>'Cash Flow %s Yr3'!M102</f>
        <v>0.1</v>
      </c>
      <c r="N102" s="98">
        <f>'Cash Flow %s Yr3'!N102</f>
        <v>0.1</v>
      </c>
      <c r="O102" s="98">
        <f>'Cash Flow %s Yr3'!O102</f>
        <v>0.1</v>
      </c>
      <c r="P102" s="98">
        <f>'Cash Flow %s Yr3'!P102</f>
        <v>0</v>
      </c>
      <c r="Q102" s="98">
        <f>'Cash Flow %s Yr3'!Q102</f>
        <v>0</v>
      </c>
      <c r="R102" s="98">
        <f>'Cash Flow %s Yr3'!R102</f>
        <v>0</v>
      </c>
      <c r="S102" s="97">
        <f t="shared" si="8"/>
        <v>0.99999999999999989</v>
      </c>
    </row>
    <row r="103" spans="1:19" hidden="1" outlineLevel="1" x14ac:dyDescent="0.75">
      <c r="A103" s="35"/>
      <c r="B103" s="64" t="e">
        <f>'Expenses w MYP'!#REF!</f>
        <v>#REF!</v>
      </c>
      <c r="C103" s="64" t="e">
        <f>'Expenses w MYP'!#REF!</f>
        <v>#REF!</v>
      </c>
      <c r="D103" s="98">
        <f>'Cash Flow %s Yr3'!D103</f>
        <v>0</v>
      </c>
      <c r="E103" s="98">
        <f>'Cash Flow %s Yr3'!E103</f>
        <v>0</v>
      </c>
      <c r="F103" s="98">
        <f>'Cash Flow %s Yr3'!F103</f>
        <v>0.1</v>
      </c>
      <c r="G103" s="98">
        <f>'Cash Flow %s Yr3'!G103</f>
        <v>0.1</v>
      </c>
      <c r="H103" s="98">
        <f>'Cash Flow %s Yr3'!H103</f>
        <v>0.1</v>
      </c>
      <c r="I103" s="98">
        <f>'Cash Flow %s Yr3'!I103</f>
        <v>0.1</v>
      </c>
      <c r="J103" s="98">
        <f>'Cash Flow %s Yr3'!J103</f>
        <v>0.1</v>
      </c>
      <c r="K103" s="98">
        <f>'Cash Flow %s Yr3'!K103</f>
        <v>0.1</v>
      </c>
      <c r="L103" s="98">
        <f>'Cash Flow %s Yr3'!L103</f>
        <v>0.1</v>
      </c>
      <c r="M103" s="98">
        <f>'Cash Flow %s Yr3'!M103</f>
        <v>0.1</v>
      </c>
      <c r="N103" s="98">
        <f>'Cash Flow %s Yr3'!N103</f>
        <v>0.1</v>
      </c>
      <c r="O103" s="98">
        <f>'Cash Flow %s Yr3'!O103</f>
        <v>0.1</v>
      </c>
      <c r="P103" s="98">
        <f>'Cash Flow %s Yr3'!P103</f>
        <v>0</v>
      </c>
      <c r="Q103" s="98">
        <f>'Cash Flow %s Yr3'!Q103</f>
        <v>0</v>
      </c>
      <c r="R103" s="98">
        <f>'Cash Flow %s Yr3'!R103</f>
        <v>0</v>
      </c>
      <c r="S103" s="97">
        <f t="shared" si="8"/>
        <v>0.99999999999999989</v>
      </c>
    </row>
    <row r="104" spans="1:19" hidden="1" outlineLevel="1" x14ac:dyDescent="0.75">
      <c r="A104" s="35"/>
      <c r="B104" s="64" t="e">
        <f>'Expenses w MYP'!#REF!</f>
        <v>#REF!</v>
      </c>
      <c r="C104" s="64" t="e">
        <f>'Expenses w MYP'!#REF!</f>
        <v>#REF!</v>
      </c>
      <c r="D104" s="98">
        <f>'Cash Flow %s Yr3'!D104</f>
        <v>0</v>
      </c>
      <c r="E104" s="98">
        <f>'Cash Flow %s Yr3'!E104</f>
        <v>0</v>
      </c>
      <c r="F104" s="98">
        <f>'Cash Flow %s Yr3'!F104</f>
        <v>0.1</v>
      </c>
      <c r="G104" s="98">
        <f>'Cash Flow %s Yr3'!G104</f>
        <v>0.1</v>
      </c>
      <c r="H104" s="98">
        <f>'Cash Flow %s Yr3'!H104</f>
        <v>0.1</v>
      </c>
      <c r="I104" s="98">
        <f>'Cash Flow %s Yr3'!I104</f>
        <v>0.1</v>
      </c>
      <c r="J104" s="98">
        <f>'Cash Flow %s Yr3'!J104</f>
        <v>0.1</v>
      </c>
      <c r="K104" s="98">
        <f>'Cash Flow %s Yr3'!K104</f>
        <v>0.1</v>
      </c>
      <c r="L104" s="98">
        <f>'Cash Flow %s Yr3'!L104</f>
        <v>0.1</v>
      </c>
      <c r="M104" s="98">
        <f>'Cash Flow %s Yr3'!M104</f>
        <v>0.1</v>
      </c>
      <c r="N104" s="98">
        <f>'Cash Flow %s Yr3'!N104</f>
        <v>0.1</v>
      </c>
      <c r="O104" s="98">
        <f>'Cash Flow %s Yr3'!O104</f>
        <v>0.1</v>
      </c>
      <c r="P104" s="98">
        <f>'Cash Flow %s Yr3'!P104</f>
        <v>0</v>
      </c>
      <c r="Q104" s="98">
        <f>'Cash Flow %s Yr3'!Q104</f>
        <v>0</v>
      </c>
      <c r="R104" s="98">
        <f>'Cash Flow %s Yr3'!R104</f>
        <v>0</v>
      </c>
      <c r="S104" s="97">
        <f t="shared" si="8"/>
        <v>0.99999999999999989</v>
      </c>
    </row>
    <row r="105" spans="1:19" s="31" customFormat="1" collapsed="1" x14ac:dyDescent="0.75">
      <c r="A105" s="35"/>
      <c r="B105" s="64" t="str">
        <f>'Expenses w MYP'!C69</f>
        <v>4700</v>
      </c>
      <c r="C105" s="64" t="str">
        <f>'Expenses w MYP'!D69</f>
        <v>Food and Food Supplies</v>
      </c>
      <c r="D105" s="98">
        <f>'Cash Flow %s Yr3'!D105</f>
        <v>0</v>
      </c>
      <c r="E105" s="98">
        <f>'Cash Flow %s Yr3'!E105</f>
        <v>0</v>
      </c>
      <c r="F105" s="98">
        <f>'Cash Flow %s Yr3'!F105</f>
        <v>0.1</v>
      </c>
      <c r="G105" s="98">
        <f>'Cash Flow %s Yr3'!G105</f>
        <v>0.1</v>
      </c>
      <c r="H105" s="98">
        <f>'Cash Flow %s Yr3'!H105</f>
        <v>0.1</v>
      </c>
      <c r="I105" s="98">
        <f>'Cash Flow %s Yr3'!I105</f>
        <v>0.1</v>
      </c>
      <c r="J105" s="98">
        <f>'Cash Flow %s Yr3'!J105</f>
        <v>0.1</v>
      </c>
      <c r="K105" s="98">
        <f>'Cash Flow %s Yr3'!K105</f>
        <v>0.1</v>
      </c>
      <c r="L105" s="98">
        <f>'Cash Flow %s Yr3'!L105</f>
        <v>0.1</v>
      </c>
      <c r="M105" s="98">
        <f>'Cash Flow %s Yr3'!M105</f>
        <v>0.1</v>
      </c>
      <c r="N105" s="98">
        <f>'Cash Flow %s Yr3'!N105</f>
        <v>0.1</v>
      </c>
      <c r="O105" s="98">
        <f>'Cash Flow %s Yr3'!O105</f>
        <v>0.1</v>
      </c>
      <c r="P105" s="98">
        <f>'Cash Flow %s Yr3'!P105</f>
        <v>0</v>
      </c>
      <c r="Q105" s="98">
        <f>'Cash Flow %s Yr3'!Q105</f>
        <v>0</v>
      </c>
      <c r="R105" s="98">
        <f>'Cash Flow %s Yr3'!R105</f>
        <v>0</v>
      </c>
      <c r="S105" s="97">
        <f>SUM(D105:R105)</f>
        <v>0.99999999999999989</v>
      </c>
    </row>
    <row r="106" spans="1:19" s="31" customFormat="1" x14ac:dyDescent="0.75">
      <c r="A106" s="35"/>
      <c r="B106" s="3"/>
      <c r="C106" s="2"/>
      <c r="D106" s="88"/>
      <c r="E106" s="88"/>
      <c r="F106" s="105"/>
      <c r="G106" s="105"/>
      <c r="H106" s="105"/>
      <c r="I106" s="105"/>
      <c r="J106" s="105"/>
      <c r="K106" s="105"/>
      <c r="L106" s="105"/>
      <c r="M106" s="105"/>
      <c r="N106" s="105"/>
      <c r="O106" s="105"/>
      <c r="P106" s="84"/>
      <c r="Q106" s="84"/>
      <c r="R106" s="84"/>
      <c r="S106" s="97"/>
    </row>
    <row r="107" spans="1:19" s="31" customFormat="1" x14ac:dyDescent="0.75">
      <c r="A107" s="35"/>
      <c r="B107" s="3"/>
      <c r="C107" s="2"/>
      <c r="D107" s="84"/>
      <c r="E107" s="84"/>
      <c r="F107" s="84"/>
      <c r="G107" s="84"/>
      <c r="H107" s="84"/>
      <c r="I107" s="84"/>
      <c r="J107" s="84"/>
      <c r="K107" s="84"/>
      <c r="L107" s="84"/>
      <c r="M107" s="84"/>
      <c r="N107" s="84"/>
      <c r="O107" s="84"/>
      <c r="P107" s="84"/>
      <c r="Q107" s="84"/>
      <c r="R107" s="84"/>
      <c r="S107" s="97"/>
    </row>
    <row r="108" spans="1:19" s="31" customFormat="1" x14ac:dyDescent="0.75">
      <c r="B108" s="4" t="s">
        <v>720</v>
      </c>
      <c r="C108" s="2"/>
      <c r="D108" s="84"/>
      <c r="E108" s="84"/>
      <c r="F108" s="84"/>
      <c r="G108" s="84"/>
      <c r="H108" s="84"/>
      <c r="I108" s="84"/>
      <c r="J108" s="84"/>
      <c r="K108" s="84"/>
      <c r="L108" s="84"/>
      <c r="M108" s="84"/>
      <c r="N108" s="84"/>
      <c r="O108" s="84"/>
      <c r="P108" s="84"/>
      <c r="Q108" s="84"/>
      <c r="R108" s="84"/>
      <c r="S108" s="97"/>
    </row>
    <row r="109" spans="1:19" s="31" customFormat="1" x14ac:dyDescent="0.75">
      <c r="A109" s="35"/>
      <c r="B109" s="64" t="str">
        <f>'Expenses w MYP'!C73</f>
        <v>5200</v>
      </c>
      <c r="C109" s="64" t="str">
        <f>'Expenses w MYP'!D73</f>
        <v>Travel and Conferences</v>
      </c>
      <c r="D109" s="98">
        <f>'Cash Flow %s Yr3'!D109</f>
        <v>0</v>
      </c>
      <c r="E109" s="98">
        <f>'Cash Flow %s Yr3'!E109</f>
        <v>0</v>
      </c>
      <c r="F109" s="98">
        <f>'Cash Flow %s Yr3'!F109</f>
        <v>0.3</v>
      </c>
      <c r="G109" s="98">
        <f>'Cash Flow %s Yr3'!G109</f>
        <v>0.1</v>
      </c>
      <c r="H109" s="98">
        <f>'Cash Flow %s Yr3'!H109</f>
        <v>0.1</v>
      </c>
      <c r="I109" s="98">
        <f>'Cash Flow %s Yr3'!I109</f>
        <v>0.1</v>
      </c>
      <c r="J109" s="98">
        <f>'Cash Flow %s Yr3'!J109</f>
        <v>0.1</v>
      </c>
      <c r="K109" s="98">
        <f>'Cash Flow %s Yr3'!K109</f>
        <v>0.1</v>
      </c>
      <c r="L109" s="98">
        <f>'Cash Flow %s Yr3'!L109</f>
        <v>0.1</v>
      </c>
      <c r="M109" s="98">
        <f>'Cash Flow %s Yr3'!M109</f>
        <v>0.1</v>
      </c>
      <c r="N109" s="98">
        <f>'Cash Flow %s Yr3'!N109</f>
        <v>0</v>
      </c>
      <c r="O109" s="98">
        <f>'Cash Flow %s Yr3'!O109</f>
        <v>0</v>
      </c>
      <c r="P109" s="98">
        <f>'Cash Flow %s Yr3'!P109</f>
        <v>0</v>
      </c>
      <c r="Q109" s="98">
        <f>'Cash Flow %s Yr3'!Q109</f>
        <v>0</v>
      </c>
      <c r="R109" s="98">
        <f>'Cash Flow %s Yr3'!R109</f>
        <v>0</v>
      </c>
      <c r="S109" s="97">
        <f t="shared" ref="S109:S139" si="9">SUM(D109:R109)</f>
        <v>0.99999999999999989</v>
      </c>
    </row>
    <row r="110" spans="1:19" s="31" customFormat="1" x14ac:dyDescent="0.75">
      <c r="A110" s="35"/>
      <c r="B110" s="64" t="str">
        <f>'Expenses w MYP'!C74</f>
        <v>5210</v>
      </c>
      <c r="C110" s="64" t="str">
        <f>'Expenses w MYP'!D74</f>
        <v>Training and Development Expense</v>
      </c>
      <c r="D110" s="98">
        <f>'Cash Flow %s Yr3'!D110</f>
        <v>0</v>
      </c>
      <c r="E110" s="98">
        <f>'Cash Flow %s Yr3'!E110</f>
        <v>0</v>
      </c>
      <c r="F110" s="98">
        <f>'Cash Flow %s Yr3'!F110</f>
        <v>0.3</v>
      </c>
      <c r="G110" s="98">
        <f>'Cash Flow %s Yr3'!G110</f>
        <v>0.1</v>
      </c>
      <c r="H110" s="98">
        <f>'Cash Flow %s Yr3'!H110</f>
        <v>0.1</v>
      </c>
      <c r="I110" s="98">
        <f>'Cash Flow %s Yr3'!I110</f>
        <v>0.1</v>
      </c>
      <c r="J110" s="98">
        <f>'Cash Flow %s Yr3'!J110</f>
        <v>0.1</v>
      </c>
      <c r="K110" s="98">
        <f>'Cash Flow %s Yr3'!K110</f>
        <v>0.1</v>
      </c>
      <c r="L110" s="98">
        <f>'Cash Flow %s Yr3'!L110</f>
        <v>0.1</v>
      </c>
      <c r="M110" s="98">
        <f>'Cash Flow %s Yr3'!M110</f>
        <v>0.1</v>
      </c>
      <c r="N110" s="98">
        <f>'Cash Flow %s Yr3'!N110</f>
        <v>0</v>
      </c>
      <c r="O110" s="98">
        <f>'Cash Flow %s Yr3'!O110</f>
        <v>0</v>
      </c>
      <c r="P110" s="98">
        <f>'Cash Flow %s Yr3'!P110</f>
        <v>0</v>
      </c>
      <c r="Q110" s="98">
        <f>'Cash Flow %s Yr3'!Q110</f>
        <v>0</v>
      </c>
      <c r="R110" s="98">
        <f>'Cash Flow %s Yr3'!R110</f>
        <v>0</v>
      </c>
      <c r="S110" s="97">
        <f t="shared" si="9"/>
        <v>0.99999999999999989</v>
      </c>
    </row>
    <row r="111" spans="1:19" s="31" customFormat="1" x14ac:dyDescent="0.75">
      <c r="A111" s="35"/>
      <c r="B111" s="64" t="str">
        <f>'Expenses w MYP'!C75</f>
        <v>5300</v>
      </c>
      <c r="C111" s="64" t="str">
        <f>'Expenses w MYP'!D75</f>
        <v>Dues and Memberships</v>
      </c>
      <c r="D111" s="98">
        <f>'Cash Flow %s Yr3'!D111</f>
        <v>0</v>
      </c>
      <c r="E111" s="98">
        <f>'Cash Flow %s Yr3'!E111</f>
        <v>0</v>
      </c>
      <c r="F111" s="98">
        <f>'Cash Flow %s Yr3'!F111</f>
        <v>0.3</v>
      </c>
      <c r="G111" s="98">
        <f>'Cash Flow %s Yr3'!G111</f>
        <v>0.1</v>
      </c>
      <c r="H111" s="98">
        <f>'Cash Flow %s Yr3'!H111</f>
        <v>0.1</v>
      </c>
      <c r="I111" s="98">
        <f>'Cash Flow %s Yr3'!I111</f>
        <v>0.1</v>
      </c>
      <c r="J111" s="98">
        <f>'Cash Flow %s Yr3'!J111</f>
        <v>0.1</v>
      </c>
      <c r="K111" s="98">
        <f>'Cash Flow %s Yr3'!K111</f>
        <v>0.1</v>
      </c>
      <c r="L111" s="98">
        <f>'Cash Flow %s Yr3'!L111</f>
        <v>0.1</v>
      </c>
      <c r="M111" s="98">
        <f>'Cash Flow %s Yr3'!M111</f>
        <v>0.1</v>
      </c>
      <c r="N111" s="98">
        <f>'Cash Flow %s Yr3'!N111</f>
        <v>0</v>
      </c>
      <c r="O111" s="98">
        <f>'Cash Flow %s Yr3'!O111</f>
        <v>0</v>
      </c>
      <c r="P111" s="98">
        <f>'Cash Flow %s Yr3'!P111</f>
        <v>0</v>
      </c>
      <c r="Q111" s="98">
        <f>'Cash Flow %s Yr3'!Q111</f>
        <v>0</v>
      </c>
      <c r="R111" s="98">
        <f>'Cash Flow %s Yr3'!R111</f>
        <v>0</v>
      </c>
      <c r="S111" s="97">
        <f t="shared" si="9"/>
        <v>0.99999999999999989</v>
      </c>
    </row>
    <row r="112" spans="1:19" s="31" customFormat="1" x14ac:dyDescent="0.75">
      <c r="A112" s="35"/>
      <c r="B112" s="64" t="str">
        <f>'Expenses w MYP'!C76</f>
        <v>5400</v>
      </c>
      <c r="C112" s="64" t="str">
        <f>'Expenses w MYP'!D76</f>
        <v>Insurance</v>
      </c>
      <c r="D112" s="98">
        <f>'Cash Flow %s Yr3'!D112</f>
        <v>0</v>
      </c>
      <c r="E112" s="98">
        <f>'Cash Flow %s Yr3'!E112</f>
        <v>0</v>
      </c>
      <c r="F112" s="98">
        <f>'Cash Flow %s Yr3'!F112</f>
        <v>0.3</v>
      </c>
      <c r="G112" s="98">
        <f>'Cash Flow %s Yr3'!G112</f>
        <v>0.1</v>
      </c>
      <c r="H112" s="98">
        <f>'Cash Flow %s Yr3'!H112</f>
        <v>0.1</v>
      </c>
      <c r="I112" s="98">
        <f>'Cash Flow %s Yr3'!I112</f>
        <v>0.1</v>
      </c>
      <c r="J112" s="98">
        <f>'Cash Flow %s Yr3'!J112</f>
        <v>0.1</v>
      </c>
      <c r="K112" s="98">
        <f>'Cash Flow %s Yr3'!K112</f>
        <v>0.1</v>
      </c>
      <c r="L112" s="98">
        <f>'Cash Flow %s Yr3'!L112</f>
        <v>0.1</v>
      </c>
      <c r="M112" s="98">
        <f>'Cash Flow %s Yr3'!M112</f>
        <v>0.1</v>
      </c>
      <c r="N112" s="98">
        <f>'Cash Flow %s Yr3'!N112</f>
        <v>0</v>
      </c>
      <c r="O112" s="98">
        <f>'Cash Flow %s Yr3'!O112</f>
        <v>0</v>
      </c>
      <c r="P112" s="98">
        <f>'Cash Flow %s Yr3'!P112</f>
        <v>0</v>
      </c>
      <c r="Q112" s="98">
        <f>'Cash Flow %s Yr3'!Q112</f>
        <v>0</v>
      </c>
      <c r="R112" s="98">
        <f>'Cash Flow %s Yr3'!R112</f>
        <v>0</v>
      </c>
      <c r="S112" s="97">
        <f t="shared" si="9"/>
        <v>0.99999999999999989</v>
      </c>
    </row>
    <row r="113" spans="1:19" s="31" customFormat="1" x14ac:dyDescent="0.75">
      <c r="A113" s="35"/>
      <c r="B113" s="64" t="str">
        <f>'Expenses w MYP'!C77</f>
        <v>5500</v>
      </c>
      <c r="C113" s="64" t="str">
        <f>'Expenses w MYP'!D77</f>
        <v>Operation and Housekeeping Services/Supplies</v>
      </c>
      <c r="D113" s="98">
        <f>'Cash Flow %s Yr3'!D113</f>
        <v>0</v>
      </c>
      <c r="E113" s="98">
        <f>'Cash Flow %s Yr3'!E113</f>
        <v>0</v>
      </c>
      <c r="F113" s="98">
        <f>'Cash Flow %s Yr3'!F113</f>
        <v>0.6</v>
      </c>
      <c r="G113" s="98">
        <f>'Cash Flow %s Yr3'!G113</f>
        <v>0</v>
      </c>
      <c r="H113" s="98">
        <f>'Cash Flow %s Yr3'!H113</f>
        <v>0</v>
      </c>
      <c r="I113" s="98">
        <f>'Cash Flow %s Yr3'!I113</f>
        <v>0</v>
      </c>
      <c r="J113" s="98">
        <f>'Cash Flow %s Yr3'!J113</f>
        <v>0.4</v>
      </c>
      <c r="K113" s="98">
        <f>'Cash Flow %s Yr3'!K113</f>
        <v>0</v>
      </c>
      <c r="L113" s="98">
        <f>'Cash Flow %s Yr3'!L113</f>
        <v>0</v>
      </c>
      <c r="M113" s="98">
        <f>'Cash Flow %s Yr3'!M113</f>
        <v>0</v>
      </c>
      <c r="N113" s="98">
        <f>'Cash Flow %s Yr3'!N113</f>
        <v>0</v>
      </c>
      <c r="O113" s="98">
        <f>'Cash Flow %s Yr3'!O113</f>
        <v>0</v>
      </c>
      <c r="P113" s="98">
        <f>'Cash Flow %s Yr3'!P113</f>
        <v>0</v>
      </c>
      <c r="Q113" s="98">
        <f>'Cash Flow %s Yr3'!Q113</f>
        <v>0</v>
      </c>
      <c r="R113" s="98">
        <f>'Cash Flow %s Yr3'!R113</f>
        <v>0</v>
      </c>
      <c r="S113" s="97">
        <f t="shared" si="9"/>
        <v>1</v>
      </c>
    </row>
    <row r="114" spans="1:19" s="31" customFormat="1" x14ac:dyDescent="0.75">
      <c r="A114" s="35"/>
      <c r="B114" s="64" t="str">
        <f>'Expenses w MYP'!C78</f>
        <v>5501</v>
      </c>
      <c r="C114" s="64" t="str">
        <f>'Expenses w MYP'!D78</f>
        <v>Utilities</v>
      </c>
      <c r="D114" s="98">
        <f>'Cash Flow %s Yr3'!D114</f>
        <v>0</v>
      </c>
      <c r="E114" s="98">
        <f>'Cash Flow %s Yr3'!E114</f>
        <v>0</v>
      </c>
      <c r="F114" s="98">
        <f>'Cash Flow %s Yr3'!F114</f>
        <v>0.1</v>
      </c>
      <c r="G114" s="98">
        <f>'Cash Flow %s Yr3'!G114</f>
        <v>0.1</v>
      </c>
      <c r="H114" s="98">
        <f>'Cash Flow %s Yr3'!H114</f>
        <v>0.1</v>
      </c>
      <c r="I114" s="98">
        <f>'Cash Flow %s Yr3'!I114</f>
        <v>0.1</v>
      </c>
      <c r="J114" s="98">
        <f>'Cash Flow %s Yr3'!J114</f>
        <v>0.1</v>
      </c>
      <c r="K114" s="98">
        <f>'Cash Flow %s Yr3'!K114</f>
        <v>0.1</v>
      </c>
      <c r="L114" s="98">
        <f>'Cash Flow %s Yr3'!L114</f>
        <v>0.1</v>
      </c>
      <c r="M114" s="98">
        <f>'Cash Flow %s Yr3'!M114</f>
        <v>0.1</v>
      </c>
      <c r="N114" s="98">
        <f>'Cash Flow %s Yr3'!N114</f>
        <v>0.1</v>
      </c>
      <c r="O114" s="98">
        <f>'Cash Flow %s Yr3'!O114</f>
        <v>0.1</v>
      </c>
      <c r="P114" s="98">
        <f>'Cash Flow %s Yr3'!P114</f>
        <v>0</v>
      </c>
      <c r="Q114" s="98">
        <f>'Cash Flow %s Yr3'!Q114</f>
        <v>0</v>
      </c>
      <c r="R114" s="98">
        <f>'Cash Flow %s Yr3'!R114</f>
        <v>0</v>
      </c>
      <c r="S114" s="97">
        <f t="shared" si="9"/>
        <v>0.99999999999999989</v>
      </c>
    </row>
    <row r="115" spans="1:19" s="31" customFormat="1" x14ac:dyDescent="0.75">
      <c r="A115" s="35"/>
      <c r="B115" s="64" t="str">
        <f>'Expenses w MYP'!C79</f>
        <v>5505</v>
      </c>
      <c r="C115" s="64" t="str">
        <f>'Expenses w MYP'!D79</f>
        <v>Student Transportation / Field Trips</v>
      </c>
      <c r="D115" s="98">
        <f>'Cash Flow %s Yr3'!D115</f>
        <v>0</v>
      </c>
      <c r="E115" s="98">
        <f>'Cash Flow %s Yr3'!E115</f>
        <v>0</v>
      </c>
      <c r="F115" s="98">
        <f>'Cash Flow %s Yr3'!F115</f>
        <v>0.1</v>
      </c>
      <c r="G115" s="98">
        <f>'Cash Flow %s Yr3'!G115</f>
        <v>0.1</v>
      </c>
      <c r="H115" s="98">
        <f>'Cash Flow %s Yr3'!H115</f>
        <v>0.1</v>
      </c>
      <c r="I115" s="98">
        <f>'Cash Flow %s Yr3'!I115</f>
        <v>0.1</v>
      </c>
      <c r="J115" s="98">
        <f>'Cash Flow %s Yr3'!J115</f>
        <v>0.1</v>
      </c>
      <c r="K115" s="98">
        <f>'Cash Flow %s Yr3'!K115</f>
        <v>0.1</v>
      </c>
      <c r="L115" s="98">
        <f>'Cash Flow %s Yr3'!L115</f>
        <v>0.1</v>
      </c>
      <c r="M115" s="98">
        <f>'Cash Flow %s Yr3'!M115</f>
        <v>0.1</v>
      </c>
      <c r="N115" s="98">
        <f>'Cash Flow %s Yr3'!N115</f>
        <v>0.1</v>
      </c>
      <c r="O115" s="98">
        <f>'Cash Flow %s Yr3'!O115</f>
        <v>0.1</v>
      </c>
      <c r="P115" s="98">
        <f>'Cash Flow %s Yr3'!P115</f>
        <v>0</v>
      </c>
      <c r="Q115" s="98">
        <f>'Cash Flow %s Yr3'!Q115</f>
        <v>0</v>
      </c>
      <c r="R115" s="98">
        <f>'Cash Flow %s Yr3'!R115</f>
        <v>0</v>
      </c>
      <c r="S115" s="97">
        <f t="shared" si="9"/>
        <v>0.99999999999999989</v>
      </c>
    </row>
    <row r="116" spans="1:19" s="31" customFormat="1" x14ac:dyDescent="0.75">
      <c r="A116" s="35"/>
      <c r="B116" s="64" t="str">
        <f>'Expenses w MYP'!C80</f>
        <v>5600</v>
      </c>
      <c r="C116" s="64" t="str">
        <f>'Expenses w MYP'!D80</f>
        <v>Space Rental/Leases Expense</v>
      </c>
      <c r="D116" s="98">
        <f>'Cash Flow %s Yr3'!D116</f>
        <v>0</v>
      </c>
      <c r="E116" s="98">
        <f>'Cash Flow %s Yr3'!E116</f>
        <v>0</v>
      </c>
      <c r="F116" s="98">
        <f>'Cash Flow %s Yr3'!F116</f>
        <v>0.1</v>
      </c>
      <c r="G116" s="98">
        <f>'Cash Flow %s Yr3'!G116</f>
        <v>0.1</v>
      </c>
      <c r="H116" s="98">
        <f>'Cash Flow %s Yr3'!H116</f>
        <v>0.1</v>
      </c>
      <c r="I116" s="98">
        <f>'Cash Flow %s Yr3'!I116</f>
        <v>0.1</v>
      </c>
      <c r="J116" s="98">
        <f>'Cash Flow %s Yr3'!J116</f>
        <v>0.1</v>
      </c>
      <c r="K116" s="98">
        <f>'Cash Flow %s Yr3'!K116</f>
        <v>0.1</v>
      </c>
      <c r="L116" s="98">
        <f>'Cash Flow %s Yr3'!L116</f>
        <v>0.1</v>
      </c>
      <c r="M116" s="98">
        <f>'Cash Flow %s Yr3'!M116</f>
        <v>0.1</v>
      </c>
      <c r="N116" s="98">
        <f>'Cash Flow %s Yr3'!N116</f>
        <v>0.1</v>
      </c>
      <c r="O116" s="98">
        <f>'Cash Flow %s Yr3'!O116</f>
        <v>0.1</v>
      </c>
      <c r="P116" s="98">
        <f>'Cash Flow %s Yr3'!P116</f>
        <v>0</v>
      </c>
      <c r="Q116" s="98">
        <f>'Cash Flow %s Yr3'!Q116</f>
        <v>0</v>
      </c>
      <c r="R116" s="98">
        <f>'Cash Flow %s Yr3'!R116</f>
        <v>0</v>
      </c>
      <c r="S116" s="97">
        <f t="shared" si="9"/>
        <v>0.99999999999999989</v>
      </c>
    </row>
    <row r="117" spans="1:19" s="31" customFormat="1" x14ac:dyDescent="0.75">
      <c r="A117" s="35"/>
      <c r="B117" s="64" t="str">
        <f>'Expenses w MYP'!C81</f>
        <v>5601</v>
      </c>
      <c r="C117" s="64" t="str">
        <f>'Expenses w MYP'!D81</f>
        <v>Building Maintenance</v>
      </c>
      <c r="D117" s="98">
        <f>'Cash Flow %s Yr3'!D117</f>
        <v>0.05</v>
      </c>
      <c r="E117" s="98">
        <f>'Cash Flow %s Yr3'!E117</f>
        <v>0.05</v>
      </c>
      <c r="F117" s="98">
        <f>'Cash Flow %s Yr3'!F117</f>
        <v>0.09</v>
      </c>
      <c r="G117" s="98">
        <f>'Cash Flow %s Yr3'!G117</f>
        <v>0.09</v>
      </c>
      <c r="H117" s="98">
        <f>'Cash Flow %s Yr3'!H117</f>
        <v>0.09</v>
      </c>
      <c r="I117" s="98">
        <f>'Cash Flow %s Yr3'!I117</f>
        <v>0.09</v>
      </c>
      <c r="J117" s="98">
        <f>'Cash Flow %s Yr3'!J117</f>
        <v>0.09</v>
      </c>
      <c r="K117" s="98">
        <f>'Cash Flow %s Yr3'!K117</f>
        <v>0.09</v>
      </c>
      <c r="L117" s="98">
        <f>'Cash Flow %s Yr3'!L117</f>
        <v>0.09</v>
      </c>
      <c r="M117" s="98">
        <f>'Cash Flow %s Yr3'!M117</f>
        <v>0.09</v>
      </c>
      <c r="N117" s="98">
        <f>'Cash Flow %s Yr3'!N117</f>
        <v>0.09</v>
      </c>
      <c r="O117" s="98">
        <f>'Cash Flow %s Yr3'!O117</f>
        <v>0.09</v>
      </c>
      <c r="P117" s="98">
        <f>'Cash Flow %s Yr3'!P117</f>
        <v>0</v>
      </c>
      <c r="Q117" s="98">
        <f>'Cash Flow %s Yr3'!Q117</f>
        <v>0</v>
      </c>
      <c r="R117" s="98">
        <f>'Cash Flow %s Yr3'!R117</f>
        <v>0</v>
      </c>
      <c r="S117" s="97">
        <f t="shared" si="9"/>
        <v>0.99999999999999978</v>
      </c>
    </row>
    <row r="118" spans="1:19" s="31" customFormat="1" x14ac:dyDescent="0.75">
      <c r="A118" s="35"/>
      <c r="B118" s="64" t="str">
        <f>'Expenses w MYP'!C82</f>
        <v>5602</v>
      </c>
      <c r="C118" s="64" t="str">
        <f>'Expenses w MYP'!D82</f>
        <v>Other Space Rental</v>
      </c>
      <c r="D118" s="98">
        <f>'Cash Flow %s Yr3'!D118</f>
        <v>0.05</v>
      </c>
      <c r="E118" s="98">
        <f>'Cash Flow %s Yr3'!E118</f>
        <v>0.05</v>
      </c>
      <c r="F118" s="98">
        <f>'Cash Flow %s Yr3'!F118</f>
        <v>0.09</v>
      </c>
      <c r="G118" s="98">
        <f>'Cash Flow %s Yr3'!G118</f>
        <v>0.09</v>
      </c>
      <c r="H118" s="98">
        <f>'Cash Flow %s Yr3'!H118</f>
        <v>0.09</v>
      </c>
      <c r="I118" s="98">
        <f>'Cash Flow %s Yr3'!I118</f>
        <v>0.09</v>
      </c>
      <c r="J118" s="98">
        <f>'Cash Flow %s Yr3'!J118</f>
        <v>0.09</v>
      </c>
      <c r="K118" s="98">
        <f>'Cash Flow %s Yr3'!K118</f>
        <v>0.09</v>
      </c>
      <c r="L118" s="98">
        <f>'Cash Flow %s Yr3'!L118</f>
        <v>0.09</v>
      </c>
      <c r="M118" s="98">
        <f>'Cash Flow %s Yr3'!M118</f>
        <v>0.09</v>
      </c>
      <c r="N118" s="98">
        <f>'Cash Flow %s Yr3'!N118</f>
        <v>0.09</v>
      </c>
      <c r="O118" s="98">
        <f>'Cash Flow %s Yr3'!O118</f>
        <v>0.09</v>
      </c>
      <c r="P118" s="98">
        <f>'Cash Flow %s Yr3'!P118</f>
        <v>0</v>
      </c>
      <c r="Q118" s="98">
        <f>'Cash Flow %s Yr3'!Q118</f>
        <v>0</v>
      </c>
      <c r="R118" s="98">
        <f>'Cash Flow %s Yr3'!R118</f>
        <v>0</v>
      </c>
      <c r="S118" s="97">
        <f t="shared" si="9"/>
        <v>0.99999999999999978</v>
      </c>
    </row>
    <row r="119" spans="1:19" s="31" customFormat="1" x14ac:dyDescent="0.75">
      <c r="A119" s="35"/>
      <c r="B119" s="64" t="str">
        <f>'Expenses w MYP'!C83</f>
        <v>5603</v>
      </c>
      <c r="C119" s="64" t="str">
        <f>'Expenses w MYP'!D83</f>
        <v>Engagement Space Rental</v>
      </c>
      <c r="D119" s="98">
        <f>'Cash Flow %s Yr3'!D119</f>
        <v>0</v>
      </c>
      <c r="E119" s="98">
        <f>'Cash Flow %s Yr3'!E119</f>
        <v>0</v>
      </c>
      <c r="F119" s="98">
        <f>'Cash Flow %s Yr3'!F119</f>
        <v>0.1</v>
      </c>
      <c r="G119" s="98">
        <f>'Cash Flow %s Yr3'!G119</f>
        <v>0.1</v>
      </c>
      <c r="H119" s="98">
        <f>'Cash Flow %s Yr3'!H119</f>
        <v>0.1</v>
      </c>
      <c r="I119" s="98">
        <f>'Cash Flow %s Yr3'!I119</f>
        <v>0.1</v>
      </c>
      <c r="J119" s="98">
        <f>'Cash Flow %s Yr3'!J119</f>
        <v>0.1</v>
      </c>
      <c r="K119" s="98">
        <f>'Cash Flow %s Yr3'!K119</f>
        <v>0.1</v>
      </c>
      <c r="L119" s="98">
        <f>'Cash Flow %s Yr3'!L119</f>
        <v>0.1</v>
      </c>
      <c r="M119" s="98">
        <f>'Cash Flow %s Yr3'!M119</f>
        <v>0.1</v>
      </c>
      <c r="N119" s="98">
        <f>'Cash Flow %s Yr3'!N119</f>
        <v>0.1</v>
      </c>
      <c r="O119" s="98">
        <f>'Cash Flow %s Yr3'!O119</f>
        <v>0.1</v>
      </c>
      <c r="P119" s="98">
        <f>'Cash Flow %s Yr3'!P119</f>
        <v>0</v>
      </c>
      <c r="Q119" s="98">
        <f>'Cash Flow %s Yr3'!Q119</f>
        <v>0</v>
      </c>
      <c r="R119" s="98">
        <f>'Cash Flow %s Yr3'!R119</f>
        <v>0</v>
      </c>
      <c r="S119" s="97">
        <f t="shared" si="9"/>
        <v>0.99999999999999989</v>
      </c>
    </row>
    <row r="120" spans="1:19" s="31" customFormat="1" x14ac:dyDescent="0.75">
      <c r="A120" s="35"/>
      <c r="B120" s="64" t="str">
        <f>'Expenses w MYP'!C84</f>
        <v>5610</v>
      </c>
      <c r="C120" s="64" t="str">
        <f>'Expenses w MYP'!D84</f>
        <v>Equipment Repair</v>
      </c>
      <c r="D120" s="98">
        <f>'Cash Flow %s Yr3'!D120</f>
        <v>0</v>
      </c>
      <c r="E120" s="98">
        <f>'Cash Flow %s Yr3'!E120</f>
        <v>0</v>
      </c>
      <c r="F120" s="98">
        <f>'Cash Flow %s Yr3'!F120</f>
        <v>0.1</v>
      </c>
      <c r="G120" s="98">
        <f>'Cash Flow %s Yr3'!G120</f>
        <v>0.1</v>
      </c>
      <c r="H120" s="98">
        <f>'Cash Flow %s Yr3'!H120</f>
        <v>0.1</v>
      </c>
      <c r="I120" s="98">
        <f>'Cash Flow %s Yr3'!I120</f>
        <v>0.1</v>
      </c>
      <c r="J120" s="98">
        <f>'Cash Flow %s Yr3'!J120</f>
        <v>0.1</v>
      </c>
      <c r="K120" s="98">
        <f>'Cash Flow %s Yr3'!K120</f>
        <v>0.1</v>
      </c>
      <c r="L120" s="98">
        <f>'Cash Flow %s Yr3'!L120</f>
        <v>0.1</v>
      </c>
      <c r="M120" s="98">
        <f>'Cash Flow %s Yr3'!M120</f>
        <v>0.1</v>
      </c>
      <c r="N120" s="98">
        <f>'Cash Flow %s Yr3'!N120</f>
        <v>0.1</v>
      </c>
      <c r="O120" s="98">
        <f>'Cash Flow %s Yr3'!O120</f>
        <v>0.1</v>
      </c>
      <c r="P120" s="98">
        <f>'Cash Flow %s Yr3'!P120</f>
        <v>0</v>
      </c>
      <c r="Q120" s="98">
        <f>'Cash Flow %s Yr3'!Q120</f>
        <v>0</v>
      </c>
      <c r="R120" s="98">
        <f>'Cash Flow %s Yr3'!R120</f>
        <v>0</v>
      </c>
      <c r="S120" s="97">
        <f t="shared" si="9"/>
        <v>0.99999999999999989</v>
      </c>
    </row>
    <row r="121" spans="1:19" s="31" customFormat="1" x14ac:dyDescent="0.75">
      <c r="A121" s="35"/>
      <c r="B121" s="64" t="str">
        <f>'Expenses w MYP'!C85</f>
        <v>5800</v>
      </c>
      <c r="C121" s="64" t="str">
        <f>'Expenses w MYP'!D85</f>
        <v>Professional/Consulting Services and Operating Expenditures</v>
      </c>
      <c r="D121" s="98">
        <f>'Cash Flow %s Yr3'!D121</f>
        <v>0</v>
      </c>
      <c r="E121" s="98">
        <f>'Cash Flow %s Yr3'!E121</f>
        <v>0</v>
      </c>
      <c r="F121" s="98">
        <f>'Cash Flow %s Yr3'!F121</f>
        <v>0.1</v>
      </c>
      <c r="G121" s="98">
        <f>'Cash Flow %s Yr3'!G121</f>
        <v>0.1</v>
      </c>
      <c r="H121" s="98">
        <f>'Cash Flow %s Yr3'!H121</f>
        <v>0.1</v>
      </c>
      <c r="I121" s="98">
        <f>'Cash Flow %s Yr3'!I121</f>
        <v>0.1</v>
      </c>
      <c r="J121" s="98">
        <f>'Cash Flow %s Yr3'!J121</f>
        <v>0.1</v>
      </c>
      <c r="K121" s="98">
        <f>'Cash Flow %s Yr3'!K121</f>
        <v>0.1</v>
      </c>
      <c r="L121" s="98">
        <f>'Cash Flow %s Yr3'!L121</f>
        <v>0.1</v>
      </c>
      <c r="M121" s="98">
        <f>'Cash Flow %s Yr3'!M121</f>
        <v>0.1</v>
      </c>
      <c r="N121" s="98">
        <f>'Cash Flow %s Yr3'!N121</f>
        <v>0.1</v>
      </c>
      <c r="O121" s="98">
        <f>'Cash Flow %s Yr3'!O121</f>
        <v>0.1</v>
      </c>
      <c r="P121" s="98">
        <f>'Cash Flow %s Yr3'!P121</f>
        <v>0</v>
      </c>
      <c r="Q121" s="98">
        <f>'Cash Flow %s Yr3'!Q121</f>
        <v>0</v>
      </c>
      <c r="R121" s="98">
        <f>'Cash Flow %s Yr3'!R121</f>
        <v>0</v>
      </c>
      <c r="S121" s="97">
        <f t="shared" si="9"/>
        <v>0.99999999999999989</v>
      </c>
    </row>
    <row r="122" spans="1:19" s="31" customFormat="1" x14ac:dyDescent="0.75">
      <c r="A122" s="35"/>
      <c r="B122" s="64" t="str">
        <f>'Expenses w MYP'!C86</f>
        <v>5803</v>
      </c>
      <c r="C122" s="64" t="str">
        <f>'Expenses w MYP'!D86</f>
        <v>Banking and Payroll Service Fees</v>
      </c>
      <c r="D122" s="98">
        <f>'Cash Flow %s Yr3'!D122</f>
        <v>0.05</v>
      </c>
      <c r="E122" s="98">
        <f>'Cash Flow %s Yr3'!E122</f>
        <v>0.05</v>
      </c>
      <c r="F122" s="98">
        <f>'Cash Flow %s Yr3'!F122</f>
        <v>0.09</v>
      </c>
      <c r="G122" s="98">
        <f>'Cash Flow %s Yr3'!G122</f>
        <v>0.09</v>
      </c>
      <c r="H122" s="98">
        <f>'Cash Flow %s Yr3'!H122</f>
        <v>0.09</v>
      </c>
      <c r="I122" s="98">
        <f>'Cash Flow %s Yr3'!I122</f>
        <v>0.09</v>
      </c>
      <c r="J122" s="98">
        <f>'Cash Flow %s Yr3'!J122</f>
        <v>0.09</v>
      </c>
      <c r="K122" s="98">
        <f>'Cash Flow %s Yr3'!K122</f>
        <v>0.09</v>
      </c>
      <c r="L122" s="98">
        <f>'Cash Flow %s Yr3'!L122</f>
        <v>0.09</v>
      </c>
      <c r="M122" s="98">
        <f>'Cash Flow %s Yr3'!M122</f>
        <v>0.09</v>
      </c>
      <c r="N122" s="98">
        <f>'Cash Flow %s Yr3'!N122</f>
        <v>0.09</v>
      </c>
      <c r="O122" s="98">
        <f>'Cash Flow %s Yr3'!O122</f>
        <v>0.09</v>
      </c>
      <c r="P122" s="98">
        <f>'Cash Flow %s Yr3'!P122</f>
        <v>0</v>
      </c>
      <c r="Q122" s="98">
        <f>'Cash Flow %s Yr3'!Q122</f>
        <v>0</v>
      </c>
      <c r="R122" s="98">
        <f>'Cash Flow %s Yr3'!R122</f>
        <v>0</v>
      </c>
      <c r="S122" s="97">
        <f t="shared" si="9"/>
        <v>0.99999999999999978</v>
      </c>
    </row>
    <row r="123" spans="1:19" s="31" customFormat="1" x14ac:dyDescent="0.75">
      <c r="A123" s="35"/>
      <c r="B123" s="64" t="str">
        <f>'Expenses w MYP'!C87</f>
        <v>5805</v>
      </c>
      <c r="C123" s="64" t="str">
        <f>'Expenses w MYP'!D87</f>
        <v>Legal Fees</v>
      </c>
      <c r="D123" s="98">
        <f>'Cash Flow %s Yr3'!D123</f>
        <v>0.05</v>
      </c>
      <c r="E123" s="98">
        <f>'Cash Flow %s Yr3'!E123</f>
        <v>0.05</v>
      </c>
      <c r="F123" s="98">
        <f>'Cash Flow %s Yr3'!F123</f>
        <v>0.09</v>
      </c>
      <c r="G123" s="98">
        <f>'Cash Flow %s Yr3'!G123</f>
        <v>0.09</v>
      </c>
      <c r="H123" s="98">
        <f>'Cash Flow %s Yr3'!H123</f>
        <v>0.09</v>
      </c>
      <c r="I123" s="98">
        <f>'Cash Flow %s Yr3'!I123</f>
        <v>0.09</v>
      </c>
      <c r="J123" s="98">
        <f>'Cash Flow %s Yr3'!J123</f>
        <v>0.09</v>
      </c>
      <c r="K123" s="98">
        <f>'Cash Flow %s Yr3'!K123</f>
        <v>0.09</v>
      </c>
      <c r="L123" s="98">
        <f>'Cash Flow %s Yr3'!L123</f>
        <v>0.09</v>
      </c>
      <c r="M123" s="98">
        <f>'Cash Flow %s Yr3'!M123</f>
        <v>0.09</v>
      </c>
      <c r="N123" s="98">
        <f>'Cash Flow %s Yr3'!N123</f>
        <v>0.09</v>
      </c>
      <c r="O123" s="98">
        <f>'Cash Flow %s Yr3'!O123</f>
        <v>0.09</v>
      </c>
      <c r="P123" s="98">
        <f>'Cash Flow %s Yr3'!P123</f>
        <v>0</v>
      </c>
      <c r="Q123" s="98">
        <f>'Cash Flow %s Yr3'!Q123</f>
        <v>0</v>
      </c>
      <c r="R123" s="98">
        <f>'Cash Flow %s Yr3'!R123</f>
        <v>0</v>
      </c>
      <c r="S123" s="97">
        <f t="shared" si="9"/>
        <v>0.99999999999999978</v>
      </c>
    </row>
    <row r="124" spans="1:19" s="31" customFormat="1" x14ac:dyDescent="0.75">
      <c r="A124" s="35"/>
      <c r="B124" s="64" t="str">
        <f>'Expenses w MYP'!C88</f>
        <v>5806</v>
      </c>
      <c r="C124" s="64" t="str">
        <f>'Expenses w MYP'!D88</f>
        <v>Audit Services</v>
      </c>
      <c r="D124" s="98">
        <f>'Cash Flow %s Yr3'!D124</f>
        <v>0.05</v>
      </c>
      <c r="E124" s="98">
        <f>'Cash Flow %s Yr3'!E124</f>
        <v>0.05</v>
      </c>
      <c r="F124" s="98">
        <f>'Cash Flow %s Yr3'!F124</f>
        <v>0.09</v>
      </c>
      <c r="G124" s="98">
        <f>'Cash Flow %s Yr3'!G124</f>
        <v>0.09</v>
      </c>
      <c r="H124" s="98">
        <f>'Cash Flow %s Yr3'!H124</f>
        <v>0.09</v>
      </c>
      <c r="I124" s="98">
        <f>'Cash Flow %s Yr3'!I124</f>
        <v>0.09</v>
      </c>
      <c r="J124" s="98">
        <f>'Cash Flow %s Yr3'!J124</f>
        <v>0.09</v>
      </c>
      <c r="K124" s="98">
        <f>'Cash Flow %s Yr3'!K124</f>
        <v>0.09</v>
      </c>
      <c r="L124" s="98">
        <f>'Cash Flow %s Yr3'!L124</f>
        <v>0.09</v>
      </c>
      <c r="M124" s="98">
        <f>'Cash Flow %s Yr3'!M124</f>
        <v>0.09</v>
      </c>
      <c r="N124" s="98">
        <f>'Cash Flow %s Yr3'!N124</f>
        <v>0.09</v>
      </c>
      <c r="O124" s="98">
        <f>'Cash Flow %s Yr3'!O124</f>
        <v>0.09</v>
      </c>
      <c r="P124" s="98">
        <f>'Cash Flow %s Yr3'!P124</f>
        <v>0</v>
      </c>
      <c r="Q124" s="98">
        <f>'Cash Flow %s Yr3'!Q124</f>
        <v>0</v>
      </c>
      <c r="R124" s="98">
        <f>'Cash Flow %s Yr3'!R124</f>
        <v>0</v>
      </c>
      <c r="S124" s="97">
        <f t="shared" si="9"/>
        <v>0.99999999999999978</v>
      </c>
    </row>
    <row r="125" spans="1:19" s="31" customFormat="1" x14ac:dyDescent="0.75">
      <c r="A125" s="35"/>
      <c r="B125" s="64" t="str">
        <f>'Expenses w MYP'!C91</f>
        <v>5810</v>
      </c>
      <c r="C125" s="64" t="str">
        <f>'Expenses w MYP'!D91</f>
        <v>Educational Consultants</v>
      </c>
      <c r="D125" s="98">
        <f>'Cash Flow %s Yr3'!D125</f>
        <v>0.05</v>
      </c>
      <c r="E125" s="98">
        <f>'Cash Flow %s Yr3'!E125</f>
        <v>0.05</v>
      </c>
      <c r="F125" s="98">
        <f>'Cash Flow %s Yr3'!F125</f>
        <v>0.09</v>
      </c>
      <c r="G125" s="98">
        <f>'Cash Flow %s Yr3'!G125</f>
        <v>0.09</v>
      </c>
      <c r="H125" s="98">
        <f>'Cash Flow %s Yr3'!H125</f>
        <v>0.09</v>
      </c>
      <c r="I125" s="98">
        <f>'Cash Flow %s Yr3'!I125</f>
        <v>0.09</v>
      </c>
      <c r="J125" s="98">
        <f>'Cash Flow %s Yr3'!J125</f>
        <v>0.09</v>
      </c>
      <c r="K125" s="98">
        <f>'Cash Flow %s Yr3'!K125</f>
        <v>0.09</v>
      </c>
      <c r="L125" s="98">
        <f>'Cash Flow %s Yr3'!L125</f>
        <v>0.09</v>
      </c>
      <c r="M125" s="98">
        <f>'Cash Flow %s Yr3'!M125</f>
        <v>0.09</v>
      </c>
      <c r="N125" s="98">
        <f>'Cash Flow %s Yr3'!N125</f>
        <v>0.09</v>
      </c>
      <c r="O125" s="98">
        <f>'Cash Flow %s Yr3'!O125</f>
        <v>0.09</v>
      </c>
      <c r="P125" s="98">
        <f>'Cash Flow %s Yr3'!P125</f>
        <v>0</v>
      </c>
      <c r="Q125" s="98">
        <f>'Cash Flow %s Yr3'!Q125</f>
        <v>0</v>
      </c>
      <c r="R125" s="98">
        <f>'Cash Flow %s Yr3'!R125</f>
        <v>0</v>
      </c>
      <c r="S125" s="97">
        <f t="shared" si="9"/>
        <v>0.99999999999999978</v>
      </c>
    </row>
    <row r="126" spans="1:19" s="31" customFormat="1" x14ac:dyDescent="0.75">
      <c r="A126" s="35"/>
      <c r="B126" s="64" t="str">
        <f>'Expenses w MYP'!C92</f>
        <v>5811</v>
      </c>
      <c r="C126" s="64" t="str">
        <f>'Expenses w MYP'!D92</f>
        <v>Student Transportation / Field Trips</v>
      </c>
      <c r="D126" s="98">
        <f>'Cash Flow %s Yr3'!D126</f>
        <v>0.05</v>
      </c>
      <c r="E126" s="98">
        <f>'Cash Flow %s Yr3'!E126</f>
        <v>0.05</v>
      </c>
      <c r="F126" s="98">
        <f>'Cash Flow %s Yr3'!F126</f>
        <v>0.09</v>
      </c>
      <c r="G126" s="98">
        <f>'Cash Flow %s Yr3'!G126</f>
        <v>0.09</v>
      </c>
      <c r="H126" s="98">
        <f>'Cash Flow %s Yr3'!H126</f>
        <v>0.09</v>
      </c>
      <c r="I126" s="98">
        <f>'Cash Flow %s Yr3'!I126</f>
        <v>0.09</v>
      </c>
      <c r="J126" s="98">
        <f>'Cash Flow %s Yr3'!J126</f>
        <v>0.09</v>
      </c>
      <c r="K126" s="98">
        <f>'Cash Flow %s Yr3'!K126</f>
        <v>0.09</v>
      </c>
      <c r="L126" s="98">
        <f>'Cash Flow %s Yr3'!L126</f>
        <v>0.09</v>
      </c>
      <c r="M126" s="98">
        <f>'Cash Flow %s Yr3'!M126</f>
        <v>0.09</v>
      </c>
      <c r="N126" s="98">
        <f>'Cash Flow %s Yr3'!N126</f>
        <v>0.09</v>
      </c>
      <c r="O126" s="98">
        <f>'Cash Flow %s Yr3'!O126</f>
        <v>0.09</v>
      </c>
      <c r="P126" s="98">
        <f>'Cash Flow %s Yr3'!P126</f>
        <v>0</v>
      </c>
      <c r="Q126" s="98">
        <f>'Cash Flow %s Yr3'!Q126</f>
        <v>0</v>
      </c>
      <c r="R126" s="98">
        <f>'Cash Flow %s Yr3'!R126</f>
        <v>0</v>
      </c>
      <c r="S126" s="97">
        <f t="shared" si="9"/>
        <v>0.99999999999999978</v>
      </c>
    </row>
    <row r="127" spans="1:19" s="31" customFormat="1" x14ac:dyDescent="0.75">
      <c r="A127" s="35"/>
      <c r="B127" s="64" t="str">
        <f>'Expenses w MYP'!C94</f>
        <v>5815</v>
      </c>
      <c r="C127" s="64" t="str">
        <f>'Expenses w MYP'!D94</f>
        <v>Advertising / Recruiting</v>
      </c>
      <c r="D127" s="98">
        <f>'Cash Flow %s Yr3'!D127</f>
        <v>0</v>
      </c>
      <c r="E127" s="98">
        <f>'Cash Flow %s Yr3'!E127</f>
        <v>0</v>
      </c>
      <c r="F127" s="98">
        <f>'Cash Flow %s Yr3'!F127</f>
        <v>0.1</v>
      </c>
      <c r="G127" s="98">
        <f>'Cash Flow %s Yr3'!G127</f>
        <v>0.1</v>
      </c>
      <c r="H127" s="98">
        <f>'Cash Flow %s Yr3'!H127</f>
        <v>0.1</v>
      </c>
      <c r="I127" s="98">
        <f>'Cash Flow %s Yr3'!I127</f>
        <v>0.1</v>
      </c>
      <c r="J127" s="98">
        <f>'Cash Flow %s Yr3'!J127</f>
        <v>0.1</v>
      </c>
      <c r="K127" s="98">
        <f>'Cash Flow %s Yr3'!K127</f>
        <v>0.1</v>
      </c>
      <c r="L127" s="98">
        <f>'Cash Flow %s Yr3'!L127</f>
        <v>0.1</v>
      </c>
      <c r="M127" s="98">
        <f>'Cash Flow %s Yr3'!M127</f>
        <v>0.1</v>
      </c>
      <c r="N127" s="98">
        <f>'Cash Flow %s Yr3'!N127</f>
        <v>0.1</v>
      </c>
      <c r="O127" s="98">
        <f>'Cash Flow %s Yr3'!O127</f>
        <v>0.1</v>
      </c>
      <c r="P127" s="98">
        <f>'Cash Flow %s Yr3'!P127</f>
        <v>0</v>
      </c>
      <c r="Q127" s="98">
        <f>'Cash Flow %s Yr3'!Q127</f>
        <v>0</v>
      </c>
      <c r="R127" s="98">
        <f>'Cash Flow %s Yr3'!R127</f>
        <v>0</v>
      </c>
      <c r="S127" s="97">
        <f t="shared" si="9"/>
        <v>0.99999999999999989</v>
      </c>
    </row>
    <row r="128" spans="1:19" s="31" customFormat="1" x14ac:dyDescent="0.75">
      <c r="A128" s="35"/>
      <c r="B128" s="64" t="str">
        <f>'Expenses w MYP'!C95</f>
        <v>5820</v>
      </c>
      <c r="C128" s="64" t="str">
        <f>'Expenses w MYP'!D95</f>
        <v>Fundraising Expense</v>
      </c>
      <c r="D128" s="98">
        <f>'Cash Flow %s Yr3'!D128</f>
        <v>0</v>
      </c>
      <c r="E128" s="98">
        <f>'Cash Flow %s Yr3'!E128</f>
        <v>0</v>
      </c>
      <c r="F128" s="98">
        <f>'Cash Flow %s Yr3'!F128</f>
        <v>0.1</v>
      </c>
      <c r="G128" s="98">
        <f>'Cash Flow %s Yr3'!G128</f>
        <v>0.1</v>
      </c>
      <c r="H128" s="98">
        <f>'Cash Flow %s Yr3'!H128</f>
        <v>0.1</v>
      </c>
      <c r="I128" s="98">
        <f>'Cash Flow %s Yr3'!I128</f>
        <v>0.1</v>
      </c>
      <c r="J128" s="98">
        <f>'Cash Flow %s Yr3'!J128</f>
        <v>0.1</v>
      </c>
      <c r="K128" s="98">
        <f>'Cash Flow %s Yr3'!K128</f>
        <v>0.1</v>
      </c>
      <c r="L128" s="98">
        <f>'Cash Flow %s Yr3'!L128</f>
        <v>0.1</v>
      </c>
      <c r="M128" s="98">
        <f>'Cash Flow %s Yr3'!M128</f>
        <v>0.1</v>
      </c>
      <c r="N128" s="98">
        <f>'Cash Flow %s Yr3'!N128</f>
        <v>0.1</v>
      </c>
      <c r="O128" s="98">
        <f>'Cash Flow %s Yr3'!O128</f>
        <v>0.1</v>
      </c>
      <c r="P128" s="98">
        <f>'Cash Flow %s Yr3'!P128</f>
        <v>0</v>
      </c>
      <c r="Q128" s="98">
        <f>'Cash Flow %s Yr3'!Q128</f>
        <v>0</v>
      </c>
      <c r="R128" s="98">
        <f>'Cash Flow %s Yr3'!R128</f>
        <v>0</v>
      </c>
      <c r="S128" s="97">
        <f t="shared" si="9"/>
        <v>0.99999999999999989</v>
      </c>
    </row>
    <row r="129" spans="1:19" s="31" customFormat="1" x14ac:dyDescent="0.75">
      <c r="A129" s="35"/>
      <c r="B129" s="64" t="str">
        <f>'Expenses w MYP'!C97</f>
        <v>5873</v>
      </c>
      <c r="C129" s="64" t="str">
        <f>'Expenses w MYP'!D97</f>
        <v>Financial Services</v>
      </c>
      <c r="D129" s="98">
        <f>'Cash Flow %s Yr3'!D129</f>
        <v>8.3000000000000004E-2</v>
      </c>
      <c r="E129" s="98">
        <f>'Cash Flow %s Yr3'!E129</f>
        <v>8.3000000000000004E-2</v>
      </c>
      <c r="F129" s="98">
        <f>'Cash Flow %s Yr3'!F129</f>
        <v>8.3000000000000004E-2</v>
      </c>
      <c r="G129" s="98">
        <f>'Cash Flow %s Yr3'!G129</f>
        <v>8.3000000000000004E-2</v>
      </c>
      <c r="H129" s="98">
        <f>'Cash Flow %s Yr3'!H129</f>
        <v>8.3000000000000004E-2</v>
      </c>
      <c r="I129" s="98">
        <f>'Cash Flow %s Yr3'!I129</f>
        <v>8.3000000000000004E-2</v>
      </c>
      <c r="J129" s="98">
        <f>'Cash Flow %s Yr3'!J129</f>
        <v>8.3000000000000004E-2</v>
      </c>
      <c r="K129" s="98">
        <f>'Cash Flow %s Yr3'!K129</f>
        <v>8.3000000000000004E-2</v>
      </c>
      <c r="L129" s="98">
        <f>'Cash Flow %s Yr3'!L129</f>
        <v>8.4000000000000005E-2</v>
      </c>
      <c r="M129" s="98">
        <f>'Cash Flow %s Yr3'!M129</f>
        <v>8.4000000000000005E-2</v>
      </c>
      <c r="N129" s="98">
        <f>'Cash Flow %s Yr3'!N129</f>
        <v>8.4000000000000005E-2</v>
      </c>
      <c r="O129" s="98">
        <f>'Cash Flow %s Yr3'!O129</f>
        <v>8.4000000000000005E-2</v>
      </c>
      <c r="P129" s="98">
        <f>'Cash Flow %s Yr3'!P129</f>
        <v>0</v>
      </c>
      <c r="Q129" s="98">
        <f>'Cash Flow %s Yr3'!Q129</f>
        <v>0</v>
      </c>
      <c r="R129" s="98">
        <f>'Cash Flow %s Yr3'!R129</f>
        <v>0</v>
      </c>
      <c r="S129" s="97">
        <f t="shared" si="9"/>
        <v>0.99999999999999989</v>
      </c>
    </row>
    <row r="130" spans="1:19" s="31" customFormat="1" x14ac:dyDescent="0.75">
      <c r="A130" s="35"/>
      <c r="B130" s="64" t="str">
        <f>'Expenses w MYP'!C98</f>
        <v>5874</v>
      </c>
      <c r="C130" s="64" t="str">
        <f>'Expenses w MYP'!D98</f>
        <v>Personnel Services</v>
      </c>
      <c r="D130" s="98">
        <f>'Cash Flow %s Yr3'!D130</f>
        <v>8.3000000000000004E-2</v>
      </c>
      <c r="E130" s="98">
        <f>'Cash Flow %s Yr3'!E130</f>
        <v>8.3000000000000004E-2</v>
      </c>
      <c r="F130" s="98">
        <f>'Cash Flow %s Yr3'!F130</f>
        <v>8.3000000000000004E-2</v>
      </c>
      <c r="G130" s="98">
        <f>'Cash Flow %s Yr3'!G130</f>
        <v>8.3000000000000004E-2</v>
      </c>
      <c r="H130" s="98">
        <f>'Cash Flow %s Yr3'!H130</f>
        <v>8.3000000000000004E-2</v>
      </c>
      <c r="I130" s="98">
        <f>'Cash Flow %s Yr3'!I130</f>
        <v>8.3000000000000004E-2</v>
      </c>
      <c r="J130" s="98">
        <f>'Cash Flow %s Yr3'!J130</f>
        <v>8.3000000000000004E-2</v>
      </c>
      <c r="K130" s="98">
        <f>'Cash Flow %s Yr3'!K130</f>
        <v>8.3000000000000004E-2</v>
      </c>
      <c r="L130" s="98">
        <f>'Cash Flow %s Yr3'!L130</f>
        <v>8.4000000000000005E-2</v>
      </c>
      <c r="M130" s="98">
        <f>'Cash Flow %s Yr3'!M130</f>
        <v>8.4000000000000005E-2</v>
      </c>
      <c r="N130" s="98">
        <f>'Cash Flow %s Yr3'!N130</f>
        <v>8.4000000000000005E-2</v>
      </c>
      <c r="O130" s="98">
        <f>'Cash Flow %s Yr3'!O130</f>
        <v>8.4000000000000005E-2</v>
      </c>
      <c r="P130" s="98">
        <f>'Cash Flow %s Yr3'!P130</f>
        <v>0</v>
      </c>
      <c r="Q130" s="98">
        <f>'Cash Flow %s Yr3'!Q130</f>
        <v>0</v>
      </c>
      <c r="R130" s="98">
        <f>'Cash Flow %s Yr3'!R130</f>
        <v>0</v>
      </c>
      <c r="S130" s="97">
        <f t="shared" si="9"/>
        <v>0.99999999999999989</v>
      </c>
    </row>
    <row r="131" spans="1:19" s="31" customFormat="1" hidden="1" outlineLevel="1" x14ac:dyDescent="0.75">
      <c r="A131" s="35"/>
      <c r="B131" s="64" t="str">
        <f>'Expenses w MYP'!C99</f>
        <v>5875</v>
      </c>
      <c r="C131" s="64" t="str">
        <f>'Expenses w MYP'!D99</f>
        <v>District Oversight Fee</v>
      </c>
      <c r="D131" s="98">
        <f>'Cash Flow %s Yr3'!D131</f>
        <v>0</v>
      </c>
      <c r="E131" s="98">
        <f>'Cash Flow %s Yr3'!E131</f>
        <v>0</v>
      </c>
      <c r="F131" s="98">
        <f>'Cash Flow %s Yr3'!F131</f>
        <v>0.1</v>
      </c>
      <c r="G131" s="98">
        <f>'Cash Flow %s Yr3'!G131</f>
        <v>0.1</v>
      </c>
      <c r="H131" s="98">
        <f>'Cash Flow %s Yr3'!H131</f>
        <v>0.1</v>
      </c>
      <c r="I131" s="98">
        <f>'Cash Flow %s Yr3'!I131</f>
        <v>0.1</v>
      </c>
      <c r="J131" s="98">
        <f>'Cash Flow %s Yr3'!J131</f>
        <v>0.1</v>
      </c>
      <c r="K131" s="98">
        <f>'Cash Flow %s Yr3'!K131</f>
        <v>0.1</v>
      </c>
      <c r="L131" s="98">
        <f>'Cash Flow %s Yr3'!L131</f>
        <v>0.1</v>
      </c>
      <c r="M131" s="98">
        <f>'Cash Flow %s Yr3'!M131</f>
        <v>0.1</v>
      </c>
      <c r="N131" s="98">
        <f>'Cash Flow %s Yr3'!N131</f>
        <v>0.1</v>
      </c>
      <c r="O131" s="98">
        <f>'Cash Flow %s Yr3'!O131</f>
        <v>0.1</v>
      </c>
      <c r="P131" s="98">
        <f>'Cash Flow %s Yr3'!P131</f>
        <v>0</v>
      </c>
      <c r="Q131" s="98">
        <f>'Cash Flow %s Yr3'!Q131</f>
        <v>0</v>
      </c>
      <c r="R131" s="98">
        <f>'Cash Flow %s Yr3'!R131</f>
        <v>0</v>
      </c>
      <c r="S131" s="97">
        <f t="shared" si="9"/>
        <v>0.99999999999999989</v>
      </c>
    </row>
    <row r="132" spans="1:19" s="31" customFormat="1" hidden="1" outlineLevel="1" x14ac:dyDescent="0.75">
      <c r="A132" s="35"/>
      <c r="B132" s="64" t="str">
        <f>'Expenses w MYP'!C100</f>
        <v>5877</v>
      </c>
      <c r="C132" s="64" t="str">
        <f>'Expenses w MYP'!D100</f>
        <v>IT Services</v>
      </c>
      <c r="D132" s="98">
        <f>'Cash Flow %s Yr3'!D132</f>
        <v>0</v>
      </c>
      <c r="E132" s="98">
        <f>'Cash Flow %s Yr3'!E132</f>
        <v>0</v>
      </c>
      <c r="F132" s="98">
        <f>'Cash Flow %s Yr3'!F132</f>
        <v>0.1</v>
      </c>
      <c r="G132" s="98">
        <f>'Cash Flow %s Yr3'!G132</f>
        <v>0.1</v>
      </c>
      <c r="H132" s="98">
        <f>'Cash Flow %s Yr3'!H132</f>
        <v>0.1</v>
      </c>
      <c r="I132" s="98">
        <f>'Cash Flow %s Yr3'!I132</f>
        <v>0.1</v>
      </c>
      <c r="J132" s="98">
        <f>'Cash Flow %s Yr3'!J132</f>
        <v>0.1</v>
      </c>
      <c r="K132" s="98">
        <f>'Cash Flow %s Yr3'!K132</f>
        <v>0.1</v>
      </c>
      <c r="L132" s="98">
        <f>'Cash Flow %s Yr3'!L132</f>
        <v>0.1</v>
      </c>
      <c r="M132" s="98">
        <f>'Cash Flow %s Yr3'!M132</f>
        <v>0.1</v>
      </c>
      <c r="N132" s="98">
        <f>'Cash Flow %s Yr3'!N132</f>
        <v>0.1</v>
      </c>
      <c r="O132" s="98">
        <f>'Cash Flow %s Yr3'!O132</f>
        <v>0.1</v>
      </c>
      <c r="P132" s="98">
        <f>'Cash Flow %s Yr3'!P132</f>
        <v>0</v>
      </c>
      <c r="Q132" s="98">
        <f>'Cash Flow %s Yr3'!Q132</f>
        <v>0</v>
      </c>
      <c r="R132" s="98">
        <f>'Cash Flow %s Yr3'!R132</f>
        <v>0</v>
      </c>
      <c r="S132" s="97">
        <f t="shared" si="9"/>
        <v>0.99999999999999989</v>
      </c>
    </row>
    <row r="133" spans="1:19" s="31" customFormat="1" hidden="1" outlineLevel="1" x14ac:dyDescent="0.75">
      <c r="A133" s="35"/>
      <c r="B133" s="64" t="str">
        <f>'Expenses w MYP'!C101</f>
        <v>5890</v>
      </c>
      <c r="C133" s="64" t="str">
        <f>'Expenses w MYP'!D101</f>
        <v>Interest Expense / Misc. Fees</v>
      </c>
      <c r="D133" s="98">
        <f>'Cash Flow %s Yr3'!D133</f>
        <v>0</v>
      </c>
      <c r="E133" s="98">
        <f>'Cash Flow %s Yr3'!E133</f>
        <v>0</v>
      </c>
      <c r="F133" s="98">
        <f>'Cash Flow %s Yr3'!F133</f>
        <v>0.1</v>
      </c>
      <c r="G133" s="98">
        <f>'Cash Flow %s Yr3'!G133</f>
        <v>0.1</v>
      </c>
      <c r="H133" s="98">
        <f>'Cash Flow %s Yr3'!H133</f>
        <v>0.1</v>
      </c>
      <c r="I133" s="98">
        <f>'Cash Flow %s Yr3'!I133</f>
        <v>0.1</v>
      </c>
      <c r="J133" s="98">
        <f>'Cash Flow %s Yr3'!J133</f>
        <v>0.1</v>
      </c>
      <c r="K133" s="98">
        <f>'Cash Flow %s Yr3'!K133</f>
        <v>0.1</v>
      </c>
      <c r="L133" s="98">
        <f>'Cash Flow %s Yr3'!L133</f>
        <v>0.1</v>
      </c>
      <c r="M133" s="98">
        <f>'Cash Flow %s Yr3'!M133</f>
        <v>0.1</v>
      </c>
      <c r="N133" s="98">
        <f>'Cash Flow %s Yr3'!N133</f>
        <v>0.1</v>
      </c>
      <c r="O133" s="98">
        <f>'Cash Flow %s Yr3'!O133</f>
        <v>0.1</v>
      </c>
      <c r="P133" s="98">
        <f>'Cash Flow %s Yr3'!P133</f>
        <v>0</v>
      </c>
      <c r="Q133" s="98">
        <f>'Cash Flow %s Yr3'!Q133</f>
        <v>0</v>
      </c>
      <c r="R133" s="98">
        <f>'Cash Flow %s Yr3'!R133</f>
        <v>0</v>
      </c>
      <c r="S133" s="97">
        <f t="shared" si="9"/>
        <v>0.99999999999999989</v>
      </c>
    </row>
    <row r="134" spans="1:19" s="31" customFormat="1" hidden="1" outlineLevel="1" x14ac:dyDescent="0.75">
      <c r="A134" s="35"/>
      <c r="B134" s="64" t="str">
        <f>'Expenses w MYP'!C102</f>
        <v>5891</v>
      </c>
      <c r="C134" s="64" t="str">
        <f>'Expenses w MYP'!D102</f>
        <v>CSC Borrowing Fees</v>
      </c>
      <c r="D134" s="98">
        <f>'Cash Flow %s Yr3'!D134</f>
        <v>0</v>
      </c>
      <c r="E134" s="98">
        <f>'Cash Flow %s Yr3'!E134</f>
        <v>0</v>
      </c>
      <c r="F134" s="98">
        <f>'Cash Flow %s Yr3'!F134</f>
        <v>0.1</v>
      </c>
      <c r="G134" s="98">
        <f>'Cash Flow %s Yr3'!G134</f>
        <v>0.1</v>
      </c>
      <c r="H134" s="98">
        <f>'Cash Flow %s Yr3'!H134</f>
        <v>0.1</v>
      </c>
      <c r="I134" s="98">
        <f>'Cash Flow %s Yr3'!I134</f>
        <v>0.1</v>
      </c>
      <c r="J134" s="98">
        <f>'Cash Flow %s Yr3'!J134</f>
        <v>0.1</v>
      </c>
      <c r="K134" s="98">
        <f>'Cash Flow %s Yr3'!K134</f>
        <v>0.1</v>
      </c>
      <c r="L134" s="98">
        <f>'Cash Flow %s Yr3'!L134</f>
        <v>0.1</v>
      </c>
      <c r="M134" s="98">
        <f>'Cash Flow %s Yr3'!M134</f>
        <v>0.1</v>
      </c>
      <c r="N134" s="98">
        <f>'Cash Flow %s Yr3'!N134</f>
        <v>0.1</v>
      </c>
      <c r="O134" s="98">
        <f>'Cash Flow %s Yr3'!O134</f>
        <v>0.1</v>
      </c>
      <c r="P134" s="98">
        <f>'Cash Flow %s Yr3'!P134</f>
        <v>0</v>
      </c>
      <c r="Q134" s="98">
        <f>'Cash Flow %s Yr3'!Q134</f>
        <v>0</v>
      </c>
      <c r="R134" s="98">
        <f>'Cash Flow %s Yr3'!R134</f>
        <v>0</v>
      </c>
      <c r="S134" s="97">
        <f t="shared" si="9"/>
        <v>0.99999999999999989</v>
      </c>
    </row>
    <row r="135" spans="1:19" s="31" customFormat="1" hidden="1" outlineLevel="1" x14ac:dyDescent="0.75">
      <c r="A135" s="35"/>
      <c r="B135" s="64" t="str">
        <f>'Expenses w MYP'!C103</f>
        <v>5900</v>
      </c>
      <c r="C135" s="64" t="str">
        <f>'Expenses w MYP'!D103</f>
        <v>Communications</v>
      </c>
      <c r="D135" s="98">
        <f>'Cash Flow %s Yr3'!D135</f>
        <v>0</v>
      </c>
      <c r="E135" s="98">
        <f>'Cash Flow %s Yr3'!E135</f>
        <v>0</v>
      </c>
      <c r="F135" s="98">
        <f>'Cash Flow %s Yr3'!F135</f>
        <v>0.1</v>
      </c>
      <c r="G135" s="98">
        <f>'Cash Flow %s Yr3'!G135</f>
        <v>0.1</v>
      </c>
      <c r="H135" s="98">
        <f>'Cash Flow %s Yr3'!H135</f>
        <v>0.1</v>
      </c>
      <c r="I135" s="98">
        <f>'Cash Flow %s Yr3'!I135</f>
        <v>0.1</v>
      </c>
      <c r="J135" s="98">
        <f>'Cash Flow %s Yr3'!J135</f>
        <v>0.1</v>
      </c>
      <c r="K135" s="98">
        <f>'Cash Flow %s Yr3'!K135</f>
        <v>0.1</v>
      </c>
      <c r="L135" s="98">
        <f>'Cash Flow %s Yr3'!L135</f>
        <v>0.1</v>
      </c>
      <c r="M135" s="98">
        <f>'Cash Flow %s Yr3'!M135</f>
        <v>0.1</v>
      </c>
      <c r="N135" s="98">
        <f>'Cash Flow %s Yr3'!N135</f>
        <v>0.1</v>
      </c>
      <c r="O135" s="98">
        <f>'Cash Flow %s Yr3'!O135</f>
        <v>0.1</v>
      </c>
      <c r="P135" s="98">
        <f>'Cash Flow %s Yr3'!P135</f>
        <v>0</v>
      </c>
      <c r="Q135" s="98">
        <f>'Cash Flow %s Yr3'!Q135</f>
        <v>0</v>
      </c>
      <c r="R135" s="98">
        <f>'Cash Flow %s Yr3'!R135</f>
        <v>0</v>
      </c>
      <c r="S135" s="97">
        <f t="shared" si="9"/>
        <v>0.99999999999999989</v>
      </c>
    </row>
    <row r="136" spans="1:19" s="31" customFormat="1" hidden="1" outlineLevel="1" x14ac:dyDescent="0.75">
      <c r="A136" s="35"/>
      <c r="B136" s="64">
        <f>'Expenses w MYP'!C104</f>
        <v>0</v>
      </c>
      <c r="C136" s="64">
        <f>'Expenses w MYP'!D104</f>
        <v>0</v>
      </c>
      <c r="D136" s="98">
        <f>'Cash Flow %s Yr3'!D136</f>
        <v>0</v>
      </c>
      <c r="E136" s="98">
        <f>'Cash Flow %s Yr3'!E136</f>
        <v>0</v>
      </c>
      <c r="F136" s="98">
        <f>'Cash Flow %s Yr3'!F136</f>
        <v>0.1</v>
      </c>
      <c r="G136" s="98">
        <f>'Cash Flow %s Yr3'!G136</f>
        <v>0.1</v>
      </c>
      <c r="H136" s="98">
        <f>'Cash Flow %s Yr3'!H136</f>
        <v>0.1</v>
      </c>
      <c r="I136" s="98">
        <f>'Cash Flow %s Yr3'!I136</f>
        <v>0.1</v>
      </c>
      <c r="J136" s="98">
        <f>'Cash Flow %s Yr3'!J136</f>
        <v>0.1</v>
      </c>
      <c r="K136" s="98">
        <f>'Cash Flow %s Yr3'!K136</f>
        <v>0.1</v>
      </c>
      <c r="L136" s="98">
        <f>'Cash Flow %s Yr3'!L136</f>
        <v>0.1</v>
      </c>
      <c r="M136" s="98">
        <f>'Cash Flow %s Yr3'!M136</f>
        <v>0.1</v>
      </c>
      <c r="N136" s="98">
        <f>'Cash Flow %s Yr3'!N136</f>
        <v>0.1</v>
      </c>
      <c r="O136" s="98">
        <f>'Cash Flow %s Yr3'!O136</f>
        <v>0.1</v>
      </c>
      <c r="P136" s="98">
        <f>'Cash Flow %s Yr3'!P136</f>
        <v>0</v>
      </c>
      <c r="Q136" s="98">
        <f>'Cash Flow %s Yr3'!Q136</f>
        <v>0</v>
      </c>
      <c r="R136" s="98">
        <f>'Cash Flow %s Yr3'!R136</f>
        <v>0</v>
      </c>
      <c r="S136" s="97">
        <f t="shared" si="9"/>
        <v>0.99999999999999989</v>
      </c>
    </row>
    <row r="137" spans="1:19" s="31" customFormat="1" hidden="1" outlineLevel="1" x14ac:dyDescent="0.75">
      <c r="A137" s="35"/>
      <c r="B137" s="64">
        <f>'Expenses w MYP'!C105</f>
        <v>0</v>
      </c>
      <c r="C137" s="64">
        <f>'Expenses w MYP'!D105</f>
        <v>0</v>
      </c>
      <c r="D137" s="98">
        <f>'Cash Flow %s Yr3'!D137</f>
        <v>0</v>
      </c>
      <c r="E137" s="98">
        <f>'Cash Flow %s Yr3'!E137</f>
        <v>0</v>
      </c>
      <c r="F137" s="98">
        <f>'Cash Flow %s Yr3'!F137</f>
        <v>0.1</v>
      </c>
      <c r="G137" s="98">
        <f>'Cash Flow %s Yr3'!G137</f>
        <v>0.1</v>
      </c>
      <c r="H137" s="98">
        <f>'Cash Flow %s Yr3'!H137</f>
        <v>0.1</v>
      </c>
      <c r="I137" s="98">
        <f>'Cash Flow %s Yr3'!I137</f>
        <v>0.1</v>
      </c>
      <c r="J137" s="98">
        <f>'Cash Flow %s Yr3'!J137</f>
        <v>0.1</v>
      </c>
      <c r="K137" s="98">
        <f>'Cash Flow %s Yr3'!K137</f>
        <v>0.1</v>
      </c>
      <c r="L137" s="98">
        <f>'Cash Flow %s Yr3'!L137</f>
        <v>0.1</v>
      </c>
      <c r="M137" s="98">
        <f>'Cash Flow %s Yr3'!M137</f>
        <v>0.1</v>
      </c>
      <c r="N137" s="98">
        <f>'Cash Flow %s Yr3'!N137</f>
        <v>0.1</v>
      </c>
      <c r="O137" s="98">
        <f>'Cash Flow %s Yr3'!O137</f>
        <v>0.1</v>
      </c>
      <c r="P137" s="98">
        <f>'Cash Flow %s Yr3'!P137</f>
        <v>0</v>
      </c>
      <c r="Q137" s="98">
        <f>'Cash Flow %s Yr3'!Q137</f>
        <v>0</v>
      </c>
      <c r="R137" s="98">
        <f>'Cash Flow %s Yr3'!R137</f>
        <v>0</v>
      </c>
      <c r="S137" s="97">
        <f t="shared" si="9"/>
        <v>0.99999999999999989</v>
      </c>
    </row>
    <row r="138" spans="1:19" s="31" customFormat="1" hidden="1" outlineLevel="1" x14ac:dyDescent="0.75">
      <c r="A138" s="35"/>
      <c r="B138" s="64">
        <f>'Expenses w MYP'!C106</f>
        <v>0</v>
      </c>
      <c r="C138" s="64">
        <f>'Expenses w MYP'!D106</f>
        <v>0</v>
      </c>
      <c r="D138" s="98">
        <f>'Cash Flow %s Yr3'!D138</f>
        <v>0</v>
      </c>
      <c r="E138" s="98">
        <f>'Cash Flow %s Yr3'!E138</f>
        <v>0</v>
      </c>
      <c r="F138" s="98">
        <f>'Cash Flow %s Yr3'!F138</f>
        <v>0.1</v>
      </c>
      <c r="G138" s="98">
        <f>'Cash Flow %s Yr3'!G138</f>
        <v>0.1</v>
      </c>
      <c r="H138" s="98">
        <f>'Cash Flow %s Yr3'!H138</f>
        <v>0.1</v>
      </c>
      <c r="I138" s="98">
        <f>'Cash Flow %s Yr3'!I138</f>
        <v>0.1</v>
      </c>
      <c r="J138" s="98">
        <f>'Cash Flow %s Yr3'!J138</f>
        <v>0.1</v>
      </c>
      <c r="K138" s="98">
        <f>'Cash Flow %s Yr3'!K138</f>
        <v>0.1</v>
      </c>
      <c r="L138" s="98">
        <f>'Cash Flow %s Yr3'!L138</f>
        <v>0.1</v>
      </c>
      <c r="M138" s="98">
        <f>'Cash Flow %s Yr3'!M138</f>
        <v>0.1</v>
      </c>
      <c r="N138" s="98">
        <f>'Cash Flow %s Yr3'!N138</f>
        <v>0.1</v>
      </c>
      <c r="O138" s="98">
        <f>'Cash Flow %s Yr3'!O138</f>
        <v>0.1</v>
      </c>
      <c r="P138" s="98">
        <f>'Cash Flow %s Yr3'!P138</f>
        <v>0</v>
      </c>
      <c r="Q138" s="98">
        <f>'Cash Flow %s Yr3'!Q138</f>
        <v>0</v>
      </c>
      <c r="R138" s="98">
        <f>'Cash Flow %s Yr3'!R138</f>
        <v>0</v>
      </c>
      <c r="S138" s="97">
        <f t="shared" si="9"/>
        <v>0.99999999999999989</v>
      </c>
    </row>
    <row r="139" spans="1:19" s="31" customFormat="1" hidden="1" outlineLevel="1" x14ac:dyDescent="0.75">
      <c r="A139" s="35"/>
      <c r="B139" s="64">
        <f>'Expenses w MYP'!C107</f>
        <v>0</v>
      </c>
      <c r="C139" s="64">
        <f>'Expenses w MYP'!D107</f>
        <v>0</v>
      </c>
      <c r="D139" s="98">
        <f>'Cash Flow %s Yr3'!D139</f>
        <v>0</v>
      </c>
      <c r="E139" s="98">
        <f>'Cash Flow %s Yr3'!E139</f>
        <v>0</v>
      </c>
      <c r="F139" s="98">
        <f>'Cash Flow %s Yr3'!F139</f>
        <v>0.1</v>
      </c>
      <c r="G139" s="98">
        <f>'Cash Flow %s Yr3'!G139</f>
        <v>0.1</v>
      </c>
      <c r="H139" s="98">
        <f>'Cash Flow %s Yr3'!H139</f>
        <v>0.1</v>
      </c>
      <c r="I139" s="98">
        <f>'Cash Flow %s Yr3'!I139</f>
        <v>0.1</v>
      </c>
      <c r="J139" s="98">
        <f>'Cash Flow %s Yr3'!J139</f>
        <v>0.1</v>
      </c>
      <c r="K139" s="98">
        <f>'Cash Flow %s Yr3'!K139</f>
        <v>0.1</v>
      </c>
      <c r="L139" s="98">
        <f>'Cash Flow %s Yr3'!L139</f>
        <v>0.1</v>
      </c>
      <c r="M139" s="98">
        <f>'Cash Flow %s Yr3'!M139</f>
        <v>0.1</v>
      </c>
      <c r="N139" s="98">
        <f>'Cash Flow %s Yr3'!N139</f>
        <v>0.1</v>
      </c>
      <c r="O139" s="98">
        <f>'Cash Flow %s Yr3'!O139</f>
        <v>0.1</v>
      </c>
      <c r="P139" s="98">
        <f>'Cash Flow %s Yr3'!P139</f>
        <v>0</v>
      </c>
      <c r="Q139" s="98">
        <f>'Cash Flow %s Yr3'!Q139</f>
        <v>0</v>
      </c>
      <c r="R139" s="98">
        <f>'Cash Flow %s Yr3'!R139</f>
        <v>0</v>
      </c>
      <c r="S139" s="97">
        <f t="shared" si="9"/>
        <v>0.99999999999999989</v>
      </c>
    </row>
    <row r="140" spans="1:19" s="31" customFormat="1" hidden="1" outlineLevel="1" x14ac:dyDescent="0.75">
      <c r="A140" s="35"/>
      <c r="B140" s="64">
        <f>'Expenses w MYP'!C108</f>
        <v>0</v>
      </c>
      <c r="C140" s="64">
        <f>'Expenses w MYP'!D108</f>
        <v>0</v>
      </c>
      <c r="D140" s="98">
        <f>'Cash Flow %s Yr3'!D140</f>
        <v>0</v>
      </c>
      <c r="E140" s="98">
        <f>'Cash Flow %s Yr3'!E140</f>
        <v>0</v>
      </c>
      <c r="F140" s="98">
        <f>'Cash Flow %s Yr3'!F140</f>
        <v>0.1</v>
      </c>
      <c r="G140" s="98">
        <f>'Cash Flow %s Yr3'!G140</f>
        <v>0.1</v>
      </c>
      <c r="H140" s="98">
        <f>'Cash Flow %s Yr3'!H140</f>
        <v>0.1</v>
      </c>
      <c r="I140" s="98">
        <f>'Cash Flow %s Yr3'!I140</f>
        <v>0.1</v>
      </c>
      <c r="J140" s="98">
        <f>'Cash Flow %s Yr3'!J140</f>
        <v>0.1</v>
      </c>
      <c r="K140" s="98">
        <f>'Cash Flow %s Yr3'!K140</f>
        <v>0.1</v>
      </c>
      <c r="L140" s="98">
        <f>'Cash Flow %s Yr3'!L140</f>
        <v>0.1</v>
      </c>
      <c r="M140" s="98">
        <f>'Cash Flow %s Yr3'!M140</f>
        <v>0.1</v>
      </c>
      <c r="N140" s="98">
        <f>'Cash Flow %s Yr3'!N140</f>
        <v>0.1</v>
      </c>
      <c r="O140" s="98">
        <f>'Cash Flow %s Yr3'!O140</f>
        <v>0.1</v>
      </c>
      <c r="P140" s="98">
        <f>'Cash Flow %s Yr3'!P140</f>
        <v>0</v>
      </c>
      <c r="Q140" s="98">
        <f>'Cash Flow %s Yr3'!Q140</f>
        <v>0</v>
      </c>
      <c r="R140" s="98">
        <f>'Cash Flow %s Yr3'!R140</f>
        <v>0</v>
      </c>
      <c r="S140" s="97">
        <f>SUM(D140:R140)</f>
        <v>0.99999999999999989</v>
      </c>
    </row>
    <row r="141" spans="1:19" s="31" customFormat="1" collapsed="1" x14ac:dyDescent="0.75">
      <c r="A141" s="35"/>
      <c r="B141" s="64" t="str">
        <f>'Expenses w MYP'!C109</f>
        <v>5901</v>
      </c>
      <c r="C141" s="64" t="str">
        <f>'Expenses w MYP'!D109</f>
        <v>Scholar Internet Reimbursement</v>
      </c>
      <c r="D141" s="98">
        <f>'Cash Flow %s Yr3'!D141</f>
        <v>0.05</v>
      </c>
      <c r="E141" s="98">
        <f>'Cash Flow %s Yr3'!E141</f>
        <v>0.05</v>
      </c>
      <c r="F141" s="98">
        <f>'Cash Flow %s Yr3'!F141</f>
        <v>0.09</v>
      </c>
      <c r="G141" s="98">
        <f>'Cash Flow %s Yr3'!G141</f>
        <v>0.09</v>
      </c>
      <c r="H141" s="98">
        <f>'Cash Flow %s Yr3'!H141</f>
        <v>0.09</v>
      </c>
      <c r="I141" s="98">
        <f>'Cash Flow %s Yr3'!I141</f>
        <v>0.09</v>
      </c>
      <c r="J141" s="98">
        <f>'Cash Flow %s Yr3'!J141</f>
        <v>0.09</v>
      </c>
      <c r="K141" s="98">
        <f>'Cash Flow %s Yr3'!K141</f>
        <v>0.09</v>
      </c>
      <c r="L141" s="98">
        <f>'Cash Flow %s Yr3'!L141</f>
        <v>0.09</v>
      </c>
      <c r="M141" s="98">
        <f>'Cash Flow %s Yr3'!M141</f>
        <v>0.09</v>
      </c>
      <c r="N141" s="98">
        <f>'Cash Flow %s Yr3'!N141</f>
        <v>0.09</v>
      </c>
      <c r="O141" s="98">
        <f>'Cash Flow %s Yr3'!O141</f>
        <v>0.09</v>
      </c>
      <c r="P141" s="98">
        <f>'Cash Flow %s Yr3'!P141</f>
        <v>0</v>
      </c>
      <c r="Q141" s="98">
        <f>'Cash Flow %s Yr3'!Q141</f>
        <v>0</v>
      </c>
      <c r="R141" s="98">
        <f>'Cash Flow %s Yr3'!R141</f>
        <v>0</v>
      </c>
      <c r="S141" s="97">
        <f>SUM(D141:R141)</f>
        <v>0.99999999999999978</v>
      </c>
    </row>
    <row r="142" spans="1:19" s="31" customFormat="1" x14ac:dyDescent="0.75">
      <c r="A142" s="35"/>
      <c r="B142" s="3"/>
      <c r="C142" s="2"/>
      <c r="D142" s="88"/>
      <c r="E142" s="88"/>
      <c r="F142" s="88"/>
      <c r="G142" s="88"/>
      <c r="H142" s="88"/>
      <c r="I142" s="88"/>
      <c r="J142" s="88"/>
      <c r="K142" s="88"/>
      <c r="L142" s="88"/>
      <c r="M142" s="88"/>
      <c r="N142" s="88"/>
      <c r="O142" s="88"/>
      <c r="P142" s="84"/>
      <c r="Q142" s="84"/>
      <c r="R142" s="84"/>
      <c r="S142" s="97"/>
    </row>
    <row r="143" spans="1:19" s="31" customFormat="1" x14ac:dyDescent="0.75">
      <c r="A143" s="35"/>
      <c r="B143" s="3"/>
      <c r="C143" s="2"/>
      <c r="D143" s="84"/>
      <c r="E143" s="84"/>
      <c r="F143" s="84"/>
      <c r="G143" s="84"/>
      <c r="H143" s="84"/>
      <c r="I143" s="84"/>
      <c r="J143" s="84"/>
      <c r="K143" s="84"/>
      <c r="L143" s="84"/>
      <c r="M143" s="84"/>
      <c r="N143" s="84"/>
      <c r="O143" s="84"/>
      <c r="P143" s="84"/>
      <c r="Q143" s="84"/>
      <c r="R143" s="84"/>
      <c r="S143" s="97"/>
    </row>
    <row r="144" spans="1:19" s="31" customFormat="1" x14ac:dyDescent="0.75">
      <c r="B144" s="34" t="s">
        <v>721</v>
      </c>
      <c r="C144" s="2"/>
      <c r="D144" s="84"/>
      <c r="E144" s="84"/>
      <c r="F144" s="84"/>
      <c r="G144" s="84"/>
      <c r="H144" s="84"/>
      <c r="I144" s="84"/>
      <c r="J144" s="84"/>
      <c r="K144" s="84"/>
      <c r="L144" s="84"/>
      <c r="M144" s="84"/>
      <c r="N144" s="84"/>
      <c r="O144" s="84"/>
      <c r="P144" s="84"/>
      <c r="Q144" s="84"/>
      <c r="R144" s="84"/>
      <c r="S144" s="97"/>
    </row>
    <row r="145" spans="1:24" s="31" customFormat="1" x14ac:dyDescent="0.75">
      <c r="A145" s="35"/>
      <c r="B145" s="64" t="str">
        <f>'Expenses w MYP'!C113</f>
        <v>6900</v>
      </c>
      <c r="C145" s="64" t="str">
        <f>'Expenses w MYP'!D113</f>
        <v xml:space="preserve">Depreciation Expense                                                            </v>
      </c>
      <c r="D145" s="98">
        <f>'Cash Flow %s Yr3'!D145</f>
        <v>0.33</v>
      </c>
      <c r="E145" s="98">
        <f>'Cash Flow %s Yr3'!E145</f>
        <v>0.34</v>
      </c>
      <c r="F145" s="98">
        <f>'Cash Flow %s Yr3'!F145</f>
        <v>0.33</v>
      </c>
      <c r="G145" s="98">
        <f>'Cash Flow %s Yr3'!G145</f>
        <v>0</v>
      </c>
      <c r="H145" s="98">
        <f>'Cash Flow %s Yr3'!H145</f>
        <v>0</v>
      </c>
      <c r="I145" s="98">
        <f>'Cash Flow %s Yr3'!I145</f>
        <v>0</v>
      </c>
      <c r="J145" s="98">
        <f>'Cash Flow %s Yr3'!J145</f>
        <v>0</v>
      </c>
      <c r="K145" s="98">
        <f>'Cash Flow %s Yr3'!K145</f>
        <v>0</v>
      </c>
      <c r="L145" s="98">
        <f>'Cash Flow %s Yr3'!L145</f>
        <v>0</v>
      </c>
      <c r="M145" s="98">
        <f>'Cash Flow %s Yr3'!M145</f>
        <v>0</v>
      </c>
      <c r="N145" s="98">
        <f>'Cash Flow %s Yr3'!N145</f>
        <v>0</v>
      </c>
      <c r="O145" s="98">
        <f>'Cash Flow %s Yr3'!O145</f>
        <v>0</v>
      </c>
      <c r="P145" s="98">
        <f>'Cash Flow %s Yr3'!P145</f>
        <v>0</v>
      </c>
      <c r="Q145" s="98">
        <f>'Cash Flow %s Yr3'!Q145</f>
        <v>0</v>
      </c>
      <c r="R145" s="98">
        <f>'Cash Flow %s Yr3'!R145</f>
        <v>0</v>
      </c>
      <c r="S145" s="97">
        <f>SUM(D145:R145)</f>
        <v>1</v>
      </c>
    </row>
    <row r="146" spans="1:24" s="31" customFormat="1" x14ac:dyDescent="0.75">
      <c r="A146" s="35"/>
      <c r="B146" s="3"/>
      <c r="C146" s="2"/>
      <c r="D146" s="88"/>
      <c r="E146" s="88"/>
      <c r="F146" s="88"/>
      <c r="G146" s="88"/>
      <c r="H146" s="88"/>
      <c r="I146" s="84"/>
      <c r="J146" s="84"/>
      <c r="K146" s="84"/>
      <c r="L146" s="84"/>
      <c r="M146" s="84"/>
      <c r="N146" s="84"/>
      <c r="O146" s="84"/>
      <c r="P146" s="84"/>
      <c r="Q146" s="84"/>
      <c r="R146" s="84"/>
      <c r="S146" s="97"/>
    </row>
    <row r="147" spans="1:24" s="31" customFormat="1" x14ac:dyDescent="0.75">
      <c r="A147" s="35"/>
      <c r="B147" s="3"/>
      <c r="C147" s="2"/>
      <c r="D147" s="84"/>
      <c r="E147" s="91"/>
      <c r="F147" s="91"/>
      <c r="G147" s="84"/>
      <c r="H147" s="84"/>
      <c r="I147" s="84"/>
      <c r="J147" s="84"/>
      <c r="K147" s="84"/>
      <c r="L147" s="84"/>
      <c r="M147" s="84"/>
      <c r="N147" s="84"/>
      <c r="O147" s="84"/>
      <c r="P147" s="84"/>
      <c r="Q147" s="84"/>
      <c r="R147" s="84"/>
      <c r="S147" s="97"/>
    </row>
    <row r="148" spans="1:24" s="31" customFormat="1" x14ac:dyDescent="0.75">
      <c r="B148" s="34" t="s">
        <v>722</v>
      </c>
      <c r="C148" s="2"/>
      <c r="D148" s="84"/>
      <c r="E148" s="91"/>
      <c r="F148" s="91"/>
      <c r="G148" s="84"/>
      <c r="H148" s="84"/>
      <c r="I148" s="84"/>
      <c r="J148" s="84"/>
      <c r="K148" s="84"/>
      <c r="L148" s="84"/>
      <c r="M148" s="84"/>
      <c r="N148" s="84"/>
      <c r="O148" s="84"/>
      <c r="P148" s="84"/>
      <c r="Q148" s="84"/>
      <c r="R148" s="84"/>
      <c r="S148" s="97"/>
    </row>
    <row r="149" spans="1:24" s="31" customFormat="1" x14ac:dyDescent="0.75">
      <c r="A149" s="35"/>
      <c r="B149" s="64" t="str">
        <f>'Expenses w MYP'!C117</f>
        <v>7010</v>
      </c>
      <c r="C149" s="64" t="str">
        <f>'Expenses w MYP'!D117</f>
        <v>Special Education Encroachment</v>
      </c>
      <c r="D149" s="98">
        <f>'Cash Flow %s Yr3'!D149</f>
        <v>0</v>
      </c>
      <c r="E149" s="98">
        <f>'Cash Flow %s Yr3'!E149</f>
        <v>0</v>
      </c>
      <c r="F149" s="98">
        <f>'Cash Flow %s Yr3'!F149</f>
        <v>0.1</v>
      </c>
      <c r="G149" s="98">
        <f>'Cash Flow %s Yr3'!G149</f>
        <v>0.1</v>
      </c>
      <c r="H149" s="98">
        <f>'Cash Flow %s Yr3'!H149</f>
        <v>0.1</v>
      </c>
      <c r="I149" s="98">
        <f>'Cash Flow %s Yr3'!I149</f>
        <v>0.1</v>
      </c>
      <c r="J149" s="98">
        <f>'Cash Flow %s Yr3'!J149</f>
        <v>0.1</v>
      </c>
      <c r="K149" s="98">
        <f>'Cash Flow %s Yr3'!K149</f>
        <v>0.1</v>
      </c>
      <c r="L149" s="98">
        <f>'Cash Flow %s Yr3'!L149</f>
        <v>0.1</v>
      </c>
      <c r="M149" s="98">
        <f>'Cash Flow %s Yr3'!M149</f>
        <v>0.1</v>
      </c>
      <c r="N149" s="98">
        <f>'Cash Flow %s Yr3'!N149</f>
        <v>0.1</v>
      </c>
      <c r="O149" s="98">
        <f>'Cash Flow %s Yr3'!O149</f>
        <v>0.1</v>
      </c>
      <c r="P149" s="98">
        <f>'Cash Flow %s Yr3'!P149</f>
        <v>0</v>
      </c>
      <c r="Q149" s="98">
        <f>'Cash Flow %s Yr3'!Q149</f>
        <v>0</v>
      </c>
      <c r="R149" s="98">
        <f>'Cash Flow %s Yr3'!R149</f>
        <v>0</v>
      </c>
      <c r="S149" s="97">
        <f>SUM(D149:R149)</f>
        <v>0.99999999999999989</v>
      </c>
    </row>
    <row r="150" spans="1:24" s="31" customFormat="1" x14ac:dyDescent="0.75">
      <c r="A150" s="35"/>
      <c r="B150" s="64" t="str">
        <f>'Expenses w MYP'!C118</f>
        <v>7438</v>
      </c>
      <c r="C150" s="64" t="str">
        <f>'Expenses w MYP'!D118</f>
        <v>Debt Service - Interest</v>
      </c>
      <c r="D150" s="98">
        <f>'Cash Flow %s Yr3'!D150</f>
        <v>0</v>
      </c>
      <c r="E150" s="98">
        <f>'Cash Flow %s Yr3'!E150</f>
        <v>0</v>
      </c>
      <c r="F150" s="98">
        <f>'Cash Flow %s Yr3'!F150</f>
        <v>0.1</v>
      </c>
      <c r="G150" s="98">
        <f>'Cash Flow %s Yr3'!G150</f>
        <v>0.1</v>
      </c>
      <c r="H150" s="98">
        <f>'Cash Flow %s Yr3'!H150</f>
        <v>0.1</v>
      </c>
      <c r="I150" s="98">
        <f>'Cash Flow %s Yr3'!I150</f>
        <v>0.1</v>
      </c>
      <c r="J150" s="98">
        <f>'Cash Flow %s Yr3'!J150</f>
        <v>0.1</v>
      </c>
      <c r="K150" s="98">
        <f>'Cash Flow %s Yr3'!K150</f>
        <v>0.1</v>
      </c>
      <c r="L150" s="98">
        <f>'Cash Flow %s Yr3'!L150</f>
        <v>0.1</v>
      </c>
      <c r="M150" s="98">
        <f>'Cash Flow %s Yr3'!M150</f>
        <v>0.1</v>
      </c>
      <c r="N150" s="98">
        <f>'Cash Flow %s Yr3'!N150</f>
        <v>0.1</v>
      </c>
      <c r="O150" s="98">
        <f>'Cash Flow %s Yr3'!O150</f>
        <v>0.1</v>
      </c>
      <c r="P150" s="98">
        <f>'Cash Flow %s Yr3'!P150</f>
        <v>0</v>
      </c>
      <c r="Q150" s="98">
        <f>'Cash Flow %s Yr3'!Q150</f>
        <v>0</v>
      </c>
      <c r="R150" s="98">
        <f>'Cash Flow %s Yr3'!R150</f>
        <v>0</v>
      </c>
      <c r="S150" s="97">
        <f>SUM(D150:R150)</f>
        <v>0.99999999999999989</v>
      </c>
    </row>
    <row r="151" spans="1:24" s="31" customFormat="1" x14ac:dyDescent="0.75">
      <c r="A151" s="35"/>
      <c r="B151" s="39"/>
      <c r="C151" s="1"/>
      <c r="D151" s="92"/>
      <c r="E151" s="92"/>
      <c r="F151" s="92"/>
      <c r="G151" s="92"/>
      <c r="H151" s="92"/>
      <c r="I151" s="92"/>
      <c r="J151" s="92"/>
      <c r="K151" s="92"/>
      <c r="L151" s="92"/>
      <c r="M151" s="92"/>
      <c r="N151" s="92"/>
      <c r="O151" s="92"/>
      <c r="P151" s="92"/>
      <c r="Q151" s="92"/>
      <c r="R151" s="92"/>
      <c r="S151" s="97"/>
    </row>
    <row r="152" spans="1:24" s="31" customFormat="1" x14ac:dyDescent="0.75">
      <c r="A152" s="35"/>
      <c r="B152" s="39"/>
      <c r="C152" s="1"/>
      <c r="D152" s="84"/>
      <c r="E152" s="84"/>
      <c r="F152" s="84"/>
      <c r="G152" s="84"/>
      <c r="H152" s="84"/>
      <c r="I152" s="84"/>
      <c r="J152" s="84"/>
      <c r="K152" s="84"/>
      <c r="L152" s="84"/>
      <c r="M152" s="84"/>
      <c r="N152" s="84"/>
      <c r="O152" s="84"/>
      <c r="P152" s="84"/>
      <c r="Q152" s="84"/>
      <c r="R152" s="84"/>
      <c r="S152" s="97"/>
      <c r="T152" s="134"/>
    </row>
    <row r="153" spans="1:24" s="31" customFormat="1" x14ac:dyDescent="0.75">
      <c r="A153" s="35"/>
      <c r="B153" s="34" t="s">
        <v>818</v>
      </c>
      <c r="C153" s="2"/>
      <c r="D153" s="84"/>
      <c r="E153" s="91"/>
      <c r="F153" s="91"/>
      <c r="G153" s="84"/>
      <c r="H153" s="84"/>
      <c r="I153" s="84"/>
      <c r="J153" s="84"/>
      <c r="K153" s="84"/>
      <c r="L153" s="84"/>
      <c r="M153" s="84"/>
      <c r="N153" s="84"/>
      <c r="O153" s="84"/>
      <c r="P153" s="84"/>
      <c r="Q153" s="84"/>
      <c r="R153" s="84"/>
      <c r="S153" s="97"/>
    </row>
    <row r="154" spans="1:24" s="31" customFormat="1" x14ac:dyDescent="0.75">
      <c r="A154" s="35"/>
      <c r="B154" s="64"/>
      <c r="C154" s="117" t="s">
        <v>819</v>
      </c>
      <c r="D154" s="98">
        <f>'Cash Flow %s Yr3'!D154</f>
        <v>1</v>
      </c>
      <c r="E154" s="98">
        <f>'Cash Flow %s Yr3'!E154</f>
        <v>0</v>
      </c>
      <c r="F154" s="98">
        <f>'Cash Flow %s Yr3'!F154</f>
        <v>0</v>
      </c>
      <c r="G154" s="98">
        <f>'Cash Flow %s Yr3'!G154</f>
        <v>0</v>
      </c>
      <c r="H154" s="98">
        <f>'Cash Flow %s Yr3'!H154</f>
        <v>0</v>
      </c>
      <c r="I154" s="98">
        <f>'Cash Flow %s Yr3'!I154</f>
        <v>0</v>
      </c>
      <c r="J154" s="98">
        <f>'Cash Flow %s Yr3'!J154</f>
        <v>0</v>
      </c>
      <c r="K154" s="98">
        <f>'Cash Flow %s Yr3'!K154</f>
        <v>0</v>
      </c>
      <c r="L154" s="98">
        <f>'Cash Flow %s Yr3'!L154</f>
        <v>0</v>
      </c>
      <c r="M154" s="98">
        <f>'Cash Flow %s Yr3'!M154</f>
        <v>0</v>
      </c>
      <c r="N154" s="98">
        <f>'Cash Flow %s Yr3'!N154</f>
        <v>0</v>
      </c>
      <c r="O154" s="98">
        <f>'Cash Flow %s Yr3'!O154</f>
        <v>0</v>
      </c>
      <c r="P154" s="98">
        <f>'Cash Flow %s Yr3'!P154</f>
        <v>0</v>
      </c>
      <c r="Q154" s="98">
        <f>'Cash Flow %s Yr3'!Q154</f>
        <v>0</v>
      </c>
      <c r="R154" s="98">
        <f>'Cash Flow %s Yr3'!R154</f>
        <v>0</v>
      </c>
      <c r="S154" s="97">
        <f>SUM(D154:R154)</f>
        <v>1</v>
      </c>
      <c r="T154" s="130"/>
      <c r="U154" s="130"/>
      <c r="V154" s="130"/>
      <c r="W154" s="130"/>
      <c r="X154" s="130"/>
    </row>
    <row r="155" spans="1:24" s="31" customFormat="1" x14ac:dyDescent="0.75">
      <c r="A155" s="35"/>
      <c r="B155" s="64"/>
      <c r="C155" s="117" t="s">
        <v>820</v>
      </c>
      <c r="D155" s="98">
        <f>'Cash Flow %s Yr3'!D155</f>
        <v>0.5</v>
      </c>
      <c r="E155" s="98">
        <f>'Cash Flow %s Yr3'!E155</f>
        <v>0.35</v>
      </c>
      <c r="F155" s="98">
        <f>'Cash Flow %s Yr3'!F155</f>
        <v>0.15</v>
      </c>
      <c r="G155" s="98">
        <f>'Cash Flow %s Yr3'!G155</f>
        <v>0</v>
      </c>
      <c r="H155" s="98">
        <f>'Cash Flow %s Yr3'!H155</f>
        <v>0</v>
      </c>
      <c r="I155" s="98">
        <f>'Cash Flow %s Yr3'!I155</f>
        <v>0</v>
      </c>
      <c r="J155" s="98">
        <f>'Cash Flow %s Yr3'!J155</f>
        <v>0</v>
      </c>
      <c r="K155" s="98">
        <f>'Cash Flow %s Yr3'!K155</f>
        <v>0</v>
      </c>
      <c r="L155" s="98">
        <f>'Cash Flow %s Yr3'!L155</f>
        <v>0</v>
      </c>
      <c r="M155" s="98">
        <f>'Cash Flow %s Yr3'!M155</f>
        <v>0</v>
      </c>
      <c r="N155" s="98">
        <f>'Cash Flow %s Yr3'!N155</f>
        <v>0</v>
      </c>
      <c r="O155" s="98">
        <f>'Cash Flow %s Yr3'!O155</f>
        <v>0</v>
      </c>
      <c r="P155" s="98">
        <f>'Cash Flow %s Yr3'!P155</f>
        <v>0</v>
      </c>
      <c r="Q155" s="98">
        <f>'Cash Flow %s Yr3'!Q155</f>
        <v>0</v>
      </c>
      <c r="R155" s="98">
        <f>'Cash Flow %s Yr3'!R155</f>
        <v>0</v>
      </c>
      <c r="S155" s="97">
        <f>SUM(D155:R155)</f>
        <v>1</v>
      </c>
      <c r="T155" s="130"/>
      <c r="U155" s="130"/>
      <c r="V155" s="130"/>
      <c r="W155" s="130"/>
      <c r="X155" s="130"/>
    </row>
    <row r="156" spans="1:24" s="31" customFormat="1" x14ac:dyDescent="0.75">
      <c r="A156" s="35"/>
      <c r="B156" s="64"/>
      <c r="C156" s="117" t="s">
        <v>821</v>
      </c>
      <c r="D156" s="98">
        <f>'Cash Flow %s Yr3'!D156</f>
        <v>0.75</v>
      </c>
      <c r="E156" s="98">
        <f>'Cash Flow %s Yr3'!E156</f>
        <v>0.2</v>
      </c>
      <c r="F156" s="98">
        <f>'Cash Flow %s Yr3'!F156</f>
        <v>0.05</v>
      </c>
      <c r="G156" s="98">
        <f>'Cash Flow %s Yr3'!G156</f>
        <v>0</v>
      </c>
      <c r="H156" s="98">
        <f>'Cash Flow %s Yr3'!H156</f>
        <v>0</v>
      </c>
      <c r="I156" s="98">
        <f>'Cash Flow %s Yr3'!I156</f>
        <v>0</v>
      </c>
      <c r="J156" s="98">
        <f>'Cash Flow %s Yr3'!J156</f>
        <v>0</v>
      </c>
      <c r="K156" s="98">
        <f>'Cash Flow %s Yr3'!K156</f>
        <v>0</v>
      </c>
      <c r="L156" s="98">
        <f>'Cash Flow %s Yr3'!L156</f>
        <v>0</v>
      </c>
      <c r="M156" s="98">
        <f>'Cash Flow %s Yr3'!M156</f>
        <v>0</v>
      </c>
      <c r="N156" s="98">
        <f>'Cash Flow %s Yr3'!N156</f>
        <v>0</v>
      </c>
      <c r="O156" s="98">
        <f>'Cash Flow %s Yr3'!O156</f>
        <v>0</v>
      </c>
      <c r="P156" s="98">
        <f>'Cash Flow %s Yr3'!P156</f>
        <v>0</v>
      </c>
      <c r="Q156" s="98">
        <f>'Cash Flow %s Yr3'!Q156</f>
        <v>0</v>
      </c>
      <c r="R156" s="98">
        <f>'Cash Flow %s Yr3'!R156</f>
        <v>0</v>
      </c>
      <c r="S156" s="97">
        <f>SUM(D156:R156)</f>
        <v>1</v>
      </c>
      <c r="T156" s="130"/>
      <c r="U156" s="130"/>
      <c r="V156" s="130"/>
      <c r="W156" s="130"/>
      <c r="X156" s="130"/>
    </row>
    <row r="157" spans="1:24" s="39" customFormat="1" x14ac:dyDescent="0.75">
      <c r="A157" s="35"/>
      <c r="B157" s="64"/>
      <c r="C157" s="117" t="s">
        <v>822</v>
      </c>
      <c r="D157" s="98">
        <f>'Cash Flow %s Yr3'!D157</f>
        <v>0</v>
      </c>
      <c r="E157" s="98">
        <f>'Cash Flow %s Yr3'!E157</f>
        <v>0</v>
      </c>
      <c r="F157" s="98">
        <f>'Cash Flow %s Yr3'!F157</f>
        <v>0.1</v>
      </c>
      <c r="G157" s="98">
        <f>'Cash Flow %s Yr3'!G157</f>
        <v>0.1</v>
      </c>
      <c r="H157" s="98">
        <f>'Cash Flow %s Yr3'!H157</f>
        <v>0.1</v>
      </c>
      <c r="I157" s="98">
        <f>'Cash Flow %s Yr3'!I157</f>
        <v>0.1</v>
      </c>
      <c r="J157" s="98">
        <f>'Cash Flow %s Yr3'!J157</f>
        <v>0.1</v>
      </c>
      <c r="K157" s="98">
        <f>'Cash Flow %s Yr3'!K157</f>
        <v>0.1</v>
      </c>
      <c r="L157" s="98">
        <f>'Cash Flow %s Yr3'!L157</f>
        <v>0.1</v>
      </c>
      <c r="M157" s="98">
        <f>'Cash Flow %s Yr3'!M157</f>
        <v>0.1</v>
      </c>
      <c r="N157" s="98">
        <f>'Cash Flow %s Yr3'!N157</f>
        <v>0.1</v>
      </c>
      <c r="O157" s="98">
        <f>'Cash Flow %s Yr3'!O157</f>
        <v>0.1</v>
      </c>
      <c r="P157" s="98">
        <f>'Cash Flow %s Yr3'!P157</f>
        <v>0</v>
      </c>
      <c r="Q157" s="98">
        <f>'Cash Flow %s Yr3'!Q157</f>
        <v>0</v>
      </c>
      <c r="R157" s="98">
        <f>'Cash Flow %s Yr3'!R157</f>
        <v>0</v>
      </c>
      <c r="S157" s="97">
        <f>SUM(D157:R157)</f>
        <v>0.99999999999999989</v>
      </c>
      <c r="T157" s="130"/>
      <c r="U157" s="130"/>
      <c r="V157" s="130"/>
      <c r="W157" s="130"/>
      <c r="X157" s="130"/>
    </row>
    <row r="158" spans="1:24" s="39" customFormat="1" x14ac:dyDescent="0.75">
      <c r="A158" s="35"/>
      <c r="C158" s="1"/>
      <c r="D158" s="84"/>
      <c r="E158" s="84"/>
      <c r="F158" s="84"/>
      <c r="G158" s="84"/>
      <c r="H158" s="84"/>
      <c r="I158" s="84"/>
      <c r="J158" s="84"/>
      <c r="K158" s="84"/>
      <c r="L158" s="84"/>
      <c r="M158" s="84"/>
      <c r="N158" s="84"/>
      <c r="O158" s="84"/>
      <c r="P158" s="84"/>
      <c r="Q158" s="84"/>
      <c r="R158" s="84"/>
      <c r="S158" s="161"/>
    </row>
    <row r="159" spans="1:24" s="39" customFormat="1" x14ac:dyDescent="0.75">
      <c r="A159" s="35"/>
      <c r="C159" s="1"/>
      <c r="D159" s="84"/>
      <c r="E159" s="84"/>
      <c r="F159" s="84"/>
      <c r="G159" s="84"/>
      <c r="H159" s="84"/>
      <c r="I159" s="84"/>
      <c r="J159" s="84"/>
      <c r="K159" s="84"/>
      <c r="L159" s="84"/>
      <c r="M159" s="84"/>
      <c r="N159" s="84"/>
      <c r="O159" s="84"/>
      <c r="P159" s="84"/>
      <c r="Q159" s="84"/>
      <c r="R159" s="84"/>
      <c r="S159" s="161"/>
    </row>
    <row r="160" spans="1:24" s="39" customFormat="1" x14ac:dyDescent="0.75">
      <c r="A160" s="35"/>
      <c r="C160" s="1"/>
      <c r="D160" s="84"/>
      <c r="E160" s="84"/>
      <c r="F160" s="84"/>
      <c r="G160" s="84"/>
      <c r="H160" s="84"/>
      <c r="I160" s="84"/>
      <c r="J160" s="84"/>
      <c r="K160" s="84"/>
      <c r="L160" s="84"/>
      <c r="M160" s="84"/>
      <c r="N160" s="84"/>
      <c r="O160" s="84"/>
      <c r="P160" s="84"/>
      <c r="Q160" s="84"/>
      <c r="R160" s="84"/>
      <c r="S160" s="161"/>
    </row>
    <row r="161" spans="1:19" s="39" customFormat="1" x14ac:dyDescent="0.75">
      <c r="A161" s="35"/>
      <c r="C161" s="1"/>
      <c r="D161" s="84"/>
      <c r="E161" s="84"/>
      <c r="F161" s="84"/>
      <c r="G161" s="84"/>
      <c r="H161" s="84"/>
      <c r="I161" s="84"/>
      <c r="J161" s="84"/>
      <c r="K161" s="84"/>
      <c r="L161" s="84"/>
      <c r="M161" s="84"/>
      <c r="N161" s="84"/>
      <c r="O161" s="84"/>
      <c r="P161" s="84"/>
      <c r="Q161" s="84"/>
      <c r="R161" s="84"/>
      <c r="S161" s="161"/>
    </row>
    <row r="162" spans="1:19" s="39" customFormat="1" x14ac:dyDescent="0.75">
      <c r="A162" s="35"/>
      <c r="C162" s="1"/>
      <c r="D162" s="84"/>
      <c r="E162" s="84"/>
      <c r="F162" s="84"/>
      <c r="G162" s="84"/>
      <c r="H162" s="84"/>
      <c r="I162" s="84"/>
      <c r="J162" s="84"/>
      <c r="K162" s="84"/>
      <c r="L162" s="84"/>
      <c r="M162" s="84"/>
      <c r="N162" s="84"/>
      <c r="O162" s="84"/>
      <c r="P162" s="84"/>
      <c r="Q162" s="84"/>
      <c r="R162" s="84"/>
      <c r="S162" s="161"/>
    </row>
    <row r="163" spans="1:19" s="39" customFormat="1" x14ac:dyDescent="0.75">
      <c r="A163" s="35"/>
      <c r="C163" s="1"/>
      <c r="D163" s="84"/>
      <c r="E163" s="84"/>
      <c r="F163" s="84"/>
      <c r="G163" s="84"/>
      <c r="H163" s="84"/>
      <c r="I163" s="84"/>
      <c r="J163" s="84"/>
      <c r="K163" s="84"/>
      <c r="L163" s="84"/>
      <c r="M163" s="84"/>
      <c r="N163" s="84"/>
      <c r="O163" s="84"/>
      <c r="P163" s="84"/>
      <c r="Q163" s="84"/>
      <c r="R163" s="84"/>
      <c r="S163" s="161"/>
    </row>
    <row r="164" spans="1:19" s="39" customFormat="1" x14ac:dyDescent="0.75">
      <c r="A164" s="35"/>
      <c r="C164" s="1"/>
      <c r="D164" s="84"/>
      <c r="E164" s="84"/>
      <c r="F164" s="84"/>
      <c r="G164" s="84"/>
      <c r="H164" s="84"/>
      <c r="I164" s="84"/>
      <c r="J164" s="84"/>
      <c r="K164" s="84"/>
      <c r="L164" s="84"/>
      <c r="M164" s="84"/>
      <c r="N164" s="84"/>
      <c r="O164" s="84"/>
      <c r="P164" s="84"/>
      <c r="Q164" s="84"/>
      <c r="R164" s="84"/>
      <c r="S164" s="161"/>
    </row>
    <row r="165" spans="1:19" s="39" customFormat="1" x14ac:dyDescent="0.75">
      <c r="A165" s="35"/>
      <c r="C165" s="1"/>
      <c r="D165" s="84"/>
      <c r="E165" s="84"/>
      <c r="F165" s="84"/>
      <c r="G165" s="84"/>
      <c r="H165" s="84"/>
      <c r="I165" s="84"/>
      <c r="J165" s="84"/>
      <c r="K165" s="84"/>
      <c r="L165" s="84"/>
      <c r="M165" s="84"/>
      <c r="N165" s="84"/>
      <c r="O165" s="84"/>
      <c r="P165" s="84"/>
      <c r="Q165" s="84"/>
      <c r="R165" s="84"/>
      <c r="S165" s="161"/>
    </row>
    <row r="166" spans="1:19" x14ac:dyDescent="0.75">
      <c r="S166" s="161"/>
    </row>
    <row r="167" spans="1:19" x14ac:dyDescent="0.75">
      <c r="S167" s="161"/>
    </row>
    <row r="168" spans="1:19" x14ac:dyDescent="0.75">
      <c r="S168" s="161"/>
    </row>
    <row r="169" spans="1:19" x14ac:dyDescent="0.75">
      <c r="S169" s="161"/>
    </row>
  </sheetData>
  <pageMargins left="0.25" right="0.25" top="0.5" bottom="0.5" header="0.25" footer="0.25"/>
  <pageSetup scale="58" fitToHeight="3" orientation="landscape" r:id="rId1"/>
  <headerFooter alignWithMargins="0">
    <oddHeader>&amp;A</oddHeader>
    <oddFooter>Page &amp;P</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249977111117893"/>
    <pageSetUpPr fitToPage="1"/>
  </sheetPr>
  <dimension ref="A1:X169"/>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7.86328125" style="84" customWidth="1"/>
    <col min="19" max="19" width="10.31640625" style="1" bestFit="1" customWidth="1"/>
    <col min="20" max="24" width="11.54296875" style="1" customWidth="1"/>
    <col min="25"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20" ht="20.25" x14ac:dyDescent="0.85">
      <c r="A1" s="22" t="str">
        <f>'Student Info w MYP'!$A$1</f>
        <v>Compass Charter Schools</v>
      </c>
      <c r="D1" s="160" t="s">
        <v>1061</v>
      </c>
    </row>
    <row r="2" spans="1:20" ht="17.75" x14ac:dyDescent="0.75">
      <c r="A2" s="21" t="s">
        <v>798</v>
      </c>
      <c r="D2" s="160" t="s">
        <v>1060</v>
      </c>
    </row>
    <row r="3" spans="1:20" ht="17.75" x14ac:dyDescent="0.75">
      <c r="A3" s="21" t="str">
        <f>'Cash Flow $s Yr5'!A3</f>
        <v>Los Angeles</v>
      </c>
    </row>
    <row r="5" spans="1:20" ht="17.75" x14ac:dyDescent="0.75">
      <c r="A5" s="29"/>
      <c r="B5" s="40"/>
      <c r="C5" s="29"/>
      <c r="D5" s="85"/>
      <c r="E5" s="85"/>
      <c r="F5" s="85"/>
      <c r="G5" s="85"/>
      <c r="H5" s="85"/>
      <c r="I5" s="85"/>
      <c r="J5" s="85"/>
      <c r="K5" s="85"/>
      <c r="L5" s="85"/>
      <c r="M5" s="85"/>
      <c r="N5" s="85"/>
      <c r="O5" s="85"/>
      <c r="P5" s="85"/>
      <c r="Q5" s="85"/>
      <c r="R5" s="85"/>
    </row>
    <row r="6" spans="1:20"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20" ht="17.75" x14ac:dyDescent="0.75">
      <c r="A7" s="29" t="s">
        <v>789</v>
      </c>
      <c r="B7" s="40"/>
      <c r="D7" s="31"/>
      <c r="F7" s="85"/>
      <c r="G7" s="85"/>
      <c r="H7" s="85"/>
      <c r="I7" s="31"/>
      <c r="J7" s="31"/>
      <c r="K7" s="85"/>
      <c r="L7" s="85"/>
      <c r="M7" s="85"/>
      <c r="N7" s="85"/>
      <c r="O7" s="85"/>
      <c r="P7" s="85"/>
      <c r="Q7" s="85"/>
      <c r="R7" s="85"/>
    </row>
    <row r="8" spans="1:20" ht="17.75" hidden="1" x14ac:dyDescent="0.75">
      <c r="A8" s="29"/>
      <c r="B8" s="40"/>
      <c r="C8" s="95" t="s">
        <v>811</v>
      </c>
      <c r="D8" s="96" t="s">
        <v>781</v>
      </c>
      <c r="F8" s="85"/>
      <c r="G8" s="85"/>
      <c r="H8" s="85"/>
      <c r="I8" s="31"/>
      <c r="J8" s="31"/>
      <c r="K8" s="85"/>
      <c r="L8" s="85"/>
      <c r="M8" s="85"/>
      <c r="N8" s="85"/>
      <c r="O8" s="85"/>
      <c r="P8" s="85"/>
      <c r="Q8" s="85"/>
      <c r="R8" s="85"/>
    </row>
    <row r="9" spans="1:20" ht="17.75" x14ac:dyDescent="0.75">
      <c r="A9" s="29"/>
      <c r="B9" s="40"/>
      <c r="C9" s="1" t="s">
        <v>812</v>
      </c>
      <c r="D9" s="101">
        <f>'Cash Flow %s Yr4'!D9</f>
        <v>0</v>
      </c>
      <c r="E9" s="101">
        <f>'Cash Flow %s Yr4'!E9</f>
        <v>0.05</v>
      </c>
      <c r="F9" s="101">
        <f>'Cash Flow %s Yr4'!F9</f>
        <v>0.05</v>
      </c>
      <c r="G9" s="101">
        <f>'Cash Flow %s Yr4'!G9</f>
        <v>0.09</v>
      </c>
      <c r="H9" s="101">
        <f>'Cash Flow %s Yr4'!H9</f>
        <v>0.09</v>
      </c>
      <c r="I9" s="101">
        <f>'Cash Flow %s Yr4'!I9</f>
        <v>0.09</v>
      </c>
      <c r="J9" s="101">
        <f>'Cash Flow %s Yr4'!J9</f>
        <v>0.09</v>
      </c>
      <c r="K9" s="101">
        <f>'Cash Flow %s Yr4'!K9</f>
        <v>0.09</v>
      </c>
      <c r="L9" s="101">
        <f>'Cash Flow %s Yr4'!L9</f>
        <v>0.09</v>
      </c>
      <c r="M9" s="101">
        <f>'Cash Flow %s Yr4'!M9</f>
        <v>0.09</v>
      </c>
      <c r="N9" s="101">
        <f>'Cash Flow %s Yr4'!N9</f>
        <v>0.09</v>
      </c>
      <c r="O9" s="101">
        <f>'Cash Flow %s Yr4'!O9</f>
        <v>0.09</v>
      </c>
      <c r="P9" s="101">
        <f>'Cash Flow %s Yr4'!P9</f>
        <v>0.09</v>
      </c>
      <c r="Q9" s="101">
        <f>'Cash Flow %s Yr4'!Q9</f>
        <v>0</v>
      </c>
      <c r="R9" s="101">
        <f>'Cash Flow %s Yr4'!R9</f>
        <v>0</v>
      </c>
      <c r="S9" s="97">
        <f>SUM(D9:R9)</f>
        <v>0.99999999999999978</v>
      </c>
    </row>
    <row r="10" spans="1:20" ht="17.75" hidden="1" x14ac:dyDescent="0.75">
      <c r="A10" s="29"/>
      <c r="B10" s="40"/>
      <c r="C10" s="1" t="s">
        <v>813</v>
      </c>
      <c r="D10" s="101">
        <f>'Cash Flow %s Yr4'!D10</f>
        <v>0</v>
      </c>
      <c r="E10" s="101">
        <f>'Cash Flow %s Yr4'!E10</f>
        <v>0</v>
      </c>
      <c r="F10" s="101">
        <f>'Cash Flow %s Yr4'!F10</f>
        <v>0</v>
      </c>
      <c r="G10" s="101">
        <f>'Cash Flow %s Yr4'!G10</f>
        <v>0.37</v>
      </c>
      <c r="H10" s="101">
        <f>'Cash Flow %s Yr4'!H10</f>
        <v>0</v>
      </c>
      <c r="I10" s="101">
        <f>'Cash Flow %s Yr4'!I10</f>
        <v>0</v>
      </c>
      <c r="J10" s="101">
        <f>'Cash Flow %s Yr4'!J10</f>
        <v>0.18</v>
      </c>
      <c r="K10" s="101">
        <f>'Cash Flow %s Yr4'!K10</f>
        <v>0</v>
      </c>
      <c r="L10" s="101">
        <f>'Cash Flow %s Yr4'!L10</f>
        <v>0.09</v>
      </c>
      <c r="M10" s="101">
        <f>'Cash Flow %s Yr4'!M10</f>
        <v>0.09</v>
      </c>
      <c r="N10" s="101">
        <f>'Cash Flow %s Yr4'!N10</f>
        <v>0.09</v>
      </c>
      <c r="O10" s="101">
        <f>'Cash Flow %s Yr4'!O10</f>
        <v>0.09</v>
      </c>
      <c r="P10" s="101">
        <f>'Cash Flow %s Yr4'!P10</f>
        <v>0.09</v>
      </c>
      <c r="Q10" s="101">
        <f>'Cash Flow %s Yr4'!Q10</f>
        <v>0</v>
      </c>
      <c r="R10" s="101">
        <f>'Cash Flow %s Yr4'!R10</f>
        <v>0</v>
      </c>
      <c r="S10" s="97">
        <f>SUM(D10:R10)</f>
        <v>0.99999999999999989</v>
      </c>
      <c r="T10" s="1">
        <f>'Cash Flow %s Yr4'!T10</f>
        <v>0</v>
      </c>
    </row>
    <row r="11" spans="1:20" s="31" customFormat="1" ht="17.75" x14ac:dyDescent="0.75">
      <c r="B11" s="68" t="s">
        <v>778</v>
      </c>
      <c r="C11" s="47"/>
      <c r="D11" s="194"/>
      <c r="E11" s="194"/>
      <c r="F11" s="194"/>
      <c r="G11" s="194"/>
      <c r="H11" s="194"/>
      <c r="I11" s="194"/>
      <c r="J11" s="194"/>
      <c r="K11" s="194"/>
      <c r="L11" s="194"/>
      <c r="M11" s="194"/>
      <c r="N11" s="194"/>
      <c r="O11" s="194"/>
      <c r="P11" s="194"/>
      <c r="Q11" s="194"/>
      <c r="R11" s="194"/>
      <c r="S11" s="97"/>
    </row>
    <row r="12" spans="1:20" s="31" customFormat="1" x14ac:dyDescent="0.75">
      <c r="A12" s="48"/>
      <c r="B12" s="63" t="str">
        <f>'Revenue w MYP'!C8</f>
        <v>8011</v>
      </c>
      <c r="C12" s="63" t="str">
        <f>'Revenue w MYP'!D8</f>
        <v>LCFF; state aid portion</v>
      </c>
      <c r="D12" s="101">
        <f>D$9</f>
        <v>0</v>
      </c>
      <c r="E12" s="101">
        <f t="shared" ref="E12:R12" si="0">E$9</f>
        <v>0.05</v>
      </c>
      <c r="F12" s="101">
        <f t="shared" si="0"/>
        <v>0.05</v>
      </c>
      <c r="G12" s="101">
        <f t="shared" si="0"/>
        <v>0.09</v>
      </c>
      <c r="H12" s="101">
        <f t="shared" si="0"/>
        <v>0.09</v>
      </c>
      <c r="I12" s="101">
        <f t="shared" si="0"/>
        <v>0.09</v>
      </c>
      <c r="J12" s="101">
        <f t="shared" si="0"/>
        <v>0.09</v>
      </c>
      <c r="K12" s="101">
        <f t="shared" si="0"/>
        <v>0.09</v>
      </c>
      <c r="L12" s="101">
        <f t="shared" si="0"/>
        <v>0.09</v>
      </c>
      <c r="M12" s="101">
        <f t="shared" si="0"/>
        <v>0.09</v>
      </c>
      <c r="N12" s="101">
        <f t="shared" si="0"/>
        <v>0.09</v>
      </c>
      <c r="O12" s="101">
        <f t="shared" si="0"/>
        <v>0.09</v>
      </c>
      <c r="P12" s="101">
        <f t="shared" si="0"/>
        <v>0.09</v>
      </c>
      <c r="Q12" s="101">
        <f t="shared" si="0"/>
        <v>0</v>
      </c>
      <c r="R12" s="101">
        <f t="shared" si="0"/>
        <v>0</v>
      </c>
      <c r="S12" s="97">
        <f t="shared" ref="S12:S21" si="1">SUM(D12:R12)</f>
        <v>0.99999999999999978</v>
      </c>
    </row>
    <row r="13" spans="1:20" s="31" customFormat="1" x14ac:dyDescent="0.75">
      <c r="A13" s="48"/>
      <c r="B13" s="63" t="str">
        <f>'Revenue w MYP'!C9</f>
        <v>8012</v>
      </c>
      <c r="C13" s="63" t="str">
        <f>'Revenue w MYP'!D9</f>
        <v>LCFF; EPA portion</v>
      </c>
      <c r="D13" s="100">
        <v>0</v>
      </c>
      <c r="E13" s="100">
        <v>0</v>
      </c>
      <c r="F13" s="100">
        <v>0</v>
      </c>
      <c r="G13" s="100">
        <v>0.25</v>
      </c>
      <c r="H13" s="100">
        <v>0</v>
      </c>
      <c r="I13" s="100">
        <v>0</v>
      </c>
      <c r="J13" s="100">
        <v>0.25</v>
      </c>
      <c r="K13" s="100">
        <v>0</v>
      </c>
      <c r="L13" s="100">
        <v>0</v>
      </c>
      <c r="M13" s="100">
        <v>0.25</v>
      </c>
      <c r="N13" s="100">
        <v>0</v>
      </c>
      <c r="O13" s="100">
        <v>0</v>
      </c>
      <c r="P13" s="100">
        <v>0.25</v>
      </c>
      <c r="Q13" s="100">
        <v>0</v>
      </c>
      <c r="R13" s="100">
        <v>0</v>
      </c>
      <c r="S13" s="97">
        <f t="shared" si="1"/>
        <v>1</v>
      </c>
    </row>
    <row r="14" spans="1:20" s="31" customFormat="1" x14ac:dyDescent="0.75">
      <c r="A14" s="48"/>
      <c r="B14" s="63" t="str">
        <f>'Revenue w MYP'!C10</f>
        <v>8096</v>
      </c>
      <c r="C14" s="63" t="str">
        <f>'Revenue w MYP'!D10</f>
        <v>In-Lieu of Property Taxes, all grades</v>
      </c>
      <c r="D14" s="100">
        <v>0</v>
      </c>
      <c r="E14" s="100">
        <f>'Cash Flow %s Yr4'!E14</f>
        <v>0.06</v>
      </c>
      <c r="F14" s="100">
        <f>'Cash Flow %s Yr4'!F14</f>
        <v>0.12</v>
      </c>
      <c r="G14" s="100">
        <f>'Cash Flow %s Yr4'!G14</f>
        <v>0.08</v>
      </c>
      <c r="H14" s="100">
        <f>'Cash Flow %s Yr4'!H14</f>
        <v>0.08</v>
      </c>
      <c r="I14" s="100">
        <f>'Cash Flow %s Yr4'!I14</f>
        <v>0.08</v>
      </c>
      <c r="J14" s="100">
        <f>'Cash Flow %s Yr4'!J14</f>
        <v>0.08</v>
      </c>
      <c r="K14" s="100">
        <f>'Cash Flow %s Yr4'!K14</f>
        <v>0.08</v>
      </c>
      <c r="L14" s="100">
        <f>'Cash Flow %s Yr4'!L14</f>
        <v>0.14000000000000001</v>
      </c>
      <c r="M14" s="100">
        <f>'Cash Flow %s Yr4'!M14</f>
        <v>7.0000000000000007E-2</v>
      </c>
      <c r="N14" s="100">
        <f>'Cash Flow %s Yr4'!N14</f>
        <v>7.0000000000000007E-2</v>
      </c>
      <c r="O14" s="100">
        <f>'Cash Flow %s Yr4'!O14</f>
        <v>7.0000000000000007E-2</v>
      </c>
      <c r="P14" s="100">
        <f>'Cash Flow %s Yr4'!P14</f>
        <v>7.0000000000000007E-2</v>
      </c>
      <c r="Q14" s="100">
        <v>0</v>
      </c>
      <c r="R14" s="100">
        <v>0</v>
      </c>
      <c r="S14" s="97">
        <f t="shared" si="1"/>
        <v>1.0000000000000002</v>
      </c>
    </row>
    <row r="15" spans="1:20" s="31" customFormat="1" x14ac:dyDescent="0.75">
      <c r="A15" s="48"/>
      <c r="B15" s="63" t="str">
        <f>'Revenue w MYP'!C11</f>
        <v>8019</v>
      </c>
      <c r="C15" s="63" t="str">
        <f>'Revenue w MYP'!D11</f>
        <v>Prior Year Income / Adjustments</v>
      </c>
      <c r="D15" s="101">
        <f>'Cash Flow %s Yr4'!D15</f>
        <v>1</v>
      </c>
      <c r="E15" s="101">
        <f>'Cash Flow %s Yr4'!E15</f>
        <v>0</v>
      </c>
      <c r="F15" s="101">
        <f>'Cash Flow %s Yr4'!F15</f>
        <v>0</v>
      </c>
      <c r="G15" s="101">
        <f>'Cash Flow %s Yr4'!G15</f>
        <v>0</v>
      </c>
      <c r="H15" s="101">
        <f>'Cash Flow %s Yr4'!H15</f>
        <v>0</v>
      </c>
      <c r="I15" s="101">
        <f>'Cash Flow %s Yr4'!I15</f>
        <v>0</v>
      </c>
      <c r="J15" s="101">
        <f>'Cash Flow %s Yr4'!J15</f>
        <v>0</v>
      </c>
      <c r="K15" s="101">
        <f>'Cash Flow %s Yr4'!K15</f>
        <v>0</v>
      </c>
      <c r="L15" s="101">
        <f>'Cash Flow %s Yr4'!L15</f>
        <v>0</v>
      </c>
      <c r="M15" s="101">
        <f>'Cash Flow %s Yr4'!M15</f>
        <v>0</v>
      </c>
      <c r="N15" s="101">
        <f>'Cash Flow %s Yr4'!N15</f>
        <v>0</v>
      </c>
      <c r="O15" s="101">
        <f>'Cash Flow %s Yr4'!O15</f>
        <v>0</v>
      </c>
      <c r="P15" s="101">
        <f>'Cash Flow %s Yr4'!P15</f>
        <v>0</v>
      </c>
      <c r="Q15" s="101">
        <f>'Cash Flow %s Yr4'!Q15</f>
        <v>0</v>
      </c>
      <c r="R15" s="101">
        <f>'Cash Flow %s Yr4'!R15</f>
        <v>0</v>
      </c>
      <c r="S15" s="97">
        <f t="shared" si="1"/>
        <v>1</v>
      </c>
    </row>
    <row r="16" spans="1:20" s="31" customFormat="1" x14ac:dyDescent="0.75">
      <c r="A16" s="48"/>
      <c r="B16" s="63" t="str">
        <f>'Revenue w MYP'!C12</f>
        <v>8520</v>
      </c>
      <c r="C16" s="63" t="str">
        <f>'Revenue w MYP'!D12</f>
        <v>State Child Nutrition program</v>
      </c>
      <c r="D16" s="101">
        <f>'Cash Flow %s Yr4'!D16</f>
        <v>0</v>
      </c>
      <c r="E16" s="101">
        <f>'Cash Flow %s Yr4'!E16</f>
        <v>0.05</v>
      </c>
      <c r="F16" s="101">
        <f>'Cash Flow %s Yr4'!F16</f>
        <v>0.05</v>
      </c>
      <c r="G16" s="101">
        <f>'Cash Flow %s Yr4'!G16</f>
        <v>0.09</v>
      </c>
      <c r="H16" s="101">
        <f>'Cash Flow %s Yr4'!H16</f>
        <v>0.09</v>
      </c>
      <c r="I16" s="101">
        <f>'Cash Flow %s Yr4'!I16</f>
        <v>0.09</v>
      </c>
      <c r="J16" s="101">
        <f>'Cash Flow %s Yr4'!J16</f>
        <v>0.09</v>
      </c>
      <c r="K16" s="101">
        <f>'Cash Flow %s Yr4'!K16</f>
        <v>0.09</v>
      </c>
      <c r="L16" s="101">
        <f>'Cash Flow %s Yr4'!L16</f>
        <v>0.09</v>
      </c>
      <c r="M16" s="101">
        <f>'Cash Flow %s Yr4'!M16</f>
        <v>0.09</v>
      </c>
      <c r="N16" s="101">
        <f>'Cash Flow %s Yr4'!N16</f>
        <v>0.09</v>
      </c>
      <c r="O16" s="101">
        <f>'Cash Flow %s Yr4'!O16</f>
        <v>0.09</v>
      </c>
      <c r="P16" s="101">
        <f>'Cash Flow %s Yr4'!P16</f>
        <v>0.09</v>
      </c>
      <c r="Q16" s="101">
        <f>'Cash Flow %s Yr4'!Q16</f>
        <v>0</v>
      </c>
      <c r="R16" s="101">
        <f>'Cash Flow %s Yr4'!R16</f>
        <v>0</v>
      </c>
      <c r="S16" s="97">
        <f t="shared" si="1"/>
        <v>0.99999999999999978</v>
      </c>
    </row>
    <row r="17" spans="1:20" s="31" customFormat="1" x14ac:dyDescent="0.75">
      <c r="A17" s="48"/>
      <c r="B17" s="63" t="str">
        <f>'Revenue w MYP'!C14</f>
        <v>8560</v>
      </c>
      <c r="C17" s="63" t="str">
        <f>'Revenue w MYP'!D14</f>
        <v>Restricted Lottery</v>
      </c>
      <c r="D17" s="101" t="str">
        <f>'Cash Flow %s Yr4'!D17</f>
        <v/>
      </c>
      <c r="E17" s="101" t="str">
        <f>'Cash Flow %s Yr4'!E17</f>
        <v/>
      </c>
      <c r="F17" s="101">
        <f>'Cash Flow %s Yr4'!F17</f>
        <v>0</v>
      </c>
      <c r="G17" s="101" t="str">
        <f>'Cash Flow %s Yr4'!G17</f>
        <v/>
      </c>
      <c r="H17" s="101" t="str">
        <f>'Cash Flow %s Yr4'!H17</f>
        <v/>
      </c>
      <c r="I17" s="101">
        <f>'Cash Flow %s Yr4'!I17</f>
        <v>0.25</v>
      </c>
      <c r="J17" s="101" t="str">
        <f>'Cash Flow %s Yr4'!J17</f>
        <v/>
      </c>
      <c r="K17" s="101" t="str">
        <f>'Cash Flow %s Yr4'!K17</f>
        <v/>
      </c>
      <c r="L17" s="101">
        <f>'Cash Flow %s Yr4'!L17</f>
        <v>0.25</v>
      </c>
      <c r="M17" s="101" t="str">
        <f>'Cash Flow %s Yr4'!M17</f>
        <v/>
      </c>
      <c r="N17" s="101" t="str">
        <f>'Cash Flow %s Yr4'!N17</f>
        <v/>
      </c>
      <c r="O17" s="101">
        <f>'Cash Flow %s Yr4'!O17</f>
        <v>0.25</v>
      </c>
      <c r="P17" s="101" t="str">
        <f>'Cash Flow %s Yr4'!P17</f>
        <v/>
      </c>
      <c r="Q17" s="101" t="str">
        <f>'Cash Flow %s Yr4'!Q17</f>
        <v/>
      </c>
      <c r="R17" s="101">
        <f>'Cash Flow %s Yr4'!R17</f>
        <v>0.25</v>
      </c>
      <c r="S17" s="97">
        <f t="shared" si="1"/>
        <v>1</v>
      </c>
      <c r="T17" s="1"/>
    </row>
    <row r="18" spans="1:20" s="31" customFormat="1" x14ac:dyDescent="0.75">
      <c r="A18" s="47"/>
      <c r="B18" s="63" t="str">
        <f>'Revenue w MYP'!C15</f>
        <v>8550</v>
      </c>
      <c r="C18" s="63" t="str">
        <f>'Revenue w MYP'!D15</f>
        <v>Mandate Block Grant</v>
      </c>
      <c r="D18" s="101">
        <f>'Cash Flow %s Yr4'!D18</f>
        <v>0</v>
      </c>
      <c r="E18" s="101">
        <f>'Cash Flow %s Yr4'!E18</f>
        <v>0</v>
      </c>
      <c r="F18" s="101">
        <f>'Cash Flow %s Yr4'!F18</f>
        <v>0</v>
      </c>
      <c r="G18" s="101">
        <f>'Cash Flow %s Yr4'!G18</f>
        <v>0.1</v>
      </c>
      <c r="H18" s="101">
        <f>'Cash Flow %s Yr4'!H18</f>
        <v>0.1</v>
      </c>
      <c r="I18" s="101">
        <f>'Cash Flow %s Yr4'!I18</f>
        <v>0.1</v>
      </c>
      <c r="J18" s="101">
        <f>'Cash Flow %s Yr4'!J18</f>
        <v>0.1</v>
      </c>
      <c r="K18" s="101">
        <f>'Cash Flow %s Yr4'!K18</f>
        <v>0.1</v>
      </c>
      <c r="L18" s="101">
        <f>'Cash Flow %s Yr4'!L18</f>
        <v>0.1</v>
      </c>
      <c r="M18" s="101">
        <f>'Cash Flow %s Yr4'!M18</f>
        <v>0.1</v>
      </c>
      <c r="N18" s="101">
        <f>'Cash Flow %s Yr4'!N18</f>
        <v>0.1</v>
      </c>
      <c r="O18" s="101">
        <f>'Cash Flow %s Yr4'!O18</f>
        <v>0.1</v>
      </c>
      <c r="P18" s="101">
        <f>'Cash Flow %s Yr4'!P18</f>
        <v>0.1</v>
      </c>
      <c r="Q18" s="101">
        <f>'Cash Flow %s Yr4'!Q18</f>
        <v>0</v>
      </c>
      <c r="R18" s="101">
        <f>'Cash Flow %s Yr4'!R18</f>
        <v>0</v>
      </c>
      <c r="S18" s="97">
        <f t="shared" si="1"/>
        <v>0.99999999999999989</v>
      </c>
    </row>
    <row r="19" spans="1:20" s="31" customFormat="1" x14ac:dyDescent="0.75">
      <c r="A19" s="48"/>
      <c r="B19" s="63" t="str">
        <f>'Revenue w MYP'!C17</f>
        <v>8590</v>
      </c>
      <c r="C19" s="63" t="str">
        <f>'Revenue w MYP'!D17</f>
        <v>CSEPDBG</v>
      </c>
      <c r="D19" s="101">
        <f>'Cash Flow %s Yr4'!D19</f>
        <v>0</v>
      </c>
      <c r="E19" s="101">
        <f>'Cash Flow %s Yr4'!E19</f>
        <v>0</v>
      </c>
      <c r="F19" s="101">
        <f>'Cash Flow %s Yr4'!F19</f>
        <v>0</v>
      </c>
      <c r="G19" s="101">
        <f>'Cash Flow %s Yr4'!G19</f>
        <v>0.5</v>
      </c>
      <c r="H19" s="101">
        <f>'Cash Flow %s Yr4'!H19</f>
        <v>0</v>
      </c>
      <c r="I19" s="101">
        <f>'Cash Flow %s Yr4'!I19</f>
        <v>0</v>
      </c>
      <c r="J19" s="101">
        <f>'Cash Flow %s Yr4'!J19</f>
        <v>0</v>
      </c>
      <c r="K19" s="101">
        <f>'Cash Flow %s Yr4'!K19</f>
        <v>0</v>
      </c>
      <c r="L19" s="101">
        <f>'Cash Flow %s Yr4'!L19</f>
        <v>0.5</v>
      </c>
      <c r="M19" s="101">
        <f>'Cash Flow %s Yr4'!M19</f>
        <v>0</v>
      </c>
      <c r="N19" s="101">
        <f>'Cash Flow %s Yr4'!N19</f>
        <v>0</v>
      </c>
      <c r="O19" s="101">
        <f>'Cash Flow %s Yr4'!O19</f>
        <v>0</v>
      </c>
      <c r="P19" s="101">
        <f>'Cash Flow %s Yr4'!P19</f>
        <v>0</v>
      </c>
      <c r="Q19" s="101">
        <f>'Cash Flow %s Yr4'!Q19</f>
        <v>0</v>
      </c>
      <c r="R19" s="101">
        <f>'Cash Flow %s Yr4'!R19</f>
        <v>0</v>
      </c>
      <c r="S19" s="97">
        <f t="shared" si="1"/>
        <v>1</v>
      </c>
    </row>
    <row r="20" spans="1:20" s="31" customFormat="1" ht="17.75" x14ac:dyDescent="0.75">
      <c r="A20" s="29"/>
      <c r="B20" s="63" t="str">
        <f>'Revenue w MYP'!C18</f>
        <v>8550</v>
      </c>
      <c r="C20" s="63" t="str">
        <f>'Revenue w MYP'!D18</f>
        <v>One Time Mandate Block Grant</v>
      </c>
      <c r="D20" s="101">
        <f>'Cash Flow %s Yr4'!D20</f>
        <v>0</v>
      </c>
      <c r="E20" s="101">
        <f>'Cash Flow %s Yr4'!E20</f>
        <v>0.05</v>
      </c>
      <c r="F20" s="101">
        <f>'Cash Flow %s Yr4'!F20</f>
        <v>0.05</v>
      </c>
      <c r="G20" s="101">
        <f>'Cash Flow %s Yr4'!G20</f>
        <v>0.09</v>
      </c>
      <c r="H20" s="101">
        <f>'Cash Flow %s Yr4'!H20</f>
        <v>0.09</v>
      </c>
      <c r="I20" s="101">
        <f>'Cash Flow %s Yr4'!I20</f>
        <v>0.09</v>
      </c>
      <c r="J20" s="101">
        <f>'Cash Flow %s Yr4'!J20</f>
        <v>0.09</v>
      </c>
      <c r="K20" s="101">
        <f>'Cash Flow %s Yr4'!K20</f>
        <v>0.09</v>
      </c>
      <c r="L20" s="101">
        <f>'Cash Flow %s Yr4'!L20</f>
        <v>0.09</v>
      </c>
      <c r="M20" s="101">
        <f>'Cash Flow %s Yr4'!M20</f>
        <v>0.09</v>
      </c>
      <c r="N20" s="101">
        <f>'Cash Flow %s Yr4'!N20</f>
        <v>0.09</v>
      </c>
      <c r="O20" s="101">
        <f>'Cash Flow %s Yr4'!O20</f>
        <v>0.09</v>
      </c>
      <c r="P20" s="101">
        <f>'Cash Flow %s Yr4'!P20</f>
        <v>0.09</v>
      </c>
      <c r="Q20" s="101">
        <f>'Cash Flow %s Yr4'!Q20</f>
        <v>0</v>
      </c>
      <c r="R20" s="101">
        <f>'Cash Flow %s Yr4'!R20</f>
        <v>0</v>
      </c>
      <c r="S20" s="97">
        <f t="shared" si="1"/>
        <v>0.99999999999999978</v>
      </c>
    </row>
    <row r="21" spans="1:20" s="31" customFormat="1" ht="17.75" x14ac:dyDescent="0.75">
      <c r="A21" s="29"/>
      <c r="B21" s="63" t="str">
        <f>'Revenue w MYP'!C19</f>
        <v>8599</v>
      </c>
      <c r="C21" s="63" t="str">
        <f>'Revenue w MYP'!D19</f>
        <v>Prior Year State Income</v>
      </c>
      <c r="D21" s="101">
        <f>'Cash Flow %s Yr4'!D21</f>
        <v>0</v>
      </c>
      <c r="E21" s="101">
        <f>'Cash Flow %s Yr4'!E21</f>
        <v>0.05</v>
      </c>
      <c r="F21" s="101">
        <f>'Cash Flow %s Yr4'!F21</f>
        <v>0.05</v>
      </c>
      <c r="G21" s="101">
        <f>'Cash Flow %s Yr4'!G21</f>
        <v>0.09</v>
      </c>
      <c r="H21" s="101">
        <f>'Cash Flow %s Yr4'!H21</f>
        <v>0.09</v>
      </c>
      <c r="I21" s="101">
        <f>'Cash Flow %s Yr4'!I21</f>
        <v>0.09</v>
      </c>
      <c r="J21" s="101">
        <f>'Cash Flow %s Yr4'!J21</f>
        <v>0.09</v>
      </c>
      <c r="K21" s="101">
        <f>'Cash Flow %s Yr4'!K21</f>
        <v>0.09</v>
      </c>
      <c r="L21" s="101">
        <f>'Cash Flow %s Yr4'!L21</f>
        <v>0.09</v>
      </c>
      <c r="M21" s="101">
        <f>'Cash Flow %s Yr4'!M21</f>
        <v>0.09</v>
      </c>
      <c r="N21" s="101">
        <f>'Cash Flow %s Yr4'!N21</f>
        <v>0.09</v>
      </c>
      <c r="O21" s="101">
        <f>'Cash Flow %s Yr4'!O21</f>
        <v>0.09</v>
      </c>
      <c r="P21" s="101">
        <f>'Cash Flow %s Yr4'!P21</f>
        <v>0.09</v>
      </c>
      <c r="Q21" s="101">
        <f>'Cash Flow %s Yr4'!Q21</f>
        <v>0</v>
      </c>
      <c r="R21" s="101">
        <f>'Cash Flow %s Yr4'!R21</f>
        <v>0</v>
      </c>
      <c r="S21" s="97">
        <f t="shared" si="1"/>
        <v>0.99999999999999978</v>
      </c>
    </row>
    <row r="22" spans="1:20" s="31" customFormat="1" ht="17.75" x14ac:dyDescent="0.75">
      <c r="A22" s="29"/>
      <c r="B22" s="69"/>
      <c r="C22" s="48"/>
      <c r="D22" s="106"/>
      <c r="E22" s="106"/>
      <c r="F22" s="106"/>
      <c r="G22" s="106"/>
      <c r="H22" s="106"/>
      <c r="I22" s="106"/>
      <c r="J22" s="106"/>
      <c r="K22" s="106"/>
      <c r="L22" s="106"/>
      <c r="M22" s="106"/>
      <c r="N22" s="106"/>
      <c r="O22" s="106"/>
      <c r="P22" s="106"/>
      <c r="Q22" s="106"/>
      <c r="R22" s="107"/>
      <c r="S22" s="97"/>
    </row>
    <row r="23" spans="1:20" s="31" customFormat="1" ht="17.75" x14ac:dyDescent="0.75">
      <c r="A23" s="29"/>
      <c r="B23" s="69"/>
      <c r="C23" s="48"/>
      <c r="D23" s="105"/>
      <c r="E23" s="105"/>
      <c r="F23" s="105"/>
      <c r="G23" s="105"/>
      <c r="H23" s="105"/>
      <c r="I23" s="105"/>
      <c r="J23" s="105"/>
      <c r="K23" s="105"/>
      <c r="L23" s="105"/>
      <c r="M23" s="105"/>
      <c r="N23" s="105"/>
      <c r="O23" s="105"/>
      <c r="P23" s="105"/>
      <c r="Q23" s="105"/>
      <c r="R23" s="105"/>
      <c r="S23" s="97"/>
    </row>
    <row r="24" spans="1:20" s="31" customFormat="1" ht="17.75" x14ac:dyDescent="0.75">
      <c r="B24" s="29" t="s">
        <v>782</v>
      </c>
      <c r="C24" s="48"/>
      <c r="D24" s="105"/>
      <c r="E24" s="105"/>
      <c r="F24" s="105"/>
      <c r="G24" s="105"/>
      <c r="H24" s="105"/>
      <c r="I24" s="105"/>
      <c r="J24" s="105"/>
      <c r="K24" s="105"/>
      <c r="L24" s="105"/>
      <c r="M24" s="105"/>
      <c r="N24" s="105"/>
      <c r="O24" s="105"/>
      <c r="P24" s="105"/>
      <c r="Q24" s="105"/>
      <c r="R24" s="105"/>
      <c r="S24" s="97"/>
    </row>
    <row r="25" spans="1:20" s="31" customFormat="1" ht="17.75" x14ac:dyDescent="0.75">
      <c r="A25" s="29"/>
      <c r="B25" s="63" t="str">
        <f>'Revenue w MYP'!C23</f>
        <v>8181</v>
      </c>
      <c r="C25" s="63" t="str">
        <f>'Revenue w MYP'!D23</f>
        <v>Special Education, federal</v>
      </c>
      <c r="D25" s="101">
        <f>'Cash Flow %s Yr4'!D25</f>
        <v>0</v>
      </c>
      <c r="E25" s="101">
        <f>'Cash Flow %s Yr4'!E25</f>
        <v>0</v>
      </c>
      <c r="F25" s="101">
        <f>'Cash Flow %s Yr4'!F25</f>
        <v>0</v>
      </c>
      <c r="G25" s="101">
        <f>'Cash Flow %s Yr4'!G25</f>
        <v>0.1</v>
      </c>
      <c r="H25" s="101">
        <f>'Cash Flow %s Yr4'!H25</f>
        <v>0.1</v>
      </c>
      <c r="I25" s="101">
        <f>'Cash Flow %s Yr4'!I25</f>
        <v>0.1</v>
      </c>
      <c r="J25" s="101">
        <f>'Cash Flow %s Yr4'!J25</f>
        <v>0.1</v>
      </c>
      <c r="K25" s="101">
        <f>'Cash Flow %s Yr4'!K25</f>
        <v>0.1</v>
      </c>
      <c r="L25" s="101">
        <f>'Cash Flow %s Yr4'!L25</f>
        <v>0.1</v>
      </c>
      <c r="M25" s="101">
        <f>'Cash Flow %s Yr4'!M25</f>
        <v>0.1</v>
      </c>
      <c r="N25" s="101">
        <f>'Cash Flow %s Yr4'!N25</f>
        <v>0.1</v>
      </c>
      <c r="O25" s="101">
        <f>'Cash Flow %s Yr4'!O25</f>
        <v>0.1</v>
      </c>
      <c r="P25" s="101">
        <f>'Cash Flow %s Yr4'!P25</f>
        <v>0.1</v>
      </c>
      <c r="Q25" s="101">
        <f>'Cash Flow %s Yr4'!Q25</f>
        <v>0</v>
      </c>
      <c r="R25" s="101">
        <f>'Cash Flow %s Yr4'!R25</f>
        <v>0</v>
      </c>
      <c r="S25" s="97">
        <f t="shared" ref="S25:S32" si="2">SUM(D25:R25)</f>
        <v>0.99999999999999989</v>
      </c>
    </row>
    <row r="26" spans="1:20" s="31" customFormat="1" ht="17.75" x14ac:dyDescent="0.75">
      <c r="A26" s="29"/>
      <c r="B26" s="63" t="str">
        <f>'Revenue w MYP'!C24</f>
        <v>8220</v>
      </c>
      <c r="C26" s="63" t="str">
        <f>'Revenue w MYP'!D24</f>
        <v>Federal Child Nutrition Programs</v>
      </c>
      <c r="D26" s="101">
        <f>'Cash Flow %s Yr4'!D26</f>
        <v>0</v>
      </c>
      <c r="E26" s="101">
        <f>'Cash Flow %s Yr4'!E26</f>
        <v>0</v>
      </c>
      <c r="F26" s="101">
        <f>'Cash Flow %s Yr4'!F26</f>
        <v>0</v>
      </c>
      <c r="G26" s="101">
        <f>'Cash Flow %s Yr4'!G26</f>
        <v>0</v>
      </c>
      <c r="H26" s="101">
        <f>'Cash Flow %s Yr4'!H26</f>
        <v>0</v>
      </c>
      <c r="I26" s="101">
        <f>'Cash Flow %s Yr4'!I26</f>
        <v>0</v>
      </c>
      <c r="J26" s="101">
        <f>'Cash Flow %s Yr4'!J26</f>
        <v>0.25</v>
      </c>
      <c r="K26" s="101">
        <f>'Cash Flow %s Yr4'!K26</f>
        <v>0</v>
      </c>
      <c r="L26" s="101">
        <f>'Cash Flow %s Yr4'!L26</f>
        <v>0</v>
      </c>
      <c r="M26" s="101">
        <f>'Cash Flow %s Yr4'!M26</f>
        <v>0.5</v>
      </c>
      <c r="N26" s="101">
        <f>'Cash Flow %s Yr4'!N26</f>
        <v>0</v>
      </c>
      <c r="O26" s="101">
        <f>'Cash Flow %s Yr4'!O26</f>
        <v>0.25</v>
      </c>
      <c r="P26" s="101">
        <f>'Cash Flow %s Yr4'!P26</f>
        <v>0</v>
      </c>
      <c r="Q26" s="101">
        <f>'Cash Flow %s Yr4'!Q26</f>
        <v>0</v>
      </c>
      <c r="R26" s="101">
        <f>'Cash Flow %s Yr4'!R26</f>
        <v>0</v>
      </c>
      <c r="S26" s="97">
        <f t="shared" si="2"/>
        <v>1</v>
      </c>
    </row>
    <row r="27" spans="1:20" s="31" customFormat="1" ht="17.75" x14ac:dyDescent="0.75">
      <c r="A27" s="29"/>
      <c r="B27" s="63" t="str">
        <f>'Revenue w MYP'!C25</f>
        <v>8290</v>
      </c>
      <c r="C27" s="63" t="str">
        <f>'Revenue w MYP'!D25</f>
        <v>All Other Federal Revenue, inc Facilities Incentive Grants program</v>
      </c>
      <c r="D27" s="101">
        <f>'Cash Flow %s Yr4'!D27</f>
        <v>0</v>
      </c>
      <c r="E27" s="101">
        <f>'Cash Flow %s Yr4'!E27</f>
        <v>0</v>
      </c>
      <c r="F27" s="101">
        <f>'Cash Flow %s Yr4'!F27</f>
        <v>0</v>
      </c>
      <c r="G27" s="101">
        <f>'Cash Flow %s Yr4'!G27</f>
        <v>0</v>
      </c>
      <c r="H27" s="101">
        <f>'Cash Flow %s Yr4'!H27</f>
        <v>0</v>
      </c>
      <c r="I27" s="101">
        <f>'Cash Flow %s Yr4'!I27</f>
        <v>0</v>
      </c>
      <c r="J27" s="101">
        <f>'Cash Flow %s Yr4'!J27</f>
        <v>0.25</v>
      </c>
      <c r="K27" s="101">
        <f>'Cash Flow %s Yr4'!K27</f>
        <v>0</v>
      </c>
      <c r="L27" s="101">
        <f>'Cash Flow %s Yr4'!L27</f>
        <v>0</v>
      </c>
      <c r="M27" s="101">
        <f>'Cash Flow %s Yr4'!M27</f>
        <v>0.5</v>
      </c>
      <c r="N27" s="101">
        <f>'Cash Flow %s Yr4'!N27</f>
        <v>0</v>
      </c>
      <c r="O27" s="101">
        <f>'Cash Flow %s Yr4'!O27</f>
        <v>0.25</v>
      </c>
      <c r="P27" s="101">
        <f>'Cash Flow %s Yr4'!P27</f>
        <v>0</v>
      </c>
      <c r="Q27" s="101">
        <f>'Cash Flow %s Yr4'!Q27</f>
        <v>0</v>
      </c>
      <c r="R27" s="101">
        <f>'Cash Flow %s Yr4'!R27</f>
        <v>0</v>
      </c>
      <c r="S27" s="97">
        <f t="shared" si="2"/>
        <v>1</v>
      </c>
    </row>
    <row r="28" spans="1:20" s="31" customFormat="1" ht="17.75" x14ac:dyDescent="0.75">
      <c r="A28" s="29"/>
      <c r="B28" s="63" t="str">
        <f>'Revenue w MYP'!C26</f>
        <v>8291</v>
      </c>
      <c r="C28" s="63" t="str">
        <f>'Revenue w MYP'!D26</f>
        <v>Title I</v>
      </c>
      <c r="D28" s="101">
        <f>'Cash Flow %s Yr4'!D28</f>
        <v>0</v>
      </c>
      <c r="E28" s="101">
        <f>'Cash Flow %s Yr4'!E28</f>
        <v>0</v>
      </c>
      <c r="F28" s="101">
        <f>'Cash Flow %s Yr4'!F28</f>
        <v>0</v>
      </c>
      <c r="G28" s="101">
        <f>'Cash Flow %s Yr4'!G28</f>
        <v>0</v>
      </c>
      <c r="H28" s="101">
        <f>'Cash Flow %s Yr4'!H28</f>
        <v>0</v>
      </c>
      <c r="I28" s="101">
        <f>'Cash Flow %s Yr4'!I28</f>
        <v>0</v>
      </c>
      <c r="J28" s="101">
        <f>'Cash Flow %s Yr4'!J28</f>
        <v>0.25</v>
      </c>
      <c r="K28" s="101">
        <f>'Cash Flow %s Yr4'!K28</f>
        <v>0</v>
      </c>
      <c r="L28" s="101">
        <f>'Cash Flow %s Yr4'!L28</f>
        <v>0</v>
      </c>
      <c r="M28" s="101">
        <f>'Cash Flow %s Yr4'!M28</f>
        <v>0.5</v>
      </c>
      <c r="N28" s="101">
        <f>'Cash Flow %s Yr4'!N28</f>
        <v>0</v>
      </c>
      <c r="O28" s="101">
        <f>'Cash Flow %s Yr4'!O28</f>
        <v>0.25</v>
      </c>
      <c r="P28" s="101">
        <f>'Cash Flow %s Yr4'!P28</f>
        <v>0</v>
      </c>
      <c r="Q28" s="101">
        <f>'Cash Flow %s Yr4'!Q28</f>
        <v>0</v>
      </c>
      <c r="R28" s="101">
        <f>'Cash Flow %s Yr4'!R28</f>
        <v>0</v>
      </c>
      <c r="S28" s="97">
        <f t="shared" si="2"/>
        <v>1</v>
      </c>
    </row>
    <row r="29" spans="1:20" s="31" customFormat="1" ht="17.75" x14ac:dyDescent="0.75">
      <c r="A29" s="29"/>
      <c r="B29" s="63" t="str">
        <f>'Revenue w MYP'!C27</f>
        <v>8292</v>
      </c>
      <c r="C29" s="63" t="str">
        <f>'Revenue w MYP'!D27</f>
        <v>Title II</v>
      </c>
      <c r="D29" s="101">
        <f>'Cash Flow %s Yr4'!D29</f>
        <v>0</v>
      </c>
      <c r="E29" s="101">
        <f>'Cash Flow %s Yr4'!E29</f>
        <v>0</v>
      </c>
      <c r="F29" s="101">
        <f>'Cash Flow %s Yr4'!F29</f>
        <v>0</v>
      </c>
      <c r="G29" s="101">
        <f>'Cash Flow %s Yr4'!G29</f>
        <v>0</v>
      </c>
      <c r="H29" s="101">
        <f>'Cash Flow %s Yr4'!H29</f>
        <v>0</v>
      </c>
      <c r="I29" s="101">
        <f>'Cash Flow %s Yr4'!I29</f>
        <v>0</v>
      </c>
      <c r="J29" s="101">
        <f>'Cash Flow %s Yr4'!J29</f>
        <v>0.25</v>
      </c>
      <c r="K29" s="101">
        <f>'Cash Flow %s Yr4'!K29</f>
        <v>0</v>
      </c>
      <c r="L29" s="101">
        <f>'Cash Flow %s Yr4'!L29</f>
        <v>0</v>
      </c>
      <c r="M29" s="101">
        <f>'Cash Flow %s Yr4'!M29</f>
        <v>0.5</v>
      </c>
      <c r="N29" s="101">
        <f>'Cash Flow %s Yr4'!N29</f>
        <v>0</v>
      </c>
      <c r="O29" s="101">
        <f>'Cash Flow %s Yr4'!O29</f>
        <v>0.25</v>
      </c>
      <c r="P29" s="101">
        <f>'Cash Flow %s Yr4'!P29</f>
        <v>0</v>
      </c>
      <c r="Q29" s="101">
        <f>'Cash Flow %s Yr4'!Q29</f>
        <v>0</v>
      </c>
      <c r="R29" s="101">
        <f>'Cash Flow %s Yr4'!R29</f>
        <v>0</v>
      </c>
      <c r="S29" s="97">
        <f t="shared" si="2"/>
        <v>1</v>
      </c>
    </row>
    <row r="30" spans="1:20" s="31" customFormat="1" ht="17.75" x14ac:dyDescent="0.75">
      <c r="A30" s="29"/>
      <c r="B30" s="63" t="str">
        <f>'Revenue w MYP'!C28</f>
        <v>8293</v>
      </c>
      <c r="C30" s="63" t="str">
        <f>'Revenue w MYP'!D28</f>
        <v>Title III</v>
      </c>
      <c r="D30" s="101">
        <f>'Cash Flow %s Yr4'!D30</f>
        <v>0</v>
      </c>
      <c r="E30" s="101">
        <f>'Cash Flow %s Yr4'!E30</f>
        <v>0</v>
      </c>
      <c r="F30" s="101">
        <f>'Cash Flow %s Yr4'!F30</f>
        <v>0</v>
      </c>
      <c r="G30" s="101">
        <f>'Cash Flow %s Yr4'!G30</f>
        <v>0</v>
      </c>
      <c r="H30" s="101">
        <f>'Cash Flow %s Yr4'!H30</f>
        <v>0</v>
      </c>
      <c r="I30" s="101">
        <f>'Cash Flow %s Yr4'!I30</f>
        <v>0</v>
      </c>
      <c r="J30" s="101">
        <f>'Cash Flow %s Yr4'!J30</f>
        <v>0.25</v>
      </c>
      <c r="K30" s="101">
        <f>'Cash Flow %s Yr4'!K30</f>
        <v>0</v>
      </c>
      <c r="L30" s="101">
        <f>'Cash Flow %s Yr4'!L30</f>
        <v>0</v>
      </c>
      <c r="M30" s="101">
        <f>'Cash Flow %s Yr4'!M30</f>
        <v>0.5</v>
      </c>
      <c r="N30" s="101">
        <f>'Cash Flow %s Yr4'!N30</f>
        <v>0</v>
      </c>
      <c r="O30" s="101">
        <f>'Cash Flow %s Yr4'!O30</f>
        <v>0.25</v>
      </c>
      <c r="P30" s="101">
        <f>'Cash Flow %s Yr4'!P30</f>
        <v>0</v>
      </c>
      <c r="Q30" s="101">
        <f>'Cash Flow %s Yr4'!Q30</f>
        <v>0</v>
      </c>
      <c r="R30" s="101">
        <f>'Cash Flow %s Yr4'!R30</f>
        <v>0</v>
      </c>
      <c r="S30" s="97">
        <f t="shared" si="2"/>
        <v>1</v>
      </c>
    </row>
    <row r="31" spans="1:20" s="31" customFormat="1" ht="17.75" x14ac:dyDescent="0.75">
      <c r="A31" s="29"/>
      <c r="B31" s="63" t="str">
        <f>'Revenue w MYP'!C30</f>
        <v>8295</v>
      </c>
      <c r="C31" s="63" t="str">
        <f>'Revenue w MYP'!D30</f>
        <v>Title V</v>
      </c>
      <c r="D31" s="101">
        <f>'Cash Flow %s Yr4'!D31</f>
        <v>0</v>
      </c>
      <c r="E31" s="101">
        <f>'Cash Flow %s Yr4'!E31</f>
        <v>0</v>
      </c>
      <c r="F31" s="101">
        <f>'Cash Flow %s Yr4'!F31</f>
        <v>0</v>
      </c>
      <c r="G31" s="101">
        <f>'Cash Flow %s Yr4'!G31</f>
        <v>0</v>
      </c>
      <c r="H31" s="101">
        <f>'Cash Flow %s Yr4'!H31</f>
        <v>0</v>
      </c>
      <c r="I31" s="101">
        <f>'Cash Flow %s Yr4'!I31</f>
        <v>0</v>
      </c>
      <c r="J31" s="101">
        <f>'Cash Flow %s Yr4'!J31</f>
        <v>0.25</v>
      </c>
      <c r="K31" s="101">
        <f>'Cash Flow %s Yr4'!K31</f>
        <v>0</v>
      </c>
      <c r="L31" s="101">
        <f>'Cash Flow %s Yr4'!L31</f>
        <v>0</v>
      </c>
      <c r="M31" s="101">
        <f>'Cash Flow %s Yr4'!M31</f>
        <v>0.5</v>
      </c>
      <c r="N31" s="101">
        <f>'Cash Flow %s Yr4'!N31</f>
        <v>0</v>
      </c>
      <c r="O31" s="101">
        <f>'Cash Flow %s Yr4'!O31</f>
        <v>0.25</v>
      </c>
      <c r="P31" s="101">
        <f>'Cash Flow %s Yr4'!P31</f>
        <v>0</v>
      </c>
      <c r="Q31" s="101">
        <f>'Cash Flow %s Yr4'!Q31</f>
        <v>0</v>
      </c>
      <c r="R31" s="101">
        <f>'Cash Flow %s Yr4'!R31</f>
        <v>0</v>
      </c>
      <c r="S31" s="97">
        <f t="shared" si="2"/>
        <v>1</v>
      </c>
    </row>
    <row r="32" spans="1:20" s="31" customFormat="1" ht="17.75" x14ac:dyDescent="0.75">
      <c r="A32" s="29"/>
      <c r="B32" s="63" t="str">
        <f>'Revenue w MYP'!C31</f>
        <v>8299</v>
      </c>
      <c r="C32" s="63" t="str">
        <f>'Revenue w MYP'!D31</f>
        <v>Prior Year Federal Revenue</v>
      </c>
      <c r="D32" s="101">
        <f>'Cash Flow %s Yr4'!D32</f>
        <v>0</v>
      </c>
      <c r="E32" s="101">
        <f>'Cash Flow %s Yr4'!E32</f>
        <v>0</v>
      </c>
      <c r="F32" s="101">
        <f>'Cash Flow %s Yr4'!F32</f>
        <v>0.5</v>
      </c>
      <c r="G32" s="101">
        <f>'Cash Flow %s Yr4'!G32</f>
        <v>0</v>
      </c>
      <c r="H32" s="101">
        <f>'Cash Flow %s Yr4'!H32</f>
        <v>0</v>
      </c>
      <c r="I32" s="101">
        <f>'Cash Flow %s Yr4'!I32</f>
        <v>0</v>
      </c>
      <c r="J32" s="101">
        <f>'Cash Flow %s Yr4'!J32</f>
        <v>0</v>
      </c>
      <c r="K32" s="101">
        <f>'Cash Flow %s Yr4'!K32</f>
        <v>0.4</v>
      </c>
      <c r="L32" s="101">
        <f>'Cash Flow %s Yr4'!L32</f>
        <v>0</v>
      </c>
      <c r="M32" s="101">
        <f>'Cash Flow %s Yr4'!M32</f>
        <v>0</v>
      </c>
      <c r="N32" s="101">
        <f>'Cash Flow %s Yr4'!N32</f>
        <v>0.1</v>
      </c>
      <c r="O32" s="101">
        <f>'Cash Flow %s Yr4'!O32</f>
        <v>0</v>
      </c>
      <c r="P32" s="101">
        <f>'Cash Flow %s Yr4'!P32</f>
        <v>0</v>
      </c>
      <c r="Q32" s="101">
        <f>'Cash Flow %s Yr4'!Q32</f>
        <v>0</v>
      </c>
      <c r="R32" s="101">
        <f>'Cash Flow %s Yr4'!R32</f>
        <v>0</v>
      </c>
      <c r="S32" s="97">
        <f t="shared" si="2"/>
        <v>1</v>
      </c>
    </row>
    <row r="33" spans="1:19" s="31" customFormat="1" ht="17.75" x14ac:dyDescent="0.75">
      <c r="A33" s="29"/>
      <c r="B33" s="69"/>
      <c r="C33" s="48"/>
      <c r="D33" s="106"/>
      <c r="E33" s="106"/>
      <c r="F33" s="106"/>
      <c r="G33" s="106"/>
      <c r="H33" s="106"/>
      <c r="I33" s="106"/>
      <c r="J33" s="106"/>
      <c r="K33" s="106"/>
      <c r="L33" s="106"/>
      <c r="M33" s="106"/>
      <c r="N33" s="106"/>
      <c r="O33" s="106"/>
      <c r="P33" s="106"/>
      <c r="Q33" s="106"/>
      <c r="R33" s="106"/>
      <c r="S33" s="97"/>
    </row>
    <row r="34" spans="1:19" s="31" customFormat="1" ht="17.75" x14ac:dyDescent="0.75">
      <c r="A34" s="29"/>
      <c r="B34" s="69"/>
      <c r="C34" s="48"/>
      <c r="D34" s="108"/>
      <c r="E34" s="108"/>
      <c r="F34" s="108"/>
      <c r="G34" s="108"/>
      <c r="H34" s="108"/>
      <c r="I34" s="108"/>
      <c r="J34" s="108"/>
      <c r="K34" s="108"/>
      <c r="L34" s="108"/>
      <c r="M34" s="108"/>
      <c r="N34" s="108"/>
      <c r="O34" s="108"/>
      <c r="P34" s="108"/>
      <c r="Q34" s="108"/>
      <c r="R34" s="108"/>
      <c r="S34" s="97"/>
    </row>
    <row r="35" spans="1:19" s="31" customFormat="1" ht="17.75" x14ac:dyDescent="0.75">
      <c r="B35" s="29" t="s">
        <v>790</v>
      </c>
      <c r="C35" s="48"/>
      <c r="D35" s="108"/>
      <c r="E35" s="108"/>
      <c r="F35" s="108"/>
      <c r="G35" s="108"/>
      <c r="H35" s="108"/>
      <c r="I35" s="108"/>
      <c r="J35" s="108"/>
      <c r="K35" s="108"/>
      <c r="L35" s="108"/>
      <c r="M35" s="108"/>
      <c r="N35" s="108"/>
      <c r="O35" s="108"/>
      <c r="P35" s="108"/>
      <c r="Q35" s="108"/>
      <c r="R35" s="108"/>
      <c r="S35" s="97"/>
    </row>
    <row r="36" spans="1:19" s="31" customFormat="1" ht="17.75" x14ac:dyDescent="0.75">
      <c r="A36" s="29"/>
      <c r="B36" s="63" t="str">
        <f>'Revenue w MYP'!C35</f>
        <v>8660</v>
      </c>
      <c r="C36" s="63" t="str">
        <f>'Revenue w MYP'!D35</f>
        <v>Interest</v>
      </c>
      <c r="D36" s="101">
        <f>'Cash Flow %s Yr4'!D36</f>
        <v>8.3000000000000004E-2</v>
      </c>
      <c r="E36" s="101">
        <f>'Cash Flow %s Yr4'!E36</f>
        <v>8.3000000000000004E-2</v>
      </c>
      <c r="F36" s="101">
        <f>'Cash Flow %s Yr4'!F36</f>
        <v>8.3000000000000004E-2</v>
      </c>
      <c r="G36" s="101">
        <f>'Cash Flow %s Yr4'!G36</f>
        <v>8.3000000000000004E-2</v>
      </c>
      <c r="H36" s="101">
        <f>'Cash Flow %s Yr4'!H36</f>
        <v>8.3000000000000004E-2</v>
      </c>
      <c r="I36" s="101">
        <f>'Cash Flow %s Yr4'!I36</f>
        <v>8.3000000000000004E-2</v>
      </c>
      <c r="J36" s="101">
        <f>'Cash Flow %s Yr4'!J36</f>
        <v>8.3000000000000004E-2</v>
      </c>
      <c r="K36" s="101">
        <f>'Cash Flow %s Yr4'!K36</f>
        <v>8.3000000000000004E-2</v>
      </c>
      <c r="L36" s="101">
        <f>'Cash Flow %s Yr4'!L36</f>
        <v>8.4000000000000005E-2</v>
      </c>
      <c r="M36" s="101">
        <f>'Cash Flow %s Yr4'!M36</f>
        <v>8.4000000000000005E-2</v>
      </c>
      <c r="N36" s="101">
        <f>'Cash Flow %s Yr4'!N36</f>
        <v>8.4000000000000005E-2</v>
      </c>
      <c r="O36" s="101">
        <f>'Cash Flow %s Yr4'!O36</f>
        <v>8.4000000000000005E-2</v>
      </c>
      <c r="P36" s="101">
        <f>'Cash Flow %s Yr4'!P36</f>
        <v>0</v>
      </c>
      <c r="Q36" s="101">
        <f>'Cash Flow %s Yr4'!Q36</f>
        <v>0</v>
      </c>
      <c r="R36" s="101">
        <f>'Cash Flow %s Yr4'!R36</f>
        <v>0</v>
      </c>
      <c r="S36" s="97">
        <f t="shared" ref="S36:S47" si="3">SUM(D36:R36)</f>
        <v>0.99999999999999989</v>
      </c>
    </row>
    <row r="37" spans="1:19" s="31" customFormat="1" ht="17.75" x14ac:dyDescent="0.75">
      <c r="A37" s="29"/>
      <c r="B37" s="63" t="str">
        <f>'Revenue w MYP'!C36</f>
        <v>8682</v>
      </c>
      <c r="C37" s="63" t="str">
        <f>'Revenue w MYP'!D36</f>
        <v>Foundation Grants / Donations</v>
      </c>
      <c r="D37" s="101">
        <f>'Cash Flow %s Yr4'!D37</f>
        <v>0</v>
      </c>
      <c r="E37" s="101">
        <f>'Cash Flow %s Yr4'!E37</f>
        <v>0</v>
      </c>
      <c r="F37" s="101">
        <f>'Cash Flow %s Yr4'!F37</f>
        <v>0.1</v>
      </c>
      <c r="G37" s="101">
        <f>'Cash Flow %s Yr4'!G37</f>
        <v>0.1</v>
      </c>
      <c r="H37" s="101">
        <f>'Cash Flow %s Yr4'!H37</f>
        <v>0.1</v>
      </c>
      <c r="I37" s="101">
        <f>'Cash Flow %s Yr4'!I37</f>
        <v>0.1</v>
      </c>
      <c r="J37" s="101">
        <f>'Cash Flow %s Yr4'!J37</f>
        <v>0.1</v>
      </c>
      <c r="K37" s="101">
        <f>'Cash Flow %s Yr4'!K37</f>
        <v>0.1</v>
      </c>
      <c r="L37" s="101">
        <f>'Cash Flow %s Yr4'!L37</f>
        <v>0.1</v>
      </c>
      <c r="M37" s="101">
        <f>'Cash Flow %s Yr4'!M37</f>
        <v>0.1</v>
      </c>
      <c r="N37" s="101">
        <f>'Cash Flow %s Yr4'!N37</f>
        <v>0.1</v>
      </c>
      <c r="O37" s="101">
        <f>'Cash Flow %s Yr4'!O37</f>
        <v>0.1</v>
      </c>
      <c r="P37" s="101">
        <f>'Cash Flow %s Yr4'!P37</f>
        <v>0</v>
      </c>
      <c r="Q37" s="101">
        <f>'Cash Flow %s Yr4'!Q37</f>
        <v>0</v>
      </c>
      <c r="R37" s="101">
        <f>'Cash Flow %s Yr4'!R37</f>
        <v>0</v>
      </c>
      <c r="S37" s="97">
        <f t="shared" si="3"/>
        <v>0.99999999999999989</v>
      </c>
    </row>
    <row r="38" spans="1:19" s="31" customFormat="1" ht="17.75" x14ac:dyDescent="0.75">
      <c r="A38" s="29"/>
      <c r="B38" s="63" t="str">
        <f>'Revenue w MYP'!C37</f>
        <v>8683</v>
      </c>
      <c r="C38" s="63" t="str">
        <f>'Revenue w MYP'!D37</f>
        <v>All Other Local Revenue</v>
      </c>
      <c r="D38" s="101">
        <f>'Cash Flow %s Yr4'!D38</f>
        <v>0</v>
      </c>
      <c r="E38" s="101">
        <f>'Cash Flow %s Yr4'!E38</f>
        <v>0</v>
      </c>
      <c r="F38" s="101">
        <f>'Cash Flow %s Yr4'!F38</f>
        <v>0.1</v>
      </c>
      <c r="G38" s="101">
        <f>'Cash Flow %s Yr4'!G38</f>
        <v>0.1</v>
      </c>
      <c r="H38" s="101">
        <f>'Cash Flow %s Yr4'!H38</f>
        <v>0.1</v>
      </c>
      <c r="I38" s="101">
        <f>'Cash Flow %s Yr4'!I38</f>
        <v>0.1</v>
      </c>
      <c r="J38" s="101">
        <f>'Cash Flow %s Yr4'!J38</f>
        <v>0.1</v>
      </c>
      <c r="K38" s="101">
        <f>'Cash Flow %s Yr4'!K38</f>
        <v>0.1</v>
      </c>
      <c r="L38" s="101">
        <f>'Cash Flow %s Yr4'!L38</f>
        <v>0.1</v>
      </c>
      <c r="M38" s="101">
        <f>'Cash Flow %s Yr4'!M38</f>
        <v>0.1</v>
      </c>
      <c r="N38" s="101">
        <f>'Cash Flow %s Yr4'!N38</f>
        <v>0.1</v>
      </c>
      <c r="O38" s="101">
        <f>'Cash Flow %s Yr4'!O38</f>
        <v>0.1</v>
      </c>
      <c r="P38" s="101">
        <f>'Cash Flow %s Yr4'!P38</f>
        <v>0</v>
      </c>
      <c r="Q38" s="101">
        <f>'Cash Flow %s Yr4'!Q38</f>
        <v>0</v>
      </c>
      <c r="R38" s="101">
        <f>'Cash Flow %s Yr4'!R38</f>
        <v>0</v>
      </c>
      <c r="S38" s="97">
        <f t="shared" si="3"/>
        <v>0.99999999999999989</v>
      </c>
    </row>
    <row r="39" spans="1:19" s="31" customFormat="1" x14ac:dyDescent="0.75">
      <c r="A39" s="47"/>
      <c r="B39" s="63" t="str">
        <f>'Revenue w MYP'!C38</f>
        <v>8684</v>
      </c>
      <c r="C39" s="63" t="str">
        <f>'Revenue w MYP'!D38</f>
        <v>Student Body (ASB) Fundraising Revenue</v>
      </c>
      <c r="D39" s="101">
        <f>'Cash Flow %s Yr4'!D39</f>
        <v>0</v>
      </c>
      <c r="E39" s="101">
        <f>'Cash Flow %s Yr4'!E39</f>
        <v>0</v>
      </c>
      <c r="F39" s="101">
        <f>'Cash Flow %s Yr4'!F39</f>
        <v>0.1</v>
      </c>
      <c r="G39" s="101">
        <f>'Cash Flow %s Yr4'!G39</f>
        <v>0.1</v>
      </c>
      <c r="H39" s="101">
        <f>'Cash Flow %s Yr4'!H39</f>
        <v>0.1</v>
      </c>
      <c r="I39" s="101">
        <f>'Cash Flow %s Yr4'!I39</f>
        <v>0.1</v>
      </c>
      <c r="J39" s="101">
        <f>'Cash Flow %s Yr4'!J39</f>
        <v>0.1</v>
      </c>
      <c r="K39" s="101">
        <f>'Cash Flow %s Yr4'!K39</f>
        <v>0.1</v>
      </c>
      <c r="L39" s="101">
        <f>'Cash Flow %s Yr4'!L39</f>
        <v>0.1</v>
      </c>
      <c r="M39" s="101">
        <f>'Cash Flow %s Yr4'!M39</f>
        <v>0.1</v>
      </c>
      <c r="N39" s="101">
        <f>'Cash Flow %s Yr4'!N39</f>
        <v>0.1</v>
      </c>
      <c r="O39" s="101">
        <f>'Cash Flow %s Yr4'!O39</f>
        <v>0.1</v>
      </c>
      <c r="P39" s="101">
        <f>'Cash Flow %s Yr4'!P39</f>
        <v>0</v>
      </c>
      <c r="Q39" s="101">
        <f>'Cash Flow %s Yr4'!Q39</f>
        <v>0</v>
      </c>
      <c r="R39" s="101">
        <f>'Cash Flow %s Yr4'!R39</f>
        <v>0</v>
      </c>
      <c r="S39" s="97">
        <f t="shared" si="3"/>
        <v>0.99999999999999989</v>
      </c>
    </row>
    <row r="40" spans="1:19" s="31" customFormat="1" x14ac:dyDescent="0.75">
      <c r="A40" s="48"/>
      <c r="B40" s="63" t="str">
        <f>'Revenue w MYP'!C39</f>
        <v>8685</v>
      </c>
      <c r="C40" s="63" t="str">
        <f>'Revenue w MYP'!D39</f>
        <v>School Site Fundraising</v>
      </c>
      <c r="D40" s="101">
        <f>'Cash Flow %s Yr4'!D40</f>
        <v>0</v>
      </c>
      <c r="E40" s="101">
        <f>'Cash Flow %s Yr4'!E40</f>
        <v>0</v>
      </c>
      <c r="F40" s="101">
        <f>'Cash Flow %s Yr4'!F40</f>
        <v>0.1</v>
      </c>
      <c r="G40" s="101">
        <f>'Cash Flow %s Yr4'!G40</f>
        <v>0.1</v>
      </c>
      <c r="H40" s="101">
        <f>'Cash Flow %s Yr4'!H40</f>
        <v>0.1</v>
      </c>
      <c r="I40" s="101">
        <f>'Cash Flow %s Yr4'!I40</f>
        <v>0.1</v>
      </c>
      <c r="J40" s="101">
        <f>'Cash Flow %s Yr4'!J40</f>
        <v>0.1</v>
      </c>
      <c r="K40" s="101">
        <f>'Cash Flow %s Yr4'!K40</f>
        <v>0.1</v>
      </c>
      <c r="L40" s="101">
        <f>'Cash Flow %s Yr4'!L40</f>
        <v>0.1</v>
      </c>
      <c r="M40" s="101">
        <f>'Cash Flow %s Yr4'!M40</f>
        <v>0.1</v>
      </c>
      <c r="N40" s="101">
        <f>'Cash Flow %s Yr4'!N40</f>
        <v>0.1</v>
      </c>
      <c r="O40" s="101">
        <f>'Cash Flow %s Yr4'!O40</f>
        <v>0.1</v>
      </c>
      <c r="P40" s="101">
        <f>'Cash Flow %s Yr4'!P40</f>
        <v>0</v>
      </c>
      <c r="Q40" s="101">
        <f>'Cash Flow %s Yr4'!Q40</f>
        <v>0</v>
      </c>
      <c r="R40" s="101">
        <f>'Cash Flow %s Yr4'!R40</f>
        <v>0</v>
      </c>
      <c r="S40" s="97">
        <f t="shared" si="3"/>
        <v>0.99999999999999989</v>
      </c>
    </row>
    <row r="41" spans="1:19" s="31" customFormat="1" ht="17.75" x14ac:dyDescent="0.75">
      <c r="A41" s="29"/>
      <c r="B41" s="63" t="str">
        <f>'Revenue w MYP'!C40</f>
        <v>8698</v>
      </c>
      <c r="C41" s="63" t="str">
        <f>'Revenue w MYP'!D40</f>
        <v>E-Rate</v>
      </c>
      <c r="D41" s="101">
        <f>'Cash Flow %s Yr4'!D41</f>
        <v>0</v>
      </c>
      <c r="E41" s="101">
        <f>'Cash Flow %s Yr4'!E41</f>
        <v>0</v>
      </c>
      <c r="F41" s="101">
        <f>'Cash Flow %s Yr4'!F41</f>
        <v>0.1</v>
      </c>
      <c r="G41" s="101">
        <f>'Cash Flow %s Yr4'!G41</f>
        <v>0.1</v>
      </c>
      <c r="H41" s="101">
        <f>'Cash Flow %s Yr4'!H41</f>
        <v>0.1</v>
      </c>
      <c r="I41" s="101">
        <f>'Cash Flow %s Yr4'!I41</f>
        <v>0.1</v>
      </c>
      <c r="J41" s="101">
        <f>'Cash Flow %s Yr4'!J41</f>
        <v>0.1</v>
      </c>
      <c r="K41" s="101">
        <f>'Cash Flow %s Yr4'!K41</f>
        <v>0.1</v>
      </c>
      <c r="L41" s="101">
        <f>'Cash Flow %s Yr4'!L41</f>
        <v>0.1</v>
      </c>
      <c r="M41" s="101">
        <f>'Cash Flow %s Yr4'!M41</f>
        <v>0.1</v>
      </c>
      <c r="N41" s="101">
        <f>'Cash Flow %s Yr4'!N41</f>
        <v>0.1</v>
      </c>
      <c r="O41" s="101">
        <f>'Cash Flow %s Yr4'!O41</f>
        <v>0.1</v>
      </c>
      <c r="P41" s="101">
        <f>'Cash Flow %s Yr4'!P41</f>
        <v>0</v>
      </c>
      <c r="Q41" s="101">
        <f>'Cash Flow %s Yr4'!Q41</f>
        <v>0</v>
      </c>
      <c r="R41" s="101">
        <f>'Cash Flow %s Yr4'!R41</f>
        <v>0</v>
      </c>
      <c r="S41" s="97">
        <f t="shared" si="3"/>
        <v>0.99999999999999989</v>
      </c>
    </row>
    <row r="42" spans="1:19" s="31" customFormat="1" ht="17.75" x14ac:dyDescent="0.75">
      <c r="A42" s="29"/>
      <c r="B42" s="63" t="str">
        <f>'Revenue w MYP'!C41</f>
        <v>8699</v>
      </c>
      <c r="C42" s="63" t="str">
        <f>'Revenue w MYP'!D41</f>
        <v>All Other Local Revenue</v>
      </c>
      <c r="D42" s="101">
        <f>'Cash Flow %s Yr4'!D42</f>
        <v>0</v>
      </c>
      <c r="E42" s="101">
        <f>'Cash Flow %s Yr4'!E42</f>
        <v>0</v>
      </c>
      <c r="F42" s="101">
        <f>'Cash Flow %s Yr4'!F42</f>
        <v>0.1</v>
      </c>
      <c r="G42" s="101">
        <f>'Cash Flow %s Yr4'!G42</f>
        <v>0.1</v>
      </c>
      <c r="H42" s="101">
        <f>'Cash Flow %s Yr4'!H42</f>
        <v>0.1</v>
      </c>
      <c r="I42" s="101">
        <f>'Cash Flow %s Yr4'!I42</f>
        <v>0.1</v>
      </c>
      <c r="J42" s="101">
        <f>'Cash Flow %s Yr4'!J42</f>
        <v>0.1</v>
      </c>
      <c r="K42" s="101">
        <f>'Cash Flow %s Yr4'!K42</f>
        <v>0.1</v>
      </c>
      <c r="L42" s="101">
        <f>'Cash Flow %s Yr4'!L42</f>
        <v>0.1</v>
      </c>
      <c r="M42" s="101">
        <f>'Cash Flow %s Yr4'!M42</f>
        <v>0.1</v>
      </c>
      <c r="N42" s="101">
        <f>'Cash Flow %s Yr4'!N42</f>
        <v>0.1</v>
      </c>
      <c r="O42" s="101">
        <f>'Cash Flow %s Yr4'!O42</f>
        <v>0.1</v>
      </c>
      <c r="P42" s="101">
        <f>'Cash Flow %s Yr4'!P42</f>
        <v>0</v>
      </c>
      <c r="Q42" s="101">
        <f>'Cash Flow %s Yr4'!Q42</f>
        <v>0</v>
      </c>
      <c r="R42" s="101">
        <f>'Cash Flow %s Yr4'!R42</f>
        <v>0</v>
      </c>
      <c r="S42" s="97">
        <f t="shared" si="3"/>
        <v>0.99999999999999989</v>
      </c>
    </row>
    <row r="43" spans="1:19" s="31" customFormat="1" ht="17.75" x14ac:dyDescent="0.75">
      <c r="A43" s="29"/>
      <c r="B43" s="63" t="str">
        <f>'Revenue w MYP'!C42</f>
        <v>8785</v>
      </c>
      <c r="C43" s="63" t="str">
        <f>'Revenue w MYP'!D42</f>
        <v>CMO Management fee</v>
      </c>
      <c r="D43" s="101">
        <f>'Cash Flow %s Yr4'!D43</f>
        <v>0</v>
      </c>
      <c r="E43" s="101">
        <f>'Cash Flow %s Yr4'!E43</f>
        <v>0</v>
      </c>
      <c r="F43" s="101">
        <f>'Cash Flow %s Yr4'!F43</f>
        <v>0.1</v>
      </c>
      <c r="G43" s="101">
        <f>'Cash Flow %s Yr4'!G43</f>
        <v>0.1</v>
      </c>
      <c r="H43" s="101">
        <f>'Cash Flow %s Yr4'!H43</f>
        <v>0.1</v>
      </c>
      <c r="I43" s="101">
        <f>'Cash Flow %s Yr4'!I43</f>
        <v>0.1</v>
      </c>
      <c r="J43" s="101">
        <f>'Cash Flow %s Yr4'!J43</f>
        <v>0.1</v>
      </c>
      <c r="K43" s="101">
        <f>'Cash Flow %s Yr4'!K43</f>
        <v>0.1</v>
      </c>
      <c r="L43" s="101">
        <f>'Cash Flow %s Yr4'!L43</f>
        <v>0.1</v>
      </c>
      <c r="M43" s="101">
        <f>'Cash Flow %s Yr4'!M43</f>
        <v>0.1</v>
      </c>
      <c r="N43" s="101">
        <f>'Cash Flow %s Yr4'!N43</f>
        <v>0.1</v>
      </c>
      <c r="O43" s="101">
        <f>'Cash Flow %s Yr4'!O43</f>
        <v>0.1</v>
      </c>
      <c r="P43" s="101">
        <f>'Cash Flow %s Yr4'!P43</f>
        <v>0</v>
      </c>
      <c r="Q43" s="101">
        <f>'Cash Flow %s Yr4'!Q43</f>
        <v>0</v>
      </c>
      <c r="R43" s="101">
        <f>'Cash Flow %s Yr4'!R43</f>
        <v>0</v>
      </c>
      <c r="S43" s="97">
        <f t="shared" si="3"/>
        <v>0.99999999999999989</v>
      </c>
    </row>
    <row r="44" spans="1:19" s="31" customFormat="1" ht="17.75" x14ac:dyDescent="0.75">
      <c r="A44" s="29"/>
      <c r="B44" s="63" t="str">
        <f>'Revenue w MYP'!C43</f>
        <v>8792</v>
      </c>
      <c r="C44" s="63" t="str">
        <f>'Revenue w MYP'!D43</f>
        <v>SPED State / Other Transfers from County</v>
      </c>
      <c r="D44" s="101">
        <f>'Cash Flow %s Yr4'!D44</f>
        <v>0</v>
      </c>
      <c r="E44" s="101">
        <f>'Cash Flow %s Yr4'!E44</f>
        <v>0</v>
      </c>
      <c r="F44" s="101">
        <f>'Cash Flow %s Yr4'!F44</f>
        <v>0.1</v>
      </c>
      <c r="G44" s="101">
        <f>'Cash Flow %s Yr4'!G44</f>
        <v>0.1</v>
      </c>
      <c r="H44" s="101">
        <f>'Cash Flow %s Yr4'!H44</f>
        <v>0.1</v>
      </c>
      <c r="I44" s="101">
        <f>'Cash Flow %s Yr4'!I44</f>
        <v>0.1</v>
      </c>
      <c r="J44" s="101">
        <f>'Cash Flow %s Yr4'!J44</f>
        <v>0.1</v>
      </c>
      <c r="K44" s="101">
        <f>'Cash Flow %s Yr4'!K44</f>
        <v>0.1</v>
      </c>
      <c r="L44" s="101">
        <f>'Cash Flow %s Yr4'!L44</f>
        <v>0.1</v>
      </c>
      <c r="M44" s="101">
        <f>'Cash Flow %s Yr4'!M44</f>
        <v>0.1</v>
      </c>
      <c r="N44" s="101">
        <f>'Cash Flow %s Yr4'!N44</f>
        <v>0.1</v>
      </c>
      <c r="O44" s="101">
        <f>'Cash Flow %s Yr4'!O44</f>
        <v>0.1</v>
      </c>
      <c r="P44" s="101">
        <f>'Cash Flow %s Yr4'!P44</f>
        <v>0</v>
      </c>
      <c r="Q44" s="101">
        <f>'Cash Flow %s Yr4'!Q44</f>
        <v>0</v>
      </c>
      <c r="R44" s="101">
        <f>'Cash Flow %s Yr4'!R44</f>
        <v>0</v>
      </c>
      <c r="S44" s="97">
        <f t="shared" si="3"/>
        <v>0.99999999999999989</v>
      </c>
    </row>
    <row r="45" spans="1:19" s="31" customFormat="1" ht="17.75" x14ac:dyDescent="0.75">
      <c r="A45" s="29"/>
      <c r="B45" s="63" t="str">
        <f>'Revenue w MYP'!C44</f>
        <v>8639</v>
      </c>
      <c r="C45" s="63" t="str">
        <f>'Revenue w MYP'!D44</f>
        <v>Student Lunch Revenue</v>
      </c>
      <c r="D45" s="101">
        <f>'Cash Flow %s Yr4'!D45</f>
        <v>0</v>
      </c>
      <c r="E45" s="101">
        <f>'Cash Flow %s Yr4'!E45</f>
        <v>0</v>
      </c>
      <c r="F45" s="101">
        <f>'Cash Flow %s Yr4'!F45</f>
        <v>0.1</v>
      </c>
      <c r="G45" s="101">
        <f>'Cash Flow %s Yr4'!G45</f>
        <v>0.1</v>
      </c>
      <c r="H45" s="101">
        <f>'Cash Flow %s Yr4'!H45</f>
        <v>0.1</v>
      </c>
      <c r="I45" s="101">
        <f>'Cash Flow %s Yr4'!I45</f>
        <v>0.1</v>
      </c>
      <c r="J45" s="101">
        <f>'Cash Flow %s Yr4'!J45</f>
        <v>0.1</v>
      </c>
      <c r="K45" s="101">
        <f>'Cash Flow %s Yr4'!K45</f>
        <v>0.1</v>
      </c>
      <c r="L45" s="101">
        <f>'Cash Flow %s Yr4'!L45</f>
        <v>0.1</v>
      </c>
      <c r="M45" s="101">
        <f>'Cash Flow %s Yr4'!M45</f>
        <v>0.1</v>
      </c>
      <c r="N45" s="101">
        <f>'Cash Flow %s Yr4'!N45</f>
        <v>0.1</v>
      </c>
      <c r="O45" s="101">
        <f>'Cash Flow %s Yr4'!O45</f>
        <v>0.1</v>
      </c>
      <c r="P45" s="101">
        <f>'Cash Flow %s Yr4'!P45</f>
        <v>0</v>
      </c>
      <c r="Q45" s="101">
        <f>'Cash Flow %s Yr4'!Q45</f>
        <v>0</v>
      </c>
      <c r="R45" s="101">
        <f>'Cash Flow %s Yr4'!R45</f>
        <v>0</v>
      </c>
      <c r="S45" s="97">
        <f>SUM(D45:R45)</f>
        <v>0.99999999999999989</v>
      </c>
    </row>
    <row r="46" spans="1:19" s="31" customFormat="1" ht="17.75" x14ac:dyDescent="0.75">
      <c r="A46" s="29"/>
      <c r="B46" s="63" t="str">
        <f>'Revenue w MYP'!C45</f>
        <v>8986</v>
      </c>
      <c r="C46" s="63" t="str">
        <f>'Revenue w MYP'!D45</f>
        <v>Rental Income</v>
      </c>
      <c r="D46" s="101">
        <f>'Cash Flow %s Yr4'!D46</f>
        <v>0</v>
      </c>
      <c r="E46" s="101">
        <f>'Cash Flow %s Yr4'!E46</f>
        <v>0</v>
      </c>
      <c r="F46" s="101">
        <f>'Cash Flow %s Yr4'!F46</f>
        <v>0.1</v>
      </c>
      <c r="G46" s="101">
        <f>'Cash Flow %s Yr4'!G46</f>
        <v>0.1</v>
      </c>
      <c r="H46" s="101">
        <f>'Cash Flow %s Yr4'!H46</f>
        <v>0.1</v>
      </c>
      <c r="I46" s="101">
        <f>'Cash Flow %s Yr4'!I46</f>
        <v>0.1</v>
      </c>
      <c r="J46" s="101">
        <f>'Cash Flow %s Yr4'!J46</f>
        <v>0.1</v>
      </c>
      <c r="K46" s="101">
        <f>'Cash Flow %s Yr4'!K46</f>
        <v>0.1</v>
      </c>
      <c r="L46" s="101">
        <f>'Cash Flow %s Yr4'!L46</f>
        <v>0.1</v>
      </c>
      <c r="M46" s="101">
        <f>'Cash Flow %s Yr4'!M46</f>
        <v>0.1</v>
      </c>
      <c r="N46" s="101">
        <f>'Cash Flow %s Yr4'!N46</f>
        <v>0.1</v>
      </c>
      <c r="O46" s="101">
        <f>'Cash Flow %s Yr4'!O46</f>
        <v>0.1</v>
      </c>
      <c r="P46" s="101">
        <f>'Cash Flow %s Yr4'!P46</f>
        <v>0</v>
      </c>
      <c r="Q46" s="101">
        <f>'Cash Flow %s Yr4'!Q46</f>
        <v>0</v>
      </c>
      <c r="R46" s="101">
        <f>'Cash Flow %s Yr4'!R46</f>
        <v>0</v>
      </c>
      <c r="S46" s="97">
        <f>SUM(D46:R46)</f>
        <v>0.99999999999999989</v>
      </c>
    </row>
    <row r="47" spans="1:19" s="31" customFormat="1" ht="17.75" x14ac:dyDescent="0.75">
      <c r="A47" s="29"/>
      <c r="B47" s="63" t="str">
        <f>'Revenue w MYP'!C47</f>
        <v>8662</v>
      </c>
      <c r="C47" s="63" t="str">
        <f>'Revenue w MYP'!D47</f>
        <v>Increase/Decrease in Investment</v>
      </c>
      <c r="D47" s="101">
        <f>'Cash Flow %s Yr4'!D47</f>
        <v>0</v>
      </c>
      <c r="E47" s="101">
        <f>'Cash Flow %s Yr4'!E47</f>
        <v>0</v>
      </c>
      <c r="F47" s="101">
        <f>'Cash Flow %s Yr4'!F47</f>
        <v>0.1</v>
      </c>
      <c r="G47" s="101">
        <f>'Cash Flow %s Yr4'!G47</f>
        <v>0.1</v>
      </c>
      <c r="H47" s="101">
        <f>'Cash Flow %s Yr4'!H47</f>
        <v>0.1</v>
      </c>
      <c r="I47" s="101">
        <f>'Cash Flow %s Yr4'!I47</f>
        <v>0.1</v>
      </c>
      <c r="J47" s="101">
        <f>'Cash Flow %s Yr4'!J47</f>
        <v>0.1</v>
      </c>
      <c r="K47" s="101">
        <f>'Cash Flow %s Yr4'!K47</f>
        <v>0.1</v>
      </c>
      <c r="L47" s="101">
        <f>'Cash Flow %s Yr4'!L47</f>
        <v>0.1</v>
      </c>
      <c r="M47" s="101">
        <f>'Cash Flow %s Yr4'!M47</f>
        <v>0.1</v>
      </c>
      <c r="N47" s="101">
        <f>'Cash Flow %s Yr4'!N47</f>
        <v>0.1</v>
      </c>
      <c r="O47" s="101">
        <f>'Cash Flow %s Yr4'!O47</f>
        <v>0.1</v>
      </c>
      <c r="P47" s="101">
        <f>'Cash Flow %s Yr4'!P47</f>
        <v>0</v>
      </c>
      <c r="Q47" s="101">
        <f>'Cash Flow %s Yr4'!Q47</f>
        <v>0</v>
      </c>
      <c r="R47" s="101">
        <f>'Cash Flow %s Yr4'!R47</f>
        <v>0</v>
      </c>
      <c r="S47" s="97">
        <f t="shared" si="3"/>
        <v>0.99999999999999989</v>
      </c>
    </row>
    <row r="48" spans="1:19" s="31" customFormat="1" ht="17.75" x14ac:dyDescent="0.75">
      <c r="A48" s="29"/>
      <c r="B48" s="69"/>
      <c r="C48" s="48"/>
      <c r="D48" s="105"/>
      <c r="E48" s="105"/>
      <c r="F48" s="105"/>
      <c r="G48" s="105"/>
      <c r="H48" s="105"/>
      <c r="I48" s="105"/>
      <c r="J48" s="105"/>
      <c r="K48" s="105"/>
      <c r="L48" s="105"/>
      <c r="M48" s="105"/>
      <c r="N48" s="105"/>
      <c r="O48" s="105"/>
      <c r="P48" s="88"/>
      <c r="Q48" s="88"/>
      <c r="R48" s="88"/>
      <c r="S48" s="97"/>
    </row>
    <row r="49" spans="1:19" s="31" customFormat="1" ht="17.75" x14ac:dyDescent="0.75">
      <c r="A49" s="29"/>
      <c r="B49" s="69"/>
      <c r="C49" s="48"/>
      <c r="D49" s="105"/>
      <c r="E49" s="105"/>
      <c r="F49" s="105"/>
      <c r="G49" s="105"/>
      <c r="H49" s="105"/>
      <c r="I49" s="105"/>
      <c r="J49" s="105"/>
      <c r="K49" s="105"/>
      <c r="L49" s="105"/>
      <c r="M49" s="105"/>
      <c r="N49" s="105"/>
      <c r="O49" s="105"/>
      <c r="P49" s="88"/>
      <c r="Q49" s="88"/>
      <c r="R49" s="88"/>
      <c r="S49" s="97"/>
    </row>
    <row r="50" spans="1:19" s="31" customFormat="1" ht="17.75" x14ac:dyDescent="0.75">
      <c r="A50" s="29"/>
      <c r="B50" s="69"/>
      <c r="C50" s="48"/>
      <c r="D50" s="88"/>
      <c r="E50" s="88"/>
      <c r="F50" s="88"/>
      <c r="G50" s="88"/>
      <c r="H50" s="88"/>
      <c r="I50" s="88"/>
      <c r="J50" s="88"/>
      <c r="K50" s="88"/>
      <c r="L50" s="88"/>
      <c r="M50" s="88"/>
      <c r="N50" s="88"/>
      <c r="O50" s="88"/>
      <c r="P50" s="88"/>
      <c r="Q50" s="88"/>
      <c r="R50" s="88"/>
      <c r="S50" s="97"/>
    </row>
    <row r="51" spans="1:19" s="31" customFormat="1" ht="17.75" x14ac:dyDescent="0.75">
      <c r="A51" s="29" t="s">
        <v>796</v>
      </c>
      <c r="B51" s="70"/>
      <c r="C51" s="34"/>
      <c r="D51" s="89"/>
      <c r="E51" s="89"/>
      <c r="F51" s="89"/>
      <c r="G51" s="89"/>
      <c r="H51" s="89"/>
      <c r="I51" s="89"/>
      <c r="J51" s="89"/>
      <c r="K51" s="89"/>
      <c r="L51" s="89"/>
      <c r="M51" s="89"/>
      <c r="N51" s="89"/>
      <c r="O51" s="89"/>
      <c r="P51" s="89"/>
      <c r="Q51" s="89"/>
      <c r="R51" s="89"/>
      <c r="S51" s="97"/>
    </row>
    <row r="52" spans="1:19" x14ac:dyDescent="0.75">
      <c r="A52" s="1"/>
      <c r="B52" s="34" t="s">
        <v>731</v>
      </c>
      <c r="C52" s="2"/>
      <c r="S52" s="161"/>
    </row>
    <row r="53" spans="1:19" x14ac:dyDescent="0.75">
      <c r="A53" s="35"/>
      <c r="B53" s="65" t="str">
        <f>'Expenses w MYP'!C8</f>
        <v>1100</v>
      </c>
      <c r="C53" s="65" t="str">
        <f>'Expenses w MYP'!D8</f>
        <v>Teachers' Salaries</v>
      </c>
      <c r="D53" s="98">
        <f>'Cash Flow %s Yr4'!D53</f>
        <v>0</v>
      </c>
      <c r="E53" s="98">
        <f>'Cash Flow %s Yr4'!E53</f>
        <v>0</v>
      </c>
      <c r="F53" s="98">
        <f>'Cash Flow %s Yr4'!F53</f>
        <v>0.1</v>
      </c>
      <c r="G53" s="98">
        <f>'Cash Flow %s Yr4'!G53</f>
        <v>0.1</v>
      </c>
      <c r="H53" s="98">
        <f>'Cash Flow %s Yr4'!H53</f>
        <v>0.1</v>
      </c>
      <c r="I53" s="98">
        <f>'Cash Flow %s Yr4'!I53</f>
        <v>0.1</v>
      </c>
      <c r="J53" s="98">
        <f>'Cash Flow %s Yr4'!J53</f>
        <v>0.1</v>
      </c>
      <c r="K53" s="98">
        <f>'Cash Flow %s Yr4'!K53</f>
        <v>0.1</v>
      </c>
      <c r="L53" s="98">
        <f>'Cash Flow %s Yr4'!L53</f>
        <v>0.1</v>
      </c>
      <c r="M53" s="98">
        <f>'Cash Flow %s Yr4'!M53</f>
        <v>0.1</v>
      </c>
      <c r="N53" s="98">
        <f>'Cash Flow %s Yr4'!N53</f>
        <v>0.1</v>
      </c>
      <c r="O53" s="98">
        <f>'Cash Flow %s Yr4'!O53</f>
        <v>0.1</v>
      </c>
      <c r="P53" s="98">
        <f>'Cash Flow %s Yr4'!P53</f>
        <v>0</v>
      </c>
      <c r="Q53" s="98">
        <f>'Cash Flow %s Yr4'!Q53</f>
        <v>0</v>
      </c>
      <c r="R53" s="98">
        <f>'Cash Flow %s Yr4'!R53</f>
        <v>0</v>
      </c>
      <c r="S53" s="97">
        <f t="shared" ref="S53:S60" si="4">SUM(D53:R53)</f>
        <v>0.99999999999999989</v>
      </c>
    </row>
    <row r="54" spans="1:19" x14ac:dyDescent="0.75">
      <c r="A54" s="35"/>
      <c r="B54" s="65" t="str">
        <f>'Expenses w MYP'!C9</f>
        <v>1105</v>
      </c>
      <c r="C54" s="65" t="str">
        <f>'Expenses w MYP'!D9</f>
        <v>Teachers' Stipends / Bonus</v>
      </c>
      <c r="D54" s="98">
        <f>'Cash Flow %s Yr4'!D54</f>
        <v>0</v>
      </c>
      <c r="E54" s="98">
        <f>'Cash Flow %s Yr4'!E54</f>
        <v>0</v>
      </c>
      <c r="F54" s="98">
        <f>'Cash Flow %s Yr4'!F54</f>
        <v>0</v>
      </c>
      <c r="G54" s="98">
        <f>'Cash Flow %s Yr4'!G54</f>
        <v>0</v>
      </c>
      <c r="H54" s="98">
        <f>'Cash Flow %s Yr4'!H54</f>
        <v>0</v>
      </c>
      <c r="I54" s="98">
        <f>'Cash Flow %s Yr4'!I54</f>
        <v>0</v>
      </c>
      <c r="J54" s="98">
        <f>'Cash Flow %s Yr4'!J54</f>
        <v>0</v>
      </c>
      <c r="K54" s="98">
        <f>'Cash Flow %s Yr4'!K54</f>
        <v>0</v>
      </c>
      <c r="L54" s="98">
        <f>'Cash Flow %s Yr4'!L54</f>
        <v>0</v>
      </c>
      <c r="M54" s="98">
        <f>'Cash Flow %s Yr4'!M54</f>
        <v>0</v>
      </c>
      <c r="N54" s="98">
        <f>'Cash Flow %s Yr4'!N54</f>
        <v>0</v>
      </c>
      <c r="O54" s="98">
        <f>'Cash Flow %s Yr4'!O54</f>
        <v>1</v>
      </c>
      <c r="P54" s="98">
        <f>'Cash Flow %s Yr4'!P54</f>
        <v>0</v>
      </c>
      <c r="Q54" s="98">
        <f>'Cash Flow %s Yr4'!Q54</f>
        <v>0</v>
      </c>
      <c r="R54" s="98">
        <f>'Cash Flow %s Yr4'!R54</f>
        <v>0</v>
      </c>
      <c r="S54" s="97">
        <f t="shared" si="4"/>
        <v>1</v>
      </c>
    </row>
    <row r="55" spans="1:19" x14ac:dyDescent="0.75">
      <c r="A55" s="35"/>
      <c r="B55" s="65" t="str">
        <f>'Expenses w MYP'!C10</f>
        <v>1120</v>
      </c>
      <c r="C55" s="65" t="str">
        <f>'Expenses w MYP'!D10</f>
        <v>Substitute Expense</v>
      </c>
      <c r="D55" s="98">
        <f>'Cash Flow %s Yr4'!D55</f>
        <v>0</v>
      </c>
      <c r="E55" s="98">
        <f>'Cash Flow %s Yr4'!E55</f>
        <v>0</v>
      </c>
      <c r="F55" s="98">
        <f>'Cash Flow %s Yr4'!F55</f>
        <v>0.1</v>
      </c>
      <c r="G55" s="98">
        <f>'Cash Flow %s Yr4'!G55</f>
        <v>0.1</v>
      </c>
      <c r="H55" s="98">
        <f>'Cash Flow %s Yr4'!H55</f>
        <v>0.1</v>
      </c>
      <c r="I55" s="98">
        <f>'Cash Flow %s Yr4'!I55</f>
        <v>0.1</v>
      </c>
      <c r="J55" s="98">
        <f>'Cash Flow %s Yr4'!J55</f>
        <v>0.1</v>
      </c>
      <c r="K55" s="98">
        <f>'Cash Flow %s Yr4'!K55</f>
        <v>0.1</v>
      </c>
      <c r="L55" s="98">
        <f>'Cash Flow %s Yr4'!L55</f>
        <v>0.1</v>
      </c>
      <c r="M55" s="98">
        <f>'Cash Flow %s Yr4'!M55</f>
        <v>0.1</v>
      </c>
      <c r="N55" s="98">
        <f>'Cash Flow %s Yr4'!N55</f>
        <v>0.1</v>
      </c>
      <c r="O55" s="98">
        <f>'Cash Flow %s Yr4'!O55</f>
        <v>0.1</v>
      </c>
      <c r="P55" s="98">
        <f>'Cash Flow %s Yr4'!P55</f>
        <v>0</v>
      </c>
      <c r="Q55" s="98">
        <f>'Cash Flow %s Yr4'!Q55</f>
        <v>0</v>
      </c>
      <c r="R55" s="98">
        <f>'Cash Flow %s Yr4'!R55</f>
        <v>0</v>
      </c>
      <c r="S55" s="97">
        <f t="shared" si="4"/>
        <v>0.99999999999999989</v>
      </c>
    </row>
    <row r="56" spans="1:19" x14ac:dyDescent="0.75">
      <c r="A56" s="35"/>
      <c r="B56" s="65" t="str">
        <f>'Expenses w MYP'!C11</f>
        <v>1200</v>
      </c>
      <c r="C56" s="65" t="str">
        <f>'Expenses w MYP'!D11</f>
        <v>Certificated Pupil Support Salaries</v>
      </c>
      <c r="D56" s="98">
        <f>'Cash Flow %s Yr4'!D56</f>
        <v>0</v>
      </c>
      <c r="E56" s="98">
        <f>'Cash Flow %s Yr4'!E56</f>
        <v>0</v>
      </c>
      <c r="F56" s="98">
        <f>'Cash Flow %s Yr4'!F56</f>
        <v>0.1</v>
      </c>
      <c r="G56" s="98">
        <f>'Cash Flow %s Yr4'!G56</f>
        <v>0.1</v>
      </c>
      <c r="H56" s="98">
        <f>'Cash Flow %s Yr4'!H56</f>
        <v>0.1</v>
      </c>
      <c r="I56" s="98">
        <f>'Cash Flow %s Yr4'!I56</f>
        <v>0.1</v>
      </c>
      <c r="J56" s="98">
        <f>'Cash Flow %s Yr4'!J56</f>
        <v>0.1</v>
      </c>
      <c r="K56" s="98">
        <f>'Cash Flow %s Yr4'!K56</f>
        <v>0.1</v>
      </c>
      <c r="L56" s="98">
        <f>'Cash Flow %s Yr4'!L56</f>
        <v>0.1</v>
      </c>
      <c r="M56" s="98">
        <f>'Cash Flow %s Yr4'!M56</f>
        <v>0.1</v>
      </c>
      <c r="N56" s="98">
        <f>'Cash Flow %s Yr4'!N56</f>
        <v>0.1</v>
      </c>
      <c r="O56" s="98">
        <f>'Cash Flow %s Yr4'!O56</f>
        <v>0.1</v>
      </c>
      <c r="P56" s="98">
        <f>'Cash Flow %s Yr4'!P56</f>
        <v>0</v>
      </c>
      <c r="Q56" s="98">
        <f>'Cash Flow %s Yr4'!Q56</f>
        <v>0</v>
      </c>
      <c r="R56" s="98">
        <f>'Cash Flow %s Yr4'!R56</f>
        <v>0</v>
      </c>
      <c r="S56" s="97">
        <f t="shared" si="4"/>
        <v>0.99999999999999989</v>
      </c>
    </row>
    <row r="57" spans="1:19" x14ac:dyDescent="0.75">
      <c r="A57" s="35"/>
      <c r="B57" s="65" t="str">
        <f>'Expenses w MYP'!C12</f>
        <v>1300</v>
      </c>
      <c r="C57" s="65" t="str">
        <f>'Expenses w MYP'!D12</f>
        <v>Certificated Supervisor and Administrator Salaries</v>
      </c>
      <c r="D57" s="98">
        <f>'Cash Flow %s Yr4'!D57</f>
        <v>8.3000000000000004E-2</v>
      </c>
      <c r="E57" s="98">
        <f>'Cash Flow %s Yr4'!E57</f>
        <v>8.3000000000000004E-2</v>
      </c>
      <c r="F57" s="98">
        <f>'Cash Flow %s Yr4'!F57</f>
        <v>8.3000000000000004E-2</v>
      </c>
      <c r="G57" s="98">
        <f>'Cash Flow %s Yr4'!G57</f>
        <v>8.3000000000000004E-2</v>
      </c>
      <c r="H57" s="98">
        <f>'Cash Flow %s Yr4'!H57</f>
        <v>8.3000000000000004E-2</v>
      </c>
      <c r="I57" s="98">
        <f>'Cash Flow %s Yr4'!I57</f>
        <v>8.3000000000000004E-2</v>
      </c>
      <c r="J57" s="98">
        <f>'Cash Flow %s Yr4'!J57</f>
        <v>8.3000000000000004E-2</v>
      </c>
      <c r="K57" s="98">
        <f>'Cash Flow %s Yr4'!K57</f>
        <v>8.3000000000000004E-2</v>
      </c>
      <c r="L57" s="98">
        <f>'Cash Flow %s Yr4'!L57</f>
        <v>8.4000000000000005E-2</v>
      </c>
      <c r="M57" s="98">
        <f>'Cash Flow %s Yr4'!M57</f>
        <v>8.4000000000000005E-2</v>
      </c>
      <c r="N57" s="98">
        <f>'Cash Flow %s Yr4'!N57</f>
        <v>8.4000000000000005E-2</v>
      </c>
      <c r="O57" s="98">
        <f>'Cash Flow %s Yr4'!O57</f>
        <v>8.4000000000000005E-2</v>
      </c>
      <c r="P57" s="98">
        <f>'Cash Flow %s Yr4'!P57</f>
        <v>0</v>
      </c>
      <c r="Q57" s="98">
        <f>'Cash Flow %s Yr4'!Q57</f>
        <v>0</v>
      </c>
      <c r="R57" s="98">
        <f>'Cash Flow %s Yr4'!R57</f>
        <v>0</v>
      </c>
      <c r="S57" s="97">
        <f t="shared" si="4"/>
        <v>0.99999999999999989</v>
      </c>
    </row>
    <row r="58" spans="1:19" x14ac:dyDescent="0.75">
      <c r="A58" s="35"/>
      <c r="B58" s="65" t="str">
        <f>'Expenses w MYP'!C13</f>
        <v>1305</v>
      </c>
      <c r="C58" s="65" t="str">
        <f>'Expenses w MYP'!D13</f>
        <v>Certificated Sup. and Admin. Stipends / Bonus</v>
      </c>
      <c r="D58" s="98">
        <f>'Cash Flow %s Yr4'!D58</f>
        <v>0</v>
      </c>
      <c r="E58" s="98">
        <f>'Cash Flow %s Yr4'!E58</f>
        <v>0</v>
      </c>
      <c r="F58" s="98">
        <f>'Cash Flow %s Yr4'!F58</f>
        <v>0</v>
      </c>
      <c r="G58" s="98">
        <f>'Cash Flow %s Yr4'!G58</f>
        <v>0</v>
      </c>
      <c r="H58" s="98">
        <f>'Cash Flow %s Yr4'!H58</f>
        <v>0</v>
      </c>
      <c r="I58" s="98">
        <f>'Cash Flow %s Yr4'!I58</f>
        <v>0</v>
      </c>
      <c r="J58" s="98">
        <f>'Cash Flow %s Yr4'!J58</f>
        <v>0</v>
      </c>
      <c r="K58" s="98">
        <f>'Cash Flow %s Yr4'!K58</f>
        <v>0</v>
      </c>
      <c r="L58" s="98">
        <f>'Cash Flow %s Yr4'!L58</f>
        <v>0</v>
      </c>
      <c r="M58" s="98">
        <f>'Cash Flow %s Yr4'!M58</f>
        <v>0</v>
      </c>
      <c r="N58" s="98">
        <f>'Cash Flow %s Yr4'!N58</f>
        <v>0</v>
      </c>
      <c r="O58" s="98">
        <f>'Cash Flow %s Yr4'!O58</f>
        <v>1</v>
      </c>
      <c r="P58" s="98">
        <f>'Cash Flow %s Yr4'!P58</f>
        <v>0</v>
      </c>
      <c r="Q58" s="98">
        <f>'Cash Flow %s Yr4'!Q58</f>
        <v>0</v>
      </c>
      <c r="R58" s="98">
        <f>'Cash Flow %s Yr4'!R58</f>
        <v>0</v>
      </c>
      <c r="S58" s="97">
        <f t="shared" si="4"/>
        <v>1</v>
      </c>
    </row>
    <row r="59" spans="1:19" x14ac:dyDescent="0.75">
      <c r="A59" s="35"/>
      <c r="B59" s="65" t="str">
        <f>'Expenses w MYP'!C14</f>
        <v>1900</v>
      </c>
      <c r="C59" s="65" t="str">
        <f>'Expenses w MYP'!D14</f>
        <v>Other Certificated Salaries</v>
      </c>
      <c r="D59" s="98">
        <f>'Cash Flow %s Yr4'!D59</f>
        <v>8.3000000000000004E-2</v>
      </c>
      <c r="E59" s="98">
        <f>'Cash Flow %s Yr4'!E59</f>
        <v>8.3000000000000004E-2</v>
      </c>
      <c r="F59" s="98">
        <f>'Cash Flow %s Yr4'!F59</f>
        <v>8.3000000000000004E-2</v>
      </c>
      <c r="G59" s="98">
        <f>'Cash Flow %s Yr4'!G59</f>
        <v>8.3000000000000004E-2</v>
      </c>
      <c r="H59" s="98">
        <f>'Cash Flow %s Yr4'!H59</f>
        <v>8.3000000000000004E-2</v>
      </c>
      <c r="I59" s="98">
        <f>'Cash Flow %s Yr4'!I59</f>
        <v>8.3000000000000004E-2</v>
      </c>
      <c r="J59" s="98">
        <f>'Cash Flow %s Yr4'!J59</f>
        <v>8.3000000000000004E-2</v>
      </c>
      <c r="K59" s="98">
        <f>'Cash Flow %s Yr4'!K59</f>
        <v>8.3000000000000004E-2</v>
      </c>
      <c r="L59" s="98">
        <f>'Cash Flow %s Yr4'!L59</f>
        <v>8.4000000000000005E-2</v>
      </c>
      <c r="M59" s="98">
        <f>'Cash Flow %s Yr4'!M59</f>
        <v>8.4000000000000005E-2</v>
      </c>
      <c r="N59" s="98">
        <f>'Cash Flow %s Yr4'!N59</f>
        <v>8.4000000000000005E-2</v>
      </c>
      <c r="O59" s="98">
        <f>'Cash Flow %s Yr4'!O59</f>
        <v>8.4000000000000005E-2</v>
      </c>
      <c r="P59" s="98">
        <f>'Cash Flow %s Yr4'!P59</f>
        <v>0</v>
      </c>
      <c r="Q59" s="98">
        <f>'Cash Flow %s Yr4'!Q59</f>
        <v>0</v>
      </c>
      <c r="R59" s="98">
        <f>'Cash Flow %s Yr4'!R59</f>
        <v>0</v>
      </c>
      <c r="S59" s="97">
        <f t="shared" si="4"/>
        <v>0.99999999999999989</v>
      </c>
    </row>
    <row r="60" spans="1:19" x14ac:dyDescent="0.75">
      <c r="A60" s="35"/>
      <c r="B60" s="65" t="str">
        <f>'Expenses w MYP'!C15</f>
        <v>1910</v>
      </c>
      <c r="C60" s="65" t="str">
        <f>'Expenses w MYP'!D15</f>
        <v>Other Certificated Overtime</v>
      </c>
      <c r="D60" s="98">
        <f>'Cash Flow %s Yr4'!D60</f>
        <v>0</v>
      </c>
      <c r="E60" s="98">
        <f>'Cash Flow %s Yr4'!E60</f>
        <v>0</v>
      </c>
      <c r="F60" s="98">
        <f>'Cash Flow %s Yr4'!F60</f>
        <v>0.1</v>
      </c>
      <c r="G60" s="98">
        <f>'Cash Flow %s Yr4'!G60</f>
        <v>0.1</v>
      </c>
      <c r="H60" s="98">
        <f>'Cash Flow %s Yr4'!H60</f>
        <v>0.1</v>
      </c>
      <c r="I60" s="98">
        <f>'Cash Flow %s Yr4'!I60</f>
        <v>0.1</v>
      </c>
      <c r="J60" s="98">
        <f>'Cash Flow %s Yr4'!J60</f>
        <v>0.1</v>
      </c>
      <c r="K60" s="98">
        <f>'Cash Flow %s Yr4'!K60</f>
        <v>0.1</v>
      </c>
      <c r="L60" s="98">
        <f>'Cash Flow %s Yr4'!L60</f>
        <v>0.1</v>
      </c>
      <c r="M60" s="98">
        <f>'Cash Flow %s Yr4'!M60</f>
        <v>0.1</v>
      </c>
      <c r="N60" s="98">
        <f>'Cash Flow %s Yr4'!N60</f>
        <v>0.1</v>
      </c>
      <c r="O60" s="98">
        <f>'Cash Flow %s Yr4'!O60</f>
        <v>0.1</v>
      </c>
      <c r="P60" s="98">
        <f>'Cash Flow %s Yr4'!P60</f>
        <v>0</v>
      </c>
      <c r="Q60" s="98">
        <f>'Cash Flow %s Yr4'!Q60</f>
        <v>0</v>
      </c>
      <c r="R60" s="98">
        <f>'Cash Flow %s Yr4'!R60</f>
        <v>0</v>
      </c>
      <c r="S60" s="97">
        <f t="shared" si="4"/>
        <v>0.99999999999999989</v>
      </c>
    </row>
    <row r="61" spans="1:19" x14ac:dyDescent="0.75">
      <c r="A61" s="35"/>
      <c r="C61" s="2"/>
      <c r="D61" s="88"/>
      <c r="E61" s="88"/>
      <c r="F61" s="105"/>
      <c r="G61" s="105"/>
      <c r="H61" s="105"/>
      <c r="I61" s="105"/>
      <c r="J61" s="105"/>
      <c r="K61" s="105"/>
      <c r="L61" s="105"/>
      <c r="M61" s="105"/>
      <c r="N61" s="105"/>
      <c r="O61" s="105"/>
      <c r="P61" s="88"/>
      <c r="Q61" s="88"/>
      <c r="R61" s="88"/>
      <c r="S61" s="97"/>
    </row>
    <row r="62" spans="1:19" s="31" customFormat="1" x14ac:dyDescent="0.75">
      <c r="A62" s="35"/>
      <c r="B62" s="39"/>
      <c r="C62" s="2"/>
      <c r="D62" s="88"/>
      <c r="E62" s="88"/>
      <c r="F62" s="88"/>
      <c r="G62" s="88"/>
      <c r="H62" s="88"/>
      <c r="I62" s="88"/>
      <c r="J62" s="88"/>
      <c r="K62" s="88"/>
      <c r="L62" s="88"/>
      <c r="M62" s="88"/>
      <c r="N62" s="88"/>
      <c r="O62" s="88"/>
      <c r="P62" s="88"/>
      <c r="Q62" s="88"/>
      <c r="R62" s="88"/>
      <c r="S62" s="97"/>
    </row>
    <row r="63" spans="1:19" s="31" customFormat="1" x14ac:dyDescent="0.75">
      <c r="B63" s="4" t="s">
        <v>732</v>
      </c>
      <c r="C63" s="2"/>
      <c r="D63" s="88"/>
      <c r="E63" s="88"/>
      <c r="F63" s="88"/>
      <c r="G63" s="88"/>
      <c r="H63" s="88"/>
      <c r="I63" s="88"/>
      <c r="J63" s="88"/>
      <c r="K63" s="88"/>
      <c r="L63" s="88"/>
      <c r="M63" s="88"/>
      <c r="N63" s="88"/>
      <c r="O63" s="88"/>
      <c r="P63" s="88"/>
      <c r="Q63" s="88"/>
      <c r="R63" s="88"/>
      <c r="S63" s="97"/>
    </row>
    <row r="64" spans="1:19" s="31" customFormat="1" x14ac:dyDescent="0.75">
      <c r="A64" s="35"/>
      <c r="B64" s="65" t="str">
        <f>'Expenses w MYP'!C19</f>
        <v>2100</v>
      </c>
      <c r="C64" s="65" t="str">
        <f>'Expenses w MYP'!D19</f>
        <v>Instructional Aide Salaries</v>
      </c>
      <c r="D64" s="98">
        <f>'Cash Flow %s Yr4'!D64</f>
        <v>0</v>
      </c>
      <c r="E64" s="98">
        <f>'Cash Flow %s Yr4'!E64</f>
        <v>0</v>
      </c>
      <c r="F64" s="98">
        <f>'Cash Flow %s Yr4'!F64</f>
        <v>0.1</v>
      </c>
      <c r="G64" s="98">
        <f>'Cash Flow %s Yr4'!G64</f>
        <v>0.1</v>
      </c>
      <c r="H64" s="98">
        <f>'Cash Flow %s Yr4'!H64</f>
        <v>0.1</v>
      </c>
      <c r="I64" s="98">
        <f>'Cash Flow %s Yr4'!I64</f>
        <v>0.1</v>
      </c>
      <c r="J64" s="98">
        <f>'Cash Flow %s Yr4'!J64</f>
        <v>0.1</v>
      </c>
      <c r="K64" s="98">
        <f>'Cash Flow %s Yr4'!K64</f>
        <v>0.1</v>
      </c>
      <c r="L64" s="98">
        <f>'Cash Flow %s Yr4'!L64</f>
        <v>0.1</v>
      </c>
      <c r="M64" s="98">
        <f>'Cash Flow %s Yr4'!M64</f>
        <v>0.1</v>
      </c>
      <c r="N64" s="98">
        <f>'Cash Flow %s Yr4'!N64</f>
        <v>0.1</v>
      </c>
      <c r="O64" s="98">
        <f>'Cash Flow %s Yr4'!O64</f>
        <v>0.1</v>
      </c>
      <c r="P64" s="98">
        <f>'Cash Flow %s Yr4'!P64</f>
        <v>0</v>
      </c>
      <c r="Q64" s="98">
        <f>'Cash Flow %s Yr4'!Q64</f>
        <v>0</v>
      </c>
      <c r="R64" s="98">
        <f>'Cash Flow %s Yr4'!R64</f>
        <v>0</v>
      </c>
      <c r="S64" s="97">
        <f t="shared" ref="S64:S73" si="5">SUM(D64:R64)</f>
        <v>0.99999999999999989</v>
      </c>
    </row>
    <row r="65" spans="1:19" s="31" customFormat="1" x14ac:dyDescent="0.75">
      <c r="A65" s="35"/>
      <c r="B65" s="65" t="str">
        <f>'Expenses w MYP'!C20</f>
        <v>2110</v>
      </c>
      <c r="C65" s="65" t="str">
        <f>'Expenses w MYP'!D20</f>
        <v>Instructional Aide Overtime</v>
      </c>
      <c r="D65" s="98">
        <f>'Cash Flow %s Yr4'!D65</f>
        <v>0</v>
      </c>
      <c r="E65" s="98">
        <f>'Cash Flow %s Yr4'!E65</f>
        <v>0</v>
      </c>
      <c r="F65" s="98">
        <f>'Cash Flow %s Yr4'!F65</f>
        <v>0.1</v>
      </c>
      <c r="G65" s="98">
        <f>'Cash Flow %s Yr4'!G65</f>
        <v>0.1</v>
      </c>
      <c r="H65" s="98">
        <f>'Cash Flow %s Yr4'!H65</f>
        <v>0.1</v>
      </c>
      <c r="I65" s="98">
        <f>'Cash Flow %s Yr4'!I65</f>
        <v>0.1</v>
      </c>
      <c r="J65" s="98">
        <f>'Cash Flow %s Yr4'!J65</f>
        <v>0.1</v>
      </c>
      <c r="K65" s="98">
        <f>'Cash Flow %s Yr4'!K65</f>
        <v>0.1</v>
      </c>
      <c r="L65" s="98">
        <f>'Cash Flow %s Yr4'!L65</f>
        <v>0.1</v>
      </c>
      <c r="M65" s="98">
        <f>'Cash Flow %s Yr4'!M65</f>
        <v>0.1</v>
      </c>
      <c r="N65" s="98">
        <f>'Cash Flow %s Yr4'!N65</f>
        <v>0.1</v>
      </c>
      <c r="O65" s="98">
        <f>'Cash Flow %s Yr4'!O65</f>
        <v>0.1</v>
      </c>
      <c r="P65" s="98">
        <f>'Cash Flow %s Yr4'!P65</f>
        <v>0</v>
      </c>
      <c r="Q65" s="98">
        <f>'Cash Flow %s Yr4'!Q65</f>
        <v>0</v>
      </c>
      <c r="R65" s="98">
        <f>'Cash Flow %s Yr4'!R65</f>
        <v>0</v>
      </c>
      <c r="S65" s="97">
        <f t="shared" si="5"/>
        <v>0.99999999999999989</v>
      </c>
    </row>
    <row r="66" spans="1:19" s="31" customFormat="1" x14ac:dyDescent="0.75">
      <c r="A66" s="35"/>
      <c r="B66" s="65" t="str">
        <f>'Expenses w MYP'!C21</f>
        <v>2200</v>
      </c>
      <c r="C66" s="65" t="str">
        <f>'Expenses w MYP'!D21</f>
        <v>Classified Support Salaries (Maintenance / Food)</v>
      </c>
      <c r="D66" s="98">
        <f>'Cash Flow %s Yr4'!D66</f>
        <v>0</v>
      </c>
      <c r="E66" s="98">
        <f>'Cash Flow %s Yr4'!E66</f>
        <v>0</v>
      </c>
      <c r="F66" s="98">
        <f>'Cash Flow %s Yr4'!F66</f>
        <v>0.1</v>
      </c>
      <c r="G66" s="98">
        <f>'Cash Flow %s Yr4'!G66</f>
        <v>0.1</v>
      </c>
      <c r="H66" s="98">
        <f>'Cash Flow %s Yr4'!H66</f>
        <v>0.1</v>
      </c>
      <c r="I66" s="98">
        <f>'Cash Flow %s Yr4'!I66</f>
        <v>0.1</v>
      </c>
      <c r="J66" s="98">
        <f>'Cash Flow %s Yr4'!J66</f>
        <v>0.1</v>
      </c>
      <c r="K66" s="98">
        <f>'Cash Flow %s Yr4'!K66</f>
        <v>0.1</v>
      </c>
      <c r="L66" s="98">
        <f>'Cash Flow %s Yr4'!L66</f>
        <v>0.1</v>
      </c>
      <c r="M66" s="98">
        <f>'Cash Flow %s Yr4'!M66</f>
        <v>0.1</v>
      </c>
      <c r="N66" s="98">
        <f>'Cash Flow %s Yr4'!N66</f>
        <v>0.1</v>
      </c>
      <c r="O66" s="98">
        <f>'Cash Flow %s Yr4'!O66</f>
        <v>0.1</v>
      </c>
      <c r="P66" s="98">
        <f>'Cash Flow %s Yr4'!P66</f>
        <v>0</v>
      </c>
      <c r="Q66" s="98">
        <f>'Cash Flow %s Yr4'!Q66</f>
        <v>0</v>
      </c>
      <c r="R66" s="98">
        <f>'Cash Flow %s Yr4'!R66</f>
        <v>0</v>
      </c>
      <c r="S66" s="97">
        <f t="shared" si="5"/>
        <v>0.99999999999999989</v>
      </c>
    </row>
    <row r="67" spans="1:19" s="31" customFormat="1" x14ac:dyDescent="0.75">
      <c r="A67" s="35"/>
      <c r="B67" s="65" t="str">
        <f>'Expenses w MYP'!C22</f>
        <v>2210</v>
      </c>
      <c r="C67" s="65" t="str">
        <f>'Expenses w MYP'!D22</f>
        <v>Classified Support Overtime</v>
      </c>
      <c r="D67" s="98">
        <f>'Cash Flow %s Yr4'!D67</f>
        <v>0</v>
      </c>
      <c r="E67" s="98">
        <f>'Cash Flow %s Yr4'!E67</f>
        <v>0</v>
      </c>
      <c r="F67" s="98">
        <f>'Cash Flow %s Yr4'!F67</f>
        <v>0.1</v>
      </c>
      <c r="G67" s="98">
        <f>'Cash Flow %s Yr4'!G67</f>
        <v>0.1</v>
      </c>
      <c r="H67" s="98">
        <f>'Cash Flow %s Yr4'!H67</f>
        <v>0.1</v>
      </c>
      <c r="I67" s="98">
        <f>'Cash Flow %s Yr4'!I67</f>
        <v>0.1</v>
      </c>
      <c r="J67" s="98">
        <f>'Cash Flow %s Yr4'!J67</f>
        <v>0.1</v>
      </c>
      <c r="K67" s="98">
        <f>'Cash Flow %s Yr4'!K67</f>
        <v>0.1</v>
      </c>
      <c r="L67" s="98">
        <f>'Cash Flow %s Yr4'!L67</f>
        <v>0.1</v>
      </c>
      <c r="M67" s="98">
        <f>'Cash Flow %s Yr4'!M67</f>
        <v>0.1</v>
      </c>
      <c r="N67" s="98">
        <f>'Cash Flow %s Yr4'!N67</f>
        <v>0.1</v>
      </c>
      <c r="O67" s="98">
        <f>'Cash Flow %s Yr4'!O67</f>
        <v>0.1</v>
      </c>
      <c r="P67" s="98">
        <f>'Cash Flow %s Yr4'!P67</f>
        <v>0</v>
      </c>
      <c r="Q67" s="98">
        <f>'Cash Flow %s Yr4'!Q67</f>
        <v>0</v>
      </c>
      <c r="R67" s="98">
        <f>'Cash Flow %s Yr4'!R67</f>
        <v>0</v>
      </c>
      <c r="S67" s="97">
        <f t="shared" si="5"/>
        <v>0.99999999999999989</v>
      </c>
    </row>
    <row r="68" spans="1:19" s="31" customFormat="1" x14ac:dyDescent="0.75">
      <c r="A68" s="35"/>
      <c r="B68" s="65" t="str">
        <f>'Expenses w MYP'!C23</f>
        <v>2300</v>
      </c>
      <c r="C68" s="65" t="str">
        <f>'Expenses w MYP'!D23</f>
        <v>Classified Supervisor and Administrator Salaries</v>
      </c>
      <c r="D68" s="98">
        <f>'Cash Flow %s Yr4'!D68</f>
        <v>8.3000000000000004E-2</v>
      </c>
      <c r="E68" s="98">
        <f>'Cash Flow %s Yr4'!E68</f>
        <v>8.3000000000000004E-2</v>
      </c>
      <c r="F68" s="98">
        <f>'Cash Flow %s Yr4'!F68</f>
        <v>8.3000000000000004E-2</v>
      </c>
      <c r="G68" s="98">
        <f>'Cash Flow %s Yr4'!G68</f>
        <v>8.3000000000000004E-2</v>
      </c>
      <c r="H68" s="98">
        <f>'Cash Flow %s Yr4'!H68</f>
        <v>8.3000000000000004E-2</v>
      </c>
      <c r="I68" s="98">
        <f>'Cash Flow %s Yr4'!I68</f>
        <v>8.3000000000000004E-2</v>
      </c>
      <c r="J68" s="98">
        <f>'Cash Flow %s Yr4'!J68</f>
        <v>8.3000000000000004E-2</v>
      </c>
      <c r="K68" s="98">
        <f>'Cash Flow %s Yr4'!K68</f>
        <v>8.3000000000000004E-2</v>
      </c>
      <c r="L68" s="98">
        <f>'Cash Flow %s Yr4'!L68</f>
        <v>8.4000000000000005E-2</v>
      </c>
      <c r="M68" s="98">
        <f>'Cash Flow %s Yr4'!M68</f>
        <v>8.4000000000000005E-2</v>
      </c>
      <c r="N68" s="98">
        <f>'Cash Flow %s Yr4'!N68</f>
        <v>8.4000000000000005E-2</v>
      </c>
      <c r="O68" s="98">
        <f>'Cash Flow %s Yr4'!O68</f>
        <v>8.4000000000000005E-2</v>
      </c>
      <c r="P68" s="98">
        <f>'Cash Flow %s Yr4'!P68</f>
        <v>0</v>
      </c>
      <c r="Q68" s="98">
        <f>'Cash Flow %s Yr4'!Q68</f>
        <v>0</v>
      </c>
      <c r="R68" s="98">
        <f>'Cash Flow %s Yr4'!R68</f>
        <v>0</v>
      </c>
      <c r="S68" s="97">
        <f t="shared" si="5"/>
        <v>0.99999999999999989</v>
      </c>
    </row>
    <row r="69" spans="1:19" s="31" customFormat="1" x14ac:dyDescent="0.75">
      <c r="A69" s="35"/>
      <c r="B69" s="65" t="str">
        <f>'Expenses w MYP'!C24</f>
        <v>2400</v>
      </c>
      <c r="C69" s="65" t="str">
        <f>'Expenses w MYP'!D24</f>
        <v>Clerical, Technical, and Office Staff Salaries</v>
      </c>
      <c r="D69" s="98">
        <f>'Cash Flow %s Yr4'!D69</f>
        <v>8.3000000000000004E-2</v>
      </c>
      <c r="E69" s="98">
        <f>'Cash Flow %s Yr4'!E69</f>
        <v>8.3000000000000004E-2</v>
      </c>
      <c r="F69" s="98">
        <f>'Cash Flow %s Yr4'!F69</f>
        <v>8.3000000000000004E-2</v>
      </c>
      <c r="G69" s="98">
        <f>'Cash Flow %s Yr4'!G69</f>
        <v>8.3000000000000004E-2</v>
      </c>
      <c r="H69" s="98">
        <f>'Cash Flow %s Yr4'!H69</f>
        <v>8.3000000000000004E-2</v>
      </c>
      <c r="I69" s="98">
        <f>'Cash Flow %s Yr4'!I69</f>
        <v>8.3000000000000004E-2</v>
      </c>
      <c r="J69" s="98">
        <f>'Cash Flow %s Yr4'!J69</f>
        <v>8.3000000000000004E-2</v>
      </c>
      <c r="K69" s="98">
        <f>'Cash Flow %s Yr4'!K69</f>
        <v>8.3000000000000004E-2</v>
      </c>
      <c r="L69" s="98">
        <f>'Cash Flow %s Yr4'!L69</f>
        <v>8.4000000000000005E-2</v>
      </c>
      <c r="M69" s="98">
        <f>'Cash Flow %s Yr4'!M69</f>
        <v>8.4000000000000005E-2</v>
      </c>
      <c r="N69" s="98">
        <f>'Cash Flow %s Yr4'!N69</f>
        <v>8.4000000000000005E-2</v>
      </c>
      <c r="O69" s="98">
        <f>'Cash Flow %s Yr4'!O69</f>
        <v>8.4000000000000005E-2</v>
      </c>
      <c r="P69" s="98">
        <f>'Cash Flow %s Yr4'!P69</f>
        <v>0</v>
      </c>
      <c r="Q69" s="98">
        <f>'Cash Flow %s Yr4'!Q69</f>
        <v>0</v>
      </c>
      <c r="R69" s="98">
        <f>'Cash Flow %s Yr4'!R69</f>
        <v>0</v>
      </c>
      <c r="S69" s="97">
        <f t="shared" si="5"/>
        <v>0.99999999999999989</v>
      </c>
    </row>
    <row r="70" spans="1:19" s="31" customFormat="1" x14ac:dyDescent="0.75">
      <c r="A70" s="35"/>
      <c r="B70" s="65" t="str">
        <f>'Expenses w MYP'!C25</f>
        <v>2410</v>
      </c>
      <c r="C70" s="65" t="str">
        <f>'Expenses w MYP'!D25</f>
        <v>Clerical, Technical, and Office Staff Overtime</v>
      </c>
      <c r="D70" s="98">
        <f>'Cash Flow %s Yr4'!D70</f>
        <v>0</v>
      </c>
      <c r="E70" s="98">
        <f>'Cash Flow %s Yr4'!E70</f>
        <v>0</v>
      </c>
      <c r="F70" s="98">
        <f>'Cash Flow %s Yr4'!F70</f>
        <v>0.1</v>
      </c>
      <c r="G70" s="98">
        <f>'Cash Flow %s Yr4'!G70</f>
        <v>0.1</v>
      </c>
      <c r="H70" s="98">
        <f>'Cash Flow %s Yr4'!H70</f>
        <v>0.1</v>
      </c>
      <c r="I70" s="98">
        <f>'Cash Flow %s Yr4'!I70</f>
        <v>0.1</v>
      </c>
      <c r="J70" s="98">
        <f>'Cash Flow %s Yr4'!J70</f>
        <v>0.1</v>
      </c>
      <c r="K70" s="98">
        <f>'Cash Flow %s Yr4'!K70</f>
        <v>0.1</v>
      </c>
      <c r="L70" s="98">
        <f>'Cash Flow %s Yr4'!L70</f>
        <v>0.1</v>
      </c>
      <c r="M70" s="98">
        <f>'Cash Flow %s Yr4'!M70</f>
        <v>0.1</v>
      </c>
      <c r="N70" s="98">
        <f>'Cash Flow %s Yr4'!N70</f>
        <v>0.1</v>
      </c>
      <c r="O70" s="98">
        <f>'Cash Flow %s Yr4'!O70</f>
        <v>0.1</v>
      </c>
      <c r="P70" s="98">
        <f>'Cash Flow %s Yr4'!P70</f>
        <v>0</v>
      </c>
      <c r="Q70" s="98">
        <f>'Cash Flow %s Yr4'!Q70</f>
        <v>0</v>
      </c>
      <c r="R70" s="98">
        <f>'Cash Flow %s Yr4'!R70</f>
        <v>0</v>
      </c>
      <c r="S70" s="97">
        <f t="shared" si="5"/>
        <v>0.99999999999999989</v>
      </c>
    </row>
    <row r="71" spans="1:19" s="31" customFormat="1" x14ac:dyDescent="0.75">
      <c r="A71" s="35"/>
      <c r="B71" s="65" t="str">
        <f>'Expenses w MYP'!C26</f>
        <v>2900</v>
      </c>
      <c r="C71" s="65" t="str">
        <f>'Expenses w MYP'!D26</f>
        <v>Other Classified Salaries</v>
      </c>
      <c r="D71" s="98">
        <f>'Cash Flow %s Yr4'!D71</f>
        <v>0</v>
      </c>
      <c r="E71" s="98">
        <f>'Cash Flow %s Yr4'!E71</f>
        <v>0</v>
      </c>
      <c r="F71" s="98">
        <f>'Cash Flow %s Yr4'!F71</f>
        <v>0.1</v>
      </c>
      <c r="G71" s="98">
        <f>'Cash Flow %s Yr4'!G71</f>
        <v>0.1</v>
      </c>
      <c r="H71" s="98">
        <f>'Cash Flow %s Yr4'!H71</f>
        <v>0.1</v>
      </c>
      <c r="I71" s="98">
        <f>'Cash Flow %s Yr4'!I71</f>
        <v>0.1</v>
      </c>
      <c r="J71" s="98">
        <f>'Cash Flow %s Yr4'!J71</f>
        <v>0.1</v>
      </c>
      <c r="K71" s="98">
        <f>'Cash Flow %s Yr4'!K71</f>
        <v>0.1</v>
      </c>
      <c r="L71" s="98">
        <f>'Cash Flow %s Yr4'!L71</f>
        <v>0.1</v>
      </c>
      <c r="M71" s="98">
        <f>'Cash Flow %s Yr4'!M71</f>
        <v>0.1</v>
      </c>
      <c r="N71" s="98">
        <f>'Cash Flow %s Yr4'!N71</f>
        <v>0.1</v>
      </c>
      <c r="O71" s="98">
        <f>'Cash Flow %s Yr4'!O71</f>
        <v>0.1</v>
      </c>
      <c r="P71" s="98">
        <f>'Cash Flow %s Yr4'!P71</f>
        <v>0</v>
      </c>
      <c r="Q71" s="98">
        <f>'Cash Flow %s Yr4'!Q71</f>
        <v>0</v>
      </c>
      <c r="R71" s="98">
        <f>'Cash Flow %s Yr4'!R71</f>
        <v>0</v>
      </c>
      <c r="S71" s="97">
        <f t="shared" si="5"/>
        <v>0.99999999999999989</v>
      </c>
    </row>
    <row r="72" spans="1:19" s="31" customFormat="1" x14ac:dyDescent="0.75">
      <c r="A72" s="35"/>
      <c r="B72" s="65" t="str">
        <f>'Expenses w MYP'!C27</f>
        <v>2905</v>
      </c>
      <c r="C72" s="65" t="str">
        <f>'Expenses w MYP'!D27</f>
        <v>Other Stipends</v>
      </c>
      <c r="D72" s="98">
        <f>'Cash Flow %s Yr4'!D72</f>
        <v>0</v>
      </c>
      <c r="E72" s="98">
        <f>'Cash Flow %s Yr4'!E72</f>
        <v>0</v>
      </c>
      <c r="F72" s="98">
        <f>'Cash Flow %s Yr4'!F72</f>
        <v>0.1</v>
      </c>
      <c r="G72" s="98">
        <f>'Cash Flow %s Yr4'!G72</f>
        <v>0.1</v>
      </c>
      <c r="H72" s="98">
        <f>'Cash Flow %s Yr4'!H72</f>
        <v>0.1</v>
      </c>
      <c r="I72" s="98">
        <f>'Cash Flow %s Yr4'!I72</f>
        <v>0.1</v>
      </c>
      <c r="J72" s="98">
        <f>'Cash Flow %s Yr4'!J72</f>
        <v>0.1</v>
      </c>
      <c r="K72" s="98">
        <f>'Cash Flow %s Yr4'!K72</f>
        <v>0.1</v>
      </c>
      <c r="L72" s="98">
        <f>'Cash Flow %s Yr4'!L72</f>
        <v>0.1</v>
      </c>
      <c r="M72" s="98">
        <f>'Cash Flow %s Yr4'!M72</f>
        <v>0.1</v>
      </c>
      <c r="N72" s="98">
        <f>'Cash Flow %s Yr4'!N72</f>
        <v>0.1</v>
      </c>
      <c r="O72" s="98">
        <f>'Cash Flow %s Yr4'!O72</f>
        <v>0.1</v>
      </c>
      <c r="P72" s="98">
        <f>'Cash Flow %s Yr4'!P72</f>
        <v>0</v>
      </c>
      <c r="Q72" s="98">
        <f>'Cash Flow %s Yr4'!Q72</f>
        <v>0</v>
      </c>
      <c r="R72" s="98">
        <f>'Cash Flow %s Yr4'!R72</f>
        <v>0</v>
      </c>
      <c r="S72" s="97">
        <f t="shared" si="5"/>
        <v>0.99999999999999989</v>
      </c>
    </row>
    <row r="73" spans="1:19" s="31" customFormat="1" x14ac:dyDescent="0.75">
      <c r="A73" s="35"/>
      <c r="B73" s="65" t="str">
        <f>'Expenses w MYP'!C28</f>
        <v>2910</v>
      </c>
      <c r="C73" s="65" t="str">
        <f>'Expenses w MYP'!D28</f>
        <v>Other Classified Overtime</v>
      </c>
      <c r="D73" s="98">
        <f>'Cash Flow %s Yr4'!D73</f>
        <v>0</v>
      </c>
      <c r="E73" s="98">
        <f>'Cash Flow %s Yr4'!E73</f>
        <v>0</v>
      </c>
      <c r="F73" s="98">
        <f>'Cash Flow %s Yr4'!F73</f>
        <v>0.1</v>
      </c>
      <c r="G73" s="98">
        <f>'Cash Flow %s Yr4'!G73</f>
        <v>0.1</v>
      </c>
      <c r="H73" s="98">
        <f>'Cash Flow %s Yr4'!H73</f>
        <v>0.1</v>
      </c>
      <c r="I73" s="98">
        <f>'Cash Flow %s Yr4'!I73</f>
        <v>0.1</v>
      </c>
      <c r="J73" s="98">
        <f>'Cash Flow %s Yr4'!J73</f>
        <v>0.1</v>
      </c>
      <c r="K73" s="98">
        <f>'Cash Flow %s Yr4'!K73</f>
        <v>0.1</v>
      </c>
      <c r="L73" s="98">
        <f>'Cash Flow %s Yr4'!L73</f>
        <v>0.1</v>
      </c>
      <c r="M73" s="98">
        <f>'Cash Flow %s Yr4'!M73</f>
        <v>0.1</v>
      </c>
      <c r="N73" s="98">
        <f>'Cash Flow %s Yr4'!N73</f>
        <v>0.1</v>
      </c>
      <c r="O73" s="98">
        <f>'Cash Flow %s Yr4'!O73</f>
        <v>0.1</v>
      </c>
      <c r="P73" s="98">
        <f>'Cash Flow %s Yr4'!P73</f>
        <v>0</v>
      </c>
      <c r="Q73" s="98">
        <f>'Cash Flow %s Yr4'!Q73</f>
        <v>0</v>
      </c>
      <c r="R73" s="98">
        <f>'Cash Flow %s Yr4'!R73</f>
        <v>0</v>
      </c>
      <c r="S73" s="97">
        <f t="shared" si="5"/>
        <v>0.99999999999999989</v>
      </c>
    </row>
    <row r="74" spans="1:19" s="31" customFormat="1" x14ac:dyDescent="0.75">
      <c r="A74" s="35"/>
      <c r="B74" s="39"/>
      <c r="C74" s="2"/>
      <c r="D74" s="88"/>
      <c r="E74" s="88"/>
      <c r="F74" s="105"/>
      <c r="G74" s="105"/>
      <c r="H74" s="105"/>
      <c r="I74" s="105"/>
      <c r="J74" s="105"/>
      <c r="K74" s="105"/>
      <c r="L74" s="105"/>
      <c r="M74" s="105"/>
      <c r="N74" s="105"/>
      <c r="O74" s="105"/>
      <c r="P74" s="88"/>
      <c r="Q74" s="88"/>
      <c r="R74" s="88"/>
      <c r="S74" s="97"/>
    </row>
    <row r="75" spans="1:19" s="31" customFormat="1" x14ac:dyDescent="0.75">
      <c r="A75" s="35"/>
      <c r="B75" s="39"/>
      <c r="C75" s="2"/>
      <c r="D75" s="88"/>
      <c r="E75" s="88"/>
      <c r="F75" s="88"/>
      <c r="G75" s="88"/>
      <c r="H75" s="88"/>
      <c r="I75" s="88"/>
      <c r="J75" s="88"/>
      <c r="K75" s="88"/>
      <c r="L75" s="88"/>
      <c r="M75" s="88"/>
      <c r="N75" s="88"/>
      <c r="O75" s="88"/>
      <c r="P75" s="88"/>
      <c r="Q75" s="88"/>
      <c r="R75" s="88"/>
      <c r="S75" s="97"/>
    </row>
    <row r="76" spans="1:19" s="31" customFormat="1" x14ac:dyDescent="0.75">
      <c r="B76" s="34" t="s">
        <v>733</v>
      </c>
      <c r="C76" s="2"/>
      <c r="D76" s="88"/>
      <c r="E76" s="88"/>
      <c r="F76" s="88"/>
      <c r="G76" s="88"/>
      <c r="H76" s="88"/>
      <c r="I76" s="88"/>
      <c r="J76" s="88"/>
      <c r="K76" s="88"/>
      <c r="L76" s="88"/>
      <c r="M76" s="88"/>
      <c r="N76" s="88"/>
      <c r="O76" s="88"/>
      <c r="P76" s="88"/>
      <c r="Q76" s="88"/>
      <c r="R76" s="88"/>
      <c r="S76" s="97"/>
    </row>
    <row r="77" spans="1:19" s="31" customFormat="1" x14ac:dyDescent="0.75">
      <c r="A77" s="35"/>
      <c r="B77" s="65" t="str">
        <f>'Expenses w MYP'!C32</f>
        <v>3101</v>
      </c>
      <c r="C77" s="65" t="str">
        <f>'Expenses w MYP'!D32</f>
        <v>State Teachers' Retirement System, certificated positions</v>
      </c>
      <c r="D77" s="98">
        <f>'Cash Flow %s Yr4'!D77</f>
        <v>0.02</v>
      </c>
      <c r="E77" s="98">
        <f>'Cash Flow %s Yr4'!E77</f>
        <v>0.02</v>
      </c>
      <c r="F77" s="98">
        <f>'Cash Flow %s Yr4'!F77</f>
        <v>0.1</v>
      </c>
      <c r="G77" s="98">
        <f>'Cash Flow %s Yr4'!G77</f>
        <v>0.1</v>
      </c>
      <c r="H77" s="98">
        <f>'Cash Flow %s Yr4'!H77</f>
        <v>0.1</v>
      </c>
      <c r="I77" s="98">
        <f>'Cash Flow %s Yr4'!I77</f>
        <v>0.1</v>
      </c>
      <c r="J77" s="98">
        <f>'Cash Flow %s Yr4'!J77</f>
        <v>0.1</v>
      </c>
      <c r="K77" s="98">
        <f>'Cash Flow %s Yr4'!K77</f>
        <v>0.1</v>
      </c>
      <c r="L77" s="98">
        <f>'Cash Flow %s Yr4'!L77</f>
        <v>0.1</v>
      </c>
      <c r="M77" s="98">
        <f>'Cash Flow %s Yr4'!M77</f>
        <v>0.1</v>
      </c>
      <c r="N77" s="98">
        <f>'Cash Flow %s Yr4'!N77</f>
        <v>0.1</v>
      </c>
      <c r="O77" s="98">
        <f>'Cash Flow %s Yr4'!O77</f>
        <v>0.06</v>
      </c>
      <c r="P77" s="98">
        <f>'Cash Flow %s Yr4'!P77</f>
        <v>0</v>
      </c>
      <c r="Q77" s="98">
        <f>'Cash Flow %s Yr4'!Q77</f>
        <v>0</v>
      </c>
      <c r="R77" s="98">
        <f>'Cash Flow %s Yr4'!R77</f>
        <v>0</v>
      </c>
      <c r="S77" s="97">
        <f t="shared" ref="S77:S85" si="6">SUM(D77:R77)</f>
        <v>1</v>
      </c>
    </row>
    <row r="78" spans="1:19" s="31" customFormat="1" x14ac:dyDescent="0.75">
      <c r="A78" s="35"/>
      <c r="B78" s="65" t="str">
        <f>'Expenses w MYP'!C45</f>
        <v>3602</v>
      </c>
      <c r="C78" s="65" t="str">
        <f>'Expenses w MYP'!D45</f>
        <v>Worker's Comp - Classified</v>
      </c>
      <c r="D78" s="98">
        <f>'Cash Flow %s Yr4'!D78</f>
        <v>0.02</v>
      </c>
      <c r="E78" s="98">
        <f>'Cash Flow %s Yr4'!E78</f>
        <v>0.02</v>
      </c>
      <c r="F78" s="98">
        <f>'Cash Flow %s Yr4'!F78</f>
        <v>0.1</v>
      </c>
      <c r="G78" s="98">
        <f>'Cash Flow %s Yr4'!G78</f>
        <v>0.1</v>
      </c>
      <c r="H78" s="98">
        <f>'Cash Flow %s Yr4'!H78</f>
        <v>0.1</v>
      </c>
      <c r="I78" s="98">
        <f>'Cash Flow %s Yr4'!I78</f>
        <v>0.1</v>
      </c>
      <c r="J78" s="98">
        <f>'Cash Flow %s Yr4'!J78</f>
        <v>0.1</v>
      </c>
      <c r="K78" s="98">
        <f>'Cash Flow %s Yr4'!K78</f>
        <v>0.1</v>
      </c>
      <c r="L78" s="98">
        <f>'Cash Flow %s Yr4'!L78</f>
        <v>0.1</v>
      </c>
      <c r="M78" s="98">
        <f>'Cash Flow %s Yr4'!M78</f>
        <v>0.1</v>
      </c>
      <c r="N78" s="98">
        <f>'Cash Flow %s Yr4'!N78</f>
        <v>0.1</v>
      </c>
      <c r="O78" s="98">
        <f>'Cash Flow %s Yr4'!O78</f>
        <v>0.06</v>
      </c>
      <c r="P78" s="98">
        <f>'Cash Flow %s Yr4'!P78</f>
        <v>0</v>
      </c>
      <c r="Q78" s="98">
        <f>'Cash Flow %s Yr4'!Q78</f>
        <v>0</v>
      </c>
      <c r="R78" s="98">
        <f>'Cash Flow %s Yr4'!R78</f>
        <v>0</v>
      </c>
      <c r="S78" s="97">
        <f t="shared" si="6"/>
        <v>1</v>
      </c>
    </row>
    <row r="79" spans="1:19" s="31" customFormat="1" x14ac:dyDescent="0.75">
      <c r="A79" s="35"/>
      <c r="B79" s="65" t="str">
        <f>'Expenses w MYP'!C46</f>
        <v>3603</v>
      </c>
      <c r="C79" s="65" t="str">
        <f>'Expenses w MYP'!D46</f>
        <v>Worker Compensation Insurance</v>
      </c>
      <c r="D79" s="98">
        <f>'Cash Flow %s Yr4'!D79</f>
        <v>0.02</v>
      </c>
      <c r="E79" s="98">
        <f>'Cash Flow %s Yr4'!E79</f>
        <v>0.02</v>
      </c>
      <c r="F79" s="98">
        <f>'Cash Flow %s Yr4'!F79</f>
        <v>0.1</v>
      </c>
      <c r="G79" s="98">
        <f>'Cash Flow %s Yr4'!G79</f>
        <v>0.1</v>
      </c>
      <c r="H79" s="98">
        <f>'Cash Flow %s Yr4'!H79</f>
        <v>0.1</v>
      </c>
      <c r="I79" s="98">
        <f>'Cash Flow %s Yr4'!I79</f>
        <v>0.1</v>
      </c>
      <c r="J79" s="98">
        <f>'Cash Flow %s Yr4'!J79</f>
        <v>0.1</v>
      </c>
      <c r="K79" s="98">
        <f>'Cash Flow %s Yr4'!K79</f>
        <v>0.1</v>
      </c>
      <c r="L79" s="98">
        <f>'Cash Flow %s Yr4'!L79</f>
        <v>0.1</v>
      </c>
      <c r="M79" s="98">
        <f>'Cash Flow %s Yr4'!M79</f>
        <v>0.1</v>
      </c>
      <c r="N79" s="98">
        <f>'Cash Flow %s Yr4'!N79</f>
        <v>0.1</v>
      </c>
      <c r="O79" s="98">
        <f>'Cash Flow %s Yr4'!O79</f>
        <v>0.06</v>
      </c>
      <c r="P79" s="98">
        <f>'Cash Flow %s Yr4'!P79</f>
        <v>0</v>
      </c>
      <c r="Q79" s="98">
        <f>'Cash Flow %s Yr4'!Q79</f>
        <v>0</v>
      </c>
      <c r="R79" s="98">
        <f>'Cash Flow %s Yr4'!R79</f>
        <v>0</v>
      </c>
      <c r="S79" s="97">
        <f t="shared" si="6"/>
        <v>1</v>
      </c>
    </row>
    <row r="80" spans="1:19" s="31" customFormat="1" x14ac:dyDescent="0.75">
      <c r="A80" s="35"/>
      <c r="B80" s="65" t="str">
        <f>'Expenses w MYP'!C47</f>
        <v>3703</v>
      </c>
      <c r="C80" s="65">
        <f>'Expenses w MYP'!D47</f>
        <v>0</v>
      </c>
      <c r="D80" s="98">
        <f>'Cash Flow %s Yr4'!D80</f>
        <v>0.02</v>
      </c>
      <c r="E80" s="98">
        <f>'Cash Flow %s Yr4'!E80</f>
        <v>0.02</v>
      </c>
      <c r="F80" s="98">
        <f>'Cash Flow %s Yr4'!F80</f>
        <v>0.1</v>
      </c>
      <c r="G80" s="98">
        <f>'Cash Flow %s Yr4'!G80</f>
        <v>0.1</v>
      </c>
      <c r="H80" s="98">
        <f>'Cash Flow %s Yr4'!H80</f>
        <v>0.1</v>
      </c>
      <c r="I80" s="98">
        <f>'Cash Flow %s Yr4'!I80</f>
        <v>0.1</v>
      </c>
      <c r="J80" s="98">
        <f>'Cash Flow %s Yr4'!J80</f>
        <v>0.1</v>
      </c>
      <c r="K80" s="98">
        <f>'Cash Flow %s Yr4'!K80</f>
        <v>0.1</v>
      </c>
      <c r="L80" s="98">
        <f>'Cash Flow %s Yr4'!L80</f>
        <v>0.1</v>
      </c>
      <c r="M80" s="98">
        <f>'Cash Flow %s Yr4'!M80</f>
        <v>0.1</v>
      </c>
      <c r="N80" s="98">
        <f>'Cash Flow %s Yr4'!N80</f>
        <v>0.1</v>
      </c>
      <c r="O80" s="98">
        <f>'Cash Flow %s Yr4'!O80</f>
        <v>0.06</v>
      </c>
      <c r="P80" s="98">
        <f>'Cash Flow %s Yr4'!P80</f>
        <v>0</v>
      </c>
      <c r="Q80" s="98">
        <f>'Cash Flow %s Yr4'!Q80</f>
        <v>0</v>
      </c>
      <c r="R80" s="98">
        <f>'Cash Flow %s Yr4'!R80</f>
        <v>0</v>
      </c>
      <c r="S80" s="97">
        <f t="shared" si="6"/>
        <v>1</v>
      </c>
    </row>
    <row r="81" spans="1:19" s="31" customFormat="1" x14ac:dyDescent="0.75">
      <c r="A81" s="35"/>
      <c r="B81" s="65" t="str">
        <f>'Expenses w MYP'!C48</f>
        <v>3901</v>
      </c>
      <c r="C81" s="65" t="str">
        <f>'Expenses w MYP'!D48</f>
        <v>Other Employee Benefits - Certificated</v>
      </c>
      <c r="D81" s="98">
        <f>'Cash Flow %s Yr4'!D81</f>
        <v>0.02</v>
      </c>
      <c r="E81" s="98">
        <f>'Cash Flow %s Yr4'!E81</f>
        <v>0.02</v>
      </c>
      <c r="F81" s="98">
        <f>'Cash Flow %s Yr4'!F81</f>
        <v>0.1</v>
      </c>
      <c r="G81" s="98">
        <f>'Cash Flow %s Yr4'!G81</f>
        <v>0.1</v>
      </c>
      <c r="H81" s="98">
        <f>'Cash Flow %s Yr4'!H81</f>
        <v>0.1</v>
      </c>
      <c r="I81" s="98">
        <f>'Cash Flow %s Yr4'!I81</f>
        <v>0.1</v>
      </c>
      <c r="J81" s="98">
        <f>'Cash Flow %s Yr4'!J81</f>
        <v>0.1</v>
      </c>
      <c r="K81" s="98">
        <f>'Cash Flow %s Yr4'!K81</f>
        <v>0.1</v>
      </c>
      <c r="L81" s="98">
        <f>'Cash Flow %s Yr4'!L81</f>
        <v>0.1</v>
      </c>
      <c r="M81" s="98">
        <f>'Cash Flow %s Yr4'!M81</f>
        <v>0.1</v>
      </c>
      <c r="N81" s="98">
        <f>'Cash Flow %s Yr4'!N81</f>
        <v>0.1</v>
      </c>
      <c r="O81" s="98">
        <f>'Cash Flow %s Yr4'!O81</f>
        <v>0.06</v>
      </c>
      <c r="P81" s="98">
        <f>'Cash Flow %s Yr4'!P81</f>
        <v>0</v>
      </c>
      <c r="Q81" s="98">
        <f>'Cash Flow %s Yr4'!Q81</f>
        <v>0</v>
      </c>
      <c r="R81" s="98">
        <f>'Cash Flow %s Yr4'!R81</f>
        <v>0</v>
      </c>
      <c r="S81" s="97">
        <f t="shared" si="6"/>
        <v>1</v>
      </c>
    </row>
    <row r="82" spans="1:19" s="31" customFormat="1" x14ac:dyDescent="0.75">
      <c r="A82" s="35"/>
      <c r="B82" s="65" t="str">
        <f>'Expenses w MYP'!C49</f>
        <v>3902</v>
      </c>
      <c r="C82" s="65" t="str">
        <f>'Expenses w MYP'!D49</f>
        <v>Other Employee Benefits - Classified</v>
      </c>
      <c r="D82" s="98">
        <f>'Cash Flow %s Yr4'!D82</f>
        <v>0.02</v>
      </c>
      <c r="E82" s="98">
        <f>'Cash Flow %s Yr4'!E82</f>
        <v>0.02</v>
      </c>
      <c r="F82" s="98">
        <f>'Cash Flow %s Yr4'!F82</f>
        <v>0.1</v>
      </c>
      <c r="G82" s="98">
        <f>'Cash Flow %s Yr4'!G82</f>
        <v>0.1</v>
      </c>
      <c r="H82" s="98">
        <f>'Cash Flow %s Yr4'!H82</f>
        <v>0.1</v>
      </c>
      <c r="I82" s="98">
        <f>'Cash Flow %s Yr4'!I82</f>
        <v>0.1</v>
      </c>
      <c r="J82" s="98">
        <f>'Cash Flow %s Yr4'!J82</f>
        <v>0.1</v>
      </c>
      <c r="K82" s="98">
        <f>'Cash Flow %s Yr4'!K82</f>
        <v>0.1</v>
      </c>
      <c r="L82" s="98">
        <f>'Cash Flow %s Yr4'!L82</f>
        <v>0.1</v>
      </c>
      <c r="M82" s="98">
        <f>'Cash Flow %s Yr4'!M82</f>
        <v>0.1</v>
      </c>
      <c r="N82" s="98">
        <f>'Cash Flow %s Yr4'!N82</f>
        <v>0.1</v>
      </c>
      <c r="O82" s="98">
        <f>'Cash Flow %s Yr4'!O82</f>
        <v>0.06</v>
      </c>
      <c r="P82" s="98">
        <f>'Cash Flow %s Yr4'!P82</f>
        <v>0</v>
      </c>
      <c r="Q82" s="98">
        <f>'Cash Flow %s Yr4'!Q82</f>
        <v>0</v>
      </c>
      <c r="R82" s="98">
        <f>'Cash Flow %s Yr4'!R82</f>
        <v>0</v>
      </c>
      <c r="S82" s="97">
        <f t="shared" si="6"/>
        <v>1</v>
      </c>
    </row>
    <row r="83" spans="1:19" s="31" customFormat="1" x14ac:dyDescent="0.75">
      <c r="A83" s="35"/>
      <c r="B83" s="65" t="str">
        <f>'Expenses w MYP'!C50</f>
        <v>3903</v>
      </c>
      <c r="C83" s="65" t="str">
        <f>'Expenses w MYP'!D50</f>
        <v>Other Post Employment Benefits</v>
      </c>
      <c r="D83" s="98">
        <f>'Cash Flow %s Yr4'!D83</f>
        <v>0.02</v>
      </c>
      <c r="E83" s="98">
        <f>'Cash Flow %s Yr4'!E83</f>
        <v>0.02</v>
      </c>
      <c r="F83" s="98">
        <f>'Cash Flow %s Yr4'!F83</f>
        <v>0.1</v>
      </c>
      <c r="G83" s="98">
        <f>'Cash Flow %s Yr4'!G83</f>
        <v>0.1</v>
      </c>
      <c r="H83" s="98">
        <f>'Cash Flow %s Yr4'!H83</f>
        <v>0.1</v>
      </c>
      <c r="I83" s="98">
        <f>'Cash Flow %s Yr4'!I83</f>
        <v>0.1</v>
      </c>
      <c r="J83" s="98">
        <f>'Cash Flow %s Yr4'!J83</f>
        <v>0.1</v>
      </c>
      <c r="K83" s="98">
        <f>'Cash Flow %s Yr4'!K83</f>
        <v>0.1</v>
      </c>
      <c r="L83" s="98">
        <f>'Cash Flow %s Yr4'!L83</f>
        <v>0.1</v>
      </c>
      <c r="M83" s="98">
        <f>'Cash Flow %s Yr4'!M83</f>
        <v>0.1</v>
      </c>
      <c r="N83" s="98">
        <f>'Cash Flow %s Yr4'!N83</f>
        <v>0.1</v>
      </c>
      <c r="O83" s="98">
        <f>'Cash Flow %s Yr4'!O83</f>
        <v>0.06</v>
      </c>
      <c r="P83" s="98">
        <f>'Cash Flow %s Yr4'!P83</f>
        <v>0</v>
      </c>
      <c r="Q83" s="98">
        <f>'Cash Flow %s Yr4'!Q83</f>
        <v>0</v>
      </c>
      <c r="R83" s="98">
        <f>'Cash Flow %s Yr4'!R83</f>
        <v>0</v>
      </c>
      <c r="S83" s="97">
        <f t="shared" si="6"/>
        <v>1</v>
      </c>
    </row>
    <row r="84" spans="1:19" s="31" customFormat="1" x14ac:dyDescent="0.75">
      <c r="A84" s="35"/>
      <c r="B84" s="65">
        <f>'Expenses w MYP'!C51</f>
        <v>0</v>
      </c>
      <c r="C84" s="65">
        <f>'Expenses w MYP'!D51</f>
        <v>0</v>
      </c>
      <c r="D84" s="98">
        <f>'Cash Flow %s Yr4'!D84</f>
        <v>0.02</v>
      </c>
      <c r="E84" s="98">
        <f>'Cash Flow %s Yr4'!E84</f>
        <v>0.02</v>
      </c>
      <c r="F84" s="98">
        <f>'Cash Flow %s Yr4'!F84</f>
        <v>0.1</v>
      </c>
      <c r="G84" s="98">
        <f>'Cash Flow %s Yr4'!G84</f>
        <v>0.1</v>
      </c>
      <c r="H84" s="98">
        <f>'Cash Flow %s Yr4'!H84</f>
        <v>0.1</v>
      </c>
      <c r="I84" s="98">
        <f>'Cash Flow %s Yr4'!I84</f>
        <v>0.1</v>
      </c>
      <c r="J84" s="98">
        <f>'Cash Flow %s Yr4'!J84</f>
        <v>0.1</v>
      </c>
      <c r="K84" s="98">
        <f>'Cash Flow %s Yr4'!K84</f>
        <v>0.1</v>
      </c>
      <c r="L84" s="98">
        <f>'Cash Flow %s Yr4'!L84</f>
        <v>0.1</v>
      </c>
      <c r="M84" s="98">
        <f>'Cash Flow %s Yr4'!M84</f>
        <v>0.1</v>
      </c>
      <c r="N84" s="98">
        <f>'Cash Flow %s Yr4'!N84</f>
        <v>0.1</v>
      </c>
      <c r="O84" s="98">
        <f>'Cash Flow %s Yr4'!O84</f>
        <v>0.06</v>
      </c>
      <c r="P84" s="98">
        <f>'Cash Flow %s Yr4'!P84</f>
        <v>0</v>
      </c>
      <c r="Q84" s="98">
        <f>'Cash Flow %s Yr4'!Q84</f>
        <v>0</v>
      </c>
      <c r="R84" s="98">
        <f>'Cash Flow %s Yr4'!R84</f>
        <v>0</v>
      </c>
      <c r="S84" s="97">
        <f t="shared" si="6"/>
        <v>1</v>
      </c>
    </row>
    <row r="85" spans="1:19" s="31" customFormat="1" x14ac:dyDescent="0.75">
      <c r="A85" s="35"/>
      <c r="B85" s="65">
        <f>'Expenses w MYP'!C52</f>
        <v>0</v>
      </c>
      <c r="C85" s="65">
        <f>'Expenses w MYP'!D52</f>
        <v>0</v>
      </c>
      <c r="D85" s="98">
        <f>'Cash Flow %s Yr4'!D85</f>
        <v>0.02</v>
      </c>
      <c r="E85" s="98">
        <f>'Cash Flow %s Yr4'!E85</f>
        <v>0.02</v>
      </c>
      <c r="F85" s="98">
        <f>'Cash Flow %s Yr4'!F85</f>
        <v>0.1</v>
      </c>
      <c r="G85" s="98">
        <f>'Cash Flow %s Yr4'!G85</f>
        <v>0.1</v>
      </c>
      <c r="H85" s="98">
        <f>'Cash Flow %s Yr4'!H85</f>
        <v>0.1</v>
      </c>
      <c r="I85" s="98">
        <f>'Cash Flow %s Yr4'!I85</f>
        <v>0.1</v>
      </c>
      <c r="J85" s="98">
        <f>'Cash Flow %s Yr4'!J85</f>
        <v>0.1</v>
      </c>
      <c r="K85" s="98">
        <f>'Cash Flow %s Yr4'!K85</f>
        <v>0.1</v>
      </c>
      <c r="L85" s="98">
        <f>'Cash Flow %s Yr4'!L85</f>
        <v>0.1</v>
      </c>
      <c r="M85" s="98">
        <f>'Cash Flow %s Yr4'!M85</f>
        <v>0.1</v>
      </c>
      <c r="N85" s="98">
        <f>'Cash Flow %s Yr4'!N85</f>
        <v>0.1</v>
      </c>
      <c r="O85" s="98">
        <f>'Cash Flow %s Yr4'!O85</f>
        <v>0.06</v>
      </c>
      <c r="P85" s="98">
        <f>'Cash Flow %s Yr4'!P85</f>
        <v>0</v>
      </c>
      <c r="Q85" s="98">
        <f>'Cash Flow %s Yr4'!Q85</f>
        <v>0</v>
      </c>
      <c r="R85" s="98">
        <f>'Cash Flow %s Yr4'!R85</f>
        <v>0</v>
      </c>
      <c r="S85" s="97">
        <f t="shared" si="6"/>
        <v>1</v>
      </c>
    </row>
    <row r="86" spans="1:19" s="31" customFormat="1" x14ac:dyDescent="0.75">
      <c r="A86" s="35"/>
      <c r="B86" s="5"/>
      <c r="C86" s="5"/>
      <c r="D86" s="108"/>
      <c r="E86" s="108"/>
      <c r="F86" s="108"/>
      <c r="G86" s="108"/>
      <c r="H86" s="108"/>
      <c r="I86" s="108"/>
      <c r="J86" s="108"/>
      <c r="K86" s="108"/>
      <c r="L86" s="108"/>
      <c r="M86" s="108"/>
      <c r="N86" s="108"/>
      <c r="O86" s="108"/>
      <c r="P86" s="88"/>
      <c r="Q86" s="88"/>
      <c r="R86" s="88"/>
      <c r="S86" s="97"/>
    </row>
    <row r="87" spans="1:19" s="31" customFormat="1" x14ac:dyDescent="0.75">
      <c r="A87" s="35"/>
      <c r="B87" s="39"/>
      <c r="C87" s="1"/>
      <c r="D87" s="84"/>
      <c r="E87" s="84"/>
      <c r="F87" s="84"/>
      <c r="G87" s="84"/>
      <c r="H87" s="84"/>
      <c r="I87" s="84"/>
      <c r="J87" s="84"/>
      <c r="K87" s="84"/>
      <c r="L87" s="84"/>
      <c r="M87" s="84"/>
      <c r="N87" s="84"/>
      <c r="O87" s="84"/>
      <c r="P87" s="84"/>
      <c r="Q87" s="84"/>
      <c r="R87" s="84"/>
      <c r="S87" s="97"/>
    </row>
    <row r="88" spans="1:19" s="31" customFormat="1" x14ac:dyDescent="0.75">
      <c r="B88" s="34" t="s">
        <v>676</v>
      </c>
      <c r="C88" s="2"/>
      <c r="D88" s="84"/>
      <c r="E88" s="84"/>
      <c r="F88" s="84"/>
      <c r="G88" s="84"/>
      <c r="H88" s="84"/>
      <c r="I88" s="84"/>
      <c r="J88" s="84"/>
      <c r="K88" s="84"/>
      <c r="L88" s="84"/>
      <c r="M88" s="84"/>
      <c r="N88" s="84"/>
      <c r="O88" s="84"/>
      <c r="P88" s="84"/>
      <c r="Q88" s="84"/>
      <c r="R88" s="84"/>
      <c r="S88" s="97"/>
    </row>
    <row r="89" spans="1:19" s="31" customFormat="1" x14ac:dyDescent="0.75">
      <c r="A89" s="35"/>
      <c r="B89" s="64" t="str">
        <f>'Expenses w MYP'!C58</f>
        <v>4100</v>
      </c>
      <c r="C89" s="64" t="str">
        <f>'Expenses w MYP'!D58</f>
        <v>Approved Textbooks and Core Curricula Materials</v>
      </c>
      <c r="D89" s="98">
        <f>'Cash Flow %s Yr4'!D89</f>
        <v>0</v>
      </c>
      <c r="E89" s="98">
        <f>'Cash Flow %s Yr4'!E89</f>
        <v>0</v>
      </c>
      <c r="F89" s="98">
        <f>'Cash Flow %s Yr4'!F89</f>
        <v>0.6</v>
      </c>
      <c r="G89" s="98">
        <f>'Cash Flow %s Yr4'!G89</f>
        <v>0</v>
      </c>
      <c r="H89" s="98">
        <f>'Cash Flow %s Yr4'!H89</f>
        <v>0</v>
      </c>
      <c r="I89" s="98">
        <f>'Cash Flow %s Yr4'!I89</f>
        <v>0</v>
      </c>
      <c r="J89" s="98">
        <f>'Cash Flow %s Yr4'!J89</f>
        <v>0.4</v>
      </c>
      <c r="K89" s="98">
        <f>'Cash Flow %s Yr4'!K89</f>
        <v>0</v>
      </c>
      <c r="L89" s="98">
        <f>'Cash Flow %s Yr4'!L89</f>
        <v>0</v>
      </c>
      <c r="M89" s="98">
        <f>'Cash Flow %s Yr4'!M89</f>
        <v>0</v>
      </c>
      <c r="N89" s="98">
        <f>'Cash Flow %s Yr4'!N89</f>
        <v>0</v>
      </c>
      <c r="O89" s="98">
        <f>'Cash Flow %s Yr4'!O89</f>
        <v>0</v>
      </c>
      <c r="P89" s="98">
        <f>'Cash Flow %s Yr4'!P89</f>
        <v>0</v>
      </c>
      <c r="Q89" s="98">
        <f>'Cash Flow %s Yr4'!Q89</f>
        <v>0</v>
      </c>
      <c r="R89" s="98">
        <f>'Cash Flow %s Yr4'!R89</f>
        <v>0</v>
      </c>
      <c r="S89" s="97">
        <f t="shared" ref="S89:S94" si="7">SUM(D89:R89)</f>
        <v>1</v>
      </c>
    </row>
    <row r="90" spans="1:19" x14ac:dyDescent="0.75">
      <c r="A90" s="35"/>
      <c r="B90" s="64" t="str">
        <f>'Expenses w MYP'!C61</f>
        <v>4200</v>
      </c>
      <c r="C90" s="64" t="str">
        <f>'Expenses w MYP'!D61</f>
        <v>Books and Other Reference Materials</v>
      </c>
      <c r="D90" s="98">
        <f>'Cash Flow %s Yr4'!D90</f>
        <v>0</v>
      </c>
      <c r="E90" s="98">
        <f>'Cash Flow %s Yr4'!E90</f>
        <v>0</v>
      </c>
      <c r="F90" s="98">
        <f>'Cash Flow %s Yr4'!F90</f>
        <v>0.3</v>
      </c>
      <c r="G90" s="98">
        <f>'Cash Flow %s Yr4'!G90</f>
        <v>0.1</v>
      </c>
      <c r="H90" s="98">
        <f>'Cash Flow %s Yr4'!H90</f>
        <v>0.1</v>
      </c>
      <c r="I90" s="98">
        <f>'Cash Flow %s Yr4'!I90</f>
        <v>0.1</v>
      </c>
      <c r="J90" s="98">
        <f>'Cash Flow %s Yr4'!J90</f>
        <v>0.1</v>
      </c>
      <c r="K90" s="98">
        <f>'Cash Flow %s Yr4'!K90</f>
        <v>0.1</v>
      </c>
      <c r="L90" s="98">
        <f>'Cash Flow %s Yr4'!L90</f>
        <v>0.1</v>
      </c>
      <c r="M90" s="98">
        <f>'Cash Flow %s Yr4'!M90</f>
        <v>0.1</v>
      </c>
      <c r="N90" s="98">
        <f>'Cash Flow %s Yr4'!N90</f>
        <v>0</v>
      </c>
      <c r="O90" s="98">
        <f>'Cash Flow %s Yr4'!O90</f>
        <v>0</v>
      </c>
      <c r="P90" s="98">
        <f>'Cash Flow %s Yr4'!P90</f>
        <v>0</v>
      </c>
      <c r="Q90" s="98">
        <f>'Cash Flow %s Yr4'!Q90</f>
        <v>0</v>
      </c>
      <c r="R90" s="98">
        <f>'Cash Flow %s Yr4'!R90</f>
        <v>0</v>
      </c>
      <c r="S90" s="97">
        <f t="shared" si="7"/>
        <v>0.99999999999999989</v>
      </c>
    </row>
    <row r="91" spans="1:19" x14ac:dyDescent="0.75">
      <c r="A91" s="35"/>
      <c r="B91" s="64" t="str">
        <f>'Expenses w MYP'!C63</f>
        <v>4300</v>
      </c>
      <c r="C91" s="64" t="str">
        <f>'Expenses w MYP'!D63</f>
        <v>Materials and Supplies</v>
      </c>
      <c r="D91" s="98">
        <f>'Cash Flow %s Yr4'!D91</f>
        <v>0</v>
      </c>
      <c r="E91" s="98">
        <f>'Cash Flow %s Yr4'!E91</f>
        <v>0</v>
      </c>
      <c r="F91" s="98">
        <f>'Cash Flow %s Yr4'!F91</f>
        <v>0.4</v>
      </c>
      <c r="G91" s="98">
        <f>'Cash Flow %s Yr4'!G91</f>
        <v>0.3</v>
      </c>
      <c r="H91" s="98">
        <f>'Cash Flow %s Yr4'!H91</f>
        <v>0</v>
      </c>
      <c r="I91" s="98">
        <f>'Cash Flow %s Yr4'!I91</f>
        <v>0</v>
      </c>
      <c r="J91" s="98">
        <f>'Cash Flow %s Yr4'!J91</f>
        <v>0.3</v>
      </c>
      <c r="K91" s="98">
        <f>'Cash Flow %s Yr4'!K91</f>
        <v>0</v>
      </c>
      <c r="L91" s="98">
        <f>'Cash Flow %s Yr4'!L91</f>
        <v>0</v>
      </c>
      <c r="M91" s="98">
        <f>'Cash Flow %s Yr4'!M91</f>
        <v>0</v>
      </c>
      <c r="N91" s="98">
        <f>'Cash Flow %s Yr4'!N91</f>
        <v>0</v>
      </c>
      <c r="O91" s="98">
        <f>'Cash Flow %s Yr4'!O91</f>
        <v>0</v>
      </c>
      <c r="P91" s="98">
        <f>'Cash Flow %s Yr4'!P91</f>
        <v>0</v>
      </c>
      <c r="Q91" s="98">
        <f>'Cash Flow %s Yr4'!Q91</f>
        <v>0</v>
      </c>
      <c r="R91" s="98">
        <f>'Cash Flow %s Yr4'!R91</f>
        <v>0</v>
      </c>
      <c r="S91" s="97">
        <f t="shared" si="7"/>
        <v>1</v>
      </c>
    </row>
    <row r="92" spans="1:19" x14ac:dyDescent="0.75">
      <c r="A92" s="35"/>
      <c r="B92" s="64" t="str">
        <f>'Expenses w MYP'!C64</f>
        <v>4315</v>
      </c>
      <c r="C92" s="64" t="str">
        <f>'Expenses w MYP'!D64</f>
        <v>Classroom Materials and Supplies</v>
      </c>
      <c r="D92" s="98">
        <f>'Cash Flow %s Yr4'!D92</f>
        <v>0</v>
      </c>
      <c r="E92" s="98">
        <f>'Cash Flow %s Yr4'!E92</f>
        <v>0</v>
      </c>
      <c r="F92" s="98">
        <f>'Cash Flow %s Yr4'!F92</f>
        <v>0.3</v>
      </c>
      <c r="G92" s="98">
        <f>'Cash Flow %s Yr4'!G92</f>
        <v>0.1</v>
      </c>
      <c r="H92" s="98">
        <f>'Cash Flow %s Yr4'!H92</f>
        <v>0.1</v>
      </c>
      <c r="I92" s="98">
        <f>'Cash Flow %s Yr4'!I92</f>
        <v>0.1</v>
      </c>
      <c r="J92" s="98">
        <f>'Cash Flow %s Yr4'!J92</f>
        <v>0.1</v>
      </c>
      <c r="K92" s="98">
        <f>'Cash Flow %s Yr4'!K92</f>
        <v>0.1</v>
      </c>
      <c r="L92" s="98">
        <f>'Cash Flow %s Yr4'!L92</f>
        <v>0.1</v>
      </c>
      <c r="M92" s="98">
        <f>'Cash Flow %s Yr4'!M92</f>
        <v>0.1</v>
      </c>
      <c r="N92" s="98">
        <f>'Cash Flow %s Yr4'!N92</f>
        <v>0</v>
      </c>
      <c r="O92" s="98">
        <f>'Cash Flow %s Yr4'!O92</f>
        <v>0</v>
      </c>
      <c r="P92" s="98">
        <f>'Cash Flow %s Yr4'!P92</f>
        <v>0</v>
      </c>
      <c r="Q92" s="98">
        <f>'Cash Flow %s Yr4'!Q92</f>
        <v>0</v>
      </c>
      <c r="R92" s="98">
        <f>'Cash Flow %s Yr4'!R92</f>
        <v>0</v>
      </c>
      <c r="S92" s="97">
        <f t="shared" si="7"/>
        <v>0.99999999999999989</v>
      </c>
    </row>
    <row r="93" spans="1:19" x14ac:dyDescent="0.75">
      <c r="A93" s="35"/>
      <c r="B93" s="64" t="str">
        <f>'Expenses w MYP'!C65</f>
        <v>4381</v>
      </c>
      <c r="C93" s="64" t="str">
        <f>'Expenses w MYP'!D65</f>
        <v>Materials for Plant &amp; Equipment</v>
      </c>
      <c r="D93" s="98">
        <f>'Cash Flow %s Yr4'!D93</f>
        <v>8.3000000000000004E-2</v>
      </c>
      <c r="E93" s="98">
        <f>'Cash Flow %s Yr4'!E93</f>
        <v>8.3000000000000004E-2</v>
      </c>
      <c r="F93" s="98">
        <f>'Cash Flow %s Yr4'!F93</f>
        <v>8.3000000000000004E-2</v>
      </c>
      <c r="G93" s="98">
        <f>'Cash Flow %s Yr4'!G93</f>
        <v>8.3000000000000004E-2</v>
      </c>
      <c r="H93" s="98">
        <f>'Cash Flow %s Yr4'!H93</f>
        <v>8.3000000000000004E-2</v>
      </c>
      <c r="I93" s="98">
        <f>'Cash Flow %s Yr4'!I93</f>
        <v>8.3000000000000004E-2</v>
      </c>
      <c r="J93" s="98">
        <f>'Cash Flow %s Yr4'!J93</f>
        <v>8.3000000000000004E-2</v>
      </c>
      <c r="K93" s="98">
        <f>'Cash Flow %s Yr4'!K93</f>
        <v>8.3000000000000004E-2</v>
      </c>
      <c r="L93" s="98">
        <f>'Cash Flow %s Yr4'!L93</f>
        <v>8.4000000000000005E-2</v>
      </c>
      <c r="M93" s="98">
        <f>'Cash Flow %s Yr4'!M93</f>
        <v>8.4000000000000005E-2</v>
      </c>
      <c r="N93" s="98">
        <f>'Cash Flow %s Yr4'!N93</f>
        <v>8.4000000000000005E-2</v>
      </c>
      <c r="O93" s="98">
        <f>'Cash Flow %s Yr4'!O93</f>
        <v>8.4000000000000005E-2</v>
      </c>
      <c r="P93" s="98">
        <f>'Cash Flow %s Yr4'!P93</f>
        <v>0</v>
      </c>
      <c r="Q93" s="98">
        <f>'Cash Flow %s Yr4'!Q93</f>
        <v>0</v>
      </c>
      <c r="R93" s="98">
        <f>'Cash Flow %s Yr4'!R93</f>
        <v>0</v>
      </c>
      <c r="S93" s="97">
        <f t="shared" si="7"/>
        <v>0.99999999999999989</v>
      </c>
    </row>
    <row r="94" spans="1:19" x14ac:dyDescent="0.75">
      <c r="A94" s="35"/>
      <c r="B94" s="64" t="str">
        <f>'Expenses w MYP'!C66</f>
        <v>4400</v>
      </c>
      <c r="C94" s="64" t="str">
        <f>'Expenses w MYP'!D66</f>
        <v>Noncapitalized Equipment</v>
      </c>
      <c r="D94" s="98">
        <f>'Cash Flow %s Yr4'!D94</f>
        <v>0</v>
      </c>
      <c r="E94" s="98">
        <f>'Cash Flow %s Yr4'!E94</f>
        <v>0</v>
      </c>
      <c r="F94" s="98">
        <f>'Cash Flow %s Yr4'!F94</f>
        <v>0.6</v>
      </c>
      <c r="G94" s="98">
        <f>'Cash Flow %s Yr4'!G94</f>
        <v>0</v>
      </c>
      <c r="H94" s="98">
        <f>'Cash Flow %s Yr4'!H94</f>
        <v>0</v>
      </c>
      <c r="I94" s="98">
        <f>'Cash Flow %s Yr4'!I94</f>
        <v>0</v>
      </c>
      <c r="J94" s="98">
        <f>'Cash Flow %s Yr4'!J94</f>
        <v>0.4</v>
      </c>
      <c r="K94" s="98">
        <f>'Cash Flow %s Yr4'!K94</f>
        <v>0</v>
      </c>
      <c r="L94" s="98">
        <f>'Cash Flow %s Yr4'!L94</f>
        <v>0</v>
      </c>
      <c r="M94" s="98">
        <f>'Cash Flow %s Yr4'!M94</f>
        <v>0</v>
      </c>
      <c r="N94" s="98">
        <f>'Cash Flow %s Yr4'!N94</f>
        <v>0</v>
      </c>
      <c r="O94" s="98">
        <f>'Cash Flow %s Yr4'!O94</f>
        <v>0</v>
      </c>
      <c r="P94" s="98">
        <f>'Cash Flow %s Yr4'!P94</f>
        <v>0</v>
      </c>
      <c r="Q94" s="98">
        <f>'Cash Flow %s Yr4'!Q94</f>
        <v>0</v>
      </c>
      <c r="R94" s="98">
        <f>'Cash Flow %s Yr4'!R94</f>
        <v>0</v>
      </c>
      <c r="S94" s="97">
        <f t="shared" si="7"/>
        <v>1</v>
      </c>
    </row>
    <row r="95" spans="1:19" hidden="1" outlineLevel="1" x14ac:dyDescent="0.75">
      <c r="A95" s="35"/>
      <c r="B95" s="64" t="str">
        <f>'Expenses w MYP'!C68</f>
        <v>4430</v>
      </c>
      <c r="C95" s="64" t="str">
        <f>'Expenses w MYP'!D68</f>
        <v>General Student Equipment</v>
      </c>
      <c r="D95" s="98">
        <f>'Cash Flow %s Yr4'!D95</f>
        <v>0</v>
      </c>
      <c r="E95" s="98">
        <f>'Cash Flow %s Yr4'!E95</f>
        <v>0</v>
      </c>
      <c r="F95" s="98">
        <f>'Cash Flow %s Yr4'!F95</f>
        <v>0.1</v>
      </c>
      <c r="G95" s="98">
        <f>'Cash Flow %s Yr4'!G95</f>
        <v>0.1</v>
      </c>
      <c r="H95" s="98">
        <f>'Cash Flow %s Yr4'!H95</f>
        <v>0.1</v>
      </c>
      <c r="I95" s="98">
        <f>'Cash Flow %s Yr4'!I95</f>
        <v>0.1</v>
      </c>
      <c r="J95" s="98">
        <f>'Cash Flow %s Yr4'!J95</f>
        <v>0.1</v>
      </c>
      <c r="K95" s="98">
        <f>'Cash Flow %s Yr4'!K95</f>
        <v>0.1</v>
      </c>
      <c r="L95" s="98">
        <f>'Cash Flow %s Yr4'!L95</f>
        <v>0.1</v>
      </c>
      <c r="M95" s="98">
        <f>'Cash Flow %s Yr4'!M95</f>
        <v>0.1</v>
      </c>
      <c r="N95" s="98">
        <f>'Cash Flow %s Yr4'!N95</f>
        <v>0.1</v>
      </c>
      <c r="O95" s="98">
        <f>'Cash Flow %s Yr4'!O95</f>
        <v>0.1</v>
      </c>
      <c r="P95" s="98">
        <f>'Cash Flow %s Yr4'!P95</f>
        <v>0</v>
      </c>
      <c r="Q95" s="98">
        <f>'Cash Flow %s Yr4'!Q95</f>
        <v>0</v>
      </c>
      <c r="R95" s="98">
        <f>'Cash Flow %s Yr4'!R95</f>
        <v>0</v>
      </c>
      <c r="S95" s="97">
        <f t="shared" ref="S95:S104" si="8">SUM(D95:R95)</f>
        <v>0.99999999999999989</v>
      </c>
    </row>
    <row r="96" spans="1:19" hidden="1" outlineLevel="1" x14ac:dyDescent="0.75">
      <c r="A96" s="35"/>
      <c r="B96" s="64" t="e">
        <f>'Expenses w MYP'!#REF!</f>
        <v>#REF!</v>
      </c>
      <c r="C96" s="64" t="e">
        <f>'Expenses w MYP'!#REF!</f>
        <v>#REF!</v>
      </c>
      <c r="D96" s="98">
        <f>'Cash Flow %s Yr4'!D96</f>
        <v>0</v>
      </c>
      <c r="E96" s="98">
        <f>'Cash Flow %s Yr4'!E96</f>
        <v>0</v>
      </c>
      <c r="F96" s="98">
        <f>'Cash Flow %s Yr4'!F96</f>
        <v>0.1</v>
      </c>
      <c r="G96" s="98">
        <f>'Cash Flow %s Yr4'!G96</f>
        <v>0.1</v>
      </c>
      <c r="H96" s="98">
        <f>'Cash Flow %s Yr4'!H96</f>
        <v>0.1</v>
      </c>
      <c r="I96" s="98">
        <f>'Cash Flow %s Yr4'!I96</f>
        <v>0.1</v>
      </c>
      <c r="J96" s="98">
        <f>'Cash Flow %s Yr4'!J96</f>
        <v>0.1</v>
      </c>
      <c r="K96" s="98">
        <f>'Cash Flow %s Yr4'!K96</f>
        <v>0.1</v>
      </c>
      <c r="L96" s="98">
        <f>'Cash Flow %s Yr4'!L96</f>
        <v>0.1</v>
      </c>
      <c r="M96" s="98">
        <f>'Cash Flow %s Yr4'!M96</f>
        <v>0.1</v>
      </c>
      <c r="N96" s="98">
        <f>'Cash Flow %s Yr4'!N96</f>
        <v>0.1</v>
      </c>
      <c r="O96" s="98">
        <f>'Cash Flow %s Yr4'!O96</f>
        <v>0.1</v>
      </c>
      <c r="P96" s="98">
        <f>'Cash Flow %s Yr4'!P96</f>
        <v>0</v>
      </c>
      <c r="Q96" s="98">
        <f>'Cash Flow %s Yr4'!Q96</f>
        <v>0</v>
      </c>
      <c r="R96" s="98">
        <f>'Cash Flow %s Yr4'!R96</f>
        <v>0</v>
      </c>
      <c r="S96" s="97">
        <f t="shared" si="8"/>
        <v>0.99999999999999989</v>
      </c>
    </row>
    <row r="97" spans="1:19" hidden="1" outlineLevel="1" x14ac:dyDescent="0.75">
      <c r="A97" s="35"/>
      <c r="B97" s="64" t="e">
        <f>'Expenses w MYP'!#REF!</f>
        <v>#REF!</v>
      </c>
      <c r="C97" s="64" t="e">
        <f>'Expenses w MYP'!#REF!</f>
        <v>#REF!</v>
      </c>
      <c r="D97" s="98">
        <f>'Cash Flow %s Yr4'!D97</f>
        <v>0</v>
      </c>
      <c r="E97" s="98">
        <f>'Cash Flow %s Yr4'!E97</f>
        <v>0</v>
      </c>
      <c r="F97" s="98">
        <f>'Cash Flow %s Yr4'!F97</f>
        <v>0.1</v>
      </c>
      <c r="G97" s="98">
        <f>'Cash Flow %s Yr4'!G97</f>
        <v>0.1</v>
      </c>
      <c r="H97" s="98">
        <f>'Cash Flow %s Yr4'!H97</f>
        <v>0.1</v>
      </c>
      <c r="I97" s="98">
        <f>'Cash Flow %s Yr4'!I97</f>
        <v>0.1</v>
      </c>
      <c r="J97" s="98">
        <f>'Cash Flow %s Yr4'!J97</f>
        <v>0.1</v>
      </c>
      <c r="K97" s="98">
        <f>'Cash Flow %s Yr4'!K97</f>
        <v>0.1</v>
      </c>
      <c r="L97" s="98">
        <f>'Cash Flow %s Yr4'!L97</f>
        <v>0.1</v>
      </c>
      <c r="M97" s="98">
        <f>'Cash Flow %s Yr4'!M97</f>
        <v>0.1</v>
      </c>
      <c r="N97" s="98">
        <f>'Cash Flow %s Yr4'!N97</f>
        <v>0.1</v>
      </c>
      <c r="O97" s="98">
        <f>'Cash Flow %s Yr4'!O97</f>
        <v>0.1</v>
      </c>
      <c r="P97" s="98">
        <f>'Cash Flow %s Yr4'!P97</f>
        <v>0</v>
      </c>
      <c r="Q97" s="98">
        <f>'Cash Flow %s Yr4'!Q97</f>
        <v>0</v>
      </c>
      <c r="R97" s="98">
        <f>'Cash Flow %s Yr4'!R97</f>
        <v>0</v>
      </c>
      <c r="S97" s="97">
        <f t="shared" si="8"/>
        <v>0.99999999999999989</v>
      </c>
    </row>
    <row r="98" spans="1:19" hidden="1" outlineLevel="1" x14ac:dyDescent="0.75">
      <c r="A98" s="35"/>
      <c r="B98" s="64" t="e">
        <f>'Expenses w MYP'!#REF!</f>
        <v>#REF!</v>
      </c>
      <c r="C98" s="64" t="e">
        <f>'Expenses w MYP'!#REF!</f>
        <v>#REF!</v>
      </c>
      <c r="D98" s="98">
        <f>'Cash Flow %s Yr4'!D98</f>
        <v>0</v>
      </c>
      <c r="E98" s="98">
        <f>'Cash Flow %s Yr4'!E98</f>
        <v>0</v>
      </c>
      <c r="F98" s="98">
        <f>'Cash Flow %s Yr4'!F98</f>
        <v>0.1</v>
      </c>
      <c r="G98" s="98">
        <f>'Cash Flow %s Yr4'!G98</f>
        <v>0.1</v>
      </c>
      <c r="H98" s="98">
        <f>'Cash Flow %s Yr4'!H98</f>
        <v>0.1</v>
      </c>
      <c r="I98" s="98">
        <f>'Cash Flow %s Yr4'!I98</f>
        <v>0.1</v>
      </c>
      <c r="J98" s="98">
        <f>'Cash Flow %s Yr4'!J98</f>
        <v>0.1</v>
      </c>
      <c r="K98" s="98">
        <f>'Cash Flow %s Yr4'!K98</f>
        <v>0.1</v>
      </c>
      <c r="L98" s="98">
        <f>'Cash Flow %s Yr4'!L98</f>
        <v>0.1</v>
      </c>
      <c r="M98" s="98">
        <f>'Cash Flow %s Yr4'!M98</f>
        <v>0.1</v>
      </c>
      <c r="N98" s="98">
        <f>'Cash Flow %s Yr4'!N98</f>
        <v>0.1</v>
      </c>
      <c r="O98" s="98">
        <f>'Cash Flow %s Yr4'!O98</f>
        <v>0.1</v>
      </c>
      <c r="P98" s="98">
        <f>'Cash Flow %s Yr4'!P98</f>
        <v>0</v>
      </c>
      <c r="Q98" s="98">
        <f>'Cash Flow %s Yr4'!Q98</f>
        <v>0</v>
      </c>
      <c r="R98" s="98">
        <f>'Cash Flow %s Yr4'!R98</f>
        <v>0</v>
      </c>
      <c r="S98" s="97">
        <f t="shared" si="8"/>
        <v>0.99999999999999989</v>
      </c>
    </row>
    <row r="99" spans="1:19" hidden="1" outlineLevel="1" x14ac:dyDescent="0.75">
      <c r="A99" s="35"/>
      <c r="B99" s="64" t="e">
        <f>'Expenses w MYP'!#REF!</f>
        <v>#REF!</v>
      </c>
      <c r="C99" s="64" t="e">
        <f>'Expenses w MYP'!#REF!</f>
        <v>#REF!</v>
      </c>
      <c r="D99" s="98">
        <f>'Cash Flow %s Yr4'!D99</f>
        <v>0</v>
      </c>
      <c r="E99" s="98">
        <f>'Cash Flow %s Yr4'!E99</f>
        <v>0</v>
      </c>
      <c r="F99" s="98">
        <f>'Cash Flow %s Yr4'!F99</f>
        <v>0.1</v>
      </c>
      <c r="G99" s="98">
        <f>'Cash Flow %s Yr4'!G99</f>
        <v>0.1</v>
      </c>
      <c r="H99" s="98">
        <f>'Cash Flow %s Yr4'!H99</f>
        <v>0.1</v>
      </c>
      <c r="I99" s="98">
        <f>'Cash Flow %s Yr4'!I99</f>
        <v>0.1</v>
      </c>
      <c r="J99" s="98">
        <f>'Cash Flow %s Yr4'!J99</f>
        <v>0.1</v>
      </c>
      <c r="K99" s="98">
        <f>'Cash Flow %s Yr4'!K99</f>
        <v>0.1</v>
      </c>
      <c r="L99" s="98">
        <f>'Cash Flow %s Yr4'!L99</f>
        <v>0.1</v>
      </c>
      <c r="M99" s="98">
        <f>'Cash Flow %s Yr4'!M99</f>
        <v>0.1</v>
      </c>
      <c r="N99" s="98">
        <f>'Cash Flow %s Yr4'!N99</f>
        <v>0.1</v>
      </c>
      <c r="O99" s="98">
        <f>'Cash Flow %s Yr4'!O99</f>
        <v>0.1</v>
      </c>
      <c r="P99" s="98">
        <f>'Cash Flow %s Yr4'!P99</f>
        <v>0</v>
      </c>
      <c r="Q99" s="98">
        <f>'Cash Flow %s Yr4'!Q99</f>
        <v>0</v>
      </c>
      <c r="R99" s="98">
        <f>'Cash Flow %s Yr4'!R99</f>
        <v>0</v>
      </c>
      <c r="S99" s="97">
        <f t="shared" si="8"/>
        <v>0.99999999999999989</v>
      </c>
    </row>
    <row r="100" spans="1:19" hidden="1" outlineLevel="1" x14ac:dyDescent="0.75">
      <c r="A100" s="35"/>
      <c r="B100" s="64" t="e">
        <f>'Expenses w MYP'!#REF!</f>
        <v>#REF!</v>
      </c>
      <c r="C100" s="64" t="e">
        <f>'Expenses w MYP'!#REF!</f>
        <v>#REF!</v>
      </c>
      <c r="D100" s="98">
        <f>'Cash Flow %s Yr4'!D100</f>
        <v>0</v>
      </c>
      <c r="E100" s="98">
        <f>'Cash Flow %s Yr4'!E100</f>
        <v>0</v>
      </c>
      <c r="F100" s="98">
        <f>'Cash Flow %s Yr4'!F100</f>
        <v>0.1</v>
      </c>
      <c r="G100" s="98">
        <f>'Cash Flow %s Yr4'!G100</f>
        <v>0.1</v>
      </c>
      <c r="H100" s="98">
        <f>'Cash Flow %s Yr4'!H100</f>
        <v>0.1</v>
      </c>
      <c r="I100" s="98">
        <f>'Cash Flow %s Yr4'!I100</f>
        <v>0.1</v>
      </c>
      <c r="J100" s="98">
        <f>'Cash Flow %s Yr4'!J100</f>
        <v>0.1</v>
      </c>
      <c r="K100" s="98">
        <f>'Cash Flow %s Yr4'!K100</f>
        <v>0.1</v>
      </c>
      <c r="L100" s="98">
        <f>'Cash Flow %s Yr4'!L100</f>
        <v>0.1</v>
      </c>
      <c r="M100" s="98">
        <f>'Cash Flow %s Yr4'!M100</f>
        <v>0.1</v>
      </c>
      <c r="N100" s="98">
        <f>'Cash Flow %s Yr4'!N100</f>
        <v>0.1</v>
      </c>
      <c r="O100" s="98">
        <f>'Cash Flow %s Yr4'!O100</f>
        <v>0.1</v>
      </c>
      <c r="P100" s="98">
        <f>'Cash Flow %s Yr4'!P100</f>
        <v>0</v>
      </c>
      <c r="Q100" s="98">
        <f>'Cash Flow %s Yr4'!Q100</f>
        <v>0</v>
      </c>
      <c r="R100" s="98">
        <f>'Cash Flow %s Yr4'!R100</f>
        <v>0</v>
      </c>
      <c r="S100" s="97">
        <f t="shared" si="8"/>
        <v>0.99999999999999989</v>
      </c>
    </row>
    <row r="101" spans="1:19" hidden="1" outlineLevel="1" x14ac:dyDescent="0.75">
      <c r="A101" s="35"/>
      <c r="B101" s="64" t="e">
        <f>'Expenses w MYP'!#REF!</f>
        <v>#REF!</v>
      </c>
      <c r="C101" s="64" t="e">
        <f>'Expenses w MYP'!#REF!</f>
        <v>#REF!</v>
      </c>
      <c r="D101" s="98">
        <f>'Cash Flow %s Yr4'!D101</f>
        <v>0</v>
      </c>
      <c r="E101" s="98">
        <f>'Cash Flow %s Yr4'!E101</f>
        <v>0</v>
      </c>
      <c r="F101" s="98">
        <f>'Cash Flow %s Yr4'!F101</f>
        <v>0.1</v>
      </c>
      <c r="G101" s="98">
        <f>'Cash Flow %s Yr4'!G101</f>
        <v>0.1</v>
      </c>
      <c r="H101" s="98">
        <f>'Cash Flow %s Yr4'!H101</f>
        <v>0.1</v>
      </c>
      <c r="I101" s="98">
        <f>'Cash Flow %s Yr4'!I101</f>
        <v>0.1</v>
      </c>
      <c r="J101" s="98">
        <f>'Cash Flow %s Yr4'!J101</f>
        <v>0.1</v>
      </c>
      <c r="K101" s="98">
        <f>'Cash Flow %s Yr4'!K101</f>
        <v>0.1</v>
      </c>
      <c r="L101" s="98">
        <f>'Cash Flow %s Yr4'!L101</f>
        <v>0.1</v>
      </c>
      <c r="M101" s="98">
        <f>'Cash Flow %s Yr4'!M101</f>
        <v>0.1</v>
      </c>
      <c r="N101" s="98">
        <f>'Cash Flow %s Yr4'!N101</f>
        <v>0.1</v>
      </c>
      <c r="O101" s="98">
        <f>'Cash Flow %s Yr4'!O101</f>
        <v>0.1</v>
      </c>
      <c r="P101" s="98">
        <f>'Cash Flow %s Yr4'!P101</f>
        <v>0</v>
      </c>
      <c r="Q101" s="98">
        <f>'Cash Flow %s Yr4'!Q101</f>
        <v>0</v>
      </c>
      <c r="R101" s="98">
        <f>'Cash Flow %s Yr4'!R101</f>
        <v>0</v>
      </c>
      <c r="S101" s="97">
        <f t="shared" si="8"/>
        <v>0.99999999999999989</v>
      </c>
    </row>
    <row r="102" spans="1:19" hidden="1" outlineLevel="1" x14ac:dyDescent="0.75">
      <c r="A102" s="35"/>
      <c r="B102" s="64" t="e">
        <f>'Expenses w MYP'!#REF!</f>
        <v>#REF!</v>
      </c>
      <c r="C102" s="64" t="e">
        <f>'Expenses w MYP'!#REF!</f>
        <v>#REF!</v>
      </c>
      <c r="D102" s="98">
        <f>'Cash Flow %s Yr4'!D102</f>
        <v>0</v>
      </c>
      <c r="E102" s="98">
        <f>'Cash Flow %s Yr4'!E102</f>
        <v>0</v>
      </c>
      <c r="F102" s="98">
        <f>'Cash Flow %s Yr4'!F102</f>
        <v>0.1</v>
      </c>
      <c r="G102" s="98">
        <f>'Cash Flow %s Yr4'!G102</f>
        <v>0.1</v>
      </c>
      <c r="H102" s="98">
        <f>'Cash Flow %s Yr4'!H102</f>
        <v>0.1</v>
      </c>
      <c r="I102" s="98">
        <f>'Cash Flow %s Yr4'!I102</f>
        <v>0.1</v>
      </c>
      <c r="J102" s="98">
        <f>'Cash Flow %s Yr4'!J102</f>
        <v>0.1</v>
      </c>
      <c r="K102" s="98">
        <f>'Cash Flow %s Yr4'!K102</f>
        <v>0.1</v>
      </c>
      <c r="L102" s="98">
        <f>'Cash Flow %s Yr4'!L102</f>
        <v>0.1</v>
      </c>
      <c r="M102" s="98">
        <f>'Cash Flow %s Yr4'!M102</f>
        <v>0.1</v>
      </c>
      <c r="N102" s="98">
        <f>'Cash Flow %s Yr4'!N102</f>
        <v>0.1</v>
      </c>
      <c r="O102" s="98">
        <f>'Cash Flow %s Yr4'!O102</f>
        <v>0.1</v>
      </c>
      <c r="P102" s="98">
        <f>'Cash Flow %s Yr4'!P102</f>
        <v>0</v>
      </c>
      <c r="Q102" s="98">
        <f>'Cash Flow %s Yr4'!Q102</f>
        <v>0</v>
      </c>
      <c r="R102" s="98">
        <f>'Cash Flow %s Yr4'!R102</f>
        <v>0</v>
      </c>
      <c r="S102" s="97">
        <f t="shared" si="8"/>
        <v>0.99999999999999989</v>
      </c>
    </row>
    <row r="103" spans="1:19" hidden="1" outlineLevel="1" x14ac:dyDescent="0.75">
      <c r="A103" s="35"/>
      <c r="B103" s="64" t="e">
        <f>'Expenses w MYP'!#REF!</f>
        <v>#REF!</v>
      </c>
      <c r="C103" s="64" t="e">
        <f>'Expenses w MYP'!#REF!</f>
        <v>#REF!</v>
      </c>
      <c r="D103" s="98">
        <f>'Cash Flow %s Yr4'!D103</f>
        <v>0</v>
      </c>
      <c r="E103" s="98">
        <f>'Cash Flow %s Yr4'!E103</f>
        <v>0</v>
      </c>
      <c r="F103" s="98">
        <f>'Cash Flow %s Yr4'!F103</f>
        <v>0.1</v>
      </c>
      <c r="G103" s="98">
        <f>'Cash Flow %s Yr4'!G103</f>
        <v>0.1</v>
      </c>
      <c r="H103" s="98">
        <f>'Cash Flow %s Yr4'!H103</f>
        <v>0.1</v>
      </c>
      <c r="I103" s="98">
        <f>'Cash Flow %s Yr4'!I103</f>
        <v>0.1</v>
      </c>
      <c r="J103" s="98">
        <f>'Cash Flow %s Yr4'!J103</f>
        <v>0.1</v>
      </c>
      <c r="K103" s="98">
        <f>'Cash Flow %s Yr4'!K103</f>
        <v>0.1</v>
      </c>
      <c r="L103" s="98">
        <f>'Cash Flow %s Yr4'!L103</f>
        <v>0.1</v>
      </c>
      <c r="M103" s="98">
        <f>'Cash Flow %s Yr4'!M103</f>
        <v>0.1</v>
      </c>
      <c r="N103" s="98">
        <f>'Cash Flow %s Yr4'!N103</f>
        <v>0.1</v>
      </c>
      <c r="O103" s="98">
        <f>'Cash Flow %s Yr4'!O103</f>
        <v>0.1</v>
      </c>
      <c r="P103" s="98">
        <f>'Cash Flow %s Yr4'!P103</f>
        <v>0</v>
      </c>
      <c r="Q103" s="98">
        <f>'Cash Flow %s Yr4'!Q103</f>
        <v>0</v>
      </c>
      <c r="R103" s="98">
        <f>'Cash Flow %s Yr4'!R103</f>
        <v>0</v>
      </c>
      <c r="S103" s="97">
        <f t="shared" si="8"/>
        <v>0.99999999999999989</v>
      </c>
    </row>
    <row r="104" spans="1:19" hidden="1" outlineLevel="1" x14ac:dyDescent="0.75">
      <c r="A104" s="35"/>
      <c r="B104" s="64" t="e">
        <f>'Expenses w MYP'!#REF!</f>
        <v>#REF!</v>
      </c>
      <c r="C104" s="64" t="e">
        <f>'Expenses w MYP'!#REF!</f>
        <v>#REF!</v>
      </c>
      <c r="D104" s="98">
        <f>'Cash Flow %s Yr4'!D104</f>
        <v>0</v>
      </c>
      <c r="E104" s="98">
        <f>'Cash Flow %s Yr4'!E104</f>
        <v>0</v>
      </c>
      <c r="F104" s="98">
        <f>'Cash Flow %s Yr4'!F104</f>
        <v>0.1</v>
      </c>
      <c r="G104" s="98">
        <f>'Cash Flow %s Yr4'!G104</f>
        <v>0.1</v>
      </c>
      <c r="H104" s="98">
        <f>'Cash Flow %s Yr4'!H104</f>
        <v>0.1</v>
      </c>
      <c r="I104" s="98">
        <f>'Cash Flow %s Yr4'!I104</f>
        <v>0.1</v>
      </c>
      <c r="J104" s="98">
        <f>'Cash Flow %s Yr4'!J104</f>
        <v>0.1</v>
      </c>
      <c r="K104" s="98">
        <f>'Cash Flow %s Yr4'!K104</f>
        <v>0.1</v>
      </c>
      <c r="L104" s="98">
        <f>'Cash Flow %s Yr4'!L104</f>
        <v>0.1</v>
      </c>
      <c r="M104" s="98">
        <f>'Cash Flow %s Yr4'!M104</f>
        <v>0.1</v>
      </c>
      <c r="N104" s="98">
        <f>'Cash Flow %s Yr4'!N104</f>
        <v>0.1</v>
      </c>
      <c r="O104" s="98">
        <f>'Cash Flow %s Yr4'!O104</f>
        <v>0.1</v>
      </c>
      <c r="P104" s="98">
        <f>'Cash Flow %s Yr4'!P104</f>
        <v>0</v>
      </c>
      <c r="Q104" s="98">
        <f>'Cash Flow %s Yr4'!Q104</f>
        <v>0</v>
      </c>
      <c r="R104" s="98">
        <f>'Cash Flow %s Yr4'!R104</f>
        <v>0</v>
      </c>
      <c r="S104" s="97">
        <f t="shared" si="8"/>
        <v>0.99999999999999989</v>
      </c>
    </row>
    <row r="105" spans="1:19" s="31" customFormat="1" collapsed="1" x14ac:dyDescent="0.75">
      <c r="A105" s="35"/>
      <c r="B105" s="64" t="str">
        <f>'Expenses w MYP'!C69</f>
        <v>4700</v>
      </c>
      <c r="C105" s="64" t="str">
        <f>'Expenses w MYP'!D69</f>
        <v>Food and Food Supplies</v>
      </c>
      <c r="D105" s="98">
        <f>'Cash Flow %s Yr4'!D105</f>
        <v>0</v>
      </c>
      <c r="E105" s="98">
        <f>'Cash Flow %s Yr4'!E105</f>
        <v>0</v>
      </c>
      <c r="F105" s="98">
        <f>'Cash Flow %s Yr4'!F105</f>
        <v>0.1</v>
      </c>
      <c r="G105" s="98">
        <f>'Cash Flow %s Yr4'!G105</f>
        <v>0.1</v>
      </c>
      <c r="H105" s="98">
        <f>'Cash Flow %s Yr4'!H105</f>
        <v>0.1</v>
      </c>
      <c r="I105" s="98">
        <f>'Cash Flow %s Yr4'!I105</f>
        <v>0.1</v>
      </c>
      <c r="J105" s="98">
        <f>'Cash Flow %s Yr4'!J105</f>
        <v>0.1</v>
      </c>
      <c r="K105" s="98">
        <f>'Cash Flow %s Yr4'!K105</f>
        <v>0.1</v>
      </c>
      <c r="L105" s="98">
        <f>'Cash Flow %s Yr4'!L105</f>
        <v>0.1</v>
      </c>
      <c r="M105" s="98">
        <f>'Cash Flow %s Yr4'!M105</f>
        <v>0.1</v>
      </c>
      <c r="N105" s="98">
        <f>'Cash Flow %s Yr4'!N105</f>
        <v>0.1</v>
      </c>
      <c r="O105" s="98">
        <f>'Cash Flow %s Yr4'!O105</f>
        <v>0.1</v>
      </c>
      <c r="P105" s="98">
        <f>'Cash Flow %s Yr4'!P105</f>
        <v>0</v>
      </c>
      <c r="Q105" s="98">
        <f>'Cash Flow %s Yr4'!Q105</f>
        <v>0</v>
      </c>
      <c r="R105" s="98">
        <f>'Cash Flow %s Yr4'!R105</f>
        <v>0</v>
      </c>
      <c r="S105" s="97">
        <f>SUM(D105:R105)</f>
        <v>0.99999999999999989</v>
      </c>
    </row>
    <row r="106" spans="1:19" s="31" customFormat="1" x14ac:dyDescent="0.75">
      <c r="A106" s="35"/>
      <c r="B106" s="3"/>
      <c r="C106" s="2"/>
      <c r="D106" s="88"/>
      <c r="E106" s="88"/>
      <c r="F106" s="105"/>
      <c r="G106" s="105"/>
      <c r="H106" s="105"/>
      <c r="I106" s="105"/>
      <c r="J106" s="105"/>
      <c r="K106" s="105"/>
      <c r="L106" s="105"/>
      <c r="M106" s="105"/>
      <c r="N106" s="105"/>
      <c r="O106" s="105"/>
      <c r="P106" s="84"/>
      <c r="Q106" s="84"/>
      <c r="R106" s="84"/>
      <c r="S106" s="97"/>
    </row>
    <row r="107" spans="1:19" s="31" customFormat="1" x14ac:dyDescent="0.75">
      <c r="A107" s="35"/>
      <c r="B107" s="3"/>
      <c r="C107" s="2"/>
      <c r="D107" s="84"/>
      <c r="E107" s="84"/>
      <c r="F107" s="84"/>
      <c r="G107" s="84"/>
      <c r="H107" s="84"/>
      <c r="I107" s="84"/>
      <c r="J107" s="84"/>
      <c r="K107" s="84"/>
      <c r="L107" s="84"/>
      <c r="M107" s="84"/>
      <c r="N107" s="84"/>
      <c r="O107" s="84"/>
      <c r="P107" s="84"/>
      <c r="Q107" s="84"/>
      <c r="R107" s="84"/>
      <c r="S107" s="97"/>
    </row>
    <row r="108" spans="1:19" s="31" customFormat="1" x14ac:dyDescent="0.75">
      <c r="B108" s="4" t="s">
        <v>720</v>
      </c>
      <c r="C108" s="2"/>
      <c r="D108" s="84"/>
      <c r="E108" s="84"/>
      <c r="F108" s="84"/>
      <c r="G108" s="84"/>
      <c r="H108" s="84"/>
      <c r="I108" s="84"/>
      <c r="J108" s="84"/>
      <c r="K108" s="84"/>
      <c r="L108" s="84"/>
      <c r="M108" s="84"/>
      <c r="N108" s="84"/>
      <c r="O108" s="84"/>
      <c r="P108" s="84"/>
      <c r="Q108" s="84"/>
      <c r="R108" s="84"/>
      <c r="S108" s="97"/>
    </row>
    <row r="109" spans="1:19" s="31" customFormat="1" x14ac:dyDescent="0.75">
      <c r="A109" s="35"/>
      <c r="B109" s="64" t="str">
        <f>'Expenses w MYP'!C73</f>
        <v>5200</v>
      </c>
      <c r="C109" s="64" t="str">
        <f>'Expenses w MYP'!D73</f>
        <v>Travel and Conferences</v>
      </c>
      <c r="D109" s="98">
        <f>'Cash Flow %s Yr4'!D109</f>
        <v>0</v>
      </c>
      <c r="E109" s="98">
        <f>'Cash Flow %s Yr4'!E109</f>
        <v>0</v>
      </c>
      <c r="F109" s="98">
        <f>'Cash Flow %s Yr4'!F109</f>
        <v>0.3</v>
      </c>
      <c r="G109" s="98">
        <f>'Cash Flow %s Yr4'!G109</f>
        <v>0.1</v>
      </c>
      <c r="H109" s="98">
        <f>'Cash Flow %s Yr4'!H109</f>
        <v>0.1</v>
      </c>
      <c r="I109" s="98">
        <f>'Cash Flow %s Yr4'!I109</f>
        <v>0.1</v>
      </c>
      <c r="J109" s="98">
        <f>'Cash Flow %s Yr4'!J109</f>
        <v>0.1</v>
      </c>
      <c r="K109" s="98">
        <f>'Cash Flow %s Yr4'!K109</f>
        <v>0.1</v>
      </c>
      <c r="L109" s="98">
        <f>'Cash Flow %s Yr4'!L109</f>
        <v>0.1</v>
      </c>
      <c r="M109" s="98">
        <f>'Cash Flow %s Yr4'!M109</f>
        <v>0.1</v>
      </c>
      <c r="N109" s="98">
        <f>'Cash Flow %s Yr4'!N109</f>
        <v>0</v>
      </c>
      <c r="O109" s="98">
        <f>'Cash Flow %s Yr4'!O109</f>
        <v>0</v>
      </c>
      <c r="P109" s="98">
        <f>'Cash Flow %s Yr4'!P109</f>
        <v>0</v>
      </c>
      <c r="Q109" s="98">
        <f>'Cash Flow %s Yr4'!Q109</f>
        <v>0</v>
      </c>
      <c r="R109" s="98">
        <f>'Cash Flow %s Yr4'!R109</f>
        <v>0</v>
      </c>
      <c r="S109" s="97">
        <f t="shared" ref="S109:S139" si="9">SUM(D109:R109)</f>
        <v>0.99999999999999989</v>
      </c>
    </row>
    <row r="110" spans="1:19" s="31" customFormat="1" x14ac:dyDescent="0.75">
      <c r="A110" s="35"/>
      <c r="B110" s="64" t="str">
        <f>'Expenses w MYP'!C74</f>
        <v>5210</v>
      </c>
      <c r="C110" s="64" t="str">
        <f>'Expenses w MYP'!D74</f>
        <v>Training and Development Expense</v>
      </c>
      <c r="D110" s="98">
        <f>'Cash Flow %s Yr4'!D110</f>
        <v>0</v>
      </c>
      <c r="E110" s="98">
        <f>'Cash Flow %s Yr4'!E110</f>
        <v>0</v>
      </c>
      <c r="F110" s="98">
        <f>'Cash Flow %s Yr4'!F110</f>
        <v>0.3</v>
      </c>
      <c r="G110" s="98">
        <f>'Cash Flow %s Yr4'!G110</f>
        <v>0.1</v>
      </c>
      <c r="H110" s="98">
        <f>'Cash Flow %s Yr4'!H110</f>
        <v>0.1</v>
      </c>
      <c r="I110" s="98">
        <f>'Cash Flow %s Yr4'!I110</f>
        <v>0.1</v>
      </c>
      <c r="J110" s="98">
        <f>'Cash Flow %s Yr4'!J110</f>
        <v>0.1</v>
      </c>
      <c r="K110" s="98">
        <f>'Cash Flow %s Yr4'!K110</f>
        <v>0.1</v>
      </c>
      <c r="L110" s="98">
        <f>'Cash Flow %s Yr4'!L110</f>
        <v>0.1</v>
      </c>
      <c r="M110" s="98">
        <f>'Cash Flow %s Yr4'!M110</f>
        <v>0.1</v>
      </c>
      <c r="N110" s="98">
        <f>'Cash Flow %s Yr4'!N110</f>
        <v>0</v>
      </c>
      <c r="O110" s="98">
        <f>'Cash Flow %s Yr4'!O110</f>
        <v>0</v>
      </c>
      <c r="P110" s="98">
        <f>'Cash Flow %s Yr4'!P110</f>
        <v>0</v>
      </c>
      <c r="Q110" s="98">
        <f>'Cash Flow %s Yr4'!Q110</f>
        <v>0</v>
      </c>
      <c r="R110" s="98">
        <f>'Cash Flow %s Yr4'!R110</f>
        <v>0</v>
      </c>
      <c r="S110" s="97">
        <f t="shared" si="9"/>
        <v>0.99999999999999989</v>
      </c>
    </row>
    <row r="111" spans="1:19" s="31" customFormat="1" x14ac:dyDescent="0.75">
      <c r="A111" s="35"/>
      <c r="B111" s="64" t="str">
        <f>'Expenses w MYP'!C75</f>
        <v>5300</v>
      </c>
      <c r="C111" s="64" t="str">
        <f>'Expenses w MYP'!D75</f>
        <v>Dues and Memberships</v>
      </c>
      <c r="D111" s="98">
        <f>'Cash Flow %s Yr4'!D111</f>
        <v>0</v>
      </c>
      <c r="E111" s="98">
        <f>'Cash Flow %s Yr4'!E111</f>
        <v>0</v>
      </c>
      <c r="F111" s="98">
        <f>'Cash Flow %s Yr4'!F111</f>
        <v>0.3</v>
      </c>
      <c r="G111" s="98">
        <f>'Cash Flow %s Yr4'!G111</f>
        <v>0.1</v>
      </c>
      <c r="H111" s="98">
        <f>'Cash Flow %s Yr4'!H111</f>
        <v>0.1</v>
      </c>
      <c r="I111" s="98">
        <f>'Cash Flow %s Yr4'!I111</f>
        <v>0.1</v>
      </c>
      <c r="J111" s="98">
        <f>'Cash Flow %s Yr4'!J111</f>
        <v>0.1</v>
      </c>
      <c r="K111" s="98">
        <f>'Cash Flow %s Yr4'!K111</f>
        <v>0.1</v>
      </c>
      <c r="L111" s="98">
        <f>'Cash Flow %s Yr4'!L111</f>
        <v>0.1</v>
      </c>
      <c r="M111" s="98">
        <f>'Cash Flow %s Yr4'!M111</f>
        <v>0.1</v>
      </c>
      <c r="N111" s="98">
        <f>'Cash Flow %s Yr4'!N111</f>
        <v>0</v>
      </c>
      <c r="O111" s="98">
        <f>'Cash Flow %s Yr4'!O111</f>
        <v>0</v>
      </c>
      <c r="P111" s="98">
        <f>'Cash Flow %s Yr4'!P111</f>
        <v>0</v>
      </c>
      <c r="Q111" s="98">
        <f>'Cash Flow %s Yr4'!Q111</f>
        <v>0</v>
      </c>
      <c r="R111" s="98">
        <f>'Cash Flow %s Yr4'!R111</f>
        <v>0</v>
      </c>
      <c r="S111" s="97">
        <f t="shared" si="9"/>
        <v>0.99999999999999989</v>
      </c>
    </row>
    <row r="112" spans="1:19" s="31" customFormat="1" x14ac:dyDescent="0.75">
      <c r="A112" s="35"/>
      <c r="B112" s="64" t="str">
        <f>'Expenses w MYP'!C76</f>
        <v>5400</v>
      </c>
      <c r="C112" s="64" t="str">
        <f>'Expenses w MYP'!D76</f>
        <v>Insurance</v>
      </c>
      <c r="D112" s="98">
        <f>'Cash Flow %s Yr4'!D112</f>
        <v>0</v>
      </c>
      <c r="E112" s="98">
        <f>'Cash Flow %s Yr4'!E112</f>
        <v>0</v>
      </c>
      <c r="F112" s="98">
        <f>'Cash Flow %s Yr4'!F112</f>
        <v>0.3</v>
      </c>
      <c r="G112" s="98">
        <f>'Cash Flow %s Yr4'!G112</f>
        <v>0.1</v>
      </c>
      <c r="H112" s="98">
        <f>'Cash Flow %s Yr4'!H112</f>
        <v>0.1</v>
      </c>
      <c r="I112" s="98">
        <f>'Cash Flow %s Yr4'!I112</f>
        <v>0.1</v>
      </c>
      <c r="J112" s="98">
        <f>'Cash Flow %s Yr4'!J112</f>
        <v>0.1</v>
      </c>
      <c r="K112" s="98">
        <f>'Cash Flow %s Yr4'!K112</f>
        <v>0.1</v>
      </c>
      <c r="L112" s="98">
        <f>'Cash Flow %s Yr4'!L112</f>
        <v>0.1</v>
      </c>
      <c r="M112" s="98">
        <f>'Cash Flow %s Yr4'!M112</f>
        <v>0.1</v>
      </c>
      <c r="N112" s="98">
        <f>'Cash Flow %s Yr4'!N112</f>
        <v>0</v>
      </c>
      <c r="O112" s="98">
        <f>'Cash Flow %s Yr4'!O112</f>
        <v>0</v>
      </c>
      <c r="P112" s="98">
        <f>'Cash Flow %s Yr4'!P112</f>
        <v>0</v>
      </c>
      <c r="Q112" s="98">
        <f>'Cash Flow %s Yr4'!Q112</f>
        <v>0</v>
      </c>
      <c r="R112" s="98">
        <f>'Cash Flow %s Yr4'!R112</f>
        <v>0</v>
      </c>
      <c r="S112" s="97">
        <f t="shared" si="9"/>
        <v>0.99999999999999989</v>
      </c>
    </row>
    <row r="113" spans="1:19" s="31" customFormat="1" x14ac:dyDescent="0.75">
      <c r="A113" s="35"/>
      <c r="B113" s="64" t="str">
        <f>'Expenses w MYP'!C77</f>
        <v>5500</v>
      </c>
      <c r="C113" s="64" t="str">
        <f>'Expenses w MYP'!D77</f>
        <v>Operation and Housekeeping Services/Supplies</v>
      </c>
      <c r="D113" s="98">
        <f>'Cash Flow %s Yr4'!D113</f>
        <v>0</v>
      </c>
      <c r="E113" s="98">
        <f>'Cash Flow %s Yr4'!E113</f>
        <v>0</v>
      </c>
      <c r="F113" s="98">
        <f>'Cash Flow %s Yr4'!F113</f>
        <v>0.6</v>
      </c>
      <c r="G113" s="98">
        <f>'Cash Flow %s Yr4'!G113</f>
        <v>0</v>
      </c>
      <c r="H113" s="98">
        <f>'Cash Flow %s Yr4'!H113</f>
        <v>0</v>
      </c>
      <c r="I113" s="98">
        <f>'Cash Flow %s Yr4'!I113</f>
        <v>0</v>
      </c>
      <c r="J113" s="98">
        <f>'Cash Flow %s Yr4'!J113</f>
        <v>0.4</v>
      </c>
      <c r="K113" s="98">
        <f>'Cash Flow %s Yr4'!K113</f>
        <v>0</v>
      </c>
      <c r="L113" s="98">
        <f>'Cash Flow %s Yr4'!L113</f>
        <v>0</v>
      </c>
      <c r="M113" s="98">
        <f>'Cash Flow %s Yr4'!M113</f>
        <v>0</v>
      </c>
      <c r="N113" s="98">
        <f>'Cash Flow %s Yr4'!N113</f>
        <v>0</v>
      </c>
      <c r="O113" s="98">
        <f>'Cash Flow %s Yr4'!O113</f>
        <v>0</v>
      </c>
      <c r="P113" s="98">
        <f>'Cash Flow %s Yr4'!P113</f>
        <v>0</v>
      </c>
      <c r="Q113" s="98">
        <f>'Cash Flow %s Yr4'!Q113</f>
        <v>0</v>
      </c>
      <c r="R113" s="98">
        <f>'Cash Flow %s Yr4'!R113</f>
        <v>0</v>
      </c>
      <c r="S113" s="97">
        <f t="shared" si="9"/>
        <v>1</v>
      </c>
    </row>
    <row r="114" spans="1:19" s="31" customFormat="1" x14ac:dyDescent="0.75">
      <c r="A114" s="35"/>
      <c r="B114" s="64" t="str">
        <f>'Expenses w MYP'!C78</f>
        <v>5501</v>
      </c>
      <c r="C114" s="64" t="str">
        <f>'Expenses w MYP'!D78</f>
        <v>Utilities</v>
      </c>
      <c r="D114" s="98">
        <f>'Cash Flow %s Yr4'!D114</f>
        <v>0</v>
      </c>
      <c r="E114" s="98">
        <f>'Cash Flow %s Yr4'!E114</f>
        <v>0</v>
      </c>
      <c r="F114" s="98">
        <f>'Cash Flow %s Yr4'!F114</f>
        <v>0.1</v>
      </c>
      <c r="G114" s="98">
        <f>'Cash Flow %s Yr4'!G114</f>
        <v>0.1</v>
      </c>
      <c r="H114" s="98">
        <f>'Cash Flow %s Yr4'!H114</f>
        <v>0.1</v>
      </c>
      <c r="I114" s="98">
        <f>'Cash Flow %s Yr4'!I114</f>
        <v>0.1</v>
      </c>
      <c r="J114" s="98">
        <f>'Cash Flow %s Yr4'!J114</f>
        <v>0.1</v>
      </c>
      <c r="K114" s="98">
        <f>'Cash Flow %s Yr4'!K114</f>
        <v>0.1</v>
      </c>
      <c r="L114" s="98">
        <f>'Cash Flow %s Yr4'!L114</f>
        <v>0.1</v>
      </c>
      <c r="M114" s="98">
        <f>'Cash Flow %s Yr4'!M114</f>
        <v>0.1</v>
      </c>
      <c r="N114" s="98">
        <f>'Cash Flow %s Yr4'!N114</f>
        <v>0.1</v>
      </c>
      <c r="O114" s="98">
        <f>'Cash Flow %s Yr4'!O114</f>
        <v>0.1</v>
      </c>
      <c r="P114" s="98">
        <f>'Cash Flow %s Yr4'!P114</f>
        <v>0</v>
      </c>
      <c r="Q114" s="98">
        <f>'Cash Flow %s Yr4'!Q114</f>
        <v>0</v>
      </c>
      <c r="R114" s="98">
        <f>'Cash Flow %s Yr4'!R114</f>
        <v>0</v>
      </c>
      <c r="S114" s="97">
        <f t="shared" si="9"/>
        <v>0.99999999999999989</v>
      </c>
    </row>
    <row r="115" spans="1:19" s="31" customFormat="1" x14ac:dyDescent="0.75">
      <c r="A115" s="35"/>
      <c r="B115" s="64" t="str">
        <f>'Expenses w MYP'!C79</f>
        <v>5505</v>
      </c>
      <c r="C115" s="64" t="str">
        <f>'Expenses w MYP'!D79</f>
        <v>Student Transportation / Field Trips</v>
      </c>
      <c r="D115" s="98">
        <f>'Cash Flow %s Yr4'!D115</f>
        <v>0</v>
      </c>
      <c r="E115" s="98">
        <f>'Cash Flow %s Yr4'!E115</f>
        <v>0</v>
      </c>
      <c r="F115" s="98">
        <f>'Cash Flow %s Yr4'!F115</f>
        <v>0.1</v>
      </c>
      <c r="G115" s="98">
        <f>'Cash Flow %s Yr4'!G115</f>
        <v>0.1</v>
      </c>
      <c r="H115" s="98">
        <f>'Cash Flow %s Yr4'!H115</f>
        <v>0.1</v>
      </c>
      <c r="I115" s="98">
        <f>'Cash Flow %s Yr4'!I115</f>
        <v>0.1</v>
      </c>
      <c r="J115" s="98">
        <f>'Cash Flow %s Yr4'!J115</f>
        <v>0.1</v>
      </c>
      <c r="K115" s="98">
        <f>'Cash Flow %s Yr4'!K115</f>
        <v>0.1</v>
      </c>
      <c r="L115" s="98">
        <f>'Cash Flow %s Yr4'!L115</f>
        <v>0.1</v>
      </c>
      <c r="M115" s="98">
        <f>'Cash Flow %s Yr4'!M115</f>
        <v>0.1</v>
      </c>
      <c r="N115" s="98">
        <f>'Cash Flow %s Yr4'!N115</f>
        <v>0.1</v>
      </c>
      <c r="O115" s="98">
        <f>'Cash Flow %s Yr4'!O115</f>
        <v>0.1</v>
      </c>
      <c r="P115" s="98">
        <f>'Cash Flow %s Yr4'!P115</f>
        <v>0</v>
      </c>
      <c r="Q115" s="98">
        <f>'Cash Flow %s Yr4'!Q115</f>
        <v>0</v>
      </c>
      <c r="R115" s="98">
        <f>'Cash Flow %s Yr4'!R115</f>
        <v>0</v>
      </c>
      <c r="S115" s="97">
        <f t="shared" si="9"/>
        <v>0.99999999999999989</v>
      </c>
    </row>
    <row r="116" spans="1:19" s="31" customFormat="1" x14ac:dyDescent="0.75">
      <c r="A116" s="35"/>
      <c r="B116" s="64" t="str">
        <f>'Expenses w MYP'!C80</f>
        <v>5600</v>
      </c>
      <c r="C116" s="64" t="str">
        <f>'Expenses w MYP'!D80</f>
        <v>Space Rental/Leases Expense</v>
      </c>
      <c r="D116" s="98">
        <f>'Cash Flow %s Yr4'!D116</f>
        <v>0</v>
      </c>
      <c r="E116" s="98">
        <f>'Cash Flow %s Yr4'!E116</f>
        <v>0</v>
      </c>
      <c r="F116" s="98">
        <f>'Cash Flow %s Yr4'!F116</f>
        <v>0.1</v>
      </c>
      <c r="G116" s="98">
        <f>'Cash Flow %s Yr4'!G116</f>
        <v>0.1</v>
      </c>
      <c r="H116" s="98">
        <f>'Cash Flow %s Yr4'!H116</f>
        <v>0.1</v>
      </c>
      <c r="I116" s="98">
        <f>'Cash Flow %s Yr4'!I116</f>
        <v>0.1</v>
      </c>
      <c r="J116" s="98">
        <f>'Cash Flow %s Yr4'!J116</f>
        <v>0.1</v>
      </c>
      <c r="K116" s="98">
        <f>'Cash Flow %s Yr4'!K116</f>
        <v>0.1</v>
      </c>
      <c r="L116" s="98">
        <f>'Cash Flow %s Yr4'!L116</f>
        <v>0.1</v>
      </c>
      <c r="M116" s="98">
        <f>'Cash Flow %s Yr4'!M116</f>
        <v>0.1</v>
      </c>
      <c r="N116" s="98">
        <f>'Cash Flow %s Yr4'!N116</f>
        <v>0.1</v>
      </c>
      <c r="O116" s="98">
        <f>'Cash Flow %s Yr4'!O116</f>
        <v>0.1</v>
      </c>
      <c r="P116" s="98">
        <f>'Cash Flow %s Yr4'!P116</f>
        <v>0</v>
      </c>
      <c r="Q116" s="98">
        <f>'Cash Flow %s Yr4'!Q116</f>
        <v>0</v>
      </c>
      <c r="R116" s="98">
        <f>'Cash Flow %s Yr4'!R116</f>
        <v>0</v>
      </c>
      <c r="S116" s="97">
        <f t="shared" si="9"/>
        <v>0.99999999999999989</v>
      </c>
    </row>
    <row r="117" spans="1:19" s="31" customFormat="1" x14ac:dyDescent="0.75">
      <c r="A117" s="35"/>
      <c r="B117" s="64" t="str">
        <f>'Expenses w MYP'!C81</f>
        <v>5601</v>
      </c>
      <c r="C117" s="64" t="str">
        <f>'Expenses w MYP'!D81</f>
        <v>Building Maintenance</v>
      </c>
      <c r="D117" s="98">
        <f>'Cash Flow %s Yr4'!D117</f>
        <v>0.05</v>
      </c>
      <c r="E117" s="98">
        <f>'Cash Flow %s Yr4'!E117</f>
        <v>0.05</v>
      </c>
      <c r="F117" s="98">
        <f>'Cash Flow %s Yr4'!F117</f>
        <v>0.09</v>
      </c>
      <c r="G117" s="98">
        <f>'Cash Flow %s Yr4'!G117</f>
        <v>0.09</v>
      </c>
      <c r="H117" s="98">
        <f>'Cash Flow %s Yr4'!H117</f>
        <v>0.09</v>
      </c>
      <c r="I117" s="98">
        <f>'Cash Flow %s Yr4'!I117</f>
        <v>0.09</v>
      </c>
      <c r="J117" s="98">
        <f>'Cash Flow %s Yr4'!J117</f>
        <v>0.09</v>
      </c>
      <c r="K117" s="98">
        <f>'Cash Flow %s Yr4'!K117</f>
        <v>0.09</v>
      </c>
      <c r="L117" s="98">
        <f>'Cash Flow %s Yr4'!L117</f>
        <v>0.09</v>
      </c>
      <c r="M117" s="98">
        <f>'Cash Flow %s Yr4'!M117</f>
        <v>0.09</v>
      </c>
      <c r="N117" s="98">
        <f>'Cash Flow %s Yr4'!N117</f>
        <v>0.09</v>
      </c>
      <c r="O117" s="98">
        <f>'Cash Flow %s Yr4'!O117</f>
        <v>0.09</v>
      </c>
      <c r="P117" s="98">
        <f>'Cash Flow %s Yr4'!P117</f>
        <v>0</v>
      </c>
      <c r="Q117" s="98">
        <f>'Cash Flow %s Yr4'!Q117</f>
        <v>0</v>
      </c>
      <c r="R117" s="98">
        <f>'Cash Flow %s Yr4'!R117</f>
        <v>0</v>
      </c>
      <c r="S117" s="97">
        <f t="shared" si="9"/>
        <v>0.99999999999999978</v>
      </c>
    </row>
    <row r="118" spans="1:19" s="31" customFormat="1" x14ac:dyDescent="0.75">
      <c r="A118" s="35"/>
      <c r="B118" s="64" t="str">
        <f>'Expenses w MYP'!C82</f>
        <v>5602</v>
      </c>
      <c r="C118" s="64" t="str">
        <f>'Expenses w MYP'!D82</f>
        <v>Other Space Rental</v>
      </c>
      <c r="D118" s="98">
        <f>'Cash Flow %s Yr4'!D118</f>
        <v>0.05</v>
      </c>
      <c r="E118" s="98">
        <f>'Cash Flow %s Yr4'!E118</f>
        <v>0.05</v>
      </c>
      <c r="F118" s="98">
        <f>'Cash Flow %s Yr4'!F118</f>
        <v>0.09</v>
      </c>
      <c r="G118" s="98">
        <f>'Cash Flow %s Yr4'!G118</f>
        <v>0.09</v>
      </c>
      <c r="H118" s="98">
        <f>'Cash Flow %s Yr4'!H118</f>
        <v>0.09</v>
      </c>
      <c r="I118" s="98">
        <f>'Cash Flow %s Yr4'!I118</f>
        <v>0.09</v>
      </c>
      <c r="J118" s="98">
        <f>'Cash Flow %s Yr4'!J118</f>
        <v>0.09</v>
      </c>
      <c r="K118" s="98">
        <f>'Cash Flow %s Yr4'!K118</f>
        <v>0.09</v>
      </c>
      <c r="L118" s="98">
        <f>'Cash Flow %s Yr4'!L118</f>
        <v>0.09</v>
      </c>
      <c r="M118" s="98">
        <f>'Cash Flow %s Yr4'!M118</f>
        <v>0.09</v>
      </c>
      <c r="N118" s="98">
        <f>'Cash Flow %s Yr4'!N118</f>
        <v>0.09</v>
      </c>
      <c r="O118" s="98">
        <f>'Cash Flow %s Yr4'!O118</f>
        <v>0.09</v>
      </c>
      <c r="P118" s="98">
        <f>'Cash Flow %s Yr4'!P118</f>
        <v>0</v>
      </c>
      <c r="Q118" s="98">
        <f>'Cash Flow %s Yr4'!Q118</f>
        <v>0</v>
      </c>
      <c r="R118" s="98">
        <f>'Cash Flow %s Yr4'!R118</f>
        <v>0</v>
      </c>
      <c r="S118" s="97">
        <f t="shared" si="9"/>
        <v>0.99999999999999978</v>
      </c>
    </row>
    <row r="119" spans="1:19" s="31" customFormat="1" x14ac:dyDescent="0.75">
      <c r="A119" s="35"/>
      <c r="B119" s="64" t="str">
        <f>'Expenses w MYP'!C83</f>
        <v>5603</v>
      </c>
      <c r="C119" s="64" t="str">
        <f>'Expenses w MYP'!D83</f>
        <v>Engagement Space Rental</v>
      </c>
      <c r="D119" s="98">
        <f>'Cash Flow %s Yr4'!D119</f>
        <v>0</v>
      </c>
      <c r="E119" s="98">
        <f>'Cash Flow %s Yr4'!E119</f>
        <v>0</v>
      </c>
      <c r="F119" s="98">
        <f>'Cash Flow %s Yr4'!F119</f>
        <v>0.1</v>
      </c>
      <c r="G119" s="98">
        <f>'Cash Flow %s Yr4'!G119</f>
        <v>0.1</v>
      </c>
      <c r="H119" s="98">
        <f>'Cash Flow %s Yr4'!H119</f>
        <v>0.1</v>
      </c>
      <c r="I119" s="98">
        <f>'Cash Flow %s Yr4'!I119</f>
        <v>0.1</v>
      </c>
      <c r="J119" s="98">
        <f>'Cash Flow %s Yr4'!J119</f>
        <v>0.1</v>
      </c>
      <c r="K119" s="98">
        <f>'Cash Flow %s Yr4'!K119</f>
        <v>0.1</v>
      </c>
      <c r="L119" s="98">
        <f>'Cash Flow %s Yr4'!L119</f>
        <v>0.1</v>
      </c>
      <c r="M119" s="98">
        <f>'Cash Flow %s Yr4'!M119</f>
        <v>0.1</v>
      </c>
      <c r="N119" s="98">
        <f>'Cash Flow %s Yr4'!N119</f>
        <v>0.1</v>
      </c>
      <c r="O119" s="98">
        <f>'Cash Flow %s Yr4'!O119</f>
        <v>0.1</v>
      </c>
      <c r="P119" s="98">
        <f>'Cash Flow %s Yr4'!P119</f>
        <v>0</v>
      </c>
      <c r="Q119" s="98">
        <f>'Cash Flow %s Yr4'!Q119</f>
        <v>0</v>
      </c>
      <c r="R119" s="98">
        <f>'Cash Flow %s Yr4'!R119</f>
        <v>0</v>
      </c>
      <c r="S119" s="97">
        <f t="shared" si="9"/>
        <v>0.99999999999999989</v>
      </c>
    </row>
    <row r="120" spans="1:19" s="31" customFormat="1" x14ac:dyDescent="0.75">
      <c r="A120" s="35"/>
      <c r="B120" s="64" t="str">
        <f>'Expenses w MYP'!C84</f>
        <v>5610</v>
      </c>
      <c r="C120" s="64" t="str">
        <f>'Expenses w MYP'!D84</f>
        <v>Equipment Repair</v>
      </c>
      <c r="D120" s="98">
        <f>'Cash Flow %s Yr4'!D120</f>
        <v>0</v>
      </c>
      <c r="E120" s="98">
        <f>'Cash Flow %s Yr4'!E120</f>
        <v>0</v>
      </c>
      <c r="F120" s="98">
        <f>'Cash Flow %s Yr4'!F120</f>
        <v>0.1</v>
      </c>
      <c r="G120" s="98">
        <f>'Cash Flow %s Yr4'!G120</f>
        <v>0.1</v>
      </c>
      <c r="H120" s="98">
        <f>'Cash Flow %s Yr4'!H120</f>
        <v>0.1</v>
      </c>
      <c r="I120" s="98">
        <f>'Cash Flow %s Yr4'!I120</f>
        <v>0.1</v>
      </c>
      <c r="J120" s="98">
        <f>'Cash Flow %s Yr4'!J120</f>
        <v>0.1</v>
      </c>
      <c r="K120" s="98">
        <f>'Cash Flow %s Yr4'!K120</f>
        <v>0.1</v>
      </c>
      <c r="L120" s="98">
        <f>'Cash Flow %s Yr4'!L120</f>
        <v>0.1</v>
      </c>
      <c r="M120" s="98">
        <f>'Cash Flow %s Yr4'!M120</f>
        <v>0.1</v>
      </c>
      <c r="N120" s="98">
        <f>'Cash Flow %s Yr4'!N120</f>
        <v>0.1</v>
      </c>
      <c r="O120" s="98">
        <f>'Cash Flow %s Yr4'!O120</f>
        <v>0.1</v>
      </c>
      <c r="P120" s="98">
        <f>'Cash Flow %s Yr4'!P120</f>
        <v>0</v>
      </c>
      <c r="Q120" s="98">
        <f>'Cash Flow %s Yr4'!Q120</f>
        <v>0</v>
      </c>
      <c r="R120" s="98">
        <f>'Cash Flow %s Yr4'!R120</f>
        <v>0</v>
      </c>
      <c r="S120" s="97">
        <f t="shared" si="9"/>
        <v>0.99999999999999989</v>
      </c>
    </row>
    <row r="121" spans="1:19" s="31" customFormat="1" x14ac:dyDescent="0.75">
      <c r="A121" s="35"/>
      <c r="B121" s="64" t="str">
        <f>'Expenses w MYP'!C85</f>
        <v>5800</v>
      </c>
      <c r="C121" s="64" t="str">
        <f>'Expenses w MYP'!D85</f>
        <v>Professional/Consulting Services and Operating Expenditures</v>
      </c>
      <c r="D121" s="98">
        <f>'Cash Flow %s Yr4'!D121</f>
        <v>0</v>
      </c>
      <c r="E121" s="98">
        <f>'Cash Flow %s Yr4'!E121</f>
        <v>0</v>
      </c>
      <c r="F121" s="98">
        <f>'Cash Flow %s Yr4'!F121</f>
        <v>0.1</v>
      </c>
      <c r="G121" s="98">
        <f>'Cash Flow %s Yr4'!G121</f>
        <v>0.1</v>
      </c>
      <c r="H121" s="98">
        <f>'Cash Flow %s Yr4'!H121</f>
        <v>0.1</v>
      </c>
      <c r="I121" s="98">
        <f>'Cash Flow %s Yr4'!I121</f>
        <v>0.1</v>
      </c>
      <c r="J121" s="98">
        <f>'Cash Flow %s Yr4'!J121</f>
        <v>0.1</v>
      </c>
      <c r="K121" s="98">
        <f>'Cash Flow %s Yr4'!K121</f>
        <v>0.1</v>
      </c>
      <c r="L121" s="98">
        <f>'Cash Flow %s Yr4'!L121</f>
        <v>0.1</v>
      </c>
      <c r="M121" s="98">
        <f>'Cash Flow %s Yr4'!M121</f>
        <v>0.1</v>
      </c>
      <c r="N121" s="98">
        <f>'Cash Flow %s Yr4'!N121</f>
        <v>0.1</v>
      </c>
      <c r="O121" s="98">
        <f>'Cash Flow %s Yr4'!O121</f>
        <v>0.1</v>
      </c>
      <c r="P121" s="98">
        <f>'Cash Flow %s Yr4'!P121</f>
        <v>0</v>
      </c>
      <c r="Q121" s="98">
        <f>'Cash Flow %s Yr4'!Q121</f>
        <v>0</v>
      </c>
      <c r="R121" s="98">
        <f>'Cash Flow %s Yr4'!R121</f>
        <v>0</v>
      </c>
      <c r="S121" s="97">
        <f t="shared" si="9"/>
        <v>0.99999999999999989</v>
      </c>
    </row>
    <row r="122" spans="1:19" s="31" customFormat="1" x14ac:dyDescent="0.75">
      <c r="A122" s="35"/>
      <c r="B122" s="64" t="str">
        <f>'Expenses w MYP'!C86</f>
        <v>5803</v>
      </c>
      <c r="C122" s="64" t="str">
        <f>'Expenses w MYP'!D86</f>
        <v>Banking and Payroll Service Fees</v>
      </c>
      <c r="D122" s="98">
        <f>'Cash Flow %s Yr4'!D122</f>
        <v>0.05</v>
      </c>
      <c r="E122" s="98">
        <f>'Cash Flow %s Yr4'!E122</f>
        <v>0.05</v>
      </c>
      <c r="F122" s="98">
        <f>'Cash Flow %s Yr4'!F122</f>
        <v>0.09</v>
      </c>
      <c r="G122" s="98">
        <f>'Cash Flow %s Yr4'!G122</f>
        <v>0.09</v>
      </c>
      <c r="H122" s="98">
        <f>'Cash Flow %s Yr4'!H122</f>
        <v>0.09</v>
      </c>
      <c r="I122" s="98">
        <f>'Cash Flow %s Yr4'!I122</f>
        <v>0.09</v>
      </c>
      <c r="J122" s="98">
        <f>'Cash Flow %s Yr4'!J122</f>
        <v>0.09</v>
      </c>
      <c r="K122" s="98">
        <f>'Cash Flow %s Yr4'!K122</f>
        <v>0.09</v>
      </c>
      <c r="L122" s="98">
        <f>'Cash Flow %s Yr4'!L122</f>
        <v>0.09</v>
      </c>
      <c r="M122" s="98">
        <f>'Cash Flow %s Yr4'!M122</f>
        <v>0.09</v>
      </c>
      <c r="N122" s="98">
        <f>'Cash Flow %s Yr4'!N122</f>
        <v>0.09</v>
      </c>
      <c r="O122" s="98">
        <f>'Cash Flow %s Yr4'!O122</f>
        <v>0.09</v>
      </c>
      <c r="P122" s="98">
        <f>'Cash Flow %s Yr4'!P122</f>
        <v>0</v>
      </c>
      <c r="Q122" s="98">
        <f>'Cash Flow %s Yr4'!Q122</f>
        <v>0</v>
      </c>
      <c r="R122" s="98">
        <f>'Cash Flow %s Yr4'!R122</f>
        <v>0</v>
      </c>
      <c r="S122" s="97">
        <f t="shared" si="9"/>
        <v>0.99999999999999978</v>
      </c>
    </row>
    <row r="123" spans="1:19" s="31" customFormat="1" x14ac:dyDescent="0.75">
      <c r="A123" s="35"/>
      <c r="B123" s="64" t="str">
        <f>'Expenses w MYP'!C87</f>
        <v>5805</v>
      </c>
      <c r="C123" s="64" t="str">
        <f>'Expenses w MYP'!D87</f>
        <v>Legal Fees</v>
      </c>
      <c r="D123" s="98">
        <f>'Cash Flow %s Yr4'!D123</f>
        <v>0.05</v>
      </c>
      <c r="E123" s="98">
        <f>'Cash Flow %s Yr4'!E123</f>
        <v>0.05</v>
      </c>
      <c r="F123" s="98">
        <f>'Cash Flow %s Yr4'!F123</f>
        <v>0.09</v>
      </c>
      <c r="G123" s="98">
        <f>'Cash Flow %s Yr4'!G123</f>
        <v>0.09</v>
      </c>
      <c r="H123" s="98">
        <f>'Cash Flow %s Yr4'!H123</f>
        <v>0.09</v>
      </c>
      <c r="I123" s="98">
        <f>'Cash Flow %s Yr4'!I123</f>
        <v>0.09</v>
      </c>
      <c r="J123" s="98">
        <f>'Cash Flow %s Yr4'!J123</f>
        <v>0.09</v>
      </c>
      <c r="K123" s="98">
        <f>'Cash Flow %s Yr4'!K123</f>
        <v>0.09</v>
      </c>
      <c r="L123" s="98">
        <f>'Cash Flow %s Yr4'!L123</f>
        <v>0.09</v>
      </c>
      <c r="M123" s="98">
        <f>'Cash Flow %s Yr4'!M123</f>
        <v>0.09</v>
      </c>
      <c r="N123" s="98">
        <f>'Cash Flow %s Yr4'!N123</f>
        <v>0.09</v>
      </c>
      <c r="O123" s="98">
        <f>'Cash Flow %s Yr4'!O123</f>
        <v>0.09</v>
      </c>
      <c r="P123" s="98">
        <f>'Cash Flow %s Yr4'!P123</f>
        <v>0</v>
      </c>
      <c r="Q123" s="98">
        <f>'Cash Flow %s Yr4'!Q123</f>
        <v>0</v>
      </c>
      <c r="R123" s="98">
        <f>'Cash Flow %s Yr4'!R123</f>
        <v>0</v>
      </c>
      <c r="S123" s="97">
        <f t="shared" si="9"/>
        <v>0.99999999999999978</v>
      </c>
    </row>
    <row r="124" spans="1:19" s="31" customFormat="1" x14ac:dyDescent="0.75">
      <c r="A124" s="35"/>
      <c r="B124" s="64" t="str">
        <f>'Expenses w MYP'!C88</f>
        <v>5806</v>
      </c>
      <c r="C124" s="64" t="str">
        <f>'Expenses w MYP'!D88</f>
        <v>Audit Services</v>
      </c>
      <c r="D124" s="98">
        <f>'Cash Flow %s Yr4'!D124</f>
        <v>0.05</v>
      </c>
      <c r="E124" s="98">
        <f>'Cash Flow %s Yr4'!E124</f>
        <v>0.05</v>
      </c>
      <c r="F124" s="98">
        <f>'Cash Flow %s Yr4'!F124</f>
        <v>0.09</v>
      </c>
      <c r="G124" s="98">
        <f>'Cash Flow %s Yr4'!G124</f>
        <v>0.09</v>
      </c>
      <c r="H124" s="98">
        <f>'Cash Flow %s Yr4'!H124</f>
        <v>0.09</v>
      </c>
      <c r="I124" s="98">
        <f>'Cash Flow %s Yr4'!I124</f>
        <v>0.09</v>
      </c>
      <c r="J124" s="98">
        <f>'Cash Flow %s Yr4'!J124</f>
        <v>0.09</v>
      </c>
      <c r="K124" s="98">
        <f>'Cash Flow %s Yr4'!K124</f>
        <v>0.09</v>
      </c>
      <c r="L124" s="98">
        <f>'Cash Flow %s Yr4'!L124</f>
        <v>0.09</v>
      </c>
      <c r="M124" s="98">
        <f>'Cash Flow %s Yr4'!M124</f>
        <v>0.09</v>
      </c>
      <c r="N124" s="98">
        <f>'Cash Flow %s Yr4'!N124</f>
        <v>0.09</v>
      </c>
      <c r="O124" s="98">
        <f>'Cash Flow %s Yr4'!O124</f>
        <v>0.09</v>
      </c>
      <c r="P124" s="98">
        <f>'Cash Flow %s Yr4'!P124</f>
        <v>0</v>
      </c>
      <c r="Q124" s="98">
        <f>'Cash Flow %s Yr4'!Q124</f>
        <v>0</v>
      </c>
      <c r="R124" s="98">
        <f>'Cash Flow %s Yr4'!R124</f>
        <v>0</v>
      </c>
      <c r="S124" s="97">
        <f t="shared" si="9"/>
        <v>0.99999999999999978</v>
      </c>
    </row>
    <row r="125" spans="1:19" s="31" customFormat="1" x14ac:dyDescent="0.75">
      <c r="A125" s="35"/>
      <c r="B125" s="64" t="str">
        <f>'Expenses w MYP'!C91</f>
        <v>5810</v>
      </c>
      <c r="C125" s="64" t="str">
        <f>'Expenses w MYP'!D91</f>
        <v>Educational Consultants</v>
      </c>
      <c r="D125" s="98">
        <f>'Cash Flow %s Yr4'!D125</f>
        <v>0.05</v>
      </c>
      <c r="E125" s="98">
        <f>'Cash Flow %s Yr4'!E125</f>
        <v>0.05</v>
      </c>
      <c r="F125" s="98">
        <f>'Cash Flow %s Yr4'!F125</f>
        <v>0.09</v>
      </c>
      <c r="G125" s="98">
        <f>'Cash Flow %s Yr4'!G125</f>
        <v>0.09</v>
      </c>
      <c r="H125" s="98">
        <f>'Cash Flow %s Yr4'!H125</f>
        <v>0.09</v>
      </c>
      <c r="I125" s="98">
        <f>'Cash Flow %s Yr4'!I125</f>
        <v>0.09</v>
      </c>
      <c r="J125" s="98">
        <f>'Cash Flow %s Yr4'!J125</f>
        <v>0.09</v>
      </c>
      <c r="K125" s="98">
        <f>'Cash Flow %s Yr4'!K125</f>
        <v>0.09</v>
      </c>
      <c r="L125" s="98">
        <f>'Cash Flow %s Yr4'!L125</f>
        <v>0.09</v>
      </c>
      <c r="M125" s="98">
        <f>'Cash Flow %s Yr4'!M125</f>
        <v>0.09</v>
      </c>
      <c r="N125" s="98">
        <f>'Cash Flow %s Yr4'!N125</f>
        <v>0.09</v>
      </c>
      <c r="O125" s="98">
        <f>'Cash Flow %s Yr4'!O125</f>
        <v>0.09</v>
      </c>
      <c r="P125" s="98">
        <f>'Cash Flow %s Yr4'!P125</f>
        <v>0</v>
      </c>
      <c r="Q125" s="98">
        <f>'Cash Flow %s Yr4'!Q125</f>
        <v>0</v>
      </c>
      <c r="R125" s="98">
        <f>'Cash Flow %s Yr4'!R125</f>
        <v>0</v>
      </c>
      <c r="S125" s="97">
        <f t="shared" si="9"/>
        <v>0.99999999999999978</v>
      </c>
    </row>
    <row r="126" spans="1:19" s="31" customFormat="1" x14ac:dyDescent="0.75">
      <c r="A126" s="35"/>
      <c r="B126" s="64" t="str">
        <f>'Expenses w MYP'!C92</f>
        <v>5811</v>
      </c>
      <c r="C126" s="64" t="str">
        <f>'Expenses w MYP'!D92</f>
        <v>Student Transportation / Field Trips</v>
      </c>
      <c r="D126" s="98">
        <f>'Cash Flow %s Yr4'!D126</f>
        <v>0.05</v>
      </c>
      <c r="E126" s="98">
        <f>'Cash Flow %s Yr4'!E126</f>
        <v>0.05</v>
      </c>
      <c r="F126" s="98">
        <f>'Cash Flow %s Yr4'!F126</f>
        <v>0.09</v>
      </c>
      <c r="G126" s="98">
        <f>'Cash Flow %s Yr4'!G126</f>
        <v>0.09</v>
      </c>
      <c r="H126" s="98">
        <f>'Cash Flow %s Yr4'!H126</f>
        <v>0.09</v>
      </c>
      <c r="I126" s="98">
        <f>'Cash Flow %s Yr4'!I126</f>
        <v>0.09</v>
      </c>
      <c r="J126" s="98">
        <f>'Cash Flow %s Yr4'!J126</f>
        <v>0.09</v>
      </c>
      <c r="K126" s="98">
        <f>'Cash Flow %s Yr4'!K126</f>
        <v>0.09</v>
      </c>
      <c r="L126" s="98">
        <f>'Cash Flow %s Yr4'!L126</f>
        <v>0.09</v>
      </c>
      <c r="M126" s="98">
        <f>'Cash Flow %s Yr4'!M126</f>
        <v>0.09</v>
      </c>
      <c r="N126" s="98">
        <f>'Cash Flow %s Yr4'!N126</f>
        <v>0.09</v>
      </c>
      <c r="O126" s="98">
        <f>'Cash Flow %s Yr4'!O126</f>
        <v>0.09</v>
      </c>
      <c r="P126" s="98">
        <f>'Cash Flow %s Yr4'!P126</f>
        <v>0</v>
      </c>
      <c r="Q126" s="98">
        <f>'Cash Flow %s Yr4'!Q126</f>
        <v>0</v>
      </c>
      <c r="R126" s="98">
        <f>'Cash Flow %s Yr4'!R126</f>
        <v>0</v>
      </c>
      <c r="S126" s="97">
        <f t="shared" si="9"/>
        <v>0.99999999999999978</v>
      </c>
    </row>
    <row r="127" spans="1:19" s="31" customFormat="1" x14ac:dyDescent="0.75">
      <c r="A127" s="35"/>
      <c r="B127" s="64" t="str">
        <f>'Expenses w MYP'!C94</f>
        <v>5815</v>
      </c>
      <c r="C127" s="64" t="str">
        <f>'Expenses w MYP'!D94</f>
        <v>Advertising / Recruiting</v>
      </c>
      <c r="D127" s="98">
        <f>'Cash Flow %s Yr4'!D127</f>
        <v>0</v>
      </c>
      <c r="E127" s="98">
        <f>'Cash Flow %s Yr4'!E127</f>
        <v>0</v>
      </c>
      <c r="F127" s="98">
        <f>'Cash Flow %s Yr4'!F127</f>
        <v>0.1</v>
      </c>
      <c r="G127" s="98">
        <f>'Cash Flow %s Yr4'!G127</f>
        <v>0.1</v>
      </c>
      <c r="H127" s="98">
        <f>'Cash Flow %s Yr4'!H127</f>
        <v>0.1</v>
      </c>
      <c r="I127" s="98">
        <f>'Cash Flow %s Yr4'!I127</f>
        <v>0.1</v>
      </c>
      <c r="J127" s="98">
        <f>'Cash Flow %s Yr4'!J127</f>
        <v>0.1</v>
      </c>
      <c r="K127" s="98">
        <f>'Cash Flow %s Yr4'!K127</f>
        <v>0.1</v>
      </c>
      <c r="L127" s="98">
        <f>'Cash Flow %s Yr4'!L127</f>
        <v>0.1</v>
      </c>
      <c r="M127" s="98">
        <f>'Cash Flow %s Yr4'!M127</f>
        <v>0.1</v>
      </c>
      <c r="N127" s="98">
        <f>'Cash Flow %s Yr4'!N127</f>
        <v>0.1</v>
      </c>
      <c r="O127" s="98">
        <f>'Cash Flow %s Yr4'!O127</f>
        <v>0.1</v>
      </c>
      <c r="P127" s="98">
        <f>'Cash Flow %s Yr4'!P127</f>
        <v>0</v>
      </c>
      <c r="Q127" s="98">
        <f>'Cash Flow %s Yr4'!Q127</f>
        <v>0</v>
      </c>
      <c r="R127" s="98">
        <f>'Cash Flow %s Yr4'!R127</f>
        <v>0</v>
      </c>
      <c r="S127" s="97">
        <f t="shared" si="9"/>
        <v>0.99999999999999989</v>
      </c>
    </row>
    <row r="128" spans="1:19" s="31" customFormat="1" x14ac:dyDescent="0.75">
      <c r="A128" s="35"/>
      <c r="B128" s="64" t="str">
        <f>'Expenses w MYP'!C95</f>
        <v>5820</v>
      </c>
      <c r="C128" s="64" t="str">
        <f>'Expenses w MYP'!D95</f>
        <v>Fundraising Expense</v>
      </c>
      <c r="D128" s="98">
        <f>'Cash Flow %s Yr4'!D128</f>
        <v>0</v>
      </c>
      <c r="E128" s="98">
        <f>'Cash Flow %s Yr4'!E128</f>
        <v>0</v>
      </c>
      <c r="F128" s="98">
        <f>'Cash Flow %s Yr4'!F128</f>
        <v>0.1</v>
      </c>
      <c r="G128" s="98">
        <f>'Cash Flow %s Yr4'!G128</f>
        <v>0.1</v>
      </c>
      <c r="H128" s="98">
        <f>'Cash Flow %s Yr4'!H128</f>
        <v>0.1</v>
      </c>
      <c r="I128" s="98">
        <f>'Cash Flow %s Yr4'!I128</f>
        <v>0.1</v>
      </c>
      <c r="J128" s="98">
        <f>'Cash Flow %s Yr4'!J128</f>
        <v>0.1</v>
      </c>
      <c r="K128" s="98">
        <f>'Cash Flow %s Yr4'!K128</f>
        <v>0.1</v>
      </c>
      <c r="L128" s="98">
        <f>'Cash Flow %s Yr4'!L128</f>
        <v>0.1</v>
      </c>
      <c r="M128" s="98">
        <f>'Cash Flow %s Yr4'!M128</f>
        <v>0.1</v>
      </c>
      <c r="N128" s="98">
        <f>'Cash Flow %s Yr4'!N128</f>
        <v>0.1</v>
      </c>
      <c r="O128" s="98">
        <f>'Cash Flow %s Yr4'!O128</f>
        <v>0.1</v>
      </c>
      <c r="P128" s="98">
        <f>'Cash Flow %s Yr4'!P128</f>
        <v>0</v>
      </c>
      <c r="Q128" s="98">
        <f>'Cash Flow %s Yr4'!Q128</f>
        <v>0</v>
      </c>
      <c r="R128" s="98">
        <f>'Cash Flow %s Yr4'!R128</f>
        <v>0</v>
      </c>
      <c r="S128" s="97">
        <f t="shared" si="9"/>
        <v>0.99999999999999989</v>
      </c>
    </row>
    <row r="129" spans="1:19" s="31" customFormat="1" x14ac:dyDescent="0.75">
      <c r="A129" s="35"/>
      <c r="B129" s="64" t="str">
        <f>'Expenses w MYP'!C97</f>
        <v>5873</v>
      </c>
      <c r="C129" s="64" t="str">
        <f>'Expenses w MYP'!D97</f>
        <v>Financial Services</v>
      </c>
      <c r="D129" s="98">
        <f>'Cash Flow %s Yr4'!D129</f>
        <v>8.3000000000000004E-2</v>
      </c>
      <c r="E129" s="98">
        <f>'Cash Flow %s Yr4'!E129</f>
        <v>8.3000000000000004E-2</v>
      </c>
      <c r="F129" s="98">
        <f>'Cash Flow %s Yr4'!F129</f>
        <v>8.3000000000000004E-2</v>
      </c>
      <c r="G129" s="98">
        <f>'Cash Flow %s Yr4'!G129</f>
        <v>8.3000000000000004E-2</v>
      </c>
      <c r="H129" s="98">
        <f>'Cash Flow %s Yr4'!H129</f>
        <v>8.3000000000000004E-2</v>
      </c>
      <c r="I129" s="98">
        <f>'Cash Flow %s Yr4'!I129</f>
        <v>8.3000000000000004E-2</v>
      </c>
      <c r="J129" s="98">
        <f>'Cash Flow %s Yr4'!J129</f>
        <v>8.3000000000000004E-2</v>
      </c>
      <c r="K129" s="98">
        <f>'Cash Flow %s Yr4'!K129</f>
        <v>8.3000000000000004E-2</v>
      </c>
      <c r="L129" s="98">
        <f>'Cash Flow %s Yr4'!L129</f>
        <v>8.4000000000000005E-2</v>
      </c>
      <c r="M129" s="98">
        <f>'Cash Flow %s Yr4'!M129</f>
        <v>8.4000000000000005E-2</v>
      </c>
      <c r="N129" s="98">
        <f>'Cash Flow %s Yr4'!N129</f>
        <v>8.4000000000000005E-2</v>
      </c>
      <c r="O129" s="98">
        <f>'Cash Flow %s Yr4'!O129</f>
        <v>8.4000000000000005E-2</v>
      </c>
      <c r="P129" s="98">
        <f>'Cash Flow %s Yr4'!P129</f>
        <v>0</v>
      </c>
      <c r="Q129" s="98">
        <f>'Cash Flow %s Yr4'!Q129</f>
        <v>0</v>
      </c>
      <c r="R129" s="98">
        <f>'Cash Flow %s Yr4'!R129</f>
        <v>0</v>
      </c>
      <c r="S129" s="97">
        <f t="shared" si="9"/>
        <v>0.99999999999999989</v>
      </c>
    </row>
    <row r="130" spans="1:19" s="31" customFormat="1" x14ac:dyDescent="0.75">
      <c r="A130" s="35"/>
      <c r="B130" s="64" t="str">
        <f>'Expenses w MYP'!C98</f>
        <v>5874</v>
      </c>
      <c r="C130" s="64" t="str">
        <f>'Expenses w MYP'!D98</f>
        <v>Personnel Services</v>
      </c>
      <c r="D130" s="98">
        <f>'Cash Flow %s Yr4'!D130</f>
        <v>8.3000000000000004E-2</v>
      </c>
      <c r="E130" s="98">
        <f>'Cash Flow %s Yr4'!E130</f>
        <v>8.3000000000000004E-2</v>
      </c>
      <c r="F130" s="98">
        <f>'Cash Flow %s Yr4'!F130</f>
        <v>8.3000000000000004E-2</v>
      </c>
      <c r="G130" s="98">
        <f>'Cash Flow %s Yr4'!G130</f>
        <v>8.3000000000000004E-2</v>
      </c>
      <c r="H130" s="98">
        <f>'Cash Flow %s Yr4'!H130</f>
        <v>8.3000000000000004E-2</v>
      </c>
      <c r="I130" s="98">
        <f>'Cash Flow %s Yr4'!I130</f>
        <v>8.3000000000000004E-2</v>
      </c>
      <c r="J130" s="98">
        <f>'Cash Flow %s Yr4'!J130</f>
        <v>8.3000000000000004E-2</v>
      </c>
      <c r="K130" s="98">
        <f>'Cash Flow %s Yr4'!K130</f>
        <v>8.3000000000000004E-2</v>
      </c>
      <c r="L130" s="98">
        <f>'Cash Flow %s Yr4'!L130</f>
        <v>8.4000000000000005E-2</v>
      </c>
      <c r="M130" s="98">
        <f>'Cash Flow %s Yr4'!M130</f>
        <v>8.4000000000000005E-2</v>
      </c>
      <c r="N130" s="98">
        <f>'Cash Flow %s Yr4'!N130</f>
        <v>8.4000000000000005E-2</v>
      </c>
      <c r="O130" s="98">
        <f>'Cash Flow %s Yr4'!O130</f>
        <v>8.4000000000000005E-2</v>
      </c>
      <c r="P130" s="98">
        <f>'Cash Flow %s Yr4'!P130</f>
        <v>0</v>
      </c>
      <c r="Q130" s="98">
        <f>'Cash Flow %s Yr4'!Q130</f>
        <v>0</v>
      </c>
      <c r="R130" s="98">
        <f>'Cash Flow %s Yr4'!R130</f>
        <v>0</v>
      </c>
      <c r="S130" s="97">
        <f t="shared" si="9"/>
        <v>0.99999999999999989</v>
      </c>
    </row>
    <row r="131" spans="1:19" s="31" customFormat="1" hidden="1" outlineLevel="1" x14ac:dyDescent="0.75">
      <c r="A131" s="35"/>
      <c r="B131" s="64" t="str">
        <f>'Expenses w MYP'!C99</f>
        <v>5875</v>
      </c>
      <c r="C131" s="64" t="str">
        <f>'Expenses w MYP'!D99</f>
        <v>District Oversight Fee</v>
      </c>
      <c r="D131" s="98">
        <f>'Cash Flow %s Yr4'!D131</f>
        <v>0</v>
      </c>
      <c r="E131" s="98">
        <f>'Cash Flow %s Yr4'!E131</f>
        <v>0</v>
      </c>
      <c r="F131" s="98">
        <f>'Cash Flow %s Yr4'!F131</f>
        <v>0.1</v>
      </c>
      <c r="G131" s="98">
        <f>'Cash Flow %s Yr4'!G131</f>
        <v>0.1</v>
      </c>
      <c r="H131" s="98">
        <f>'Cash Flow %s Yr4'!H131</f>
        <v>0.1</v>
      </c>
      <c r="I131" s="98">
        <f>'Cash Flow %s Yr4'!I131</f>
        <v>0.1</v>
      </c>
      <c r="J131" s="98">
        <f>'Cash Flow %s Yr4'!J131</f>
        <v>0.1</v>
      </c>
      <c r="K131" s="98">
        <f>'Cash Flow %s Yr4'!K131</f>
        <v>0.1</v>
      </c>
      <c r="L131" s="98">
        <f>'Cash Flow %s Yr4'!L131</f>
        <v>0.1</v>
      </c>
      <c r="M131" s="98">
        <f>'Cash Flow %s Yr4'!M131</f>
        <v>0.1</v>
      </c>
      <c r="N131" s="98">
        <f>'Cash Flow %s Yr4'!N131</f>
        <v>0.1</v>
      </c>
      <c r="O131" s="98">
        <f>'Cash Flow %s Yr4'!O131</f>
        <v>0.1</v>
      </c>
      <c r="P131" s="98">
        <f>'Cash Flow %s Yr4'!P131</f>
        <v>0</v>
      </c>
      <c r="Q131" s="98">
        <f>'Cash Flow %s Yr4'!Q131</f>
        <v>0</v>
      </c>
      <c r="R131" s="98">
        <f>'Cash Flow %s Yr4'!R131</f>
        <v>0</v>
      </c>
      <c r="S131" s="97">
        <f t="shared" si="9"/>
        <v>0.99999999999999989</v>
      </c>
    </row>
    <row r="132" spans="1:19" s="31" customFormat="1" hidden="1" outlineLevel="1" x14ac:dyDescent="0.75">
      <c r="A132" s="35"/>
      <c r="B132" s="64" t="str">
        <f>'Expenses w MYP'!C100</f>
        <v>5877</v>
      </c>
      <c r="C132" s="64" t="str">
        <f>'Expenses w MYP'!D100</f>
        <v>IT Services</v>
      </c>
      <c r="D132" s="98">
        <f>'Cash Flow %s Yr4'!D132</f>
        <v>0</v>
      </c>
      <c r="E132" s="98">
        <f>'Cash Flow %s Yr4'!E132</f>
        <v>0</v>
      </c>
      <c r="F132" s="98">
        <f>'Cash Flow %s Yr4'!F132</f>
        <v>0.1</v>
      </c>
      <c r="G132" s="98">
        <f>'Cash Flow %s Yr4'!G132</f>
        <v>0.1</v>
      </c>
      <c r="H132" s="98">
        <f>'Cash Flow %s Yr4'!H132</f>
        <v>0.1</v>
      </c>
      <c r="I132" s="98">
        <f>'Cash Flow %s Yr4'!I132</f>
        <v>0.1</v>
      </c>
      <c r="J132" s="98">
        <f>'Cash Flow %s Yr4'!J132</f>
        <v>0.1</v>
      </c>
      <c r="K132" s="98">
        <f>'Cash Flow %s Yr4'!K132</f>
        <v>0.1</v>
      </c>
      <c r="L132" s="98">
        <f>'Cash Flow %s Yr4'!L132</f>
        <v>0.1</v>
      </c>
      <c r="M132" s="98">
        <f>'Cash Flow %s Yr4'!M132</f>
        <v>0.1</v>
      </c>
      <c r="N132" s="98">
        <f>'Cash Flow %s Yr4'!N132</f>
        <v>0.1</v>
      </c>
      <c r="O132" s="98">
        <f>'Cash Flow %s Yr4'!O132</f>
        <v>0.1</v>
      </c>
      <c r="P132" s="98">
        <f>'Cash Flow %s Yr4'!P132</f>
        <v>0</v>
      </c>
      <c r="Q132" s="98">
        <f>'Cash Flow %s Yr4'!Q132</f>
        <v>0</v>
      </c>
      <c r="R132" s="98">
        <f>'Cash Flow %s Yr4'!R132</f>
        <v>0</v>
      </c>
      <c r="S132" s="97">
        <f t="shared" si="9"/>
        <v>0.99999999999999989</v>
      </c>
    </row>
    <row r="133" spans="1:19" s="31" customFormat="1" hidden="1" outlineLevel="1" x14ac:dyDescent="0.75">
      <c r="A133" s="35"/>
      <c r="B133" s="64" t="str">
        <f>'Expenses w MYP'!C101</f>
        <v>5890</v>
      </c>
      <c r="C133" s="64" t="str">
        <f>'Expenses w MYP'!D101</f>
        <v>Interest Expense / Misc. Fees</v>
      </c>
      <c r="D133" s="98">
        <f>'Cash Flow %s Yr4'!D133</f>
        <v>0</v>
      </c>
      <c r="E133" s="98">
        <f>'Cash Flow %s Yr4'!E133</f>
        <v>0</v>
      </c>
      <c r="F133" s="98">
        <f>'Cash Flow %s Yr4'!F133</f>
        <v>0.1</v>
      </c>
      <c r="G133" s="98">
        <f>'Cash Flow %s Yr4'!G133</f>
        <v>0.1</v>
      </c>
      <c r="H133" s="98">
        <f>'Cash Flow %s Yr4'!H133</f>
        <v>0.1</v>
      </c>
      <c r="I133" s="98">
        <f>'Cash Flow %s Yr4'!I133</f>
        <v>0.1</v>
      </c>
      <c r="J133" s="98">
        <f>'Cash Flow %s Yr4'!J133</f>
        <v>0.1</v>
      </c>
      <c r="K133" s="98">
        <f>'Cash Flow %s Yr4'!K133</f>
        <v>0.1</v>
      </c>
      <c r="L133" s="98">
        <f>'Cash Flow %s Yr4'!L133</f>
        <v>0.1</v>
      </c>
      <c r="M133" s="98">
        <f>'Cash Flow %s Yr4'!M133</f>
        <v>0.1</v>
      </c>
      <c r="N133" s="98">
        <f>'Cash Flow %s Yr4'!N133</f>
        <v>0.1</v>
      </c>
      <c r="O133" s="98">
        <f>'Cash Flow %s Yr4'!O133</f>
        <v>0.1</v>
      </c>
      <c r="P133" s="98">
        <f>'Cash Flow %s Yr4'!P133</f>
        <v>0</v>
      </c>
      <c r="Q133" s="98">
        <f>'Cash Flow %s Yr4'!Q133</f>
        <v>0</v>
      </c>
      <c r="R133" s="98">
        <f>'Cash Flow %s Yr4'!R133</f>
        <v>0</v>
      </c>
      <c r="S133" s="97">
        <f t="shared" si="9"/>
        <v>0.99999999999999989</v>
      </c>
    </row>
    <row r="134" spans="1:19" s="31" customFormat="1" hidden="1" outlineLevel="1" x14ac:dyDescent="0.75">
      <c r="A134" s="35"/>
      <c r="B134" s="64" t="str">
        <f>'Expenses w MYP'!C102</f>
        <v>5891</v>
      </c>
      <c r="C134" s="64" t="str">
        <f>'Expenses w MYP'!D102</f>
        <v>CSC Borrowing Fees</v>
      </c>
      <c r="D134" s="98">
        <f>'Cash Flow %s Yr4'!D134</f>
        <v>0</v>
      </c>
      <c r="E134" s="98">
        <f>'Cash Flow %s Yr4'!E134</f>
        <v>0</v>
      </c>
      <c r="F134" s="98">
        <f>'Cash Flow %s Yr4'!F134</f>
        <v>0.1</v>
      </c>
      <c r="G134" s="98">
        <f>'Cash Flow %s Yr4'!G134</f>
        <v>0.1</v>
      </c>
      <c r="H134" s="98">
        <f>'Cash Flow %s Yr4'!H134</f>
        <v>0.1</v>
      </c>
      <c r="I134" s="98">
        <f>'Cash Flow %s Yr4'!I134</f>
        <v>0.1</v>
      </c>
      <c r="J134" s="98">
        <f>'Cash Flow %s Yr4'!J134</f>
        <v>0.1</v>
      </c>
      <c r="K134" s="98">
        <f>'Cash Flow %s Yr4'!K134</f>
        <v>0.1</v>
      </c>
      <c r="L134" s="98">
        <f>'Cash Flow %s Yr4'!L134</f>
        <v>0.1</v>
      </c>
      <c r="M134" s="98">
        <f>'Cash Flow %s Yr4'!M134</f>
        <v>0.1</v>
      </c>
      <c r="N134" s="98">
        <f>'Cash Flow %s Yr4'!N134</f>
        <v>0.1</v>
      </c>
      <c r="O134" s="98">
        <f>'Cash Flow %s Yr4'!O134</f>
        <v>0.1</v>
      </c>
      <c r="P134" s="98">
        <f>'Cash Flow %s Yr4'!P134</f>
        <v>0</v>
      </c>
      <c r="Q134" s="98">
        <f>'Cash Flow %s Yr4'!Q134</f>
        <v>0</v>
      </c>
      <c r="R134" s="98">
        <f>'Cash Flow %s Yr4'!R134</f>
        <v>0</v>
      </c>
      <c r="S134" s="97">
        <f t="shared" si="9"/>
        <v>0.99999999999999989</v>
      </c>
    </row>
    <row r="135" spans="1:19" s="31" customFormat="1" hidden="1" outlineLevel="1" x14ac:dyDescent="0.75">
      <c r="A135" s="35"/>
      <c r="B135" s="64" t="str">
        <f>'Expenses w MYP'!C103</f>
        <v>5900</v>
      </c>
      <c r="C135" s="64" t="str">
        <f>'Expenses w MYP'!D103</f>
        <v>Communications</v>
      </c>
      <c r="D135" s="98">
        <f>'Cash Flow %s Yr4'!D135</f>
        <v>0</v>
      </c>
      <c r="E135" s="98">
        <f>'Cash Flow %s Yr4'!E135</f>
        <v>0</v>
      </c>
      <c r="F135" s="98">
        <f>'Cash Flow %s Yr4'!F135</f>
        <v>0.1</v>
      </c>
      <c r="G135" s="98">
        <f>'Cash Flow %s Yr4'!G135</f>
        <v>0.1</v>
      </c>
      <c r="H135" s="98">
        <f>'Cash Flow %s Yr4'!H135</f>
        <v>0.1</v>
      </c>
      <c r="I135" s="98">
        <f>'Cash Flow %s Yr4'!I135</f>
        <v>0.1</v>
      </c>
      <c r="J135" s="98">
        <f>'Cash Flow %s Yr4'!J135</f>
        <v>0.1</v>
      </c>
      <c r="K135" s="98">
        <f>'Cash Flow %s Yr4'!K135</f>
        <v>0.1</v>
      </c>
      <c r="L135" s="98">
        <f>'Cash Flow %s Yr4'!L135</f>
        <v>0.1</v>
      </c>
      <c r="M135" s="98">
        <f>'Cash Flow %s Yr4'!M135</f>
        <v>0.1</v>
      </c>
      <c r="N135" s="98">
        <f>'Cash Flow %s Yr4'!N135</f>
        <v>0.1</v>
      </c>
      <c r="O135" s="98">
        <f>'Cash Flow %s Yr4'!O135</f>
        <v>0.1</v>
      </c>
      <c r="P135" s="98">
        <f>'Cash Flow %s Yr4'!P135</f>
        <v>0</v>
      </c>
      <c r="Q135" s="98">
        <f>'Cash Flow %s Yr4'!Q135</f>
        <v>0</v>
      </c>
      <c r="R135" s="98">
        <f>'Cash Flow %s Yr4'!R135</f>
        <v>0</v>
      </c>
      <c r="S135" s="97">
        <f t="shared" si="9"/>
        <v>0.99999999999999989</v>
      </c>
    </row>
    <row r="136" spans="1:19" s="31" customFormat="1" hidden="1" outlineLevel="1" x14ac:dyDescent="0.75">
      <c r="A136" s="35"/>
      <c r="B136" s="64">
        <f>'Expenses w MYP'!C104</f>
        <v>0</v>
      </c>
      <c r="C136" s="64">
        <f>'Expenses w MYP'!D104</f>
        <v>0</v>
      </c>
      <c r="D136" s="98">
        <f>'Cash Flow %s Yr4'!D136</f>
        <v>0</v>
      </c>
      <c r="E136" s="98">
        <f>'Cash Flow %s Yr4'!E136</f>
        <v>0</v>
      </c>
      <c r="F136" s="98">
        <f>'Cash Flow %s Yr4'!F136</f>
        <v>0.1</v>
      </c>
      <c r="G136" s="98">
        <f>'Cash Flow %s Yr4'!G136</f>
        <v>0.1</v>
      </c>
      <c r="H136" s="98">
        <f>'Cash Flow %s Yr4'!H136</f>
        <v>0.1</v>
      </c>
      <c r="I136" s="98">
        <f>'Cash Flow %s Yr4'!I136</f>
        <v>0.1</v>
      </c>
      <c r="J136" s="98">
        <f>'Cash Flow %s Yr4'!J136</f>
        <v>0.1</v>
      </c>
      <c r="K136" s="98">
        <f>'Cash Flow %s Yr4'!K136</f>
        <v>0.1</v>
      </c>
      <c r="L136" s="98">
        <f>'Cash Flow %s Yr4'!L136</f>
        <v>0.1</v>
      </c>
      <c r="M136" s="98">
        <f>'Cash Flow %s Yr4'!M136</f>
        <v>0.1</v>
      </c>
      <c r="N136" s="98">
        <f>'Cash Flow %s Yr4'!N136</f>
        <v>0.1</v>
      </c>
      <c r="O136" s="98">
        <f>'Cash Flow %s Yr4'!O136</f>
        <v>0.1</v>
      </c>
      <c r="P136" s="98">
        <f>'Cash Flow %s Yr4'!P136</f>
        <v>0</v>
      </c>
      <c r="Q136" s="98">
        <f>'Cash Flow %s Yr4'!Q136</f>
        <v>0</v>
      </c>
      <c r="R136" s="98">
        <f>'Cash Flow %s Yr4'!R136</f>
        <v>0</v>
      </c>
      <c r="S136" s="97">
        <f t="shared" si="9"/>
        <v>0.99999999999999989</v>
      </c>
    </row>
    <row r="137" spans="1:19" s="31" customFormat="1" hidden="1" outlineLevel="1" x14ac:dyDescent="0.75">
      <c r="A137" s="35"/>
      <c r="B137" s="64">
        <f>'Expenses w MYP'!C105</f>
        <v>0</v>
      </c>
      <c r="C137" s="64">
        <f>'Expenses w MYP'!D105</f>
        <v>0</v>
      </c>
      <c r="D137" s="98">
        <f>'Cash Flow %s Yr4'!D137</f>
        <v>0</v>
      </c>
      <c r="E137" s="98">
        <f>'Cash Flow %s Yr4'!E137</f>
        <v>0</v>
      </c>
      <c r="F137" s="98">
        <f>'Cash Flow %s Yr4'!F137</f>
        <v>0.1</v>
      </c>
      <c r="G137" s="98">
        <f>'Cash Flow %s Yr4'!G137</f>
        <v>0.1</v>
      </c>
      <c r="H137" s="98">
        <f>'Cash Flow %s Yr4'!H137</f>
        <v>0.1</v>
      </c>
      <c r="I137" s="98">
        <f>'Cash Flow %s Yr4'!I137</f>
        <v>0.1</v>
      </c>
      <c r="J137" s="98">
        <f>'Cash Flow %s Yr4'!J137</f>
        <v>0.1</v>
      </c>
      <c r="K137" s="98">
        <f>'Cash Flow %s Yr4'!K137</f>
        <v>0.1</v>
      </c>
      <c r="L137" s="98">
        <f>'Cash Flow %s Yr4'!L137</f>
        <v>0.1</v>
      </c>
      <c r="M137" s="98">
        <f>'Cash Flow %s Yr4'!M137</f>
        <v>0.1</v>
      </c>
      <c r="N137" s="98">
        <f>'Cash Flow %s Yr4'!N137</f>
        <v>0.1</v>
      </c>
      <c r="O137" s="98">
        <f>'Cash Flow %s Yr4'!O137</f>
        <v>0.1</v>
      </c>
      <c r="P137" s="98">
        <f>'Cash Flow %s Yr4'!P137</f>
        <v>0</v>
      </c>
      <c r="Q137" s="98">
        <f>'Cash Flow %s Yr4'!Q137</f>
        <v>0</v>
      </c>
      <c r="R137" s="98">
        <f>'Cash Flow %s Yr4'!R137</f>
        <v>0</v>
      </c>
      <c r="S137" s="97">
        <f t="shared" si="9"/>
        <v>0.99999999999999989</v>
      </c>
    </row>
    <row r="138" spans="1:19" s="31" customFormat="1" hidden="1" outlineLevel="1" x14ac:dyDescent="0.75">
      <c r="A138" s="35"/>
      <c r="B138" s="64">
        <f>'Expenses w MYP'!C106</f>
        <v>0</v>
      </c>
      <c r="C138" s="64">
        <f>'Expenses w MYP'!D106</f>
        <v>0</v>
      </c>
      <c r="D138" s="98">
        <f>'Cash Flow %s Yr4'!D138</f>
        <v>0</v>
      </c>
      <c r="E138" s="98">
        <f>'Cash Flow %s Yr4'!E138</f>
        <v>0</v>
      </c>
      <c r="F138" s="98">
        <f>'Cash Flow %s Yr4'!F138</f>
        <v>0.1</v>
      </c>
      <c r="G138" s="98">
        <f>'Cash Flow %s Yr4'!G138</f>
        <v>0.1</v>
      </c>
      <c r="H138" s="98">
        <f>'Cash Flow %s Yr4'!H138</f>
        <v>0.1</v>
      </c>
      <c r="I138" s="98">
        <f>'Cash Flow %s Yr4'!I138</f>
        <v>0.1</v>
      </c>
      <c r="J138" s="98">
        <f>'Cash Flow %s Yr4'!J138</f>
        <v>0.1</v>
      </c>
      <c r="K138" s="98">
        <f>'Cash Flow %s Yr4'!K138</f>
        <v>0.1</v>
      </c>
      <c r="L138" s="98">
        <f>'Cash Flow %s Yr4'!L138</f>
        <v>0.1</v>
      </c>
      <c r="M138" s="98">
        <f>'Cash Flow %s Yr4'!M138</f>
        <v>0.1</v>
      </c>
      <c r="N138" s="98">
        <f>'Cash Flow %s Yr4'!N138</f>
        <v>0.1</v>
      </c>
      <c r="O138" s="98">
        <f>'Cash Flow %s Yr4'!O138</f>
        <v>0.1</v>
      </c>
      <c r="P138" s="98">
        <f>'Cash Flow %s Yr4'!P138</f>
        <v>0</v>
      </c>
      <c r="Q138" s="98">
        <f>'Cash Flow %s Yr4'!Q138</f>
        <v>0</v>
      </c>
      <c r="R138" s="98">
        <f>'Cash Flow %s Yr4'!R138</f>
        <v>0</v>
      </c>
      <c r="S138" s="97">
        <f t="shared" si="9"/>
        <v>0.99999999999999989</v>
      </c>
    </row>
    <row r="139" spans="1:19" s="31" customFormat="1" hidden="1" outlineLevel="1" x14ac:dyDescent="0.75">
      <c r="A139" s="35"/>
      <c r="B139" s="64">
        <f>'Expenses w MYP'!C107</f>
        <v>0</v>
      </c>
      <c r="C139" s="64">
        <f>'Expenses w MYP'!D107</f>
        <v>0</v>
      </c>
      <c r="D139" s="98">
        <f>'Cash Flow %s Yr4'!D139</f>
        <v>0</v>
      </c>
      <c r="E139" s="98">
        <f>'Cash Flow %s Yr4'!E139</f>
        <v>0</v>
      </c>
      <c r="F139" s="98">
        <f>'Cash Flow %s Yr4'!F139</f>
        <v>0.1</v>
      </c>
      <c r="G139" s="98">
        <f>'Cash Flow %s Yr4'!G139</f>
        <v>0.1</v>
      </c>
      <c r="H139" s="98">
        <f>'Cash Flow %s Yr4'!H139</f>
        <v>0.1</v>
      </c>
      <c r="I139" s="98">
        <f>'Cash Flow %s Yr4'!I139</f>
        <v>0.1</v>
      </c>
      <c r="J139" s="98">
        <f>'Cash Flow %s Yr4'!J139</f>
        <v>0.1</v>
      </c>
      <c r="K139" s="98">
        <f>'Cash Flow %s Yr4'!K139</f>
        <v>0.1</v>
      </c>
      <c r="L139" s="98">
        <f>'Cash Flow %s Yr4'!L139</f>
        <v>0.1</v>
      </c>
      <c r="M139" s="98">
        <f>'Cash Flow %s Yr4'!M139</f>
        <v>0.1</v>
      </c>
      <c r="N139" s="98">
        <f>'Cash Flow %s Yr4'!N139</f>
        <v>0.1</v>
      </c>
      <c r="O139" s="98">
        <f>'Cash Flow %s Yr4'!O139</f>
        <v>0.1</v>
      </c>
      <c r="P139" s="98">
        <f>'Cash Flow %s Yr4'!P139</f>
        <v>0</v>
      </c>
      <c r="Q139" s="98">
        <f>'Cash Flow %s Yr4'!Q139</f>
        <v>0</v>
      </c>
      <c r="R139" s="98">
        <f>'Cash Flow %s Yr4'!R139</f>
        <v>0</v>
      </c>
      <c r="S139" s="97">
        <f t="shared" si="9"/>
        <v>0.99999999999999989</v>
      </c>
    </row>
    <row r="140" spans="1:19" s="31" customFormat="1" hidden="1" outlineLevel="1" x14ac:dyDescent="0.75">
      <c r="A140" s="35"/>
      <c r="B140" s="64">
        <f>'Expenses w MYP'!C108</f>
        <v>0</v>
      </c>
      <c r="C140" s="64">
        <f>'Expenses w MYP'!D108</f>
        <v>0</v>
      </c>
      <c r="D140" s="98">
        <f>'Cash Flow %s Yr4'!D140</f>
        <v>0</v>
      </c>
      <c r="E140" s="98">
        <f>'Cash Flow %s Yr4'!E140</f>
        <v>0</v>
      </c>
      <c r="F140" s="98">
        <f>'Cash Flow %s Yr4'!F140</f>
        <v>0.1</v>
      </c>
      <c r="G140" s="98">
        <f>'Cash Flow %s Yr4'!G140</f>
        <v>0.1</v>
      </c>
      <c r="H140" s="98">
        <f>'Cash Flow %s Yr4'!H140</f>
        <v>0.1</v>
      </c>
      <c r="I140" s="98">
        <f>'Cash Flow %s Yr4'!I140</f>
        <v>0.1</v>
      </c>
      <c r="J140" s="98">
        <f>'Cash Flow %s Yr4'!J140</f>
        <v>0.1</v>
      </c>
      <c r="K140" s="98">
        <f>'Cash Flow %s Yr4'!K140</f>
        <v>0.1</v>
      </c>
      <c r="L140" s="98">
        <f>'Cash Flow %s Yr4'!L140</f>
        <v>0.1</v>
      </c>
      <c r="M140" s="98">
        <f>'Cash Flow %s Yr4'!M140</f>
        <v>0.1</v>
      </c>
      <c r="N140" s="98">
        <f>'Cash Flow %s Yr4'!N140</f>
        <v>0.1</v>
      </c>
      <c r="O140" s="98">
        <f>'Cash Flow %s Yr4'!O140</f>
        <v>0.1</v>
      </c>
      <c r="P140" s="98">
        <f>'Cash Flow %s Yr4'!P140</f>
        <v>0</v>
      </c>
      <c r="Q140" s="98">
        <f>'Cash Flow %s Yr4'!Q140</f>
        <v>0</v>
      </c>
      <c r="R140" s="98">
        <f>'Cash Flow %s Yr4'!R140</f>
        <v>0</v>
      </c>
      <c r="S140" s="97">
        <f>SUM(D140:R140)</f>
        <v>0.99999999999999989</v>
      </c>
    </row>
    <row r="141" spans="1:19" s="31" customFormat="1" collapsed="1" x14ac:dyDescent="0.75">
      <c r="A141" s="35"/>
      <c r="B141" s="64" t="str">
        <f>'Expenses w MYP'!C109</f>
        <v>5901</v>
      </c>
      <c r="C141" s="64" t="str">
        <f>'Expenses w MYP'!D109</f>
        <v>Scholar Internet Reimbursement</v>
      </c>
      <c r="D141" s="98">
        <f>'Cash Flow %s Yr4'!D141</f>
        <v>0.05</v>
      </c>
      <c r="E141" s="98">
        <f>'Cash Flow %s Yr4'!E141</f>
        <v>0.05</v>
      </c>
      <c r="F141" s="98">
        <f>'Cash Flow %s Yr4'!F141</f>
        <v>0.09</v>
      </c>
      <c r="G141" s="98">
        <f>'Cash Flow %s Yr4'!G141</f>
        <v>0.09</v>
      </c>
      <c r="H141" s="98">
        <f>'Cash Flow %s Yr4'!H141</f>
        <v>0.09</v>
      </c>
      <c r="I141" s="98">
        <f>'Cash Flow %s Yr4'!I141</f>
        <v>0.09</v>
      </c>
      <c r="J141" s="98">
        <f>'Cash Flow %s Yr4'!J141</f>
        <v>0.09</v>
      </c>
      <c r="K141" s="98">
        <f>'Cash Flow %s Yr4'!K141</f>
        <v>0.09</v>
      </c>
      <c r="L141" s="98">
        <f>'Cash Flow %s Yr4'!L141</f>
        <v>0.09</v>
      </c>
      <c r="M141" s="98">
        <f>'Cash Flow %s Yr4'!M141</f>
        <v>0.09</v>
      </c>
      <c r="N141" s="98">
        <f>'Cash Flow %s Yr4'!N141</f>
        <v>0.09</v>
      </c>
      <c r="O141" s="98">
        <f>'Cash Flow %s Yr4'!O141</f>
        <v>0.09</v>
      </c>
      <c r="P141" s="98">
        <f>'Cash Flow %s Yr4'!P141</f>
        <v>0</v>
      </c>
      <c r="Q141" s="98">
        <f>'Cash Flow %s Yr4'!Q141</f>
        <v>0</v>
      </c>
      <c r="R141" s="98">
        <f>'Cash Flow %s Yr4'!R141</f>
        <v>0</v>
      </c>
      <c r="S141" s="97">
        <f>SUM(D141:R141)</f>
        <v>0.99999999999999978</v>
      </c>
    </row>
    <row r="142" spans="1:19" s="31" customFormat="1" x14ac:dyDescent="0.75">
      <c r="A142" s="35"/>
      <c r="B142" s="3"/>
      <c r="C142" s="2"/>
      <c r="D142" s="88"/>
      <c r="E142" s="88"/>
      <c r="F142" s="88"/>
      <c r="G142" s="88"/>
      <c r="H142" s="88"/>
      <c r="I142" s="88"/>
      <c r="J142" s="88"/>
      <c r="K142" s="88"/>
      <c r="L142" s="88"/>
      <c r="M142" s="88"/>
      <c r="N142" s="88"/>
      <c r="O142" s="88"/>
      <c r="P142" s="84"/>
      <c r="Q142" s="84"/>
      <c r="R142" s="84"/>
      <c r="S142" s="97"/>
    </row>
    <row r="143" spans="1:19" s="31" customFormat="1" x14ac:dyDescent="0.75">
      <c r="A143" s="35"/>
      <c r="B143" s="3"/>
      <c r="C143" s="2"/>
      <c r="D143" s="84"/>
      <c r="E143" s="84"/>
      <c r="F143" s="84"/>
      <c r="G143" s="84"/>
      <c r="H143" s="84"/>
      <c r="I143" s="84"/>
      <c r="J143" s="84"/>
      <c r="K143" s="84"/>
      <c r="L143" s="84"/>
      <c r="M143" s="84"/>
      <c r="N143" s="84"/>
      <c r="O143" s="84"/>
      <c r="P143" s="84"/>
      <c r="Q143" s="84"/>
      <c r="R143" s="84"/>
      <c r="S143" s="97"/>
    </row>
    <row r="144" spans="1:19" s="31" customFormat="1" x14ac:dyDescent="0.75">
      <c r="B144" s="34" t="s">
        <v>721</v>
      </c>
      <c r="C144" s="2"/>
      <c r="D144" s="84"/>
      <c r="E144" s="84"/>
      <c r="F144" s="84"/>
      <c r="G144" s="84"/>
      <c r="H144" s="84"/>
      <c r="I144" s="84"/>
      <c r="J144" s="84"/>
      <c r="K144" s="84"/>
      <c r="L144" s="84"/>
      <c r="M144" s="84"/>
      <c r="N144" s="84"/>
      <c r="O144" s="84"/>
      <c r="P144" s="84"/>
      <c r="Q144" s="84"/>
      <c r="R144" s="84"/>
      <c r="S144" s="97"/>
    </row>
    <row r="145" spans="1:24" s="31" customFormat="1" x14ac:dyDescent="0.75">
      <c r="A145" s="35"/>
      <c r="B145" s="64" t="str">
        <f>'Expenses w MYP'!C113</f>
        <v>6900</v>
      </c>
      <c r="C145" s="64" t="str">
        <f>'Expenses w MYP'!D113</f>
        <v xml:space="preserve">Depreciation Expense                                                            </v>
      </c>
      <c r="D145" s="98">
        <f>'Cash Flow %s Yr4'!D145</f>
        <v>0.33</v>
      </c>
      <c r="E145" s="98">
        <f>'Cash Flow %s Yr4'!E145</f>
        <v>0.34</v>
      </c>
      <c r="F145" s="98">
        <f>'Cash Flow %s Yr4'!F145</f>
        <v>0.33</v>
      </c>
      <c r="G145" s="98">
        <f>'Cash Flow %s Yr4'!G145</f>
        <v>0</v>
      </c>
      <c r="H145" s="98">
        <f>'Cash Flow %s Yr4'!H145</f>
        <v>0</v>
      </c>
      <c r="I145" s="98">
        <f>'Cash Flow %s Yr4'!I145</f>
        <v>0</v>
      </c>
      <c r="J145" s="98">
        <f>'Cash Flow %s Yr4'!J145</f>
        <v>0</v>
      </c>
      <c r="K145" s="98">
        <f>'Cash Flow %s Yr4'!K145</f>
        <v>0</v>
      </c>
      <c r="L145" s="98">
        <f>'Cash Flow %s Yr4'!L145</f>
        <v>0</v>
      </c>
      <c r="M145" s="98">
        <f>'Cash Flow %s Yr4'!M145</f>
        <v>0</v>
      </c>
      <c r="N145" s="98">
        <f>'Cash Flow %s Yr4'!N145</f>
        <v>0</v>
      </c>
      <c r="O145" s="98">
        <f>'Cash Flow %s Yr4'!O145</f>
        <v>0</v>
      </c>
      <c r="P145" s="98">
        <f>'Cash Flow %s Yr4'!P145</f>
        <v>0</v>
      </c>
      <c r="Q145" s="98">
        <f>'Cash Flow %s Yr4'!Q145</f>
        <v>0</v>
      </c>
      <c r="R145" s="98">
        <f>'Cash Flow %s Yr4'!R145</f>
        <v>0</v>
      </c>
      <c r="S145" s="97">
        <f>SUM(D145:R145)</f>
        <v>1</v>
      </c>
    </row>
    <row r="146" spans="1:24" s="31" customFormat="1" x14ac:dyDescent="0.75">
      <c r="A146" s="35"/>
      <c r="B146" s="3"/>
      <c r="C146" s="2"/>
      <c r="D146" s="88"/>
      <c r="E146" s="88"/>
      <c r="F146" s="88"/>
      <c r="G146" s="88"/>
      <c r="H146" s="88"/>
      <c r="I146" s="84"/>
      <c r="J146" s="84"/>
      <c r="K146" s="84"/>
      <c r="L146" s="84"/>
      <c r="M146" s="84"/>
      <c r="N146" s="84"/>
      <c r="O146" s="84"/>
      <c r="P146" s="84"/>
      <c r="Q146" s="84"/>
      <c r="R146" s="84"/>
      <c r="S146" s="97"/>
    </row>
    <row r="147" spans="1:24" s="31" customFormat="1" x14ac:dyDescent="0.75">
      <c r="A147" s="35"/>
      <c r="B147" s="3"/>
      <c r="C147" s="2"/>
      <c r="D147" s="84"/>
      <c r="E147" s="91"/>
      <c r="F147" s="91"/>
      <c r="G147" s="84"/>
      <c r="H147" s="84"/>
      <c r="I147" s="84"/>
      <c r="J147" s="84"/>
      <c r="K147" s="84"/>
      <c r="L147" s="84"/>
      <c r="M147" s="84"/>
      <c r="N147" s="84"/>
      <c r="O147" s="84"/>
      <c r="P147" s="84"/>
      <c r="Q147" s="84"/>
      <c r="R147" s="84"/>
      <c r="S147" s="97"/>
    </row>
    <row r="148" spans="1:24" s="31" customFormat="1" x14ac:dyDescent="0.75">
      <c r="B148" s="34" t="s">
        <v>722</v>
      </c>
      <c r="C148" s="2"/>
      <c r="D148" s="84"/>
      <c r="E148" s="91"/>
      <c r="F148" s="91"/>
      <c r="G148" s="84"/>
      <c r="H148" s="84"/>
      <c r="I148" s="84"/>
      <c r="J148" s="84"/>
      <c r="K148" s="84"/>
      <c r="L148" s="84"/>
      <c r="M148" s="84"/>
      <c r="N148" s="84"/>
      <c r="O148" s="84"/>
      <c r="P148" s="84"/>
      <c r="Q148" s="84"/>
      <c r="R148" s="84"/>
      <c r="S148" s="97"/>
    </row>
    <row r="149" spans="1:24" s="31" customFormat="1" x14ac:dyDescent="0.75">
      <c r="A149" s="35"/>
      <c r="B149" s="64" t="str">
        <f>'Expenses w MYP'!C117</f>
        <v>7010</v>
      </c>
      <c r="C149" s="64" t="str">
        <f>'Expenses w MYP'!D117</f>
        <v>Special Education Encroachment</v>
      </c>
      <c r="D149" s="98">
        <f>'Cash Flow %s Yr4'!D149</f>
        <v>0</v>
      </c>
      <c r="E149" s="98">
        <f>'Cash Flow %s Yr4'!E149</f>
        <v>0</v>
      </c>
      <c r="F149" s="98">
        <f>'Cash Flow %s Yr4'!F149</f>
        <v>0.1</v>
      </c>
      <c r="G149" s="98">
        <f>'Cash Flow %s Yr4'!G149</f>
        <v>0.1</v>
      </c>
      <c r="H149" s="98">
        <f>'Cash Flow %s Yr4'!H149</f>
        <v>0.1</v>
      </c>
      <c r="I149" s="98">
        <f>'Cash Flow %s Yr4'!I149</f>
        <v>0.1</v>
      </c>
      <c r="J149" s="98">
        <f>'Cash Flow %s Yr4'!J149</f>
        <v>0.1</v>
      </c>
      <c r="K149" s="98">
        <f>'Cash Flow %s Yr4'!K149</f>
        <v>0.1</v>
      </c>
      <c r="L149" s="98">
        <f>'Cash Flow %s Yr4'!L149</f>
        <v>0.1</v>
      </c>
      <c r="M149" s="98">
        <f>'Cash Flow %s Yr4'!M149</f>
        <v>0.1</v>
      </c>
      <c r="N149" s="98">
        <f>'Cash Flow %s Yr4'!N149</f>
        <v>0.1</v>
      </c>
      <c r="O149" s="98">
        <f>'Cash Flow %s Yr4'!O149</f>
        <v>0.1</v>
      </c>
      <c r="P149" s="98">
        <f>'Cash Flow %s Yr4'!P149</f>
        <v>0</v>
      </c>
      <c r="Q149" s="98">
        <f>'Cash Flow %s Yr4'!Q149</f>
        <v>0</v>
      </c>
      <c r="R149" s="98">
        <f>'Cash Flow %s Yr4'!R149</f>
        <v>0</v>
      </c>
      <c r="S149" s="97">
        <f>SUM(D149:R149)</f>
        <v>0.99999999999999989</v>
      </c>
    </row>
    <row r="150" spans="1:24" s="31" customFormat="1" x14ac:dyDescent="0.75">
      <c r="A150" s="35"/>
      <c r="B150" s="64" t="str">
        <f>'Expenses w MYP'!C118</f>
        <v>7438</v>
      </c>
      <c r="C150" s="64" t="str">
        <f>'Expenses w MYP'!D118</f>
        <v>Debt Service - Interest</v>
      </c>
      <c r="D150" s="98">
        <f>'Cash Flow %s Yr4'!D150</f>
        <v>0</v>
      </c>
      <c r="E150" s="98">
        <f>'Cash Flow %s Yr4'!E150</f>
        <v>0</v>
      </c>
      <c r="F150" s="98">
        <f>'Cash Flow %s Yr4'!F150</f>
        <v>0.1</v>
      </c>
      <c r="G150" s="98">
        <f>'Cash Flow %s Yr4'!G150</f>
        <v>0.1</v>
      </c>
      <c r="H150" s="98">
        <f>'Cash Flow %s Yr4'!H150</f>
        <v>0.1</v>
      </c>
      <c r="I150" s="98">
        <f>'Cash Flow %s Yr4'!I150</f>
        <v>0.1</v>
      </c>
      <c r="J150" s="98">
        <f>'Cash Flow %s Yr4'!J150</f>
        <v>0.1</v>
      </c>
      <c r="K150" s="98">
        <f>'Cash Flow %s Yr4'!K150</f>
        <v>0.1</v>
      </c>
      <c r="L150" s="98">
        <f>'Cash Flow %s Yr4'!L150</f>
        <v>0.1</v>
      </c>
      <c r="M150" s="98">
        <f>'Cash Flow %s Yr4'!M150</f>
        <v>0.1</v>
      </c>
      <c r="N150" s="98">
        <f>'Cash Flow %s Yr4'!N150</f>
        <v>0.1</v>
      </c>
      <c r="O150" s="98">
        <f>'Cash Flow %s Yr4'!O150</f>
        <v>0.1</v>
      </c>
      <c r="P150" s="98">
        <f>'Cash Flow %s Yr4'!P150</f>
        <v>0</v>
      </c>
      <c r="Q150" s="98">
        <f>'Cash Flow %s Yr4'!Q150</f>
        <v>0</v>
      </c>
      <c r="R150" s="98">
        <f>'Cash Flow %s Yr4'!R150</f>
        <v>0</v>
      </c>
      <c r="S150" s="97">
        <f>SUM(D150:R150)</f>
        <v>0.99999999999999989</v>
      </c>
    </row>
    <row r="151" spans="1:24" s="31" customFormat="1" x14ac:dyDescent="0.75">
      <c r="A151" s="35"/>
      <c r="B151" s="39"/>
      <c r="C151" s="1"/>
      <c r="D151" s="92"/>
      <c r="E151" s="92"/>
      <c r="F151" s="92"/>
      <c r="G151" s="92"/>
      <c r="H151" s="92"/>
      <c r="I151" s="92"/>
      <c r="J151" s="92"/>
      <c r="K151" s="92"/>
      <c r="L151" s="92"/>
      <c r="M151" s="92"/>
      <c r="N151" s="92"/>
      <c r="O151" s="92"/>
      <c r="P151" s="92"/>
      <c r="Q151" s="92"/>
      <c r="R151" s="92"/>
      <c r="S151" s="97"/>
    </row>
    <row r="152" spans="1:24" s="31" customFormat="1" x14ac:dyDescent="0.75">
      <c r="A152" s="35"/>
      <c r="B152" s="39"/>
      <c r="C152" s="1"/>
      <c r="D152" s="84"/>
      <c r="E152" s="84"/>
      <c r="F152" s="84"/>
      <c r="G152" s="84"/>
      <c r="H152" s="84"/>
      <c r="I152" s="84"/>
      <c r="J152" s="84"/>
      <c r="K152" s="84"/>
      <c r="L152" s="84"/>
      <c r="M152" s="84"/>
      <c r="N152" s="84"/>
      <c r="O152" s="84"/>
      <c r="P152" s="84"/>
      <c r="Q152" s="84"/>
      <c r="R152" s="84"/>
      <c r="S152" s="97"/>
      <c r="T152" s="134"/>
    </row>
    <row r="153" spans="1:24" s="31" customFormat="1" x14ac:dyDescent="0.75">
      <c r="A153" s="35"/>
      <c r="B153" s="34" t="s">
        <v>818</v>
      </c>
      <c r="C153" s="2"/>
      <c r="D153" s="84"/>
      <c r="E153" s="91"/>
      <c r="F153" s="91"/>
      <c r="G153" s="84"/>
      <c r="H153" s="84"/>
      <c r="I153" s="84"/>
      <c r="J153" s="84"/>
      <c r="K153" s="84"/>
      <c r="L153" s="84"/>
      <c r="M153" s="84"/>
      <c r="N153" s="84"/>
      <c r="O153" s="84"/>
      <c r="P153" s="84"/>
      <c r="Q153" s="84"/>
      <c r="R153" s="84"/>
      <c r="S153" s="97"/>
    </row>
    <row r="154" spans="1:24" s="31" customFormat="1" x14ac:dyDescent="0.75">
      <c r="A154" s="35"/>
      <c r="B154" s="64"/>
      <c r="C154" s="117" t="s">
        <v>819</v>
      </c>
      <c r="D154" s="98">
        <f>'Cash Flow %s Yr4'!D154</f>
        <v>1</v>
      </c>
      <c r="E154" s="98">
        <f>'Cash Flow %s Yr4'!E154</f>
        <v>0</v>
      </c>
      <c r="F154" s="98">
        <f>'Cash Flow %s Yr4'!F154</f>
        <v>0</v>
      </c>
      <c r="G154" s="98">
        <f>'Cash Flow %s Yr4'!G154</f>
        <v>0</v>
      </c>
      <c r="H154" s="98">
        <f>'Cash Flow %s Yr4'!H154</f>
        <v>0</v>
      </c>
      <c r="I154" s="98">
        <f>'Cash Flow %s Yr4'!I154</f>
        <v>0</v>
      </c>
      <c r="J154" s="98">
        <f>'Cash Flow %s Yr4'!J154</f>
        <v>0</v>
      </c>
      <c r="K154" s="98">
        <f>'Cash Flow %s Yr4'!K154</f>
        <v>0</v>
      </c>
      <c r="L154" s="98">
        <f>'Cash Flow %s Yr4'!L154</f>
        <v>0</v>
      </c>
      <c r="M154" s="98">
        <f>'Cash Flow %s Yr4'!M154</f>
        <v>0</v>
      </c>
      <c r="N154" s="98">
        <f>'Cash Flow %s Yr4'!N154</f>
        <v>0</v>
      </c>
      <c r="O154" s="98">
        <f>'Cash Flow %s Yr4'!O154</f>
        <v>0</v>
      </c>
      <c r="P154" s="98">
        <f>'Cash Flow %s Yr4'!P154</f>
        <v>0</v>
      </c>
      <c r="Q154" s="98">
        <f>'Cash Flow %s Yr4'!Q154</f>
        <v>0</v>
      </c>
      <c r="R154" s="98">
        <f>'Cash Flow %s Yr4'!R154</f>
        <v>0</v>
      </c>
      <c r="S154" s="97">
        <f>SUM(D154:R154)</f>
        <v>1</v>
      </c>
      <c r="T154" s="130"/>
      <c r="U154" s="130"/>
      <c r="V154" s="130"/>
      <c r="W154" s="130"/>
      <c r="X154" s="130"/>
    </row>
    <row r="155" spans="1:24" s="31" customFormat="1" x14ac:dyDescent="0.75">
      <c r="A155" s="35"/>
      <c r="B155" s="64"/>
      <c r="C155" s="117" t="s">
        <v>820</v>
      </c>
      <c r="D155" s="98">
        <f>'Cash Flow %s Yr4'!D155</f>
        <v>0.5</v>
      </c>
      <c r="E155" s="98">
        <f>'Cash Flow %s Yr4'!E155</f>
        <v>0.35</v>
      </c>
      <c r="F155" s="98">
        <f>'Cash Flow %s Yr4'!F155</f>
        <v>0.15</v>
      </c>
      <c r="G155" s="98">
        <f>'Cash Flow %s Yr4'!G155</f>
        <v>0</v>
      </c>
      <c r="H155" s="98">
        <f>'Cash Flow %s Yr4'!H155</f>
        <v>0</v>
      </c>
      <c r="I155" s="98">
        <f>'Cash Flow %s Yr4'!I155</f>
        <v>0</v>
      </c>
      <c r="J155" s="98">
        <f>'Cash Flow %s Yr4'!J155</f>
        <v>0</v>
      </c>
      <c r="K155" s="98">
        <f>'Cash Flow %s Yr4'!K155</f>
        <v>0</v>
      </c>
      <c r="L155" s="98">
        <f>'Cash Flow %s Yr4'!L155</f>
        <v>0</v>
      </c>
      <c r="M155" s="98">
        <f>'Cash Flow %s Yr4'!M155</f>
        <v>0</v>
      </c>
      <c r="N155" s="98">
        <f>'Cash Flow %s Yr4'!N155</f>
        <v>0</v>
      </c>
      <c r="O155" s="98">
        <f>'Cash Flow %s Yr4'!O155</f>
        <v>0</v>
      </c>
      <c r="P155" s="98">
        <f>'Cash Flow %s Yr4'!P155</f>
        <v>0</v>
      </c>
      <c r="Q155" s="98">
        <f>'Cash Flow %s Yr4'!Q155</f>
        <v>0</v>
      </c>
      <c r="R155" s="98">
        <f>'Cash Flow %s Yr4'!R155</f>
        <v>0</v>
      </c>
      <c r="S155" s="97">
        <f>SUM(D155:R155)</f>
        <v>1</v>
      </c>
      <c r="T155" s="130"/>
      <c r="U155" s="130"/>
      <c r="V155" s="130"/>
      <c r="W155" s="130"/>
      <c r="X155" s="130"/>
    </row>
    <row r="156" spans="1:24" s="31" customFormat="1" x14ac:dyDescent="0.75">
      <c r="A156" s="35"/>
      <c r="B156" s="64"/>
      <c r="C156" s="117" t="s">
        <v>821</v>
      </c>
      <c r="D156" s="98">
        <f>'Cash Flow %s Yr4'!D156</f>
        <v>0.75</v>
      </c>
      <c r="E156" s="98">
        <f>'Cash Flow %s Yr4'!E156</f>
        <v>0.2</v>
      </c>
      <c r="F156" s="98">
        <f>'Cash Flow %s Yr4'!F156</f>
        <v>0.05</v>
      </c>
      <c r="G156" s="98">
        <f>'Cash Flow %s Yr4'!G156</f>
        <v>0</v>
      </c>
      <c r="H156" s="98">
        <f>'Cash Flow %s Yr4'!H156</f>
        <v>0</v>
      </c>
      <c r="I156" s="98">
        <f>'Cash Flow %s Yr4'!I156</f>
        <v>0</v>
      </c>
      <c r="J156" s="98">
        <f>'Cash Flow %s Yr4'!J156</f>
        <v>0</v>
      </c>
      <c r="K156" s="98">
        <f>'Cash Flow %s Yr4'!K156</f>
        <v>0</v>
      </c>
      <c r="L156" s="98">
        <f>'Cash Flow %s Yr4'!L156</f>
        <v>0</v>
      </c>
      <c r="M156" s="98">
        <f>'Cash Flow %s Yr4'!M156</f>
        <v>0</v>
      </c>
      <c r="N156" s="98">
        <f>'Cash Flow %s Yr4'!N156</f>
        <v>0</v>
      </c>
      <c r="O156" s="98">
        <f>'Cash Flow %s Yr4'!O156</f>
        <v>0</v>
      </c>
      <c r="P156" s="98">
        <f>'Cash Flow %s Yr4'!P156</f>
        <v>0</v>
      </c>
      <c r="Q156" s="98">
        <f>'Cash Flow %s Yr4'!Q156</f>
        <v>0</v>
      </c>
      <c r="R156" s="98">
        <f>'Cash Flow %s Yr4'!R156</f>
        <v>0</v>
      </c>
      <c r="S156" s="97">
        <f>SUM(D156:R156)</f>
        <v>1</v>
      </c>
      <c r="T156" s="130"/>
      <c r="U156" s="130"/>
      <c r="V156" s="130"/>
      <c r="W156" s="130"/>
      <c r="X156" s="130"/>
    </row>
    <row r="157" spans="1:24" s="39" customFormat="1" x14ac:dyDescent="0.75">
      <c r="A157" s="35"/>
      <c r="B157" s="64"/>
      <c r="C157" s="117" t="s">
        <v>822</v>
      </c>
      <c r="D157" s="98">
        <f>'Cash Flow %s Yr4'!D157</f>
        <v>0</v>
      </c>
      <c r="E157" s="98">
        <f>'Cash Flow %s Yr4'!E157</f>
        <v>0</v>
      </c>
      <c r="F157" s="98">
        <f>'Cash Flow %s Yr4'!F157</f>
        <v>0.1</v>
      </c>
      <c r="G157" s="98">
        <f>'Cash Flow %s Yr4'!G157</f>
        <v>0.1</v>
      </c>
      <c r="H157" s="98">
        <f>'Cash Flow %s Yr4'!H157</f>
        <v>0.1</v>
      </c>
      <c r="I157" s="98">
        <f>'Cash Flow %s Yr4'!I157</f>
        <v>0.1</v>
      </c>
      <c r="J157" s="98">
        <f>'Cash Flow %s Yr4'!J157</f>
        <v>0.1</v>
      </c>
      <c r="K157" s="98">
        <f>'Cash Flow %s Yr4'!K157</f>
        <v>0.1</v>
      </c>
      <c r="L157" s="98">
        <f>'Cash Flow %s Yr4'!L157</f>
        <v>0.1</v>
      </c>
      <c r="M157" s="98">
        <f>'Cash Flow %s Yr4'!M157</f>
        <v>0.1</v>
      </c>
      <c r="N157" s="98">
        <f>'Cash Flow %s Yr4'!N157</f>
        <v>0.1</v>
      </c>
      <c r="O157" s="98">
        <f>'Cash Flow %s Yr4'!O157</f>
        <v>0.1</v>
      </c>
      <c r="P157" s="98">
        <f>'Cash Flow %s Yr4'!P157</f>
        <v>0</v>
      </c>
      <c r="Q157" s="98">
        <f>'Cash Flow %s Yr4'!Q157</f>
        <v>0</v>
      </c>
      <c r="R157" s="98">
        <f>'Cash Flow %s Yr4'!R157</f>
        <v>0</v>
      </c>
      <c r="S157" s="97">
        <f>SUM(D157:R157)</f>
        <v>0.99999999999999989</v>
      </c>
      <c r="T157" s="130"/>
      <c r="U157" s="130"/>
      <c r="V157" s="130"/>
      <c r="W157" s="130"/>
      <c r="X157" s="130"/>
    </row>
    <row r="158" spans="1:24" s="39" customFormat="1" x14ac:dyDescent="0.75">
      <c r="A158" s="35"/>
      <c r="C158" s="1"/>
      <c r="D158" s="84"/>
      <c r="E158" s="84"/>
      <c r="F158" s="84"/>
      <c r="G158" s="84"/>
      <c r="H158" s="84"/>
      <c r="I158" s="84"/>
      <c r="J158" s="84"/>
      <c r="K158" s="84"/>
      <c r="L158" s="84"/>
      <c r="M158" s="84"/>
      <c r="N158" s="84"/>
      <c r="O158" s="84"/>
      <c r="P158" s="84"/>
      <c r="Q158" s="84"/>
      <c r="R158" s="84"/>
      <c r="S158" s="161"/>
    </row>
    <row r="159" spans="1:24" s="39" customFormat="1" x14ac:dyDescent="0.75">
      <c r="A159" s="35"/>
      <c r="C159" s="1"/>
      <c r="D159" s="84"/>
      <c r="E159" s="84"/>
      <c r="F159" s="84"/>
      <c r="G159" s="84"/>
      <c r="H159" s="84"/>
      <c r="I159" s="84"/>
      <c r="J159" s="84"/>
      <c r="K159" s="84"/>
      <c r="L159" s="84"/>
      <c r="M159" s="84"/>
      <c r="N159" s="84"/>
      <c r="O159" s="84"/>
      <c r="P159" s="84"/>
      <c r="Q159" s="84"/>
      <c r="R159" s="84"/>
      <c r="S159" s="161"/>
    </row>
    <row r="160" spans="1:24" s="39" customFormat="1" x14ac:dyDescent="0.75">
      <c r="A160" s="35"/>
      <c r="C160" s="1"/>
      <c r="D160" s="84"/>
      <c r="E160" s="84"/>
      <c r="F160" s="84"/>
      <c r="G160" s="84"/>
      <c r="H160" s="84"/>
      <c r="I160" s="84"/>
      <c r="J160" s="84"/>
      <c r="K160" s="84"/>
      <c r="L160" s="84"/>
      <c r="M160" s="84"/>
      <c r="N160" s="84"/>
      <c r="O160" s="84"/>
      <c r="P160" s="84"/>
      <c r="Q160" s="84"/>
      <c r="R160" s="84"/>
      <c r="S160" s="161"/>
    </row>
    <row r="161" spans="1:19" s="39" customFormat="1" x14ac:dyDescent="0.75">
      <c r="A161" s="35"/>
      <c r="C161" s="1"/>
      <c r="D161" s="84"/>
      <c r="E161" s="84"/>
      <c r="F161" s="84"/>
      <c r="G161" s="84"/>
      <c r="H161" s="84"/>
      <c r="I161" s="84"/>
      <c r="J161" s="84"/>
      <c r="K161" s="84"/>
      <c r="L161" s="84"/>
      <c r="M161" s="84"/>
      <c r="N161" s="84"/>
      <c r="O161" s="84"/>
      <c r="P161" s="84"/>
      <c r="Q161" s="84"/>
      <c r="R161" s="84"/>
      <c r="S161" s="161"/>
    </row>
    <row r="162" spans="1:19" s="39" customFormat="1" x14ac:dyDescent="0.75">
      <c r="A162" s="35"/>
      <c r="C162" s="1"/>
      <c r="D162" s="84"/>
      <c r="E162" s="84"/>
      <c r="F162" s="84"/>
      <c r="G162" s="84"/>
      <c r="H162" s="84"/>
      <c r="I162" s="84"/>
      <c r="J162" s="84"/>
      <c r="K162" s="84"/>
      <c r="L162" s="84"/>
      <c r="M162" s="84"/>
      <c r="N162" s="84"/>
      <c r="O162" s="84"/>
      <c r="P162" s="84"/>
      <c r="Q162" s="84"/>
      <c r="R162" s="84"/>
      <c r="S162" s="161"/>
    </row>
    <row r="163" spans="1:19" s="39" customFormat="1" x14ac:dyDescent="0.75">
      <c r="A163" s="35"/>
      <c r="C163" s="1"/>
      <c r="D163" s="84"/>
      <c r="E163" s="84"/>
      <c r="F163" s="84"/>
      <c r="G163" s="84"/>
      <c r="H163" s="84"/>
      <c r="I163" s="84"/>
      <c r="J163" s="84"/>
      <c r="K163" s="84"/>
      <c r="L163" s="84"/>
      <c r="M163" s="84"/>
      <c r="N163" s="84"/>
      <c r="O163" s="84"/>
      <c r="P163" s="84"/>
      <c r="Q163" s="84"/>
      <c r="R163" s="84"/>
      <c r="S163" s="161"/>
    </row>
    <row r="164" spans="1:19" s="39" customFormat="1" x14ac:dyDescent="0.75">
      <c r="A164" s="35"/>
      <c r="C164" s="1"/>
      <c r="D164" s="84"/>
      <c r="E164" s="84"/>
      <c r="F164" s="84"/>
      <c r="G164" s="84"/>
      <c r="H164" s="84"/>
      <c r="I164" s="84"/>
      <c r="J164" s="84"/>
      <c r="K164" s="84"/>
      <c r="L164" s="84"/>
      <c r="M164" s="84"/>
      <c r="N164" s="84"/>
      <c r="O164" s="84"/>
      <c r="P164" s="84"/>
      <c r="Q164" s="84"/>
      <c r="R164" s="84"/>
      <c r="S164" s="161"/>
    </row>
    <row r="165" spans="1:19" s="39" customFormat="1" x14ac:dyDescent="0.75">
      <c r="A165" s="35"/>
      <c r="C165" s="1"/>
      <c r="D165" s="84"/>
      <c r="E165" s="84"/>
      <c r="F165" s="84"/>
      <c r="G165" s="84"/>
      <c r="H165" s="84"/>
      <c r="I165" s="84"/>
      <c r="J165" s="84"/>
      <c r="K165" s="84"/>
      <c r="L165" s="84"/>
      <c r="M165" s="84"/>
      <c r="N165" s="84"/>
      <c r="O165" s="84"/>
      <c r="P165" s="84"/>
      <c r="Q165" s="84"/>
      <c r="R165" s="84"/>
      <c r="S165" s="161"/>
    </row>
    <row r="166" spans="1:19" x14ac:dyDescent="0.75">
      <c r="S166" s="161"/>
    </row>
    <row r="167" spans="1:19" x14ac:dyDescent="0.75">
      <c r="S167" s="161"/>
    </row>
    <row r="168" spans="1:19" x14ac:dyDescent="0.75">
      <c r="S168" s="161"/>
    </row>
    <row r="169" spans="1:19" x14ac:dyDescent="0.75">
      <c r="S169" s="161"/>
    </row>
  </sheetData>
  <pageMargins left="0.25" right="0.25" top="0.5" bottom="0.5" header="0.25" footer="0.25"/>
  <pageSetup scale="58" fitToHeight="3" orientation="landscape" r:id="rId1"/>
  <headerFooter alignWithMargins="0">
    <oddHeader>&amp;A</oddHeader>
    <oddFooter>Page &amp;P</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3" tint="-0.499984740745262"/>
    <pageSetUpPr fitToPage="1"/>
  </sheetPr>
  <dimension ref="A1:S168"/>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12.453125" style="84" customWidth="1"/>
    <col min="19" max="19" width="10.31640625" style="1" bestFit="1" customWidth="1"/>
    <col min="20"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row>
    <row r="2" spans="1:19" ht="17.75" x14ac:dyDescent="0.75">
      <c r="A2" s="21" t="s">
        <v>814</v>
      </c>
    </row>
    <row r="3" spans="1:19" ht="17.75" x14ac:dyDescent="0.75">
      <c r="A3" s="21">
        <f>'Student Info w MYP'!D6</f>
        <v>0</v>
      </c>
    </row>
    <row r="5" spans="1:19" ht="17.75" x14ac:dyDescent="0.75">
      <c r="A5" s="29"/>
      <c r="B5" s="40"/>
      <c r="C5" s="29"/>
      <c r="D5" s="201" t="e">
        <f>'Student Info w MYP'!D63/'Student Info w MYP'!D63</f>
        <v>#VALUE!</v>
      </c>
      <c r="E5" s="85"/>
      <c r="F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109" t="s">
        <v>815</v>
      </c>
      <c r="D8" s="96"/>
      <c r="F8" s="85"/>
      <c r="G8" s="85"/>
      <c r="H8" s="85"/>
      <c r="I8" s="31"/>
      <c r="J8" s="31"/>
      <c r="K8" s="85"/>
      <c r="L8" s="85"/>
      <c r="M8" s="85"/>
      <c r="N8" s="85"/>
      <c r="O8" s="85"/>
      <c r="P8" s="85"/>
      <c r="Q8" s="85"/>
      <c r="R8" s="85"/>
    </row>
    <row r="9" spans="1:19" ht="17.75" hidden="1" x14ac:dyDescent="0.75">
      <c r="A9" s="29"/>
      <c r="B9" s="40"/>
      <c r="D9" s="87"/>
      <c r="E9" s="100"/>
      <c r="F9" s="100"/>
      <c r="G9" s="100"/>
      <c r="H9" s="100"/>
      <c r="I9" s="100"/>
      <c r="J9" s="100"/>
      <c r="K9" s="100"/>
      <c r="L9" s="101"/>
      <c r="M9" s="100"/>
      <c r="N9" s="100"/>
      <c r="O9" s="101"/>
      <c r="P9" s="100"/>
      <c r="Q9" s="98"/>
      <c r="R9" s="98"/>
      <c r="S9" s="97"/>
    </row>
    <row r="10" spans="1:19" ht="17.75" hidden="1" x14ac:dyDescent="0.75">
      <c r="A10" s="29"/>
      <c r="B10" s="40"/>
      <c r="D10" s="87"/>
      <c r="E10" s="102"/>
      <c r="F10" s="102"/>
      <c r="G10" s="100"/>
      <c r="H10" s="102"/>
      <c r="I10" s="102"/>
      <c r="J10" s="100"/>
      <c r="K10" s="102"/>
      <c r="L10" s="101"/>
      <c r="M10" s="103"/>
      <c r="N10" s="103"/>
      <c r="O10" s="103"/>
      <c r="P10" s="104"/>
      <c r="Q10" s="87"/>
      <c r="R10" s="98"/>
      <c r="S10" s="97"/>
    </row>
    <row r="11" spans="1:19" s="31" customFormat="1" ht="17.75" x14ac:dyDescent="0.75">
      <c r="B11" s="68" t="s">
        <v>778</v>
      </c>
      <c r="C11" s="47"/>
      <c r="D11" s="86"/>
      <c r="E11" s="86"/>
      <c r="F11" s="86"/>
      <c r="G11" s="86"/>
      <c r="H11" s="86"/>
      <c r="I11" s="86"/>
      <c r="J11" s="86"/>
      <c r="K11" s="86"/>
      <c r="L11" s="86"/>
      <c r="M11" s="86"/>
      <c r="N11" s="86"/>
      <c r="O11" s="86"/>
      <c r="P11" s="86"/>
      <c r="Q11" s="86"/>
      <c r="R11" s="86"/>
    </row>
    <row r="12" spans="1:19" s="31" customFormat="1" x14ac:dyDescent="0.75">
      <c r="A12" s="48"/>
      <c r="B12" s="63" t="str">
        <f>'Revenue w MYP'!C8</f>
        <v>8011</v>
      </c>
      <c r="C12" s="63" t="str">
        <f>'Revenue w MYP'!D8</f>
        <v>LCFF; state aid portion</v>
      </c>
      <c r="D12" s="62" t="str">
        <f>IF('Revenue w MYP'!$E8="","",IF('Cash Flow %s Yr1'!D12="","",'Cash Flow %s Yr1'!D12*'Revenue w MYP'!$E8)*$D$5)</f>
        <v/>
      </c>
      <c r="E12" s="62" t="str">
        <f>IF('Revenue w MYP'!$E8="","",IF('Cash Flow %s Yr1'!E12="","",'Cash Flow %s Yr1'!E12*'Revenue w MYP'!$E8)*$D$5)</f>
        <v/>
      </c>
      <c r="F12" s="62" t="str">
        <f>IF('Revenue w MYP'!$E8="","",IF('Cash Flow %s Yr1'!F12="","",'Cash Flow %s Yr1'!F12*'Revenue w MYP'!$E8)*$D$5)</f>
        <v/>
      </c>
      <c r="G12" s="62" t="str">
        <f>IF('Revenue w MYP'!$E8="","",IF('Cash Flow %s Yr1'!G12="","",'Cash Flow %s Yr1'!G12*'Revenue w MYP'!$E8)*$D$5)</f>
        <v/>
      </c>
      <c r="H12" s="62" t="str">
        <f>IF('Revenue w MYP'!$E8="","",IF('Cash Flow %s Yr1'!H12="","",'Cash Flow %s Yr1'!H12*'Revenue w MYP'!$E8)*$D$5)</f>
        <v/>
      </c>
      <c r="I12" s="62" t="str">
        <f>IF('Revenue w MYP'!$E8="","",IF('Cash Flow %s Yr1'!I12="","",'Cash Flow %s Yr1'!I12*'Revenue w MYP'!$E8)*$D$5)</f>
        <v/>
      </c>
      <c r="J12" s="62" t="str">
        <f>IF('Revenue w MYP'!$E8="","",IF('Cash Flow %s Yr1'!J12="","",'Cash Flow %s Yr1'!J12*'Revenue w MYP'!$E8)*$D$5)</f>
        <v/>
      </c>
      <c r="K12" s="62" t="str">
        <f>IF('Revenue w MYP'!$E8="","",IF('Cash Flow %s Yr1'!K12="","",'Cash Flow %s Yr1'!K12*'Revenue w MYP'!$E8)*$D$5)</f>
        <v/>
      </c>
      <c r="L12" s="62" t="str">
        <f>IF('Revenue w MYP'!$E8="","",IF('Cash Flow %s Yr1'!L12="","",'Cash Flow %s Yr1'!L12*'Revenue w MYP'!$E8)*(1/$D$5))</f>
        <v/>
      </c>
      <c r="M12" s="62" t="str">
        <f>IF('Revenue w MYP'!$E8="","",IF('Cash Flow %s Yr1'!M12="","",'Cash Flow %s Yr1'!M12*'Revenue w MYP'!$E8)*(1/$D$5))</f>
        <v/>
      </c>
      <c r="N12" s="62" t="str">
        <f>IF('Revenue w MYP'!$E8="","",IF('Cash Flow %s Yr1'!N12="","",'Cash Flow %s Yr1'!N12*'Revenue w MYP'!$E8)*(1/$D$5))</f>
        <v/>
      </c>
      <c r="O12" s="62" t="str">
        <f>IF('Revenue w MYP'!$E8="","",IF('Cash Flow %s Yr1'!O12="","",'Cash Flow %s Yr1'!O12*'Revenue w MYP'!$E8)*(1/$D$5))</f>
        <v/>
      </c>
      <c r="P12" s="62" t="str">
        <f>IF('Revenue w MYP'!$E8="","",IF('Cash Flow %s Yr1'!P12="","0",'Revenue w MYP'!E8-SUM('Cash Flow $s Yr1'!D12:O12)))</f>
        <v/>
      </c>
      <c r="Q12" s="62"/>
      <c r="R12" s="62"/>
      <c r="S12" s="97" t="str">
        <f>IF(SUM(D12:R12)&gt;0,SUM(D12:R12)/'Revenue w MYP'!$E8,"")</f>
        <v/>
      </c>
    </row>
    <row r="13" spans="1:19" s="31" customFormat="1" x14ac:dyDescent="0.75">
      <c r="A13" s="48"/>
      <c r="B13" s="63" t="str">
        <f>'Revenue w MYP'!C9</f>
        <v>8012</v>
      </c>
      <c r="C13" s="63" t="str">
        <f>'Revenue w MYP'!D9</f>
        <v>LCFF; EPA portion</v>
      </c>
      <c r="D13" s="62" t="str">
        <f>IF('Revenue w MYP'!$E9="","",IF('Cash Flow %s Yr1'!D13="","",'Cash Flow %s Yr1'!D13*'Revenue w MYP'!$E9)*$D$5)</f>
        <v/>
      </c>
      <c r="E13" s="62" t="str">
        <f>IF('Revenue w MYP'!$E9="","",IF('Cash Flow %s Yr1'!E13="","",'Cash Flow %s Yr1'!E13*'Revenue w MYP'!$E9)*$D$5)</f>
        <v/>
      </c>
      <c r="F13" s="62" t="str">
        <f>IF('Revenue w MYP'!$E9="","",IF('Cash Flow %s Yr1'!F13="","",'Cash Flow %s Yr1'!F13*'Revenue w MYP'!$E9)*$D$5)</f>
        <v/>
      </c>
      <c r="G13" s="62" t="str">
        <f>IF('Revenue w MYP'!$E9="","",IF('Cash Flow %s Yr1'!G13="","",'Cash Flow %s Yr1'!G13*'Revenue w MYP'!$E9)*$D$5)</f>
        <v/>
      </c>
      <c r="H13" s="62" t="str">
        <f>IF('Revenue w MYP'!$E9="","",IF('Cash Flow %s Yr1'!H13="","",'Cash Flow %s Yr1'!H13*'Revenue w MYP'!$E9)*$D$5)</f>
        <v/>
      </c>
      <c r="I13" s="62" t="str">
        <f>IF('Revenue w MYP'!$E9="","",IF('Cash Flow %s Yr1'!I13="","",'Cash Flow %s Yr1'!I13*'Revenue w MYP'!$E9)*$D$5)</f>
        <v/>
      </c>
      <c r="J13" s="62" t="str">
        <f>IF('Revenue w MYP'!$E9="","",IF('Cash Flow %s Yr1'!J13="","",'Cash Flow %s Yr1'!J13*'Revenue w MYP'!$E9)*$D$5)</f>
        <v/>
      </c>
      <c r="K13" s="62" t="str">
        <f>IF('Revenue w MYP'!$E9="","",IF('Cash Flow %s Yr1'!K13="","",'Cash Flow %s Yr1'!K13*'Revenue w MYP'!$E9)*$D$5)</f>
        <v/>
      </c>
      <c r="L13" s="62" t="str">
        <f>IF('Revenue w MYP'!$E9="","",IF('Cash Flow %s Yr1'!L13="","",'Cash Flow %s Yr1'!L13*'Revenue w MYP'!$E9)*(1/$D$5))</f>
        <v/>
      </c>
      <c r="M13" s="62" t="str">
        <f>IF('Revenue w MYP'!$E9="","",IF('Cash Flow %s Yr1'!M13="","",'Cash Flow %s Yr1'!M13*'Revenue w MYP'!$E9)*(1/$D$5))</f>
        <v/>
      </c>
      <c r="N13" s="62" t="str">
        <f>IF('Revenue w MYP'!$E9="","",IF('Cash Flow %s Yr1'!N13="","",'Cash Flow %s Yr1'!N13*'Revenue w MYP'!$E9)*(1/$D$5))</f>
        <v/>
      </c>
      <c r="O13" s="62" t="str">
        <f>IF('Revenue w MYP'!$E9="","",IF('Cash Flow %s Yr1'!O13="","",'Cash Flow %s Yr1'!O13*'Revenue w MYP'!$E9)*(1/$D$5))</f>
        <v/>
      </c>
      <c r="P13" s="62" t="str">
        <f>IF('Revenue w MYP'!$E9="","",IF('Cash Flow %s Yr1'!P13="","0",'Revenue w MYP'!E9-SUM('Cash Flow $s Yr1'!D13:O13)))</f>
        <v/>
      </c>
      <c r="Q13" s="62"/>
      <c r="R13" s="62"/>
      <c r="S13" s="97" t="str">
        <f>IF(SUM(D13:R13)&gt;0,SUM(D13:R13)/'Revenue w MYP'!$E9,"")</f>
        <v/>
      </c>
    </row>
    <row r="14" spans="1:19" s="31" customFormat="1" x14ac:dyDescent="0.75">
      <c r="A14" s="48"/>
      <c r="B14" s="63" t="str">
        <f>'Revenue w MYP'!C10</f>
        <v>8096</v>
      </c>
      <c r="C14" s="63" t="str">
        <f>'Revenue w MYP'!D10</f>
        <v>In-Lieu of Property Taxes, all grades</v>
      </c>
      <c r="D14" s="62" t="str">
        <f>IF('Revenue w MYP'!$E10="","",IF('Cash Flow %s Yr1'!D14="","",'Cash Flow %s Yr1'!D14*'Revenue w MYP'!$E10)*$D$5)</f>
        <v/>
      </c>
      <c r="E14" s="62" t="str">
        <f>IF('Revenue w MYP'!$E10="","",IF('Cash Flow %s Yr1'!E14="","",'Cash Flow %s Yr1'!E14*'Revenue w MYP'!$E10)*$D$5)</f>
        <v/>
      </c>
      <c r="F14" s="62" t="str">
        <f>IF('Revenue w MYP'!$E10="","",IF('Cash Flow %s Yr1'!F14="","",'Cash Flow %s Yr1'!F14*'Revenue w MYP'!$E10)*$D$5)</f>
        <v/>
      </c>
      <c r="G14" s="62" t="str">
        <f>IF('Revenue w MYP'!$E10="","",IF('Cash Flow %s Yr1'!G14="","",'Cash Flow %s Yr1'!G14*'Revenue w MYP'!$E10)*$D$5)</f>
        <v/>
      </c>
      <c r="H14" s="62" t="str">
        <f>IF('Revenue w MYP'!$E10="","",IF('Cash Flow %s Yr1'!H14="","",'Cash Flow %s Yr1'!H14*'Revenue w MYP'!$E10)*$D$5)</f>
        <v/>
      </c>
      <c r="I14" s="62" t="str">
        <f>IF('Revenue w MYP'!$E10="","",IF('Cash Flow %s Yr1'!I14="","",'Cash Flow %s Yr1'!I14*'Revenue w MYP'!$E10)*$D$5)</f>
        <v/>
      </c>
      <c r="J14" s="62" t="str">
        <f>IF('Revenue w MYP'!$E10="","",IF('Cash Flow %s Yr1'!J14="","",'Cash Flow %s Yr1'!J14*'Revenue w MYP'!$E10)*$D$5)</f>
        <v/>
      </c>
      <c r="K14" s="62" t="str">
        <f>IF('Revenue w MYP'!$E10="","",IF('Cash Flow %s Yr1'!K14="","",'Cash Flow %s Yr1'!K14*'Revenue w MYP'!$E10)*$D$5)</f>
        <v/>
      </c>
      <c r="L14" s="62" t="str">
        <f>IF('Revenue w MYP'!$E10="","",IF('Cash Flow %s Yr1'!L14="","",'Cash Flow %s Yr1'!L14*'Revenue w MYP'!$E10)*(1/$D$5))</f>
        <v/>
      </c>
      <c r="M14" s="62" t="str">
        <f>IF('Revenue w MYP'!$E10="","",IF('Cash Flow %s Yr1'!M14="","",'Cash Flow %s Yr1'!M14*'Revenue w MYP'!$E10)*(1/$D$5))</f>
        <v/>
      </c>
      <c r="N14" s="62" t="str">
        <f>IF('Revenue w MYP'!$E10="","",IF('Cash Flow %s Yr1'!N14="","",'Cash Flow %s Yr1'!N14*'Revenue w MYP'!$E10)*(1/$D$5))</f>
        <v/>
      </c>
      <c r="O14" s="62" t="str">
        <f>IF('Revenue w MYP'!$E10="","",IF('Cash Flow %s Yr1'!O14="","",'Cash Flow %s Yr1'!O14*'Revenue w MYP'!$E10)*(1/$D$5))</f>
        <v/>
      </c>
      <c r="P14" s="62" t="str">
        <f>IF('Revenue w MYP'!$E10="","",IF('Cash Flow %s Yr1'!P14="","0",'Revenue w MYP'!E10-SUM('Cash Flow $s Yr1'!D14:O14)))</f>
        <v/>
      </c>
      <c r="Q14" s="62"/>
      <c r="R14" s="62"/>
      <c r="S14" s="97" t="str">
        <f>IF(SUM(D14:R14)&gt;0,SUM(D14:R14)/'Revenue w MYP'!$E10,"")</f>
        <v/>
      </c>
    </row>
    <row r="15" spans="1:19" s="31" customFormat="1" x14ac:dyDescent="0.75">
      <c r="A15" s="48"/>
      <c r="B15" s="63" t="str">
        <f>'Revenue w MYP'!C11</f>
        <v>8019</v>
      </c>
      <c r="C15" s="63" t="str">
        <f>'Revenue w MYP'!D11</f>
        <v>Prior Year Income / Adjustments</v>
      </c>
      <c r="D15" s="62" t="str">
        <f>IF('Revenue w MYP'!$E11="","",IF('Cash Flow %s Yr1'!D15="","",'Cash Flow %s Yr1'!D15*'Revenue w MYP'!$E11))</f>
        <v/>
      </c>
      <c r="E15" s="62" t="str">
        <f>IF('Revenue w MYP'!$E11="","",IF('Cash Flow %s Yr1'!E15="","",'Cash Flow %s Yr1'!E15*'Revenue w MYP'!$E11))</f>
        <v/>
      </c>
      <c r="F15" s="62" t="str">
        <f>IF('Revenue w MYP'!$E11="","",IF('Cash Flow %s Yr1'!F15="","",'Cash Flow %s Yr1'!F15*'Revenue w MYP'!$E11))</f>
        <v/>
      </c>
      <c r="G15" s="62" t="str">
        <f>IF('Revenue w MYP'!$E11="","",IF('Cash Flow %s Yr1'!G15="","",'Cash Flow %s Yr1'!G15*'Revenue w MYP'!$E11))</f>
        <v/>
      </c>
      <c r="H15" s="62" t="str">
        <f>IF('Revenue w MYP'!$E11="","",IF('Cash Flow %s Yr1'!H15="","",'Cash Flow %s Yr1'!H15*'Revenue w MYP'!$E11))</f>
        <v/>
      </c>
      <c r="I15" s="62" t="str">
        <f>IF('Revenue w MYP'!$E11="","",IF('Cash Flow %s Yr1'!I15="","",'Cash Flow %s Yr1'!I15*'Revenue w MYP'!$E11))</f>
        <v/>
      </c>
      <c r="J15" s="62" t="str">
        <f>IF('Revenue w MYP'!$E11="","",IF('Cash Flow %s Yr1'!J15="","",'Cash Flow %s Yr1'!J15*'Revenue w MYP'!$E11))</f>
        <v/>
      </c>
      <c r="K15" s="62" t="str">
        <f>IF('Revenue w MYP'!$E11="","",IF('Cash Flow %s Yr1'!K15="","",'Cash Flow %s Yr1'!K15*'Revenue w MYP'!$E11))</f>
        <v/>
      </c>
      <c r="L15" s="62" t="str">
        <f>IF('Revenue w MYP'!$E11="","",IF('Cash Flow %s Yr1'!L15="","",'Cash Flow %s Yr1'!L15*'Revenue w MYP'!$E11))</f>
        <v/>
      </c>
      <c r="M15" s="62" t="str">
        <f>IF('Revenue w MYP'!$E11="","",IF('Cash Flow %s Yr1'!M15="","",'Cash Flow %s Yr1'!M15*'Revenue w MYP'!$E11))</f>
        <v/>
      </c>
      <c r="N15" s="62" t="str">
        <f>IF('Revenue w MYP'!$E11="","",IF('Cash Flow %s Yr1'!N15="","",'Cash Flow %s Yr1'!N15*'Revenue w MYP'!$E11))</f>
        <v/>
      </c>
      <c r="O15" s="62" t="str">
        <f>IF('Revenue w MYP'!$E11="","",IF('Cash Flow %s Yr1'!O15="","0",'Cash Flow %s Yr1'!O15*'Revenue w MYP'!$E11))</f>
        <v/>
      </c>
      <c r="P15" s="62" t="str">
        <f>IF('Revenue w MYP'!$E11="","",IF('Cash Flow %s Yr1'!P15="","0",'Cash Flow %s Yr1'!P15*'Revenue w MYP'!$E11))</f>
        <v/>
      </c>
      <c r="Q15" s="62" t="str">
        <f>IF('Revenue w MYP'!$E11="","",IF('Cash Flow %s Yr1'!Q15="","0",'Cash Flow %s Yr1'!Q15*'Revenue w MYP'!$E11))</f>
        <v/>
      </c>
      <c r="R15" s="62" t="str">
        <f>IF('Revenue w MYP'!$E11="","",IF('Cash Flow %s Yr1'!R15="","0",'Cash Flow %s Yr1'!R15*'Revenue w MYP'!$E11))</f>
        <v/>
      </c>
      <c r="S15" s="97" t="str">
        <f>IF(SUM(D15:R15)&gt;0,SUM(D15:R15)/'Revenue w MYP'!$E11,"")</f>
        <v/>
      </c>
    </row>
    <row r="16" spans="1:19" s="31" customFormat="1" x14ac:dyDescent="0.75">
      <c r="A16" s="48"/>
      <c r="B16" s="63" t="str">
        <f>'Revenue w MYP'!C12</f>
        <v>8520</v>
      </c>
      <c r="C16" s="63" t="str">
        <f>'Revenue w MYP'!D12</f>
        <v>State Child Nutrition program</v>
      </c>
      <c r="D16" s="62" t="str">
        <f>IF('Revenue w MYP'!$E12="","",IF('Cash Flow %s Yr1'!D16="","",'Cash Flow %s Yr1'!D16*'Revenue w MYP'!$E12))</f>
        <v/>
      </c>
      <c r="E16" s="62" t="str">
        <f>IF('Revenue w MYP'!$E12="","",IF('Cash Flow %s Yr1'!E16="","",'Cash Flow %s Yr1'!E16*'Revenue w MYP'!$E12))</f>
        <v/>
      </c>
      <c r="F16" s="62" t="str">
        <f>IF('Revenue w MYP'!$E12="","",IF('Cash Flow %s Yr1'!F16="","",'Cash Flow %s Yr1'!F16*'Revenue w MYP'!$E12))</f>
        <v/>
      </c>
      <c r="G16" s="62" t="str">
        <f>IF('Revenue w MYP'!$E12="","",IF('Cash Flow %s Yr1'!G16="","",'Cash Flow %s Yr1'!G16*'Revenue w MYP'!$E12))</f>
        <v/>
      </c>
      <c r="H16" s="62" t="str">
        <f>IF('Revenue w MYP'!$E12="","",IF('Cash Flow %s Yr1'!H16="","",'Cash Flow %s Yr1'!H16*'Revenue w MYP'!$E12))</f>
        <v/>
      </c>
      <c r="I16" s="62" t="str">
        <f>IF('Revenue w MYP'!$E12="","",IF('Cash Flow %s Yr1'!I16="","",'Cash Flow %s Yr1'!I16*'Revenue w MYP'!$E12))</f>
        <v/>
      </c>
      <c r="J16" s="62" t="str">
        <f>IF('Revenue w MYP'!$E12="","",IF('Cash Flow %s Yr1'!J16="","",'Cash Flow %s Yr1'!J16*'Revenue w MYP'!$E12))</f>
        <v/>
      </c>
      <c r="K16" s="62" t="str">
        <f>IF('Revenue w MYP'!$E12="","",IF('Cash Flow %s Yr1'!K16="","",'Cash Flow %s Yr1'!K16*'Revenue w MYP'!$E12))</f>
        <v/>
      </c>
      <c r="L16" s="62" t="str">
        <f>IF('Revenue w MYP'!$E12="","",IF('Cash Flow %s Yr1'!L16="","",'Cash Flow %s Yr1'!L16*'Revenue w MYP'!$E12))</f>
        <v/>
      </c>
      <c r="M16" s="62" t="str">
        <f>IF('Revenue w MYP'!$E12="","",IF('Cash Flow %s Yr1'!M16="","",'Cash Flow %s Yr1'!M16*'Revenue w MYP'!$E12))</f>
        <v/>
      </c>
      <c r="N16" s="62" t="str">
        <f>IF('Revenue w MYP'!$E12="","",IF('Cash Flow %s Yr1'!N16="","",'Cash Flow %s Yr1'!N16*'Revenue w MYP'!$E12))</f>
        <v/>
      </c>
      <c r="O16" s="62" t="str">
        <f>IF('Revenue w MYP'!$E12="","",IF('Cash Flow %s Yr1'!O16="","0",'Cash Flow %s Yr1'!O16*'Revenue w MYP'!$E12))</f>
        <v/>
      </c>
      <c r="P16" s="62" t="str">
        <f>IF('Revenue w MYP'!$E12="","",IF('Cash Flow %s Yr1'!P16="","0",'Cash Flow %s Yr1'!P16*'Revenue w MYP'!$E12))</f>
        <v/>
      </c>
      <c r="Q16" s="62" t="str">
        <f>IF('Revenue w MYP'!$E12="","",IF('Cash Flow %s Yr1'!Q16="","0",'Cash Flow %s Yr1'!Q16*'Revenue w MYP'!$E12))</f>
        <v/>
      </c>
      <c r="R16" s="62" t="str">
        <f>IF('Revenue w MYP'!$E12="","",IF('Cash Flow %s Yr1'!R16="","0",'Cash Flow %s Yr1'!R16*'Revenue w MYP'!$E12))</f>
        <v/>
      </c>
      <c r="S16" s="97" t="str">
        <f>IF(SUM(D16:R16)&gt;0,SUM(D16:R16)/'Revenue w MYP'!$E12,"")</f>
        <v/>
      </c>
    </row>
    <row r="17" spans="1:19" s="31" customFormat="1" x14ac:dyDescent="0.75">
      <c r="A17" s="48"/>
      <c r="B17" s="63" t="str">
        <f>'Revenue w MYP'!C14</f>
        <v>8560</v>
      </c>
      <c r="C17" s="63" t="str">
        <f>'Revenue w MYP'!D14</f>
        <v>Restricted Lottery</v>
      </c>
      <c r="D17" s="62" t="str">
        <f>IF('Revenue w MYP'!$E14="","",IF('Cash Flow %s Yr1'!D17="","",'Cash Flow %s Yr1'!D17*'Revenue w MYP'!$E14))</f>
        <v/>
      </c>
      <c r="E17" s="62" t="str">
        <f>IF('Revenue w MYP'!$E14="","",IF('Cash Flow %s Yr1'!E17="","",'Cash Flow %s Yr1'!E17*'Revenue w MYP'!$E14))</f>
        <v/>
      </c>
      <c r="F17" s="62" t="str">
        <f>IF('Revenue w MYP'!$E14="","",IF('Cash Flow %s Yr1'!F17="","",'Cash Flow %s Yr1'!F17*'Revenue w MYP'!$E14))</f>
        <v/>
      </c>
      <c r="G17" s="62" t="str">
        <f>IF('Revenue w MYP'!$E14="","",IF('Cash Flow %s Yr1'!G17="","",'Cash Flow %s Yr1'!G17*'Revenue w MYP'!$E14))</f>
        <v/>
      </c>
      <c r="H17" s="62" t="str">
        <f>IF('Revenue w MYP'!$E14="","",IF('Cash Flow %s Yr1'!H17="","",'Cash Flow %s Yr1'!H17*'Revenue w MYP'!$E14))</f>
        <v/>
      </c>
      <c r="I17" s="62" t="str">
        <f>IF('Revenue w MYP'!$E14="","",IF('Cash Flow %s Yr1'!I17="","",'Cash Flow %s Yr1'!I17*'Revenue w MYP'!$E14))</f>
        <v/>
      </c>
      <c r="J17" s="62" t="str">
        <f>IF('Revenue w MYP'!$E14="","",IF('Cash Flow %s Yr1'!J17="","",'Cash Flow %s Yr1'!J17*'Revenue w MYP'!$E14))</f>
        <v/>
      </c>
      <c r="K17" s="62" t="str">
        <f>IF('Revenue w MYP'!$E14="","",IF('Cash Flow %s Yr1'!K17="","",'Cash Flow %s Yr1'!K17*'Revenue w MYP'!$E14))</f>
        <v/>
      </c>
      <c r="L17" s="62" t="str">
        <f>IF('Revenue w MYP'!$E14="","",IF('Cash Flow %s Yr1'!L17="","",'Cash Flow %s Yr1'!L17*'Revenue w MYP'!$E14))</f>
        <v/>
      </c>
      <c r="M17" s="62" t="str">
        <f>IF('Revenue w MYP'!$E14="","",IF('Cash Flow %s Yr1'!M17="","",'Cash Flow %s Yr1'!M17*'Revenue w MYP'!$E14))</f>
        <v/>
      </c>
      <c r="N17" s="62" t="str">
        <f>IF('Revenue w MYP'!$E14="","",IF('Cash Flow %s Yr1'!N17="","",'Cash Flow %s Yr1'!N17*'Revenue w MYP'!$E14))</f>
        <v/>
      </c>
      <c r="O17" s="62" t="str">
        <f>IF('Revenue w MYP'!$E14="","",IF('Cash Flow %s Yr1'!O17="","0",'Cash Flow %s Yr1'!O17*'Revenue w MYP'!$E14))</f>
        <v/>
      </c>
      <c r="P17" s="62" t="str">
        <f>IF('Revenue w MYP'!$E14="","",IF('Cash Flow %s Yr1'!P17="","0",'Cash Flow %s Yr1'!P17*'Revenue w MYP'!$E14))</f>
        <v/>
      </c>
      <c r="Q17" s="62" t="str">
        <f>IF('Revenue w MYP'!$E14="","",IF('Cash Flow %s Yr1'!Q17="","0",'Cash Flow %s Yr1'!Q17*'Revenue w MYP'!$E14))</f>
        <v/>
      </c>
      <c r="R17" s="62" t="str">
        <f>IF('Revenue w MYP'!$E14="","",IF('Cash Flow %s Yr1'!R17="","0",'Cash Flow %s Yr1'!R17*'Revenue w MYP'!$E14))</f>
        <v/>
      </c>
      <c r="S17" s="97" t="str">
        <f>IF(SUM(D17:R17)&gt;0,SUM(D17:R17)/'Revenue w MYP'!$E14,"")</f>
        <v/>
      </c>
    </row>
    <row r="18" spans="1:19" s="31" customFormat="1" x14ac:dyDescent="0.75">
      <c r="A18" s="47"/>
      <c r="B18" s="63" t="str">
        <f>'Revenue w MYP'!C15</f>
        <v>8550</v>
      </c>
      <c r="C18" s="63" t="str">
        <f>'Revenue w MYP'!D15</f>
        <v>Mandate Block Grant</v>
      </c>
      <c r="D18" s="62" t="str">
        <f>IF('Revenue w MYP'!$E15="","",IF('Cash Flow %s Yr1'!D18="","",'Cash Flow %s Yr1'!D18*'Revenue w MYP'!$E15))</f>
        <v/>
      </c>
      <c r="E18" s="62" t="str">
        <f>IF('Revenue w MYP'!$E15="","",IF('Cash Flow %s Yr1'!E18="","",'Cash Flow %s Yr1'!E18*'Revenue w MYP'!$E15))</f>
        <v/>
      </c>
      <c r="F18" s="62" t="str">
        <f>IF('Revenue w MYP'!$E15="","",IF('Cash Flow %s Yr1'!F18="","",'Cash Flow %s Yr1'!F18*'Revenue w MYP'!$E15))</f>
        <v/>
      </c>
      <c r="G18" s="62">
        <f>IF('Revenue w MYP'!$E15="","",IF('Cash Flow %s Yr1'!G18="","",'Cash Flow %s Yr1'!G18*'Revenue w MYP'!$E15))</f>
        <v>0</v>
      </c>
      <c r="H18" s="62">
        <f>IF('Revenue w MYP'!$E15="","",IF('Cash Flow %s Yr1'!H18="","",'Cash Flow %s Yr1'!H18*'Revenue w MYP'!$E15))</f>
        <v>0</v>
      </c>
      <c r="I18" s="62">
        <f>IF('Revenue w MYP'!$E15="","",IF('Cash Flow %s Yr1'!I18="","",'Cash Flow %s Yr1'!I18*'Revenue w MYP'!$E15))</f>
        <v>0</v>
      </c>
      <c r="J18" s="62">
        <f>IF('Revenue w MYP'!$E15="","",IF('Cash Flow %s Yr1'!J18="","",'Cash Flow %s Yr1'!J18*'Revenue w MYP'!$E15))</f>
        <v>0</v>
      </c>
      <c r="K18" s="62">
        <f>IF('Revenue w MYP'!$E15="","",IF('Cash Flow %s Yr1'!K18="","",'Cash Flow %s Yr1'!K18*'Revenue w MYP'!$E15))</f>
        <v>0</v>
      </c>
      <c r="L18" s="62">
        <f>IF('Revenue w MYP'!$E15="","",IF('Cash Flow %s Yr1'!L18="","",'Cash Flow %s Yr1'!L18*'Revenue w MYP'!$E15))</f>
        <v>0</v>
      </c>
      <c r="M18" s="62">
        <f>IF('Revenue w MYP'!$E15="","",IF('Cash Flow %s Yr1'!M18="","",'Cash Flow %s Yr1'!M18*'Revenue w MYP'!$E15))</f>
        <v>0</v>
      </c>
      <c r="N18" s="62">
        <f>IF('Revenue w MYP'!$E15="","",IF('Cash Flow %s Yr1'!N18="","",'Cash Flow %s Yr1'!N18*'Revenue w MYP'!$E15))</f>
        <v>0</v>
      </c>
      <c r="O18" s="62">
        <f>IF('Revenue w MYP'!$E15="","",IF('Cash Flow %s Yr1'!O18="","0",'Cash Flow %s Yr1'!O18*'Revenue w MYP'!$E15))</f>
        <v>0</v>
      </c>
      <c r="P18" s="62">
        <f>IF('Revenue w MYP'!$E15="","",IF('Cash Flow %s Yr1'!P18="","0",'Cash Flow %s Yr1'!P18*'Revenue w MYP'!$E15))</f>
        <v>0</v>
      </c>
      <c r="Q18" s="62" t="str">
        <f>IF('Revenue w MYP'!$E15="","",IF('Cash Flow %s Yr1'!Q18="","0",'Cash Flow %s Yr1'!Q18*'Revenue w MYP'!$E15))</f>
        <v>0</v>
      </c>
      <c r="R18" s="62" t="str">
        <f>IF('Revenue w MYP'!$E15="","",IF('Cash Flow %s Yr1'!R18="","0",'Cash Flow %s Yr1'!R18*'Revenue w MYP'!$E15))</f>
        <v>0</v>
      </c>
      <c r="S18" s="97" t="str">
        <f>IF(SUM(D18:R18)&gt;0,SUM(D18:R18)/'Revenue w MYP'!$E15,"")</f>
        <v/>
      </c>
    </row>
    <row r="19" spans="1:19" s="31" customFormat="1" x14ac:dyDescent="0.75">
      <c r="A19" s="48"/>
      <c r="B19" s="63" t="str">
        <f>'Revenue w MYP'!C17</f>
        <v>8590</v>
      </c>
      <c r="C19" s="63" t="str">
        <f>'Revenue w MYP'!D17</f>
        <v>CSEPDBG</v>
      </c>
      <c r="D19" s="62" t="str">
        <f>IF('Revenue w MYP'!$E17="","",IF('Cash Flow %s Yr1'!D19="","",'Cash Flow %s Yr1'!D19*'Revenue w MYP'!$E17))</f>
        <v/>
      </c>
      <c r="E19" s="62" t="str">
        <f>IF('Revenue w MYP'!$E17="","",IF('Cash Flow %s Yr1'!E19="","",'Cash Flow %s Yr1'!E19*'Revenue w MYP'!$E17))</f>
        <v/>
      </c>
      <c r="F19" s="62" t="str">
        <f>IF('Revenue w MYP'!$E17="","",IF('Cash Flow %s Yr1'!F19="","",'Cash Flow %s Yr1'!F19*'Revenue w MYP'!$E17))</f>
        <v/>
      </c>
      <c r="G19" s="62" t="str">
        <f>IF('Revenue w MYP'!$E17="","",IF('Cash Flow %s Yr1'!G19="","",'Cash Flow %s Yr1'!G19*'Revenue w MYP'!$E17))</f>
        <v/>
      </c>
      <c r="H19" s="62" t="str">
        <f>IF('Revenue w MYP'!$E17="","",IF('Cash Flow %s Yr1'!H19="","",'Cash Flow %s Yr1'!H19*'Revenue w MYP'!$E17))</f>
        <v/>
      </c>
      <c r="I19" s="62" t="str">
        <f>IF('Revenue w MYP'!$E17="","",IF('Cash Flow %s Yr1'!I19="","",'Cash Flow %s Yr1'!I19*'Revenue w MYP'!$E17))</f>
        <v/>
      </c>
      <c r="J19" s="62" t="str">
        <f>IF('Revenue w MYP'!$E17="","",IF('Cash Flow %s Yr1'!J19="","",'Cash Flow %s Yr1'!J19*'Revenue w MYP'!$E17))</f>
        <v/>
      </c>
      <c r="K19" s="62" t="str">
        <f>IF('Revenue w MYP'!$E17="","",IF('Cash Flow %s Yr1'!K19="","",'Cash Flow %s Yr1'!K19*'Revenue w MYP'!$E17))</f>
        <v/>
      </c>
      <c r="L19" s="62" t="str">
        <f>IF('Revenue w MYP'!$E17="","",IF('Cash Flow %s Yr1'!L19="","",'Cash Flow %s Yr1'!L19*'Revenue w MYP'!$E17))</f>
        <v/>
      </c>
      <c r="M19" s="62" t="str">
        <f>IF('Revenue w MYP'!$E17="","",IF('Cash Flow %s Yr1'!M19="","",'Cash Flow %s Yr1'!M19*'Revenue w MYP'!$E17))</f>
        <v/>
      </c>
      <c r="N19" s="62" t="str">
        <f>IF('Revenue w MYP'!$E17="","",IF('Cash Flow %s Yr1'!N19="","",'Cash Flow %s Yr1'!N19*'Revenue w MYP'!$E17))</f>
        <v/>
      </c>
      <c r="O19" s="62" t="str">
        <f>IF('Revenue w MYP'!$E17="","",IF('Cash Flow %s Yr1'!O19="","0",'Cash Flow %s Yr1'!O19*'Revenue w MYP'!$E17))</f>
        <v/>
      </c>
      <c r="P19" s="62" t="str">
        <f>IF('Revenue w MYP'!$E17="","",IF('Cash Flow %s Yr1'!P19="","0",'Cash Flow %s Yr1'!P19*'Revenue w MYP'!$E17))</f>
        <v/>
      </c>
      <c r="Q19" s="62" t="str">
        <f>IF('Revenue w MYP'!$E17="","",IF('Cash Flow %s Yr1'!Q19="","0",'Cash Flow %s Yr1'!Q19*'Revenue w MYP'!$E17))</f>
        <v/>
      </c>
      <c r="R19" s="62" t="str">
        <f>IF('Revenue w MYP'!$E17="","",IF('Cash Flow %s Yr1'!R19="","0",'Cash Flow %s Yr1'!R19*'Revenue w MYP'!$E17))</f>
        <v/>
      </c>
      <c r="S19" s="97" t="str">
        <f>IF(SUM(D19:R19)&gt;0,SUM(D19:R19)/'Revenue w MYP'!$E17,"")</f>
        <v/>
      </c>
    </row>
    <row r="20" spans="1:19" s="31" customFormat="1" ht="17.75" x14ac:dyDescent="0.75">
      <c r="A20" s="29"/>
      <c r="B20" s="63" t="str">
        <f>'Revenue w MYP'!C18</f>
        <v>8550</v>
      </c>
      <c r="C20" s="63" t="str">
        <f>'Revenue w MYP'!D18</f>
        <v>One Time Mandate Block Grant</v>
      </c>
      <c r="D20" s="62" t="str">
        <f>IF('Revenue w MYP'!$E18="","",IF('Cash Flow %s Yr1'!D20="","",'Cash Flow %s Yr1'!D20*'Revenue w MYP'!$E18))</f>
        <v/>
      </c>
      <c r="E20" s="62" t="str">
        <f>IF('Revenue w MYP'!$E18="","",IF('Cash Flow %s Yr1'!E20="","",'Cash Flow %s Yr1'!E20*'Revenue w MYP'!$E18))</f>
        <v/>
      </c>
      <c r="F20" s="62" t="str">
        <f>IF('Revenue w MYP'!$E18="","",IF('Cash Flow %s Yr1'!F20="","",'Cash Flow %s Yr1'!F20*'Revenue w MYP'!$E18))</f>
        <v/>
      </c>
      <c r="G20" s="62" t="str">
        <f>IF('Revenue w MYP'!$E18="","",IF('Cash Flow %s Yr1'!G20="","",'Cash Flow %s Yr1'!G20*'Revenue w MYP'!$E18))</f>
        <v/>
      </c>
      <c r="H20" s="62" t="str">
        <f>IF('Revenue w MYP'!$E18="","",IF('Cash Flow %s Yr1'!H20="","",'Cash Flow %s Yr1'!H20*'Revenue w MYP'!$E18))</f>
        <v/>
      </c>
      <c r="I20" s="62" t="str">
        <f>IF('Revenue w MYP'!$E18="","",IF('Cash Flow %s Yr1'!I20="","",'Cash Flow %s Yr1'!I20*'Revenue w MYP'!$E18))</f>
        <v/>
      </c>
      <c r="J20" s="62" t="str">
        <f>IF('Revenue w MYP'!$E18="","",IF('Cash Flow %s Yr1'!J20="","",'Cash Flow %s Yr1'!J20*'Revenue w MYP'!$E18))</f>
        <v/>
      </c>
      <c r="K20" s="62" t="str">
        <f>IF('Revenue w MYP'!$E18="","",IF('Cash Flow %s Yr1'!K20="","",'Cash Flow %s Yr1'!K20*'Revenue w MYP'!$E18))</f>
        <v/>
      </c>
      <c r="L20" s="62" t="str">
        <f>IF('Revenue w MYP'!$E18="","",IF('Cash Flow %s Yr1'!L20="","",'Cash Flow %s Yr1'!L20*'Revenue w MYP'!$E18))</f>
        <v/>
      </c>
      <c r="M20" s="62" t="str">
        <f>IF('Revenue w MYP'!$E18="","",IF('Cash Flow %s Yr1'!M20="","",'Cash Flow %s Yr1'!M20*'Revenue w MYP'!$E18))</f>
        <v/>
      </c>
      <c r="N20" s="62" t="str">
        <f>IF('Revenue w MYP'!$E18="","",IF('Cash Flow %s Yr1'!N20="","",'Cash Flow %s Yr1'!N20*'Revenue w MYP'!$E18))</f>
        <v/>
      </c>
      <c r="O20" s="62" t="str">
        <f>IF('Revenue w MYP'!$E18="","",IF('Cash Flow %s Yr1'!O20="","0",'Cash Flow %s Yr1'!O20*'Revenue w MYP'!$E18))</f>
        <v/>
      </c>
      <c r="P20" s="62" t="str">
        <f>IF('Revenue w MYP'!$E18="","",IF('Cash Flow %s Yr1'!P20="","0",'Cash Flow %s Yr1'!P20*'Revenue w MYP'!$E18))</f>
        <v/>
      </c>
      <c r="Q20" s="62" t="str">
        <f>IF('Revenue w MYP'!$E18="","",IF('Cash Flow %s Yr1'!Q20="","0",'Cash Flow %s Yr1'!Q20*'Revenue w MYP'!$E18))</f>
        <v/>
      </c>
      <c r="R20" s="62" t="str">
        <f>IF('Revenue w MYP'!$E18="","",IF('Cash Flow %s Yr1'!R20="","0",'Cash Flow %s Yr1'!R20*'Revenue w MYP'!$E18))</f>
        <v/>
      </c>
      <c r="S20" s="97" t="str">
        <f>IF(SUM(D20:R20)&gt;0,SUM(D20:R20)/'Revenue w MYP'!$E18,"")</f>
        <v/>
      </c>
    </row>
    <row r="21" spans="1:19" s="31" customFormat="1" ht="17.75" x14ac:dyDescent="0.75">
      <c r="A21" s="29"/>
      <c r="B21" s="63" t="str">
        <f>'Revenue w MYP'!C19</f>
        <v>8599</v>
      </c>
      <c r="C21" s="63" t="str">
        <f>'Revenue w MYP'!D19</f>
        <v>Prior Year State Income</v>
      </c>
      <c r="D21" s="62" t="str">
        <f>IF('Revenue w MYP'!$E19="","",IF('Cash Flow %s Yr1'!D21="","",'Cash Flow %s Yr1'!D21*'Revenue w MYP'!$E19))</f>
        <v/>
      </c>
      <c r="E21" s="62" t="str">
        <f>IF('Revenue w MYP'!$E19="","",IF('Cash Flow %s Yr1'!E21="","",'Cash Flow %s Yr1'!E21*'Revenue w MYP'!$E19))</f>
        <v/>
      </c>
      <c r="F21" s="62" t="str">
        <f>IF('Revenue w MYP'!$E19="","",IF('Cash Flow %s Yr1'!F21="","",'Cash Flow %s Yr1'!F21*'Revenue w MYP'!$E19))</f>
        <v/>
      </c>
      <c r="G21" s="62" t="str">
        <f>IF('Revenue w MYP'!$E19="","",IF('Cash Flow %s Yr1'!G21="","",'Cash Flow %s Yr1'!G21*'Revenue w MYP'!$E19))</f>
        <v/>
      </c>
      <c r="H21" s="62" t="str">
        <f>IF('Revenue w MYP'!$E19="","",IF('Cash Flow %s Yr1'!H21="","",'Cash Flow %s Yr1'!H21*'Revenue w MYP'!$E19))</f>
        <v/>
      </c>
      <c r="I21" s="62" t="str">
        <f>IF('Revenue w MYP'!$E19="","",IF('Cash Flow %s Yr1'!I21="","",'Cash Flow %s Yr1'!I21*'Revenue w MYP'!$E19))</f>
        <v/>
      </c>
      <c r="J21" s="62" t="str">
        <f>IF('Revenue w MYP'!$E19="","",IF('Cash Flow %s Yr1'!J21="","",'Cash Flow %s Yr1'!J21*'Revenue w MYP'!$E19))</f>
        <v/>
      </c>
      <c r="K21" s="62" t="str">
        <f>IF('Revenue w MYP'!$E19="","",IF('Cash Flow %s Yr1'!K21="","",'Cash Flow %s Yr1'!K21*'Revenue w MYP'!$E19))</f>
        <v/>
      </c>
      <c r="L21" s="62" t="str">
        <f>IF('Revenue w MYP'!$E19="","",IF('Cash Flow %s Yr1'!L21="","",'Cash Flow %s Yr1'!L21*'Revenue w MYP'!$E19))</f>
        <v/>
      </c>
      <c r="M21" s="62" t="str">
        <f>IF('Revenue w MYP'!$E19="","",IF('Cash Flow %s Yr1'!M21="","",'Cash Flow %s Yr1'!M21*'Revenue w MYP'!$E19))</f>
        <v/>
      </c>
      <c r="N21" s="62" t="str">
        <f>IF('Revenue w MYP'!$E19="","",IF('Cash Flow %s Yr1'!N21="","",'Cash Flow %s Yr1'!N21*'Revenue w MYP'!$E19))</f>
        <v/>
      </c>
      <c r="O21" s="62" t="str">
        <f>IF('Revenue w MYP'!$E19="","",IF('Cash Flow %s Yr1'!O21="","0",'Cash Flow %s Yr1'!O21*'Revenue w MYP'!$E19))</f>
        <v/>
      </c>
      <c r="P21" s="62" t="str">
        <f>IF('Revenue w MYP'!$E19="","",IF('Cash Flow %s Yr1'!P21="","0",'Cash Flow %s Yr1'!P21*'Revenue w MYP'!$E19))</f>
        <v/>
      </c>
      <c r="Q21" s="62" t="str">
        <f>IF('Revenue w MYP'!$E19="","",IF('Cash Flow %s Yr1'!Q21="","0",'Cash Flow %s Yr1'!Q21*'Revenue w MYP'!$E19))</f>
        <v/>
      </c>
      <c r="R21" s="62" t="str">
        <f>IF('Revenue w MYP'!$E19="","",IF('Cash Flow %s Yr1'!R21="","0",'Cash Flow %s Yr1'!R21*'Revenue w MYP'!$E19))</f>
        <v/>
      </c>
      <c r="S21" s="97" t="str">
        <f>IF(SUM(D21:R21)&gt;0,SUM(D21:R21)/'Revenue w MYP'!$E19,"")</f>
        <v/>
      </c>
    </row>
    <row r="22" spans="1:19" s="31" customFormat="1" ht="17.75" x14ac:dyDescent="0.75">
      <c r="A22" s="29"/>
      <c r="B22" s="70"/>
      <c r="C22" s="34" t="s">
        <v>719</v>
      </c>
      <c r="D22" s="153">
        <f t="shared" ref="D22:R22" si="0">SUM(D12:D21)</f>
        <v>0</v>
      </c>
      <c r="E22" s="153">
        <f t="shared" si="0"/>
        <v>0</v>
      </c>
      <c r="F22" s="153">
        <f t="shared" si="0"/>
        <v>0</v>
      </c>
      <c r="G22" s="153">
        <f t="shared" si="0"/>
        <v>0</v>
      </c>
      <c r="H22" s="153">
        <f t="shared" si="0"/>
        <v>0</v>
      </c>
      <c r="I22" s="153">
        <f t="shared" si="0"/>
        <v>0</v>
      </c>
      <c r="J22" s="153">
        <f t="shared" si="0"/>
        <v>0</v>
      </c>
      <c r="K22" s="153">
        <f t="shared" si="0"/>
        <v>0</v>
      </c>
      <c r="L22" s="153">
        <f t="shared" si="0"/>
        <v>0</v>
      </c>
      <c r="M22" s="153">
        <f t="shared" si="0"/>
        <v>0</v>
      </c>
      <c r="N22" s="153">
        <f t="shared" si="0"/>
        <v>0</v>
      </c>
      <c r="O22" s="153">
        <f t="shared" si="0"/>
        <v>0</v>
      </c>
      <c r="P22" s="153">
        <f t="shared" si="0"/>
        <v>0</v>
      </c>
      <c r="Q22" s="153">
        <f t="shared" si="0"/>
        <v>0</v>
      </c>
      <c r="R22" s="153">
        <f t="shared" si="0"/>
        <v>0</v>
      </c>
      <c r="S22" s="97"/>
    </row>
    <row r="23" spans="1:19" s="31" customFormat="1" ht="17.75" x14ac:dyDescent="0.75">
      <c r="A23" s="29"/>
      <c r="B23" s="69"/>
      <c r="C23" s="48"/>
      <c r="D23" s="110"/>
      <c r="E23" s="110"/>
      <c r="F23" s="110"/>
      <c r="G23" s="110"/>
      <c r="H23" s="110"/>
      <c r="I23" s="110"/>
      <c r="J23" s="110"/>
      <c r="K23" s="110"/>
      <c r="L23" s="110"/>
      <c r="M23" s="110"/>
      <c r="N23" s="110"/>
      <c r="O23" s="110"/>
      <c r="P23" s="110"/>
      <c r="Q23" s="110"/>
      <c r="R23" s="110"/>
    </row>
    <row r="24" spans="1:19" s="31" customFormat="1" ht="17.75" x14ac:dyDescent="0.75">
      <c r="B24" s="29" t="s">
        <v>782</v>
      </c>
      <c r="C24" s="48"/>
      <c r="D24" s="110"/>
      <c r="E24" s="110"/>
      <c r="F24" s="110"/>
      <c r="G24" s="110"/>
      <c r="H24" s="110"/>
      <c r="I24" s="110"/>
      <c r="J24" s="110"/>
      <c r="K24" s="110"/>
      <c r="L24" s="110"/>
      <c r="M24" s="110"/>
      <c r="N24" s="110"/>
      <c r="O24" s="110"/>
      <c r="P24" s="110"/>
      <c r="Q24" s="110"/>
      <c r="R24" s="110"/>
    </row>
    <row r="25" spans="1:19" s="31" customFormat="1" ht="17.75" x14ac:dyDescent="0.75">
      <c r="A25" s="29"/>
      <c r="B25" s="63" t="str">
        <f>'Revenue w MYP'!C23</f>
        <v>8181</v>
      </c>
      <c r="C25" s="63" t="str">
        <f>'Revenue w MYP'!D23</f>
        <v>Special Education, federal</v>
      </c>
      <c r="D25" s="62" t="str">
        <f>IF('Revenue w MYP'!$E23="","",IF('Cash Flow %s Yr1'!D25="","",'Cash Flow %s Yr1'!D25*'Revenue w MYP'!$E23))</f>
        <v/>
      </c>
      <c r="E25" s="62" t="str">
        <f>IF('Revenue w MYP'!$E23="","",IF('Cash Flow %s Yr1'!E25="","",'Cash Flow %s Yr1'!E25*'Revenue w MYP'!$E23))</f>
        <v/>
      </c>
      <c r="F25" s="62" t="str">
        <f>IF('Revenue w MYP'!$E23="","",IF('Cash Flow %s Yr1'!F25="","",'Cash Flow %s Yr1'!F25*'Revenue w MYP'!$E23))</f>
        <v/>
      </c>
      <c r="G25" s="62" t="str">
        <f>IF('Revenue w MYP'!$E23="","",IF('Cash Flow %s Yr1'!G25="","",'Cash Flow %s Yr1'!G25*'Revenue w MYP'!$E23))</f>
        <v/>
      </c>
      <c r="H25" s="62" t="str">
        <f>IF('Revenue w MYP'!$E23="","",IF('Cash Flow %s Yr1'!H25="","",'Cash Flow %s Yr1'!H25*'Revenue w MYP'!$E23))</f>
        <v/>
      </c>
      <c r="I25" s="62" t="str">
        <f>IF('Revenue w MYP'!$E23="","",IF('Cash Flow %s Yr1'!I25="","",'Cash Flow %s Yr1'!I25*'Revenue w MYP'!$E23))</f>
        <v/>
      </c>
      <c r="J25" s="62" t="str">
        <f>IF('Revenue w MYP'!$E23="","",IF('Cash Flow %s Yr1'!J25="","",'Cash Flow %s Yr1'!J25*'Revenue w MYP'!$E23))</f>
        <v/>
      </c>
      <c r="K25" s="62" t="str">
        <f>IF('Revenue w MYP'!$E23="","",IF('Cash Flow %s Yr1'!K25="","",'Cash Flow %s Yr1'!K25*'Revenue w MYP'!$E23))</f>
        <v/>
      </c>
      <c r="L25" s="62" t="str">
        <f>IF('Revenue w MYP'!$E23="","",IF('Cash Flow %s Yr1'!L25="","",'Cash Flow %s Yr1'!L25*'Revenue w MYP'!$E23))</f>
        <v/>
      </c>
      <c r="M25" s="62" t="str">
        <f>IF('Revenue w MYP'!$E23="","",IF('Cash Flow %s Yr1'!M25="","",'Cash Flow %s Yr1'!M25*'Revenue w MYP'!$E23))</f>
        <v/>
      </c>
      <c r="N25" s="62" t="str">
        <f>IF('Revenue w MYP'!$E23="","",IF('Cash Flow %s Yr1'!N25="","",'Cash Flow %s Yr1'!N25*'Revenue w MYP'!$E23))</f>
        <v/>
      </c>
      <c r="O25" s="62" t="str">
        <f>IF('Revenue w MYP'!$E23="","",IF('Cash Flow %s Yr1'!O25="","0",'Cash Flow %s Yr1'!O25*'Revenue w MYP'!$E23))</f>
        <v/>
      </c>
      <c r="P25" s="62" t="str">
        <f>IF('Revenue w MYP'!$E23="","",IF('Cash Flow %s Yr1'!P25="","0",'Cash Flow %s Yr1'!P25*'Revenue w MYP'!$E23))</f>
        <v/>
      </c>
      <c r="Q25" s="62" t="str">
        <f>IF('Revenue w MYP'!$E23="","",IF('Cash Flow %s Yr1'!Q25="","0",'Cash Flow %s Yr1'!Q25*'Revenue w MYP'!$E23))</f>
        <v/>
      </c>
      <c r="R25" s="62" t="str">
        <f>IF('Revenue w MYP'!$E23="","",IF('Cash Flow %s Yr1'!R25="","0",'Cash Flow %s Yr1'!R25*'Revenue w MYP'!$E23))</f>
        <v/>
      </c>
      <c r="S25" s="97" t="str">
        <f>IF(SUM(D25:R25)&gt;0,SUM(D25:R25)/'Revenue w MYP'!$E23,"")</f>
        <v/>
      </c>
    </row>
    <row r="26" spans="1:19" s="31" customFormat="1" ht="17.75" x14ac:dyDescent="0.75">
      <c r="A26" s="29"/>
      <c r="B26" s="63" t="str">
        <f>'Revenue w MYP'!C24</f>
        <v>8220</v>
      </c>
      <c r="C26" s="63" t="str">
        <f>'Revenue w MYP'!D24</f>
        <v>Federal Child Nutrition Programs</v>
      </c>
      <c r="D26" s="62" t="str">
        <f>IF('Revenue w MYP'!$E24="","",IF('Cash Flow %s Yr1'!D26="","",'Cash Flow %s Yr1'!D26*'Revenue w MYP'!$E24))</f>
        <v/>
      </c>
      <c r="E26" s="62" t="str">
        <f>IF('Revenue w MYP'!$E24="","",IF('Cash Flow %s Yr1'!E26="","",'Cash Flow %s Yr1'!E26*'Revenue w MYP'!$E24))</f>
        <v/>
      </c>
      <c r="F26" s="62" t="str">
        <f>IF('Revenue w MYP'!$E24="","",IF('Cash Flow %s Yr1'!F26="","",'Cash Flow %s Yr1'!F26*'Revenue w MYP'!$E24))</f>
        <v/>
      </c>
      <c r="G26" s="62" t="str">
        <f>IF('Revenue w MYP'!$E24="","",IF('Cash Flow %s Yr1'!G26="","",'Cash Flow %s Yr1'!G26*'Revenue w MYP'!$E24))</f>
        <v/>
      </c>
      <c r="H26" s="62" t="str">
        <f>IF('Revenue w MYP'!$E24="","",IF('Cash Flow %s Yr1'!H26="","",'Cash Flow %s Yr1'!H26*'Revenue w MYP'!$E24))</f>
        <v/>
      </c>
      <c r="I26" s="62" t="str">
        <f>IF('Revenue w MYP'!$E24="","",IF('Cash Flow %s Yr1'!I26="","",'Cash Flow %s Yr1'!I26*'Revenue w MYP'!$E24))</f>
        <v/>
      </c>
      <c r="J26" s="62" t="str">
        <f>IF('Revenue w MYP'!$E24="","",IF('Cash Flow %s Yr1'!J26="","",'Cash Flow %s Yr1'!J26*'Revenue w MYP'!$E24))</f>
        <v/>
      </c>
      <c r="K26" s="62" t="str">
        <f>IF('Revenue w MYP'!$E24="","",IF('Cash Flow %s Yr1'!K26="","",'Cash Flow %s Yr1'!K26*'Revenue w MYP'!$E24))</f>
        <v/>
      </c>
      <c r="L26" s="62" t="str">
        <f>IF('Revenue w MYP'!$E24="","",IF('Cash Flow %s Yr1'!L26="","",'Cash Flow %s Yr1'!L26*'Revenue w MYP'!$E24))</f>
        <v/>
      </c>
      <c r="M26" s="62" t="str">
        <f>IF('Revenue w MYP'!$E24="","",IF('Cash Flow %s Yr1'!M26="","",'Cash Flow %s Yr1'!M26*'Revenue w MYP'!$E24))</f>
        <v/>
      </c>
      <c r="N26" s="62" t="str">
        <f>IF('Revenue w MYP'!$E24="","",IF('Cash Flow %s Yr1'!N26="","",'Cash Flow %s Yr1'!N26*'Revenue w MYP'!$E24))</f>
        <v/>
      </c>
      <c r="O26" s="62" t="str">
        <f>IF('Revenue w MYP'!$E24="","",IF('Cash Flow %s Yr1'!O26="","0",'Cash Flow %s Yr1'!O26*'Revenue w MYP'!$E24))</f>
        <v/>
      </c>
      <c r="P26" s="62" t="str">
        <f>IF('Revenue w MYP'!$E24="","",IF('Cash Flow %s Yr1'!P26="","0",'Cash Flow %s Yr1'!P26*'Revenue w MYP'!$E24))</f>
        <v/>
      </c>
      <c r="Q26" s="62" t="str">
        <f>IF('Revenue w MYP'!$E24="","",IF('Cash Flow %s Yr1'!Q26="","0",'Cash Flow %s Yr1'!Q26*'Revenue w MYP'!$E24))</f>
        <v/>
      </c>
      <c r="R26" s="62" t="str">
        <f>IF('Revenue w MYP'!$E24="","",IF('Cash Flow %s Yr1'!R26="","0",'Cash Flow %s Yr1'!R26*'Revenue w MYP'!$E24))</f>
        <v/>
      </c>
      <c r="S26" s="97" t="str">
        <f>IF(SUM(D26:R26)&gt;0,SUM(D26:R26)/'Revenue w MYP'!$E24,"")</f>
        <v/>
      </c>
    </row>
    <row r="27" spans="1:19" s="31" customFormat="1" ht="17.75" x14ac:dyDescent="0.75">
      <c r="A27" s="29"/>
      <c r="B27" s="63" t="str">
        <f>'Revenue w MYP'!C25</f>
        <v>8290</v>
      </c>
      <c r="C27" s="63" t="str">
        <f>'Revenue w MYP'!D25</f>
        <v>All Other Federal Revenue, inc Facilities Incentive Grants program</v>
      </c>
      <c r="D27" s="62" t="str">
        <f>IF('Revenue w MYP'!$E25="","",IF('Cash Flow %s Yr1'!D27="","",'Cash Flow %s Yr1'!D27*'Revenue w MYP'!$E25))</f>
        <v/>
      </c>
      <c r="E27" s="62" t="str">
        <f>IF('Revenue w MYP'!$E25="","",IF('Cash Flow %s Yr1'!E27="","",'Cash Flow %s Yr1'!E27*'Revenue w MYP'!$E25))</f>
        <v/>
      </c>
      <c r="F27" s="62" t="str">
        <f>IF('Revenue w MYP'!$E25="","",IF('Cash Flow %s Yr1'!F27="","",'Cash Flow %s Yr1'!F27*'Revenue w MYP'!$E25))</f>
        <v/>
      </c>
      <c r="G27" s="62" t="str">
        <f>IF('Revenue w MYP'!$E25="","",IF('Cash Flow %s Yr1'!G27="","",'Cash Flow %s Yr1'!G27*'Revenue w MYP'!$E25))</f>
        <v/>
      </c>
      <c r="H27" s="62" t="str">
        <f>IF('Revenue w MYP'!$E25="","",IF('Cash Flow %s Yr1'!H27="","",'Cash Flow %s Yr1'!H27*'Revenue w MYP'!$E25))</f>
        <v/>
      </c>
      <c r="I27" s="62" t="str">
        <f>IF('Revenue w MYP'!$E25="","",IF('Cash Flow %s Yr1'!I27="","",'Cash Flow %s Yr1'!I27*'Revenue w MYP'!$E25))</f>
        <v/>
      </c>
      <c r="J27" s="62" t="str">
        <f>IF('Revenue w MYP'!$E25="","",IF('Cash Flow %s Yr1'!J27="","",'Cash Flow %s Yr1'!J27*'Revenue w MYP'!$E25))</f>
        <v/>
      </c>
      <c r="K27" s="62" t="str">
        <f>IF('Revenue w MYP'!$E25="","",IF('Cash Flow %s Yr1'!K27="","",'Cash Flow %s Yr1'!K27*'Revenue w MYP'!$E25))</f>
        <v/>
      </c>
      <c r="L27" s="62" t="str">
        <f>IF('Revenue w MYP'!$E25="","",IF('Cash Flow %s Yr1'!L27="","",'Cash Flow %s Yr1'!L27*'Revenue w MYP'!$E25))</f>
        <v/>
      </c>
      <c r="M27" s="62" t="str">
        <f>IF('Revenue w MYP'!$E25="","",IF('Cash Flow %s Yr1'!M27="","",'Cash Flow %s Yr1'!M27*'Revenue w MYP'!$E25))</f>
        <v/>
      </c>
      <c r="N27" s="62" t="str">
        <f>IF('Revenue w MYP'!$E25="","",IF('Cash Flow %s Yr1'!N27="","",'Cash Flow %s Yr1'!N27*'Revenue w MYP'!$E25))</f>
        <v/>
      </c>
      <c r="O27" s="62" t="str">
        <f>IF('Revenue w MYP'!$E25="","",IF('Cash Flow %s Yr1'!O27="","0",'Cash Flow %s Yr1'!O27*'Revenue w MYP'!$E25))</f>
        <v/>
      </c>
      <c r="P27" s="62" t="str">
        <f>IF('Revenue w MYP'!$E25="","",IF('Cash Flow %s Yr1'!P27="","0",'Cash Flow %s Yr1'!P27*'Revenue w MYP'!$E25))</f>
        <v/>
      </c>
      <c r="Q27" s="62" t="str">
        <f>IF('Revenue w MYP'!$E25="","",IF('Cash Flow %s Yr1'!Q27="","0",'Cash Flow %s Yr1'!Q27*'Revenue w MYP'!$E25))</f>
        <v/>
      </c>
      <c r="R27" s="62" t="str">
        <f>IF('Revenue w MYP'!$E25="","",IF('Cash Flow %s Yr1'!R27="","0",'Cash Flow %s Yr1'!R27*'Revenue w MYP'!$E25))</f>
        <v/>
      </c>
      <c r="S27" s="97" t="str">
        <f>IF(SUM(D27:R27)&gt;0,SUM(D27:R27)/'Revenue w MYP'!$E25,"")</f>
        <v/>
      </c>
    </row>
    <row r="28" spans="1:19" s="31" customFormat="1" ht="17.75" x14ac:dyDescent="0.75">
      <c r="A28" s="29"/>
      <c r="B28" s="63" t="str">
        <f>'Revenue w MYP'!C26</f>
        <v>8291</v>
      </c>
      <c r="C28" s="63" t="str">
        <f>'Revenue w MYP'!D26</f>
        <v>Title I</v>
      </c>
      <c r="D28" s="62" t="str">
        <f>IF('Revenue w MYP'!$E26="","",IF('Cash Flow %s Yr1'!D28="","",'Cash Flow %s Yr1'!D28*'Revenue w MYP'!$E26))</f>
        <v/>
      </c>
      <c r="E28" s="62" t="str">
        <f>IF('Revenue w MYP'!$E26="","",IF('Cash Flow %s Yr1'!E28="","",'Cash Flow %s Yr1'!E28*'Revenue w MYP'!$E26))</f>
        <v/>
      </c>
      <c r="F28" s="62" t="str">
        <f>IF('Revenue w MYP'!$E26="","",IF('Cash Flow %s Yr1'!F28="","",'Cash Flow %s Yr1'!F28*'Revenue w MYP'!$E26))</f>
        <v/>
      </c>
      <c r="G28" s="62" t="str">
        <f>IF('Revenue w MYP'!$E26="","",IF('Cash Flow %s Yr1'!G28="","",'Cash Flow %s Yr1'!G28*'Revenue w MYP'!$E26))</f>
        <v/>
      </c>
      <c r="H28" s="62" t="str">
        <f>IF('Revenue w MYP'!$E26="","",IF('Cash Flow %s Yr1'!H28="","",'Cash Flow %s Yr1'!H28*'Revenue w MYP'!$E26))</f>
        <v/>
      </c>
      <c r="I28" s="62" t="str">
        <f>IF('Revenue w MYP'!$E26="","",IF('Cash Flow %s Yr1'!I28="","",'Cash Flow %s Yr1'!I28*'Revenue w MYP'!$E26))</f>
        <v/>
      </c>
      <c r="J28" s="62" t="str">
        <f>IF('Revenue w MYP'!$E26="","",IF('Cash Flow %s Yr1'!J28="","",'Cash Flow %s Yr1'!J28*'Revenue w MYP'!$E26))</f>
        <v/>
      </c>
      <c r="K28" s="62" t="str">
        <f>IF('Revenue w MYP'!$E26="","",IF('Cash Flow %s Yr1'!K28="","",'Cash Flow %s Yr1'!K28*'Revenue w MYP'!$E26))</f>
        <v/>
      </c>
      <c r="L28" s="62" t="str">
        <f>IF('Revenue w MYP'!$E26="","",IF('Cash Flow %s Yr1'!L28="","",'Cash Flow %s Yr1'!L28*'Revenue w MYP'!$E26))</f>
        <v/>
      </c>
      <c r="M28" s="62" t="str">
        <f>IF('Revenue w MYP'!$E26="","",IF('Cash Flow %s Yr1'!M28="","",'Cash Flow %s Yr1'!M28*'Revenue w MYP'!$E26))</f>
        <v/>
      </c>
      <c r="N28" s="62" t="str">
        <f>IF('Revenue w MYP'!$E26="","",IF('Cash Flow %s Yr1'!N28="","",'Cash Flow %s Yr1'!N28*'Revenue w MYP'!$E26))</f>
        <v/>
      </c>
      <c r="O28" s="62" t="str">
        <f>IF('Revenue w MYP'!$E26="","",IF('Cash Flow %s Yr1'!O28="","0",'Cash Flow %s Yr1'!O28*'Revenue w MYP'!$E26))</f>
        <v/>
      </c>
      <c r="P28" s="62" t="str">
        <f>IF('Revenue w MYP'!$E26="","",IF('Cash Flow %s Yr1'!P28="","0",'Cash Flow %s Yr1'!P28*'Revenue w MYP'!$E26))</f>
        <v/>
      </c>
      <c r="Q28" s="62" t="str">
        <f>IF('Revenue w MYP'!$E26="","",IF('Cash Flow %s Yr1'!Q28="","0",'Cash Flow %s Yr1'!Q28*'Revenue w MYP'!$E26))</f>
        <v/>
      </c>
      <c r="R28" s="62" t="str">
        <f>IF('Revenue w MYP'!$E26="","",IF('Cash Flow %s Yr1'!R28="","0",'Cash Flow %s Yr1'!R28*'Revenue w MYP'!$E26))</f>
        <v/>
      </c>
      <c r="S28" s="97" t="str">
        <f>IF(SUM(D28:R28)&gt;0,SUM(D28:R28)/'Revenue w MYP'!$E26,"")</f>
        <v/>
      </c>
    </row>
    <row r="29" spans="1:19" s="31" customFormat="1" ht="17.75" x14ac:dyDescent="0.75">
      <c r="A29" s="29"/>
      <c r="B29" s="63" t="str">
        <f>'Revenue w MYP'!C27</f>
        <v>8292</v>
      </c>
      <c r="C29" s="63" t="str">
        <f>'Revenue w MYP'!D27</f>
        <v>Title II</v>
      </c>
      <c r="D29" s="62" t="str">
        <f>IF('Revenue w MYP'!$E27="","",IF('Cash Flow %s Yr1'!D29="","",'Cash Flow %s Yr1'!D29*'Revenue w MYP'!$E27))</f>
        <v/>
      </c>
      <c r="E29" s="62" t="str">
        <f>IF('Revenue w MYP'!$E27="","",IF('Cash Flow %s Yr1'!E29="","",'Cash Flow %s Yr1'!E29*'Revenue w MYP'!$E27))</f>
        <v/>
      </c>
      <c r="F29" s="62" t="str">
        <f>IF('Revenue w MYP'!$E27="","",IF('Cash Flow %s Yr1'!F29="","",'Cash Flow %s Yr1'!F29*'Revenue w MYP'!$E27))</f>
        <v/>
      </c>
      <c r="G29" s="62" t="str">
        <f>IF('Revenue w MYP'!$E27="","",IF('Cash Flow %s Yr1'!G29="","",'Cash Flow %s Yr1'!G29*'Revenue w MYP'!$E27))</f>
        <v/>
      </c>
      <c r="H29" s="62" t="str">
        <f>IF('Revenue w MYP'!$E27="","",IF('Cash Flow %s Yr1'!H29="","",'Cash Flow %s Yr1'!H29*'Revenue w MYP'!$E27))</f>
        <v/>
      </c>
      <c r="I29" s="62" t="str">
        <f>IF('Revenue w MYP'!$E27="","",IF('Cash Flow %s Yr1'!I29="","",'Cash Flow %s Yr1'!I29*'Revenue w MYP'!$E27))</f>
        <v/>
      </c>
      <c r="J29" s="62" t="str">
        <f>IF('Revenue w MYP'!$E27="","",IF('Cash Flow %s Yr1'!J29="","",'Cash Flow %s Yr1'!J29*'Revenue w MYP'!$E27))</f>
        <v/>
      </c>
      <c r="K29" s="62" t="str">
        <f>IF('Revenue w MYP'!$E27="","",IF('Cash Flow %s Yr1'!K29="","",'Cash Flow %s Yr1'!K29*'Revenue w MYP'!$E27))</f>
        <v/>
      </c>
      <c r="L29" s="62" t="str">
        <f>IF('Revenue w MYP'!$E27="","",IF('Cash Flow %s Yr1'!L29="","",'Cash Flow %s Yr1'!L29*'Revenue w MYP'!$E27))</f>
        <v/>
      </c>
      <c r="M29" s="62" t="str">
        <f>IF('Revenue w MYP'!$E27="","",IF('Cash Flow %s Yr1'!M29="","",'Cash Flow %s Yr1'!M29*'Revenue w MYP'!$E27))</f>
        <v/>
      </c>
      <c r="N29" s="62" t="str">
        <f>IF('Revenue w MYP'!$E27="","",IF('Cash Flow %s Yr1'!N29="","",'Cash Flow %s Yr1'!N29*'Revenue w MYP'!$E27))</f>
        <v/>
      </c>
      <c r="O29" s="62" t="str">
        <f>IF('Revenue w MYP'!$E27="","",IF('Cash Flow %s Yr1'!O29="","0",'Cash Flow %s Yr1'!O29*'Revenue w MYP'!$E27))</f>
        <v/>
      </c>
      <c r="P29" s="62" t="str">
        <f>IF('Revenue w MYP'!$E27="","",IF('Cash Flow %s Yr1'!P29="","0",'Cash Flow %s Yr1'!P29*'Revenue w MYP'!$E27))</f>
        <v/>
      </c>
      <c r="Q29" s="62" t="str">
        <f>IF('Revenue w MYP'!$E27="","",IF('Cash Flow %s Yr1'!Q29="","0",'Cash Flow %s Yr1'!Q29*'Revenue w MYP'!$E27))</f>
        <v/>
      </c>
      <c r="R29" s="62" t="str">
        <f>IF('Revenue w MYP'!$E27="","",IF('Cash Flow %s Yr1'!R29="","0",'Cash Flow %s Yr1'!R29*'Revenue w MYP'!$E27))</f>
        <v/>
      </c>
      <c r="S29" s="97" t="str">
        <f>IF(SUM(D29:R29)&gt;0,SUM(D29:R29)/'Revenue w MYP'!$E27,"")</f>
        <v/>
      </c>
    </row>
    <row r="30" spans="1:19" s="31" customFormat="1" ht="17.75" x14ac:dyDescent="0.75">
      <c r="A30" s="29"/>
      <c r="B30" s="63" t="str">
        <f>'Revenue w MYP'!C28</f>
        <v>8293</v>
      </c>
      <c r="C30" s="63" t="str">
        <f>'Revenue w MYP'!D28</f>
        <v>Title III</v>
      </c>
      <c r="D30" s="62" t="str">
        <f>IF('Revenue w MYP'!$E28="","",IF('Cash Flow %s Yr1'!D30="","",'Cash Flow %s Yr1'!D30*'Revenue w MYP'!$E28))</f>
        <v/>
      </c>
      <c r="E30" s="62" t="str">
        <f>IF('Revenue w MYP'!$E28="","",IF('Cash Flow %s Yr1'!E30="","",'Cash Flow %s Yr1'!E30*'Revenue w MYP'!$E28))</f>
        <v/>
      </c>
      <c r="F30" s="62" t="str">
        <f>IF('Revenue w MYP'!$E28="","",IF('Cash Flow %s Yr1'!F30="","",'Cash Flow %s Yr1'!F30*'Revenue w MYP'!$E28))</f>
        <v/>
      </c>
      <c r="G30" s="62" t="str">
        <f>IF('Revenue w MYP'!$E28="","",IF('Cash Flow %s Yr1'!G30="","",'Cash Flow %s Yr1'!G30*'Revenue w MYP'!$E28))</f>
        <v/>
      </c>
      <c r="H30" s="62" t="str">
        <f>IF('Revenue w MYP'!$E28="","",IF('Cash Flow %s Yr1'!H30="","",'Cash Flow %s Yr1'!H30*'Revenue w MYP'!$E28))</f>
        <v/>
      </c>
      <c r="I30" s="62" t="str">
        <f>IF('Revenue w MYP'!$E28="","",IF('Cash Flow %s Yr1'!I30="","",'Cash Flow %s Yr1'!I30*'Revenue w MYP'!$E28))</f>
        <v/>
      </c>
      <c r="J30" s="62" t="str">
        <f>IF('Revenue w MYP'!$E28="","",IF('Cash Flow %s Yr1'!J30="","",'Cash Flow %s Yr1'!J30*'Revenue w MYP'!$E28))</f>
        <v/>
      </c>
      <c r="K30" s="62" t="str">
        <f>IF('Revenue w MYP'!$E28="","",IF('Cash Flow %s Yr1'!K30="","",'Cash Flow %s Yr1'!K30*'Revenue w MYP'!$E28))</f>
        <v/>
      </c>
      <c r="L30" s="62" t="str">
        <f>IF('Revenue w MYP'!$E28="","",IF('Cash Flow %s Yr1'!L30="","",'Cash Flow %s Yr1'!L30*'Revenue w MYP'!$E28))</f>
        <v/>
      </c>
      <c r="M30" s="62" t="str">
        <f>IF('Revenue w MYP'!$E28="","",IF('Cash Flow %s Yr1'!M30="","",'Cash Flow %s Yr1'!M30*'Revenue w MYP'!$E28))</f>
        <v/>
      </c>
      <c r="N30" s="62" t="str">
        <f>IF('Revenue w MYP'!$E28="","",IF('Cash Flow %s Yr1'!N30="","",'Cash Flow %s Yr1'!N30*'Revenue w MYP'!$E28))</f>
        <v/>
      </c>
      <c r="O30" s="62" t="str">
        <f>IF('Revenue w MYP'!$E28="","",IF('Cash Flow %s Yr1'!O30="","0",'Cash Flow %s Yr1'!O30*'Revenue w MYP'!$E28))</f>
        <v/>
      </c>
      <c r="P30" s="62" t="str">
        <f>IF('Revenue w MYP'!$E28="","",IF('Cash Flow %s Yr1'!P30="","0",'Cash Flow %s Yr1'!P30*'Revenue w MYP'!$E28))</f>
        <v/>
      </c>
      <c r="Q30" s="62" t="str">
        <f>IF('Revenue w MYP'!$E28="","",IF('Cash Flow %s Yr1'!Q30="","0",'Cash Flow %s Yr1'!Q30*'Revenue w MYP'!$E28))</f>
        <v/>
      </c>
      <c r="R30" s="62" t="str">
        <f>IF('Revenue w MYP'!$E28="","",IF('Cash Flow %s Yr1'!R30="","0",'Cash Flow %s Yr1'!R30*'Revenue w MYP'!$E28))</f>
        <v/>
      </c>
      <c r="S30" s="97" t="str">
        <f>IF(SUM(D30:R30)&gt;0,SUM(D30:R30)/'Revenue w MYP'!$E28,"")</f>
        <v/>
      </c>
    </row>
    <row r="31" spans="1:19" s="31" customFormat="1" ht="17.75" x14ac:dyDescent="0.75">
      <c r="A31" s="29"/>
      <c r="B31" s="63" t="str">
        <f>'Revenue w MYP'!C30</f>
        <v>8295</v>
      </c>
      <c r="C31" s="63" t="str">
        <f>'Revenue w MYP'!D30</f>
        <v>Title V</v>
      </c>
      <c r="D31" s="62" t="str">
        <f>IF('Revenue w MYP'!$E30="","",IF('Cash Flow %s Yr1'!D31="","",'Cash Flow %s Yr1'!D31*'Revenue w MYP'!$E30))</f>
        <v/>
      </c>
      <c r="E31" s="62" t="str">
        <f>IF('Revenue w MYP'!$E30="","",IF('Cash Flow %s Yr1'!E31="","",'Cash Flow %s Yr1'!E31*'Revenue w MYP'!$E30))</f>
        <v/>
      </c>
      <c r="F31" s="62" t="str">
        <f>IF('Revenue w MYP'!$E30="","",IF('Cash Flow %s Yr1'!F31="","",'Cash Flow %s Yr1'!F31*'Revenue w MYP'!$E30))</f>
        <v/>
      </c>
      <c r="G31" s="62" t="str">
        <f>IF('Revenue w MYP'!$E30="","",IF('Cash Flow %s Yr1'!G31="","",'Cash Flow %s Yr1'!G31*'Revenue w MYP'!$E30))</f>
        <v/>
      </c>
      <c r="H31" s="62" t="str">
        <f>IF('Revenue w MYP'!$E30="","",IF('Cash Flow %s Yr1'!H31="","",'Cash Flow %s Yr1'!H31*'Revenue w MYP'!$E30))</f>
        <v/>
      </c>
      <c r="I31" s="62" t="str">
        <f>IF('Revenue w MYP'!$E30="","",IF('Cash Flow %s Yr1'!I31="","",'Cash Flow %s Yr1'!I31*'Revenue w MYP'!$E30))</f>
        <v/>
      </c>
      <c r="J31" s="62" t="str">
        <f>IF('Revenue w MYP'!$E30="","",IF('Cash Flow %s Yr1'!J31="","",'Cash Flow %s Yr1'!J31*'Revenue w MYP'!$E30))</f>
        <v/>
      </c>
      <c r="K31" s="62" t="str">
        <f>IF('Revenue w MYP'!$E30="","",IF('Cash Flow %s Yr1'!K31="","",'Cash Flow %s Yr1'!K31*'Revenue w MYP'!$E30))</f>
        <v/>
      </c>
      <c r="L31" s="62" t="str">
        <f>IF('Revenue w MYP'!$E30="","",IF('Cash Flow %s Yr1'!L31="","",'Cash Flow %s Yr1'!L31*'Revenue w MYP'!$E30))</f>
        <v/>
      </c>
      <c r="M31" s="62" t="str">
        <f>IF('Revenue w MYP'!$E30="","",IF('Cash Flow %s Yr1'!M31="","",'Cash Flow %s Yr1'!M31*'Revenue w MYP'!$E30))</f>
        <v/>
      </c>
      <c r="N31" s="62" t="str">
        <f>IF('Revenue w MYP'!$E30="","",IF('Cash Flow %s Yr1'!N31="","",'Cash Flow %s Yr1'!N31*'Revenue w MYP'!$E30))</f>
        <v/>
      </c>
      <c r="O31" s="62" t="str">
        <f>IF('Revenue w MYP'!$E30="","",IF('Cash Flow %s Yr1'!O31="","0",'Cash Flow %s Yr1'!O31*'Revenue w MYP'!$E30))</f>
        <v/>
      </c>
      <c r="P31" s="62" t="str">
        <f>IF('Revenue w MYP'!$E30="","",IF('Cash Flow %s Yr1'!P31="","0",'Cash Flow %s Yr1'!P31*'Revenue w MYP'!$E30))</f>
        <v/>
      </c>
      <c r="Q31" s="62" t="str">
        <f>IF('Revenue w MYP'!$E30="","",IF('Cash Flow %s Yr1'!Q31="","0",'Cash Flow %s Yr1'!Q31*'Revenue w MYP'!$E30))</f>
        <v/>
      </c>
      <c r="R31" s="62" t="str">
        <f>IF('Revenue w MYP'!$E30="","",IF('Cash Flow %s Yr1'!R31="","0",'Cash Flow %s Yr1'!R31*'Revenue w MYP'!$E30))</f>
        <v/>
      </c>
      <c r="S31" s="97" t="str">
        <f>IF(SUM(D31:R31)&gt;0,SUM(D31:R31)/'Revenue w MYP'!$E30,"")</f>
        <v/>
      </c>
    </row>
    <row r="32" spans="1:19" s="31" customFormat="1" ht="17.75" x14ac:dyDescent="0.75">
      <c r="A32" s="29"/>
      <c r="B32" s="63" t="str">
        <f>'Revenue w MYP'!C31</f>
        <v>8299</v>
      </c>
      <c r="C32" s="63" t="str">
        <f>'Revenue w MYP'!D31</f>
        <v>Prior Year Federal Revenue</v>
      </c>
      <c r="D32" s="62" t="str">
        <f>IF('Revenue w MYP'!$E31="","",IF('Cash Flow %s Yr1'!D32="","",'Cash Flow %s Yr1'!D32*'Revenue w MYP'!$E31))</f>
        <v/>
      </c>
      <c r="E32" s="62" t="str">
        <f>IF('Revenue w MYP'!$E31="","",IF('Cash Flow %s Yr1'!E32="","",'Cash Flow %s Yr1'!E32*'Revenue w MYP'!$E31))</f>
        <v/>
      </c>
      <c r="F32" s="62" t="str">
        <f>IF('Revenue w MYP'!$E31="","",IF('Cash Flow %s Yr1'!F32="","",'Cash Flow %s Yr1'!F32*'Revenue w MYP'!$E31))</f>
        <v/>
      </c>
      <c r="G32" s="62" t="str">
        <f>IF('Revenue w MYP'!$E31="","",IF('Cash Flow %s Yr1'!G32="","",'Cash Flow %s Yr1'!G32*'Revenue w MYP'!$E31))</f>
        <v/>
      </c>
      <c r="H32" s="62" t="str">
        <f>IF('Revenue w MYP'!$E31="","",IF('Cash Flow %s Yr1'!H32="","",'Cash Flow %s Yr1'!H32*'Revenue w MYP'!$E31))</f>
        <v/>
      </c>
      <c r="I32" s="62" t="str">
        <f>IF('Revenue w MYP'!$E31="","",IF('Cash Flow %s Yr1'!I32="","",'Cash Flow %s Yr1'!I32*'Revenue w MYP'!$E31))</f>
        <v/>
      </c>
      <c r="J32" s="62" t="str">
        <f>IF('Revenue w MYP'!$E31="","",IF('Cash Flow %s Yr1'!J32="","",'Cash Flow %s Yr1'!J32*'Revenue w MYP'!$E31))</f>
        <v/>
      </c>
      <c r="K32" s="62" t="str">
        <f>IF('Revenue w MYP'!$E31="","",IF('Cash Flow %s Yr1'!K32="","",'Cash Flow %s Yr1'!K32*'Revenue w MYP'!$E31))</f>
        <v/>
      </c>
      <c r="L32" s="62" t="str">
        <f>IF('Revenue w MYP'!$E31="","",IF('Cash Flow %s Yr1'!L32="","",'Cash Flow %s Yr1'!L32*'Revenue w MYP'!$E31))</f>
        <v/>
      </c>
      <c r="M32" s="62" t="str">
        <f>IF('Revenue w MYP'!$E31="","",IF('Cash Flow %s Yr1'!M32="","",'Cash Flow %s Yr1'!M32*'Revenue w MYP'!$E31))</f>
        <v/>
      </c>
      <c r="N32" s="62" t="str">
        <f>IF('Revenue w MYP'!$E31="","",IF('Cash Flow %s Yr1'!N32="","",'Cash Flow %s Yr1'!N32*'Revenue w MYP'!$E31))</f>
        <v/>
      </c>
      <c r="O32" s="62" t="str">
        <f>IF('Revenue w MYP'!$E31="","",IF('Cash Flow %s Yr1'!O32="","0",'Cash Flow %s Yr1'!O32*'Revenue w MYP'!$E31))</f>
        <v/>
      </c>
      <c r="P32" s="62" t="str">
        <f>IF('Revenue w MYP'!$E31="","",IF('Cash Flow %s Yr1'!P32="","0",'Cash Flow %s Yr1'!P32*'Revenue w MYP'!$E31))</f>
        <v/>
      </c>
      <c r="Q32" s="62" t="str">
        <f>IF('Revenue w MYP'!$E31="","",IF('Cash Flow %s Yr1'!Q32="","0",'Cash Flow %s Yr1'!Q32*'Revenue w MYP'!$E31))</f>
        <v/>
      </c>
      <c r="R32" s="62" t="str">
        <f>IF('Revenue w MYP'!$E31="","",IF('Cash Flow %s Yr1'!R32="","0",'Cash Flow %s Yr1'!R32*'Revenue w MYP'!$E31))</f>
        <v/>
      </c>
      <c r="S32" s="97" t="str">
        <f>IF(SUM(D32:R32)&gt;0,SUM(D32:R32)/'Revenue w MYP'!$E31,"")</f>
        <v/>
      </c>
    </row>
    <row r="33" spans="1:19" s="31" customFormat="1" ht="17.75" x14ac:dyDescent="0.75">
      <c r="A33" s="29"/>
      <c r="B33" s="70"/>
      <c r="C33" s="34" t="s">
        <v>719</v>
      </c>
      <c r="D33" s="153">
        <f t="shared" ref="D33:R33" si="1">SUM(D25:D32)</f>
        <v>0</v>
      </c>
      <c r="E33" s="153">
        <f t="shared" si="1"/>
        <v>0</v>
      </c>
      <c r="F33" s="153">
        <f t="shared" si="1"/>
        <v>0</v>
      </c>
      <c r="G33" s="153">
        <f t="shared" si="1"/>
        <v>0</v>
      </c>
      <c r="H33" s="153">
        <f t="shared" si="1"/>
        <v>0</v>
      </c>
      <c r="I33" s="153">
        <f t="shared" si="1"/>
        <v>0</v>
      </c>
      <c r="J33" s="153">
        <f t="shared" si="1"/>
        <v>0</v>
      </c>
      <c r="K33" s="153">
        <f t="shared" si="1"/>
        <v>0</v>
      </c>
      <c r="L33" s="153">
        <f t="shared" si="1"/>
        <v>0</v>
      </c>
      <c r="M33" s="153">
        <f t="shared" si="1"/>
        <v>0</v>
      </c>
      <c r="N33" s="153">
        <f t="shared" si="1"/>
        <v>0</v>
      </c>
      <c r="O33" s="153">
        <f t="shared" si="1"/>
        <v>0</v>
      </c>
      <c r="P33" s="153">
        <f t="shared" si="1"/>
        <v>0</v>
      </c>
      <c r="Q33" s="153">
        <f t="shared" si="1"/>
        <v>0</v>
      </c>
      <c r="R33" s="153">
        <f t="shared" si="1"/>
        <v>0</v>
      </c>
      <c r="S33" s="94"/>
    </row>
    <row r="34" spans="1:19" s="31" customFormat="1" ht="17.75" x14ac:dyDescent="0.75">
      <c r="A34" s="29"/>
      <c r="B34" s="69"/>
      <c r="C34" s="48"/>
      <c r="D34" s="110"/>
      <c r="E34" s="110"/>
      <c r="F34" s="110"/>
      <c r="G34" s="110"/>
      <c r="H34" s="110"/>
      <c r="I34" s="110"/>
      <c r="J34" s="110"/>
      <c r="K34" s="110"/>
      <c r="L34" s="110"/>
      <c r="M34" s="110"/>
      <c r="N34" s="110"/>
      <c r="O34" s="110"/>
      <c r="P34" s="110"/>
      <c r="Q34" s="110"/>
      <c r="R34" s="110"/>
    </row>
    <row r="35" spans="1:19" s="31" customFormat="1" ht="17.75" x14ac:dyDescent="0.75">
      <c r="B35" s="29" t="s">
        <v>790</v>
      </c>
      <c r="C35" s="48"/>
      <c r="D35" s="110"/>
      <c r="E35" s="110"/>
      <c r="F35" s="110"/>
      <c r="G35" s="110"/>
      <c r="H35" s="110"/>
      <c r="I35" s="110"/>
      <c r="J35" s="110"/>
      <c r="K35" s="110"/>
      <c r="L35" s="110"/>
      <c r="M35" s="110"/>
      <c r="N35" s="110"/>
      <c r="O35" s="110"/>
      <c r="P35" s="110"/>
      <c r="Q35" s="110"/>
      <c r="R35" s="110"/>
    </row>
    <row r="36" spans="1:19" s="31" customFormat="1" ht="17.75" x14ac:dyDescent="0.75">
      <c r="A36" s="29"/>
      <c r="B36" s="63" t="str">
        <f>'Revenue w MYP'!C35</f>
        <v>8660</v>
      </c>
      <c r="C36" s="63" t="str">
        <f>'Revenue w MYP'!D35</f>
        <v>Interest</v>
      </c>
      <c r="D36" s="62" t="str">
        <f>IF('Revenue w MYP'!$E35="","",IF('Cash Flow %s Yr1'!D36="","",'Cash Flow %s Yr1'!D36*'Revenue w MYP'!$E35))</f>
        <v/>
      </c>
      <c r="E36" s="62" t="str">
        <f>IF('Revenue w MYP'!$E35="","",IF('Cash Flow %s Yr1'!E36="","",'Cash Flow %s Yr1'!E36*'Revenue w MYP'!$E35))</f>
        <v/>
      </c>
      <c r="F36" s="62" t="str">
        <f>IF('Revenue w MYP'!$E35="","",IF('Cash Flow %s Yr1'!F36="","",'Cash Flow %s Yr1'!F36*'Revenue w MYP'!$E35))</f>
        <v/>
      </c>
      <c r="G36" s="62" t="str">
        <f>IF('Revenue w MYP'!$E35="","",IF('Cash Flow %s Yr1'!G36="","",'Cash Flow %s Yr1'!G36*'Revenue w MYP'!$E35))</f>
        <v/>
      </c>
      <c r="H36" s="62" t="str">
        <f>IF('Revenue w MYP'!$E35="","",IF('Cash Flow %s Yr1'!H36="","",'Cash Flow %s Yr1'!H36*'Revenue w MYP'!$E35))</f>
        <v/>
      </c>
      <c r="I36" s="62" t="str">
        <f>IF('Revenue w MYP'!$E35="","",IF('Cash Flow %s Yr1'!I36="","",'Cash Flow %s Yr1'!I36*'Revenue w MYP'!$E35))</f>
        <v/>
      </c>
      <c r="J36" s="62" t="str">
        <f>IF('Revenue w MYP'!$E35="","",IF('Cash Flow %s Yr1'!J36="","",'Cash Flow %s Yr1'!J36*'Revenue w MYP'!$E35))</f>
        <v/>
      </c>
      <c r="K36" s="62" t="str">
        <f>IF('Revenue w MYP'!$E35="","",IF('Cash Flow %s Yr1'!K36="","",'Cash Flow %s Yr1'!K36*'Revenue w MYP'!$E35))</f>
        <v/>
      </c>
      <c r="L36" s="62" t="str">
        <f>IF('Revenue w MYP'!$E35="","",IF('Cash Flow %s Yr1'!L36="","",'Cash Flow %s Yr1'!L36*'Revenue w MYP'!$E35))</f>
        <v/>
      </c>
      <c r="M36" s="62" t="str">
        <f>IF('Revenue w MYP'!$E35="","",IF('Cash Flow %s Yr1'!M36="","",'Cash Flow %s Yr1'!M36*'Revenue w MYP'!$E35))</f>
        <v/>
      </c>
      <c r="N36" s="62" t="str">
        <f>IF('Revenue w MYP'!$E35="","",IF('Cash Flow %s Yr1'!N36="","",'Cash Flow %s Yr1'!N36*'Revenue w MYP'!$E35))</f>
        <v/>
      </c>
      <c r="O36" s="62" t="str">
        <f>IF('Revenue w MYP'!$E35="","",IF('Cash Flow %s Yr1'!O36="","0",'Cash Flow %s Yr1'!O36*'Revenue w MYP'!$E35))</f>
        <v/>
      </c>
      <c r="P36" s="62" t="str">
        <f>IF('Revenue w MYP'!$E35="","",IF('Cash Flow %s Yr1'!P36="","0",'Cash Flow %s Yr1'!P36*'Revenue w MYP'!$E35))</f>
        <v/>
      </c>
      <c r="Q36" s="62" t="str">
        <f>IF('Revenue w MYP'!$E35="","",IF('Cash Flow %s Yr1'!Q36="","0",'Cash Flow %s Yr1'!Q36*'Revenue w MYP'!$E35))</f>
        <v/>
      </c>
      <c r="R36" s="62" t="str">
        <f>IF('Revenue w MYP'!$E35="","",IF('Cash Flow %s Yr1'!R36="","0",'Cash Flow %s Yr1'!R36*'Revenue w MYP'!$E35))</f>
        <v/>
      </c>
      <c r="S36" s="97" t="str">
        <f>IF(SUM(D36:R36)&gt;0,SUM(D36:R36)/'Revenue w MYP'!$E35,"")</f>
        <v/>
      </c>
    </row>
    <row r="37" spans="1:19" s="31" customFormat="1" ht="17.75" x14ac:dyDescent="0.75">
      <c r="A37" s="29"/>
      <c r="B37" s="63" t="str">
        <f>'Revenue w MYP'!C36</f>
        <v>8682</v>
      </c>
      <c r="C37" s="63" t="str">
        <f>'Revenue w MYP'!D36</f>
        <v>Foundation Grants / Donations</v>
      </c>
      <c r="D37" s="62" t="str">
        <f>IF('Revenue w MYP'!$E36="","",IF('Cash Flow %s Yr1'!D37="","",'Cash Flow %s Yr1'!D37*'Revenue w MYP'!$E36))</f>
        <v/>
      </c>
      <c r="E37" s="62" t="str">
        <f>IF('Revenue w MYP'!$E36="","",IF('Cash Flow %s Yr1'!E37="","",'Cash Flow %s Yr1'!E37*'Revenue w MYP'!$E36))</f>
        <v/>
      </c>
      <c r="F37" s="62" t="str">
        <f>IF('Revenue w MYP'!$E36="","",IF('Cash Flow %s Yr1'!F37="","",'Cash Flow %s Yr1'!F37*'Revenue w MYP'!$E36))</f>
        <v/>
      </c>
      <c r="G37" s="62" t="str">
        <f>IF('Revenue w MYP'!$E36="","",IF('Cash Flow %s Yr1'!G37="","",'Cash Flow %s Yr1'!G37*'Revenue w MYP'!$E36))</f>
        <v/>
      </c>
      <c r="H37" s="62" t="str">
        <f>IF('Revenue w MYP'!$E36="","",IF('Cash Flow %s Yr1'!H37="","",'Cash Flow %s Yr1'!H37*'Revenue w MYP'!$E36))</f>
        <v/>
      </c>
      <c r="I37" s="62" t="str">
        <f>IF('Revenue w MYP'!$E36="","",IF('Cash Flow %s Yr1'!I37="","",'Cash Flow %s Yr1'!I37*'Revenue w MYP'!$E36))</f>
        <v/>
      </c>
      <c r="J37" s="62" t="str">
        <f>IF('Revenue w MYP'!$E36="","",IF('Cash Flow %s Yr1'!J37="","",'Cash Flow %s Yr1'!J37*'Revenue w MYP'!$E36))</f>
        <v/>
      </c>
      <c r="K37" s="62" t="str">
        <f>IF('Revenue w MYP'!$E36="","",IF('Cash Flow %s Yr1'!K37="","",'Cash Flow %s Yr1'!K37*'Revenue w MYP'!$E36))</f>
        <v/>
      </c>
      <c r="L37" s="62" t="str">
        <f>IF('Revenue w MYP'!$E36="","",IF('Cash Flow %s Yr1'!L37="","",'Cash Flow %s Yr1'!L37*'Revenue w MYP'!$E36))</f>
        <v/>
      </c>
      <c r="M37" s="62" t="str">
        <f>IF('Revenue w MYP'!$E36="","",IF('Cash Flow %s Yr1'!M37="","",'Cash Flow %s Yr1'!M37*'Revenue w MYP'!$E36))</f>
        <v/>
      </c>
      <c r="N37" s="62" t="str">
        <f>IF('Revenue w MYP'!$E36="","",IF('Cash Flow %s Yr1'!N37="","",'Cash Flow %s Yr1'!N37*'Revenue w MYP'!$E36))</f>
        <v/>
      </c>
      <c r="O37" s="62" t="str">
        <f>IF('Revenue w MYP'!$E36="","",IF('Cash Flow %s Yr1'!O37="","0",'Cash Flow %s Yr1'!O37*'Revenue w MYP'!$E36))</f>
        <v/>
      </c>
      <c r="P37" s="62" t="str">
        <f>IF('Revenue w MYP'!$E36="","",IF('Cash Flow %s Yr1'!P37="","0",'Cash Flow %s Yr1'!P37*'Revenue w MYP'!$E36))</f>
        <v/>
      </c>
      <c r="Q37" s="62" t="str">
        <f>IF('Revenue w MYP'!$E36="","",IF('Cash Flow %s Yr1'!Q37="","0",'Cash Flow %s Yr1'!Q37*'Revenue w MYP'!$E36))</f>
        <v/>
      </c>
      <c r="R37" s="62" t="str">
        <f>IF('Revenue w MYP'!$E36="","",IF('Cash Flow %s Yr1'!R37="","0",'Cash Flow %s Yr1'!R37*'Revenue w MYP'!$E36))</f>
        <v/>
      </c>
      <c r="S37" s="97" t="str">
        <f>IF(SUM(D37:R37)&gt;0,SUM(D37:R37)/'Revenue w MYP'!$E36,"")</f>
        <v/>
      </c>
    </row>
    <row r="38" spans="1:19" s="31" customFormat="1" ht="17.75" x14ac:dyDescent="0.75">
      <c r="A38" s="29"/>
      <c r="B38" s="63" t="str">
        <f>'Revenue w MYP'!C37</f>
        <v>8683</v>
      </c>
      <c r="C38" s="63" t="str">
        <f>'Revenue w MYP'!D37</f>
        <v>All Other Local Revenue</v>
      </c>
      <c r="D38" s="62" t="str">
        <f>IF('Revenue w MYP'!$E37="","",IF('Cash Flow %s Yr1'!D38="","",'Cash Flow %s Yr1'!D38*'Revenue w MYP'!$E37))</f>
        <v/>
      </c>
      <c r="E38" s="62" t="str">
        <f>IF('Revenue w MYP'!$E37="","",IF('Cash Flow %s Yr1'!E38="","",'Cash Flow %s Yr1'!E38*'Revenue w MYP'!$E37))</f>
        <v/>
      </c>
      <c r="F38" s="62" t="str">
        <f>IF('Revenue w MYP'!$E37="","",IF('Cash Flow %s Yr1'!F38="","",'Cash Flow %s Yr1'!F38*'Revenue w MYP'!$E37))</f>
        <v/>
      </c>
      <c r="G38" s="62" t="str">
        <f>IF('Revenue w MYP'!$E37="","",IF('Cash Flow %s Yr1'!G38="","",'Cash Flow %s Yr1'!G38*'Revenue w MYP'!$E37))</f>
        <v/>
      </c>
      <c r="H38" s="62" t="str">
        <f>IF('Revenue w MYP'!$E37="","",IF('Cash Flow %s Yr1'!H38="","",'Cash Flow %s Yr1'!H38*'Revenue w MYP'!$E37))</f>
        <v/>
      </c>
      <c r="I38" s="62" t="str">
        <f>IF('Revenue w MYP'!$E37="","",IF('Cash Flow %s Yr1'!I38="","",'Cash Flow %s Yr1'!I38*'Revenue w MYP'!$E37))</f>
        <v/>
      </c>
      <c r="J38" s="62" t="str">
        <f>IF('Revenue w MYP'!$E37="","",IF('Cash Flow %s Yr1'!J38="","",'Cash Flow %s Yr1'!J38*'Revenue w MYP'!$E37))</f>
        <v/>
      </c>
      <c r="K38" s="62" t="str">
        <f>IF('Revenue w MYP'!$E37="","",IF('Cash Flow %s Yr1'!K38="","",'Cash Flow %s Yr1'!K38*'Revenue w MYP'!$E37))</f>
        <v/>
      </c>
      <c r="L38" s="62" t="str">
        <f>IF('Revenue w MYP'!$E37="","",IF('Cash Flow %s Yr1'!L38="","",'Cash Flow %s Yr1'!L38*'Revenue w MYP'!$E37))</f>
        <v/>
      </c>
      <c r="M38" s="62" t="str">
        <f>IF('Revenue w MYP'!$E37="","",IF('Cash Flow %s Yr1'!M38="","",'Cash Flow %s Yr1'!M38*'Revenue w MYP'!$E37))</f>
        <v/>
      </c>
      <c r="N38" s="62" t="str">
        <f>IF('Revenue w MYP'!$E37="","",IF('Cash Flow %s Yr1'!N38="","",'Cash Flow %s Yr1'!N38*'Revenue w MYP'!$E37))</f>
        <v/>
      </c>
      <c r="O38" s="62" t="str">
        <f>IF('Revenue w MYP'!$E37="","",IF('Cash Flow %s Yr1'!O38="","0",'Cash Flow %s Yr1'!O38*'Revenue w MYP'!$E37))</f>
        <v/>
      </c>
      <c r="P38" s="62" t="str">
        <f>IF('Revenue w MYP'!$E37="","",IF('Cash Flow %s Yr1'!P38="","0",'Cash Flow %s Yr1'!P38*'Revenue w MYP'!$E37))</f>
        <v/>
      </c>
      <c r="Q38" s="62" t="str">
        <f>IF('Revenue w MYP'!$E37="","",IF('Cash Flow %s Yr1'!Q38="","0",'Cash Flow %s Yr1'!Q38*'Revenue w MYP'!$E37))</f>
        <v/>
      </c>
      <c r="R38" s="62" t="str">
        <f>IF('Revenue w MYP'!$E37="","",IF('Cash Flow %s Yr1'!R38="","0",'Cash Flow %s Yr1'!R38*'Revenue w MYP'!$E37))</f>
        <v/>
      </c>
      <c r="S38" s="97" t="str">
        <f>IF(SUM(D38:R38)&gt;0,SUM(D38:R38)/'Revenue w MYP'!$E37,"")</f>
        <v/>
      </c>
    </row>
    <row r="39" spans="1:19" s="31" customFormat="1" x14ac:dyDescent="0.75">
      <c r="A39" s="47"/>
      <c r="B39" s="63" t="str">
        <f>'Revenue w MYP'!C38</f>
        <v>8684</v>
      </c>
      <c r="C39" s="63" t="str">
        <f>'Revenue w MYP'!D38</f>
        <v>Student Body (ASB) Fundraising Revenue</v>
      </c>
      <c r="D39" s="62" t="str">
        <f>IF('Revenue w MYP'!$E38="","",IF('Cash Flow %s Yr1'!D39="","",'Cash Flow %s Yr1'!D39*'Revenue w MYP'!$E38))</f>
        <v/>
      </c>
      <c r="E39" s="62" t="str">
        <f>IF('Revenue w MYP'!$E38="","",IF('Cash Flow %s Yr1'!E39="","",'Cash Flow %s Yr1'!E39*'Revenue w MYP'!$E38))</f>
        <v/>
      </c>
      <c r="F39" s="62" t="str">
        <f>IF('Revenue w MYP'!$E38="","",IF('Cash Flow %s Yr1'!F39="","",'Cash Flow %s Yr1'!F39*'Revenue w MYP'!$E38))</f>
        <v/>
      </c>
      <c r="G39" s="62" t="str">
        <f>IF('Revenue w MYP'!$E38="","",IF('Cash Flow %s Yr1'!G39="","",'Cash Flow %s Yr1'!G39*'Revenue w MYP'!$E38))</f>
        <v/>
      </c>
      <c r="H39" s="62" t="str">
        <f>IF('Revenue w MYP'!$E38="","",IF('Cash Flow %s Yr1'!H39="","",'Cash Flow %s Yr1'!H39*'Revenue w MYP'!$E38))</f>
        <v/>
      </c>
      <c r="I39" s="62" t="str">
        <f>IF('Revenue w MYP'!$E38="","",IF('Cash Flow %s Yr1'!I39="","",'Cash Flow %s Yr1'!I39*'Revenue w MYP'!$E38))</f>
        <v/>
      </c>
      <c r="J39" s="62" t="str">
        <f>IF('Revenue w MYP'!$E38="","",IF('Cash Flow %s Yr1'!J39="","",'Cash Flow %s Yr1'!J39*'Revenue w MYP'!$E38))</f>
        <v/>
      </c>
      <c r="K39" s="62" t="str">
        <f>IF('Revenue w MYP'!$E38="","",IF('Cash Flow %s Yr1'!K39="","",'Cash Flow %s Yr1'!K39*'Revenue w MYP'!$E38))</f>
        <v/>
      </c>
      <c r="L39" s="62" t="str">
        <f>IF('Revenue w MYP'!$E38="","",IF('Cash Flow %s Yr1'!L39="","",'Cash Flow %s Yr1'!L39*'Revenue w MYP'!$E38))</f>
        <v/>
      </c>
      <c r="M39" s="62" t="str">
        <f>IF('Revenue w MYP'!$E38="","",IF('Cash Flow %s Yr1'!M39="","",'Cash Flow %s Yr1'!M39*'Revenue w MYP'!$E38))</f>
        <v/>
      </c>
      <c r="N39" s="62" t="str">
        <f>IF('Revenue w MYP'!$E38="","",IF('Cash Flow %s Yr1'!N39="","",'Cash Flow %s Yr1'!N39*'Revenue w MYP'!$E38))</f>
        <v/>
      </c>
      <c r="O39" s="62" t="str">
        <f>IF('Revenue w MYP'!$E38="","",IF('Cash Flow %s Yr1'!O39="","0",'Cash Flow %s Yr1'!O39*'Revenue w MYP'!$E38))</f>
        <v/>
      </c>
      <c r="P39" s="62" t="str">
        <f>IF('Revenue w MYP'!$E38="","",IF('Cash Flow %s Yr1'!P39="","0",'Cash Flow %s Yr1'!P39*'Revenue w MYP'!$E38))</f>
        <v/>
      </c>
      <c r="Q39" s="62" t="str">
        <f>IF('Revenue w MYP'!$E38="","",IF('Cash Flow %s Yr1'!Q39="","0",'Cash Flow %s Yr1'!Q39*'Revenue w MYP'!$E38))</f>
        <v/>
      </c>
      <c r="R39" s="62" t="str">
        <f>IF('Revenue w MYP'!$E38="","",IF('Cash Flow %s Yr1'!R39="","0",'Cash Flow %s Yr1'!R39*'Revenue w MYP'!$E38))</f>
        <v/>
      </c>
      <c r="S39" s="97" t="str">
        <f>IF(SUM(D39:R39)&gt;0,SUM(D39:R39)/'Revenue w MYP'!$E38,"")</f>
        <v/>
      </c>
    </row>
    <row r="40" spans="1:19" s="31" customFormat="1" x14ac:dyDescent="0.75">
      <c r="A40" s="48"/>
      <c r="B40" s="63" t="str">
        <f>'Revenue w MYP'!C39</f>
        <v>8685</v>
      </c>
      <c r="C40" s="63" t="str">
        <f>'Revenue w MYP'!D39</f>
        <v>School Site Fundraising</v>
      </c>
      <c r="D40" s="62" t="str">
        <f>IF('Revenue w MYP'!$E39="","",IF('Cash Flow %s Yr1'!D40="","",'Cash Flow %s Yr1'!D40*'Revenue w MYP'!$E39))</f>
        <v/>
      </c>
      <c r="E40" s="62" t="str">
        <f>IF('Revenue w MYP'!$E39="","",IF('Cash Flow %s Yr1'!E40="","",'Cash Flow %s Yr1'!E40*'Revenue w MYP'!$E39))</f>
        <v/>
      </c>
      <c r="F40" s="62" t="str">
        <f>IF('Revenue w MYP'!$E39="","",IF('Cash Flow %s Yr1'!F40="","",'Cash Flow %s Yr1'!F40*'Revenue w MYP'!$E39))</f>
        <v/>
      </c>
      <c r="G40" s="62" t="str">
        <f>IF('Revenue w MYP'!$E39="","",IF('Cash Flow %s Yr1'!G40="","",'Cash Flow %s Yr1'!G40*'Revenue w MYP'!$E39))</f>
        <v/>
      </c>
      <c r="H40" s="62" t="str">
        <f>IF('Revenue w MYP'!$E39="","",IF('Cash Flow %s Yr1'!H40="","",'Cash Flow %s Yr1'!H40*'Revenue w MYP'!$E39))</f>
        <v/>
      </c>
      <c r="I40" s="62" t="str">
        <f>IF('Revenue w MYP'!$E39="","",IF('Cash Flow %s Yr1'!I40="","",'Cash Flow %s Yr1'!I40*'Revenue w MYP'!$E39))</f>
        <v/>
      </c>
      <c r="J40" s="62" t="str">
        <f>IF('Revenue w MYP'!$E39="","",IF('Cash Flow %s Yr1'!J40="","",'Cash Flow %s Yr1'!J40*'Revenue w MYP'!$E39))</f>
        <v/>
      </c>
      <c r="K40" s="62" t="str">
        <f>IF('Revenue w MYP'!$E39="","",IF('Cash Flow %s Yr1'!K40="","",'Cash Flow %s Yr1'!K40*'Revenue w MYP'!$E39))</f>
        <v/>
      </c>
      <c r="L40" s="62" t="str">
        <f>IF('Revenue w MYP'!$E39="","",IF('Cash Flow %s Yr1'!L40="","",'Cash Flow %s Yr1'!L40*'Revenue w MYP'!$E39))</f>
        <v/>
      </c>
      <c r="M40" s="62" t="str">
        <f>IF('Revenue w MYP'!$E39="","",IF('Cash Flow %s Yr1'!M40="","",'Cash Flow %s Yr1'!M40*'Revenue w MYP'!$E39))</f>
        <v/>
      </c>
      <c r="N40" s="62" t="str">
        <f>IF('Revenue w MYP'!$E39="","",IF('Cash Flow %s Yr1'!N40="","",'Cash Flow %s Yr1'!N40*'Revenue w MYP'!$E39))</f>
        <v/>
      </c>
      <c r="O40" s="62" t="str">
        <f>IF('Revenue w MYP'!$E39="","",IF('Cash Flow %s Yr1'!O40="","0",'Cash Flow %s Yr1'!O40*'Revenue w MYP'!$E39))</f>
        <v/>
      </c>
      <c r="P40" s="62" t="str">
        <f>IF('Revenue w MYP'!$E39="","",IF('Cash Flow %s Yr1'!P40="","0",'Cash Flow %s Yr1'!P40*'Revenue w MYP'!$E39))</f>
        <v/>
      </c>
      <c r="Q40" s="62" t="str">
        <f>IF('Revenue w MYP'!$E39="","",IF('Cash Flow %s Yr1'!Q40="","0",'Cash Flow %s Yr1'!Q40*'Revenue w MYP'!$E39))</f>
        <v/>
      </c>
      <c r="R40" s="62" t="str">
        <f>IF('Revenue w MYP'!$E39="","",IF('Cash Flow %s Yr1'!R40="","0",'Cash Flow %s Yr1'!R40*'Revenue w MYP'!$E39))</f>
        <v/>
      </c>
      <c r="S40" s="97" t="str">
        <f>IF(SUM(D40:R40)&gt;0,SUM(D40:R40)/'Revenue w MYP'!$E39,"")</f>
        <v/>
      </c>
    </row>
    <row r="41" spans="1:19" s="31" customFormat="1" ht="17.75" x14ac:dyDescent="0.75">
      <c r="A41" s="29"/>
      <c r="B41" s="63" t="str">
        <f>'Revenue w MYP'!C40</f>
        <v>8698</v>
      </c>
      <c r="C41" s="63" t="str">
        <f>'Revenue w MYP'!D40</f>
        <v>E-Rate</v>
      </c>
      <c r="D41" s="62" t="str">
        <f>IF('Revenue w MYP'!$E40="","",IF('Cash Flow %s Yr1'!D41="","",'Cash Flow %s Yr1'!D41*'Revenue w MYP'!$E40))</f>
        <v/>
      </c>
      <c r="E41" s="62" t="str">
        <f>IF('Revenue w MYP'!$E40="","",IF('Cash Flow %s Yr1'!E41="","",'Cash Flow %s Yr1'!E41*'Revenue w MYP'!$E40))</f>
        <v/>
      </c>
      <c r="F41" s="62" t="str">
        <f>IF('Revenue w MYP'!$E40="","",IF('Cash Flow %s Yr1'!F41="","",'Cash Flow %s Yr1'!F41*'Revenue w MYP'!$E40))</f>
        <v/>
      </c>
      <c r="G41" s="62" t="str">
        <f>IF('Revenue w MYP'!$E40="","",IF('Cash Flow %s Yr1'!G41="","",'Cash Flow %s Yr1'!G41*'Revenue w MYP'!$E40))</f>
        <v/>
      </c>
      <c r="H41" s="62" t="str">
        <f>IF('Revenue w MYP'!$E40="","",IF('Cash Flow %s Yr1'!H41="","",'Cash Flow %s Yr1'!H41*'Revenue w MYP'!$E40))</f>
        <v/>
      </c>
      <c r="I41" s="62" t="str">
        <f>IF('Revenue w MYP'!$E40="","",IF('Cash Flow %s Yr1'!I41="","",'Cash Flow %s Yr1'!I41*'Revenue w MYP'!$E40))</f>
        <v/>
      </c>
      <c r="J41" s="62" t="str">
        <f>IF('Revenue w MYP'!$E40="","",IF('Cash Flow %s Yr1'!J41="","",'Cash Flow %s Yr1'!J41*'Revenue w MYP'!$E40))</f>
        <v/>
      </c>
      <c r="K41" s="62" t="str">
        <f>IF('Revenue w MYP'!$E40="","",IF('Cash Flow %s Yr1'!K41="","",'Cash Flow %s Yr1'!K41*'Revenue w MYP'!$E40))</f>
        <v/>
      </c>
      <c r="L41" s="62" t="str">
        <f>IF('Revenue w MYP'!$E40="","",IF('Cash Flow %s Yr1'!L41="","",'Cash Flow %s Yr1'!L41*'Revenue w MYP'!$E40))</f>
        <v/>
      </c>
      <c r="M41" s="62" t="str">
        <f>IF('Revenue w MYP'!$E40="","",IF('Cash Flow %s Yr1'!M41="","",'Cash Flow %s Yr1'!M41*'Revenue w MYP'!$E40))</f>
        <v/>
      </c>
      <c r="N41" s="62" t="str">
        <f>IF('Revenue w MYP'!$E40="","",IF('Cash Flow %s Yr1'!N41="","",'Cash Flow %s Yr1'!N41*'Revenue w MYP'!$E40))</f>
        <v/>
      </c>
      <c r="O41" s="62" t="str">
        <f>IF('Revenue w MYP'!$E40="","",IF('Cash Flow %s Yr1'!O41="","0",'Cash Flow %s Yr1'!O41*'Revenue w MYP'!$E40))</f>
        <v/>
      </c>
      <c r="P41" s="62" t="str">
        <f>IF('Revenue w MYP'!$E40="","",IF('Cash Flow %s Yr1'!P41="","0",'Cash Flow %s Yr1'!P41*'Revenue w MYP'!$E40))</f>
        <v/>
      </c>
      <c r="Q41" s="62" t="str">
        <f>IF('Revenue w MYP'!$E40="","",IF('Cash Flow %s Yr1'!Q41="","0",'Cash Flow %s Yr1'!Q41*'Revenue w MYP'!$E40))</f>
        <v/>
      </c>
      <c r="R41" s="62" t="str">
        <f>IF('Revenue w MYP'!$E40="","",IF('Cash Flow %s Yr1'!R41="","0",'Cash Flow %s Yr1'!R41*'Revenue w MYP'!$E40))</f>
        <v/>
      </c>
      <c r="S41" s="97" t="str">
        <f>IF(SUM(D41:R41)&gt;0,SUM(D41:R41)/'Revenue w MYP'!$E40,"")</f>
        <v/>
      </c>
    </row>
    <row r="42" spans="1:19" s="31" customFormat="1" ht="17.75" x14ac:dyDescent="0.75">
      <c r="A42" s="29"/>
      <c r="B42" s="63" t="str">
        <f>'Revenue w MYP'!C41</f>
        <v>8699</v>
      </c>
      <c r="C42" s="63" t="str">
        <f>'Revenue w MYP'!D41</f>
        <v>All Other Local Revenue</v>
      </c>
      <c r="D42" s="62" t="str">
        <f>IF('Revenue w MYP'!$E41="","",IF('Cash Flow %s Yr1'!D42="","",'Cash Flow %s Yr1'!D42*'Revenue w MYP'!$E41))</f>
        <v/>
      </c>
      <c r="E42" s="62" t="str">
        <f>IF('Revenue w MYP'!$E41="","",IF('Cash Flow %s Yr1'!E42="","",'Cash Flow %s Yr1'!E42*'Revenue w MYP'!$E41))</f>
        <v/>
      </c>
      <c r="F42" s="62" t="str">
        <f>IF('Revenue w MYP'!$E41="","",IF('Cash Flow %s Yr1'!F42="","",'Cash Flow %s Yr1'!F42*'Revenue w MYP'!$E41))</f>
        <v/>
      </c>
      <c r="G42" s="62" t="str">
        <f>IF('Revenue w MYP'!$E41="","",IF('Cash Flow %s Yr1'!G42="","",'Cash Flow %s Yr1'!G42*'Revenue w MYP'!$E41))</f>
        <v/>
      </c>
      <c r="H42" s="62" t="str">
        <f>IF('Revenue w MYP'!$E41="","",IF('Cash Flow %s Yr1'!H42="","",'Cash Flow %s Yr1'!H42*'Revenue w MYP'!$E41))</f>
        <v/>
      </c>
      <c r="I42" s="62" t="str">
        <f>IF('Revenue w MYP'!$E41="","",IF('Cash Flow %s Yr1'!I42="","",'Cash Flow %s Yr1'!I42*'Revenue w MYP'!$E41))</f>
        <v/>
      </c>
      <c r="J42" s="62" t="str">
        <f>IF('Revenue w MYP'!$E41="","",IF('Cash Flow %s Yr1'!J42="","",'Cash Flow %s Yr1'!J42*'Revenue w MYP'!$E41))</f>
        <v/>
      </c>
      <c r="K42" s="62" t="str">
        <f>IF('Revenue w MYP'!$E41="","",IF('Cash Flow %s Yr1'!K42="","",'Cash Flow %s Yr1'!K42*'Revenue w MYP'!$E41))</f>
        <v/>
      </c>
      <c r="L42" s="62" t="str">
        <f>IF('Revenue w MYP'!$E41="","",IF('Cash Flow %s Yr1'!L42="","",'Cash Flow %s Yr1'!L42*'Revenue w MYP'!$E41))</f>
        <v/>
      </c>
      <c r="M42" s="62" t="str">
        <f>IF('Revenue w MYP'!$E41="","",IF('Cash Flow %s Yr1'!M42="","",'Cash Flow %s Yr1'!M42*'Revenue w MYP'!$E41))</f>
        <v/>
      </c>
      <c r="N42" s="62" t="str">
        <f>IF('Revenue w MYP'!$E41="","",IF('Cash Flow %s Yr1'!N42="","",'Cash Flow %s Yr1'!N42*'Revenue w MYP'!$E41))</f>
        <v/>
      </c>
      <c r="O42" s="62" t="str">
        <f>IF('Revenue w MYP'!$E41="","",IF('Cash Flow %s Yr1'!O42="","0",'Cash Flow %s Yr1'!O42*'Revenue w MYP'!$E41))</f>
        <v/>
      </c>
      <c r="P42" s="62" t="str">
        <f>IF('Revenue w MYP'!$E41="","",IF('Cash Flow %s Yr1'!P42="","0",'Cash Flow %s Yr1'!P42*'Revenue w MYP'!$E41))</f>
        <v/>
      </c>
      <c r="Q42" s="62" t="str">
        <f>IF('Revenue w MYP'!$E41="","",IF('Cash Flow %s Yr1'!Q42="","0",'Cash Flow %s Yr1'!Q42*'Revenue w MYP'!$E41))</f>
        <v/>
      </c>
      <c r="R42" s="62" t="str">
        <f>IF('Revenue w MYP'!$E41="","",IF('Cash Flow %s Yr1'!R42="","0",'Cash Flow %s Yr1'!R42*'Revenue w MYP'!$E41))</f>
        <v/>
      </c>
      <c r="S42" s="97" t="str">
        <f>IF(SUM(D42:R42)&gt;0,SUM(D42:R42)/'Revenue w MYP'!$E41,"")</f>
        <v/>
      </c>
    </row>
    <row r="43" spans="1:19" s="31" customFormat="1" ht="17.75" x14ac:dyDescent="0.75">
      <c r="A43" s="29"/>
      <c r="B43" s="63" t="str">
        <f>'Revenue w MYP'!C42</f>
        <v>8785</v>
      </c>
      <c r="C43" s="63" t="str">
        <f>'Revenue w MYP'!D42</f>
        <v>CMO Management fee</v>
      </c>
      <c r="D43" s="62" t="str">
        <f>IF('Revenue w MYP'!$E42="","",IF('Cash Flow %s Yr1'!D43="","",'Cash Flow %s Yr1'!D43*'Revenue w MYP'!$E42))</f>
        <v/>
      </c>
      <c r="E43" s="62" t="str">
        <f>IF('Revenue w MYP'!$E42="","",IF('Cash Flow %s Yr1'!E43="","",'Cash Flow %s Yr1'!E43*'Revenue w MYP'!$E42))</f>
        <v/>
      </c>
      <c r="F43" s="62" t="str">
        <f>IF('Revenue w MYP'!$E42="","",IF('Cash Flow %s Yr1'!F43="","",'Cash Flow %s Yr1'!F43*'Revenue w MYP'!$E42))</f>
        <v/>
      </c>
      <c r="G43" s="62" t="str">
        <f>IF('Revenue w MYP'!$E42="","",IF('Cash Flow %s Yr1'!G43="","",'Cash Flow %s Yr1'!G43*'Revenue w MYP'!$E42))</f>
        <v/>
      </c>
      <c r="H43" s="62" t="str">
        <f>IF('Revenue w MYP'!$E42="","",IF('Cash Flow %s Yr1'!H43="","",'Cash Flow %s Yr1'!H43*'Revenue w MYP'!$E42))</f>
        <v/>
      </c>
      <c r="I43" s="62" t="str">
        <f>IF('Revenue w MYP'!$E42="","",IF('Cash Flow %s Yr1'!I43="","",'Cash Flow %s Yr1'!I43*'Revenue w MYP'!$E42))</f>
        <v/>
      </c>
      <c r="J43" s="62" t="str">
        <f>IF('Revenue w MYP'!$E42="","",IF('Cash Flow %s Yr1'!J43="","",'Cash Flow %s Yr1'!J43*'Revenue w MYP'!$E42))</f>
        <v/>
      </c>
      <c r="K43" s="62" t="str">
        <f>IF('Revenue w MYP'!$E42="","",IF('Cash Flow %s Yr1'!K43="","",'Cash Flow %s Yr1'!K43*'Revenue w MYP'!$E42))</f>
        <v/>
      </c>
      <c r="L43" s="62" t="str">
        <f>IF('Revenue w MYP'!$E42="","",IF('Cash Flow %s Yr1'!L43="","",'Cash Flow %s Yr1'!L43*'Revenue w MYP'!$E42))</f>
        <v/>
      </c>
      <c r="M43" s="62" t="str">
        <f>IF('Revenue w MYP'!$E42="","",IF('Cash Flow %s Yr1'!M43="","",'Cash Flow %s Yr1'!M43*'Revenue w MYP'!$E42))</f>
        <v/>
      </c>
      <c r="N43" s="62" t="str">
        <f>IF('Revenue w MYP'!$E42="","",IF('Cash Flow %s Yr1'!N43="","",'Cash Flow %s Yr1'!N43*'Revenue w MYP'!$E42))</f>
        <v/>
      </c>
      <c r="O43" s="62" t="str">
        <f>IF('Revenue w MYP'!$E42="","",IF('Cash Flow %s Yr1'!O43="","0",'Cash Flow %s Yr1'!O43*'Revenue w MYP'!$E42))</f>
        <v/>
      </c>
      <c r="P43" s="62" t="str">
        <f>IF('Revenue w MYP'!$E42="","",IF('Cash Flow %s Yr1'!P43="","0",'Cash Flow %s Yr1'!P43*'Revenue w MYP'!$E42))</f>
        <v/>
      </c>
      <c r="Q43" s="62" t="str">
        <f>IF('Revenue w MYP'!$E42="","",IF('Cash Flow %s Yr1'!Q43="","0",'Cash Flow %s Yr1'!Q43*'Revenue w MYP'!$E42))</f>
        <v/>
      </c>
      <c r="R43" s="62" t="str">
        <f>IF('Revenue w MYP'!$E42="","",IF('Cash Flow %s Yr1'!R43="","0",'Cash Flow %s Yr1'!R43*'Revenue w MYP'!$E42))</f>
        <v/>
      </c>
      <c r="S43" s="97" t="str">
        <f>IF(SUM(D43:R43)&gt;0,SUM(D43:R43)/'Revenue w MYP'!$E42,"")</f>
        <v/>
      </c>
    </row>
    <row r="44" spans="1:19" s="31" customFormat="1" ht="17.75" x14ac:dyDescent="0.75">
      <c r="A44" s="29"/>
      <c r="B44" s="63" t="str">
        <f>'Revenue w MYP'!C43</f>
        <v>8792</v>
      </c>
      <c r="C44" s="63" t="str">
        <f>'Revenue w MYP'!D43</f>
        <v>SPED State / Other Transfers from County</v>
      </c>
      <c r="D44" s="62" t="str">
        <f>IF('Revenue w MYP'!$E43="","",IF('Cash Flow %s Yr1'!D44="","",'Cash Flow %s Yr1'!D44*'Revenue w MYP'!$E43))</f>
        <v/>
      </c>
      <c r="E44" s="62" t="str">
        <f>IF('Revenue w MYP'!$E43="","",IF('Cash Flow %s Yr1'!E44="","",'Cash Flow %s Yr1'!E44*'Revenue w MYP'!$E43))</f>
        <v/>
      </c>
      <c r="F44" s="62" t="str">
        <f>IF('Revenue w MYP'!$E43="","",IF('Cash Flow %s Yr1'!F44="","",'Cash Flow %s Yr1'!F44*'Revenue w MYP'!$E43))</f>
        <v/>
      </c>
      <c r="G44" s="62" t="str">
        <f>IF('Revenue w MYP'!$E43="","",IF('Cash Flow %s Yr1'!G44="","",'Cash Flow %s Yr1'!G44*'Revenue w MYP'!$E43))</f>
        <v/>
      </c>
      <c r="H44" s="62" t="str">
        <f>IF('Revenue w MYP'!$E43="","",IF('Cash Flow %s Yr1'!H44="","",'Cash Flow %s Yr1'!H44*'Revenue w MYP'!$E43))</f>
        <v/>
      </c>
      <c r="I44" s="62" t="str">
        <f>IF('Revenue w MYP'!$E43="","",IF('Cash Flow %s Yr1'!I44="","",'Cash Flow %s Yr1'!I44*'Revenue w MYP'!$E43))</f>
        <v/>
      </c>
      <c r="J44" s="62" t="str">
        <f>IF('Revenue w MYP'!$E43="","",IF('Cash Flow %s Yr1'!J44="","",'Cash Flow %s Yr1'!J44*'Revenue w MYP'!$E43))</f>
        <v/>
      </c>
      <c r="K44" s="62" t="str">
        <f>IF('Revenue w MYP'!$E43="","",IF('Cash Flow %s Yr1'!K44="","",'Cash Flow %s Yr1'!K44*'Revenue w MYP'!$E43))</f>
        <v/>
      </c>
      <c r="L44" s="62" t="str">
        <f>IF('Revenue w MYP'!$E43="","",IF('Cash Flow %s Yr1'!L44="","",'Cash Flow %s Yr1'!L44*'Revenue w MYP'!$E43))</f>
        <v/>
      </c>
      <c r="M44" s="62" t="str">
        <f>IF('Revenue w MYP'!$E43="","",IF('Cash Flow %s Yr1'!M44="","",'Cash Flow %s Yr1'!M44*'Revenue w MYP'!$E43))</f>
        <v/>
      </c>
      <c r="N44" s="62" t="str">
        <f>IF('Revenue w MYP'!$E43="","",IF('Cash Flow %s Yr1'!N44="","",'Cash Flow %s Yr1'!N44*'Revenue w MYP'!$E43))</f>
        <v/>
      </c>
      <c r="O44" s="62" t="str">
        <f>IF('Revenue w MYP'!$E43="","",IF('Cash Flow %s Yr1'!O44="","0",'Cash Flow %s Yr1'!O44*'Revenue w MYP'!$E43))</f>
        <v/>
      </c>
      <c r="P44" s="62" t="str">
        <f>IF('Revenue w MYP'!$E43="","",IF('Cash Flow %s Yr1'!P44="","0",'Cash Flow %s Yr1'!P44*'Revenue w MYP'!$E43))</f>
        <v/>
      </c>
      <c r="Q44" s="62" t="str">
        <f>IF('Revenue w MYP'!$E43="","",IF('Cash Flow %s Yr1'!Q44="","0",'Cash Flow %s Yr1'!Q44*'Revenue w MYP'!$E43))</f>
        <v/>
      </c>
      <c r="R44" s="62" t="str">
        <f>IF('Revenue w MYP'!$E43="","",IF('Cash Flow %s Yr1'!R44="","0",'Cash Flow %s Yr1'!R44*'Revenue w MYP'!$E43))</f>
        <v/>
      </c>
      <c r="S44" s="97" t="str">
        <f>IF(SUM(D44:R44)&gt;0,SUM(D44:R44)/'Revenue w MYP'!$E43,"")</f>
        <v/>
      </c>
    </row>
    <row r="45" spans="1:19" s="31" customFormat="1" ht="17.75" x14ac:dyDescent="0.75">
      <c r="A45" s="29"/>
      <c r="B45" s="63" t="str">
        <f>'Revenue w MYP'!C44</f>
        <v>8639</v>
      </c>
      <c r="C45" s="63" t="str">
        <f>'Revenue w MYP'!D44</f>
        <v>Student Lunch Revenue</v>
      </c>
      <c r="D45" s="62" t="str">
        <f>IF('Revenue w MYP'!$E44="","",IF('Cash Flow %s Yr1'!D45="","",'Cash Flow %s Yr1'!D45*'Revenue w MYP'!$E44))</f>
        <v/>
      </c>
      <c r="E45" s="62" t="str">
        <f>IF('Revenue w MYP'!$E44="","",IF('Cash Flow %s Yr1'!E45="","",'Cash Flow %s Yr1'!E45*'Revenue w MYP'!$E44))</f>
        <v/>
      </c>
      <c r="F45" s="62" t="str">
        <f>IF('Revenue w MYP'!$E44="","",IF('Cash Flow %s Yr1'!F45="","",'Cash Flow %s Yr1'!F45*'Revenue w MYP'!$E44))</f>
        <v/>
      </c>
      <c r="G45" s="62" t="str">
        <f>IF('Revenue w MYP'!$E44="","",IF('Cash Flow %s Yr1'!G45="","",'Cash Flow %s Yr1'!G45*'Revenue w MYP'!$E44))</f>
        <v/>
      </c>
      <c r="H45" s="62" t="str">
        <f>IF('Revenue w MYP'!$E44="","",IF('Cash Flow %s Yr1'!H45="","",'Cash Flow %s Yr1'!H45*'Revenue w MYP'!$E44))</f>
        <v/>
      </c>
      <c r="I45" s="62" t="str">
        <f>IF('Revenue w MYP'!$E44="","",IF('Cash Flow %s Yr1'!I45="","",'Cash Flow %s Yr1'!I45*'Revenue w MYP'!$E44))</f>
        <v/>
      </c>
      <c r="J45" s="62" t="str">
        <f>IF('Revenue w MYP'!$E44="","",IF('Cash Flow %s Yr1'!J45="","",'Cash Flow %s Yr1'!J45*'Revenue w MYP'!$E44))</f>
        <v/>
      </c>
      <c r="K45" s="62" t="str">
        <f>IF('Revenue w MYP'!$E44="","",IF('Cash Flow %s Yr1'!K45="","",'Cash Flow %s Yr1'!K45*'Revenue w MYP'!$E44))</f>
        <v/>
      </c>
      <c r="L45" s="62" t="str">
        <f>IF('Revenue w MYP'!$E44="","",IF('Cash Flow %s Yr1'!L45="","",'Cash Flow %s Yr1'!L45*'Revenue w MYP'!$E44))</f>
        <v/>
      </c>
      <c r="M45" s="62" t="str">
        <f>IF('Revenue w MYP'!$E44="","",IF('Cash Flow %s Yr1'!M45="","",'Cash Flow %s Yr1'!M45*'Revenue w MYP'!$E44))</f>
        <v/>
      </c>
      <c r="N45" s="62" t="str">
        <f>IF('Revenue w MYP'!$E44="","",IF('Cash Flow %s Yr1'!N45="","",'Cash Flow %s Yr1'!N45*'Revenue w MYP'!$E44))</f>
        <v/>
      </c>
      <c r="O45" s="62" t="str">
        <f>IF('Revenue w MYP'!$E44="","",IF('Cash Flow %s Yr1'!O45="","0",'Cash Flow %s Yr1'!O45*'Revenue w MYP'!$E44))</f>
        <v/>
      </c>
      <c r="P45" s="62" t="str">
        <f>IF('Revenue w MYP'!$E44="","",IF('Cash Flow %s Yr1'!P45="","0",'Cash Flow %s Yr1'!P45*'Revenue w MYP'!$E44))</f>
        <v/>
      </c>
      <c r="Q45" s="62" t="str">
        <f>IF('Revenue w MYP'!$E44="","",IF('Cash Flow %s Yr1'!Q45="","0",'Cash Flow %s Yr1'!Q45*'Revenue w MYP'!$E44))</f>
        <v/>
      </c>
      <c r="R45" s="62" t="str">
        <f>IF('Revenue w MYP'!$E44="","",IF('Cash Flow %s Yr1'!R45="","0",'Cash Flow %s Yr1'!R45*'Revenue w MYP'!$E44))</f>
        <v/>
      </c>
      <c r="S45" s="97" t="str">
        <f>IF(SUM(D45:R45)&gt;0,SUM(D45:R45)/'Revenue w MYP'!$E44,"")</f>
        <v/>
      </c>
    </row>
    <row r="46" spans="1:19" s="31" customFormat="1" ht="17.75" x14ac:dyDescent="0.75">
      <c r="A46" s="29"/>
      <c r="B46" s="63" t="str">
        <f>'Revenue w MYP'!C45</f>
        <v>8986</v>
      </c>
      <c r="C46" s="63" t="str">
        <f>'Revenue w MYP'!D45</f>
        <v>Rental Income</v>
      </c>
      <c r="D46" s="62" t="str">
        <f>IF('Revenue w MYP'!$E45="","",IF('Cash Flow %s Yr1'!D46="","",'Cash Flow %s Yr1'!D46*'Revenue w MYP'!$E45))</f>
        <v/>
      </c>
      <c r="E46" s="62" t="str">
        <f>IF('Revenue w MYP'!$E45="","",IF('Cash Flow %s Yr1'!E46="","",'Cash Flow %s Yr1'!E46*'Revenue w MYP'!$E45))</f>
        <v/>
      </c>
      <c r="F46" s="62" t="str">
        <f>IF('Revenue w MYP'!$E45="","",IF('Cash Flow %s Yr1'!F46="","",'Cash Flow %s Yr1'!F46*'Revenue w MYP'!$E45))</f>
        <v/>
      </c>
      <c r="G46" s="62" t="str">
        <f>IF('Revenue w MYP'!$E45="","",IF('Cash Flow %s Yr1'!G46="","",'Cash Flow %s Yr1'!G46*'Revenue w MYP'!$E45))</f>
        <v/>
      </c>
      <c r="H46" s="62" t="str">
        <f>IF('Revenue w MYP'!$E45="","",IF('Cash Flow %s Yr1'!H46="","",'Cash Flow %s Yr1'!H46*'Revenue w MYP'!$E45))</f>
        <v/>
      </c>
      <c r="I46" s="62" t="str">
        <f>IF('Revenue w MYP'!$E45="","",IF('Cash Flow %s Yr1'!I46="","",'Cash Flow %s Yr1'!I46*'Revenue w MYP'!$E45))</f>
        <v/>
      </c>
      <c r="J46" s="62" t="str">
        <f>IF('Revenue w MYP'!$E45="","",IF('Cash Flow %s Yr1'!J46="","",'Cash Flow %s Yr1'!J46*'Revenue w MYP'!$E45))</f>
        <v/>
      </c>
      <c r="K46" s="62" t="str">
        <f>IF('Revenue w MYP'!$E45="","",IF('Cash Flow %s Yr1'!K46="","",'Cash Flow %s Yr1'!K46*'Revenue w MYP'!$E45))</f>
        <v/>
      </c>
      <c r="L46" s="62" t="str">
        <f>IF('Revenue w MYP'!$E45="","",IF('Cash Flow %s Yr1'!L46="","",'Cash Flow %s Yr1'!L46*'Revenue w MYP'!$E45))</f>
        <v/>
      </c>
      <c r="M46" s="62" t="str">
        <f>IF('Revenue w MYP'!$E45="","",IF('Cash Flow %s Yr1'!M46="","",'Cash Flow %s Yr1'!M46*'Revenue w MYP'!$E45))</f>
        <v/>
      </c>
      <c r="N46" s="62" t="str">
        <f>IF('Revenue w MYP'!$E45="","",IF('Cash Flow %s Yr1'!N46="","",'Cash Flow %s Yr1'!N46*'Revenue w MYP'!$E45))</f>
        <v/>
      </c>
      <c r="O46" s="62" t="str">
        <f>IF('Revenue w MYP'!$E45="","",IF('Cash Flow %s Yr1'!O46="","0",'Cash Flow %s Yr1'!O46*'Revenue w MYP'!$E45))</f>
        <v/>
      </c>
      <c r="P46" s="62" t="str">
        <f>IF('Revenue w MYP'!$E45="","",IF('Cash Flow %s Yr1'!P46="","0",'Cash Flow %s Yr1'!P46*'Revenue w MYP'!$E45))</f>
        <v/>
      </c>
      <c r="Q46" s="62" t="str">
        <f>IF('Revenue w MYP'!$E45="","",IF('Cash Flow %s Yr1'!Q46="","0",'Cash Flow %s Yr1'!Q46*'Revenue w MYP'!$E45))</f>
        <v/>
      </c>
      <c r="R46" s="62" t="str">
        <f>IF('Revenue w MYP'!$E45="","",IF('Cash Flow %s Yr1'!R46="","0",'Cash Flow %s Yr1'!R46*'Revenue w MYP'!$E45))</f>
        <v/>
      </c>
      <c r="S46" s="97" t="str">
        <f>IF(SUM(D46:R46)&gt;0,SUM(D46:R46)/'Revenue w MYP'!$E45,"")</f>
        <v/>
      </c>
    </row>
    <row r="47" spans="1:19" s="31" customFormat="1" ht="17.75" x14ac:dyDescent="0.75">
      <c r="A47" s="29"/>
      <c r="B47" s="63" t="str">
        <f>'Revenue w MYP'!C47</f>
        <v>8662</v>
      </c>
      <c r="C47" s="63" t="str">
        <f>'Revenue w MYP'!D47</f>
        <v>Increase/Decrease in Investment</v>
      </c>
      <c r="D47" s="62" t="str">
        <f>IF('Revenue w MYP'!$E47="","",IF('Cash Flow %s Yr1'!D47="","",'Cash Flow %s Yr1'!D47*'Revenue w MYP'!$E47))</f>
        <v/>
      </c>
      <c r="E47" s="62" t="str">
        <f>IF('Revenue w MYP'!$E47="","",IF('Cash Flow %s Yr1'!E47="","",'Cash Flow %s Yr1'!E47*'Revenue w MYP'!$E47))</f>
        <v/>
      </c>
      <c r="F47" s="62" t="str">
        <f>IF('Revenue w MYP'!$E47="","",IF('Cash Flow %s Yr1'!F47="","",'Cash Flow %s Yr1'!F47*'Revenue w MYP'!$E47))</f>
        <v/>
      </c>
      <c r="G47" s="62" t="str">
        <f>IF('Revenue w MYP'!$E47="","",IF('Cash Flow %s Yr1'!G47="","",'Cash Flow %s Yr1'!G47*'Revenue w MYP'!$E47))</f>
        <v/>
      </c>
      <c r="H47" s="62" t="str">
        <f>IF('Revenue w MYP'!$E47="","",IF('Cash Flow %s Yr1'!H47="","",'Cash Flow %s Yr1'!H47*'Revenue w MYP'!$E47))</f>
        <v/>
      </c>
      <c r="I47" s="62" t="str">
        <f>IF('Revenue w MYP'!$E47="","",IF('Cash Flow %s Yr1'!I47="","",'Cash Flow %s Yr1'!I47*'Revenue w MYP'!$E47))</f>
        <v/>
      </c>
      <c r="J47" s="62" t="str">
        <f>IF('Revenue w MYP'!$E47="","",IF('Cash Flow %s Yr1'!J47="","",'Cash Flow %s Yr1'!J47*'Revenue w MYP'!$E47))</f>
        <v/>
      </c>
      <c r="K47" s="62" t="str">
        <f>IF('Revenue w MYP'!$E47="","",IF('Cash Flow %s Yr1'!K47="","",'Cash Flow %s Yr1'!K47*'Revenue w MYP'!$E47))</f>
        <v/>
      </c>
      <c r="L47" s="62" t="str">
        <f>IF('Revenue w MYP'!$E47="","",IF('Cash Flow %s Yr1'!L47="","",'Cash Flow %s Yr1'!L47*'Revenue w MYP'!$E47))</f>
        <v/>
      </c>
      <c r="M47" s="62" t="str">
        <f>IF('Revenue w MYP'!$E47="","",IF('Cash Flow %s Yr1'!M47="","",'Cash Flow %s Yr1'!M47*'Revenue w MYP'!$E47))</f>
        <v/>
      </c>
      <c r="N47" s="62" t="str">
        <f>IF('Revenue w MYP'!$E47="","",IF('Cash Flow %s Yr1'!N47="","",'Cash Flow %s Yr1'!N47*'Revenue w MYP'!$E47))</f>
        <v/>
      </c>
      <c r="O47" s="62" t="str">
        <f>IF('Revenue w MYP'!$E47="","",IF('Cash Flow %s Yr1'!O47="","0",'Cash Flow %s Yr1'!O47*'Revenue w MYP'!$E47))</f>
        <v/>
      </c>
      <c r="P47" s="62" t="str">
        <f>IF('Revenue w MYP'!$E47="","",IF('Cash Flow %s Yr1'!P47="","0",'Cash Flow %s Yr1'!P47*'Revenue w MYP'!$E47))</f>
        <v/>
      </c>
      <c r="Q47" s="62" t="str">
        <f>IF('Revenue w MYP'!$E47="","",IF('Cash Flow %s Yr1'!Q47="","0",'Cash Flow %s Yr1'!Q47*'Revenue w MYP'!$E47))</f>
        <v/>
      </c>
      <c r="R47" s="62" t="str">
        <f>IF('Revenue w MYP'!$E47="","",IF('Cash Flow %s Yr1'!R47="","0",'Cash Flow %s Yr1'!R47*'Revenue w MYP'!$E47))</f>
        <v/>
      </c>
      <c r="S47" s="97" t="str">
        <f>IF(SUM(D47:R47)&gt;0,SUM(D47:R47)/'Revenue w MYP'!$E47,"")</f>
        <v/>
      </c>
    </row>
    <row r="48" spans="1:19" s="31" customFormat="1" ht="17.75" x14ac:dyDescent="0.75">
      <c r="A48" s="29"/>
      <c r="B48" s="69"/>
      <c r="C48" s="34" t="s">
        <v>719</v>
      </c>
      <c r="D48" s="167">
        <f t="shared" ref="D48:R48" si="2">SUM(D36:D47)</f>
        <v>0</v>
      </c>
      <c r="E48" s="167">
        <f t="shared" si="2"/>
        <v>0</v>
      </c>
      <c r="F48" s="167">
        <f t="shared" si="2"/>
        <v>0</v>
      </c>
      <c r="G48" s="167">
        <f t="shared" si="2"/>
        <v>0</v>
      </c>
      <c r="H48" s="167">
        <f t="shared" si="2"/>
        <v>0</v>
      </c>
      <c r="I48" s="167">
        <f t="shared" si="2"/>
        <v>0</v>
      </c>
      <c r="J48" s="167">
        <f t="shared" si="2"/>
        <v>0</v>
      </c>
      <c r="K48" s="167">
        <f t="shared" si="2"/>
        <v>0</v>
      </c>
      <c r="L48" s="167">
        <f t="shared" si="2"/>
        <v>0</v>
      </c>
      <c r="M48" s="167">
        <f t="shared" si="2"/>
        <v>0</v>
      </c>
      <c r="N48" s="167">
        <f t="shared" si="2"/>
        <v>0</v>
      </c>
      <c r="O48" s="167">
        <f t="shared" si="2"/>
        <v>0</v>
      </c>
      <c r="P48" s="167">
        <f t="shared" si="2"/>
        <v>0</v>
      </c>
      <c r="Q48" s="167">
        <f t="shared" si="2"/>
        <v>0</v>
      </c>
      <c r="R48" s="167">
        <f t="shared" si="2"/>
        <v>0</v>
      </c>
      <c r="S48" s="94"/>
    </row>
    <row r="49" spans="1:19" s="31" customFormat="1" ht="17.75" x14ac:dyDescent="0.75">
      <c r="A49" s="29"/>
      <c r="B49" s="47" t="s">
        <v>675</v>
      </c>
      <c r="C49" s="48"/>
      <c r="D49" s="168">
        <f t="shared" ref="D49:R49" si="3">SUM(D48,D33,D22)</f>
        <v>0</v>
      </c>
      <c r="E49" s="168">
        <f t="shared" si="3"/>
        <v>0</v>
      </c>
      <c r="F49" s="168">
        <f t="shared" si="3"/>
        <v>0</v>
      </c>
      <c r="G49" s="168">
        <f t="shared" si="3"/>
        <v>0</v>
      </c>
      <c r="H49" s="168">
        <f t="shared" si="3"/>
        <v>0</v>
      </c>
      <c r="I49" s="168">
        <f t="shared" si="3"/>
        <v>0</v>
      </c>
      <c r="J49" s="168">
        <f t="shared" si="3"/>
        <v>0</v>
      </c>
      <c r="K49" s="168">
        <f t="shared" si="3"/>
        <v>0</v>
      </c>
      <c r="L49" s="168">
        <f t="shared" si="3"/>
        <v>0</v>
      </c>
      <c r="M49" s="168">
        <f t="shared" si="3"/>
        <v>0</v>
      </c>
      <c r="N49" s="168">
        <f t="shared" si="3"/>
        <v>0</v>
      </c>
      <c r="O49" s="168">
        <f t="shared" si="3"/>
        <v>0</v>
      </c>
      <c r="P49" s="168">
        <f t="shared" si="3"/>
        <v>0</v>
      </c>
      <c r="Q49" s="168">
        <f t="shared" si="3"/>
        <v>0</v>
      </c>
      <c r="R49" s="168">
        <f t="shared" si="3"/>
        <v>0</v>
      </c>
      <c r="S49" s="94"/>
    </row>
    <row r="50" spans="1:19" s="31" customFormat="1" ht="17.75" x14ac:dyDescent="0.75">
      <c r="A50" s="29"/>
      <c r="B50" s="69"/>
      <c r="C50" s="48"/>
      <c r="D50" s="111"/>
      <c r="E50" s="111"/>
      <c r="F50" s="111"/>
      <c r="G50" s="111"/>
      <c r="H50" s="111"/>
      <c r="I50" s="111"/>
      <c r="J50" s="111"/>
      <c r="K50" s="111"/>
      <c r="L50" s="111"/>
      <c r="M50" s="111"/>
      <c r="N50" s="111"/>
      <c r="O50" s="111"/>
      <c r="P50" s="111"/>
      <c r="Q50" s="111"/>
      <c r="R50" s="111"/>
    </row>
    <row r="51" spans="1:19" s="31" customFormat="1" ht="17.75" x14ac:dyDescent="0.75">
      <c r="A51" s="29" t="s">
        <v>796</v>
      </c>
      <c r="B51" s="70"/>
      <c r="C51" s="34"/>
      <c r="D51" s="112"/>
      <c r="E51" s="112"/>
      <c r="F51" s="112"/>
      <c r="G51" s="112"/>
      <c r="H51" s="112"/>
      <c r="I51" s="112"/>
      <c r="J51" s="112"/>
      <c r="K51" s="112"/>
      <c r="L51" s="112"/>
      <c r="M51" s="112"/>
      <c r="N51" s="112"/>
      <c r="O51" s="112"/>
      <c r="P51" s="112"/>
      <c r="Q51" s="112"/>
      <c r="R51" s="112"/>
    </row>
    <row r="52" spans="1:19" x14ac:dyDescent="0.75">
      <c r="A52" s="1"/>
      <c r="B52" s="34" t="s">
        <v>731</v>
      </c>
      <c r="C52" s="2"/>
      <c r="D52" s="94"/>
      <c r="E52" s="94"/>
      <c r="F52" s="94"/>
      <c r="G52" s="94"/>
      <c r="H52" s="94"/>
      <c r="I52" s="94"/>
      <c r="J52" s="94"/>
      <c r="K52" s="94"/>
      <c r="L52" s="94"/>
      <c r="M52" s="94"/>
      <c r="N52" s="94"/>
      <c r="O52" s="94"/>
      <c r="P52" s="94"/>
      <c r="Q52" s="94"/>
      <c r="R52" s="94"/>
    </row>
    <row r="53" spans="1:19" x14ac:dyDescent="0.75">
      <c r="A53" s="35"/>
      <c r="B53" s="65" t="str">
        <f>'Expenses w MYP'!C8</f>
        <v>1100</v>
      </c>
      <c r="C53" s="65" t="str">
        <f>'Expenses w MYP'!D8</f>
        <v>Teachers' Salaries</v>
      </c>
      <c r="D53" s="62" t="str">
        <f>IF('Expenses w MYP'!$E8="","",IF('Cash Flow %s Yr1'!D53="","",'Cash Flow %s Yr1'!D53*'Expenses w MYP'!$E8))</f>
        <v/>
      </c>
      <c r="E53" s="62" t="str">
        <f>IF('Expenses w MYP'!$E8="","",IF('Cash Flow %s Yr1'!E53="","",'Cash Flow %s Yr1'!E53*'Expenses w MYP'!$E8))</f>
        <v/>
      </c>
      <c r="F53" s="62" t="str">
        <f>IF('Expenses w MYP'!$E8="","",IF('Cash Flow %s Yr1'!F53="","",'Cash Flow %s Yr1'!F53*'Expenses w MYP'!$E8))</f>
        <v/>
      </c>
      <c r="G53" s="62" t="str">
        <f>IF('Expenses w MYP'!$E8="","",IF('Cash Flow %s Yr1'!G53="","",'Cash Flow %s Yr1'!G53*'Expenses w MYP'!$E8))</f>
        <v/>
      </c>
      <c r="H53" s="62" t="str">
        <f>IF('Expenses w MYP'!$E8="","",IF('Cash Flow %s Yr1'!H53="","",'Cash Flow %s Yr1'!H53*'Expenses w MYP'!$E8))</f>
        <v/>
      </c>
      <c r="I53" s="62" t="str">
        <f>IF('Expenses w MYP'!$E8="","",IF('Cash Flow %s Yr1'!I53="","",'Cash Flow %s Yr1'!I53*'Expenses w MYP'!$E8))</f>
        <v/>
      </c>
      <c r="J53" s="62" t="str">
        <f>IF('Expenses w MYP'!$E8="","",IF('Cash Flow %s Yr1'!J53="","",'Cash Flow %s Yr1'!J53*'Expenses w MYP'!$E8))</f>
        <v/>
      </c>
      <c r="K53" s="62" t="str">
        <f>IF('Expenses w MYP'!$E8="","",IF('Cash Flow %s Yr1'!K53="","",'Cash Flow %s Yr1'!K53*'Expenses w MYP'!$E8))</f>
        <v/>
      </c>
      <c r="L53" s="62" t="str">
        <f>IF('Expenses w MYP'!$E8="","",IF('Cash Flow %s Yr1'!L53="","",'Cash Flow %s Yr1'!L53*'Expenses w MYP'!$E8))</f>
        <v/>
      </c>
      <c r="M53" s="62" t="str">
        <f>IF('Expenses w MYP'!$E8="","",IF('Cash Flow %s Yr1'!M53="","",'Cash Flow %s Yr1'!M53*'Expenses w MYP'!$E8))</f>
        <v/>
      </c>
      <c r="N53" s="62" t="str">
        <f>IF('Expenses w MYP'!$E8="","",IF('Cash Flow %s Yr1'!N53="","",'Cash Flow %s Yr1'!N53*'Expenses w MYP'!$E8))</f>
        <v/>
      </c>
      <c r="O53" s="62" t="str">
        <f>IF('Expenses w MYP'!$E8="","",IF('Cash Flow %s Yr1'!O53="","",'Cash Flow %s Yr1'!O53*'Expenses w MYP'!$E8))</f>
        <v/>
      </c>
      <c r="P53" s="113"/>
      <c r="Q53" s="113"/>
      <c r="R53" s="113"/>
      <c r="S53" s="97" t="str">
        <f>IF(SUM(D53:R53)&gt;0,SUM(D53:R53)/'Expenses w MYP'!$E8,"")</f>
        <v/>
      </c>
    </row>
    <row r="54" spans="1:19" x14ac:dyDescent="0.75">
      <c r="A54" s="35"/>
      <c r="B54" s="65" t="str">
        <f>'Expenses w MYP'!C9</f>
        <v>1105</v>
      </c>
      <c r="C54" s="65" t="str">
        <f>'Expenses w MYP'!D9</f>
        <v>Teachers' Stipends / Bonus</v>
      </c>
      <c r="D54" s="62" t="str">
        <f>IF('Expenses w MYP'!$E9="","",IF('Cash Flow %s Yr1'!D54="","",'Cash Flow %s Yr1'!D54*'Expenses w MYP'!$E9))</f>
        <v/>
      </c>
      <c r="E54" s="62" t="str">
        <f>IF('Expenses w MYP'!$E9="","",IF('Cash Flow %s Yr1'!E54="","",'Cash Flow %s Yr1'!E54*'Expenses w MYP'!$E9))</f>
        <v/>
      </c>
      <c r="F54" s="62" t="str">
        <f>IF('Expenses w MYP'!$E9="","",IF('Cash Flow %s Yr1'!F54="","",'Cash Flow %s Yr1'!F54*'Expenses w MYP'!$E9))</f>
        <v/>
      </c>
      <c r="G54" s="62" t="str">
        <f>IF('Expenses w MYP'!$E9="","",IF('Cash Flow %s Yr1'!G54="","",'Cash Flow %s Yr1'!G54*'Expenses w MYP'!$E9))</f>
        <v/>
      </c>
      <c r="H54" s="62" t="str">
        <f>IF('Expenses w MYP'!$E9="","",IF('Cash Flow %s Yr1'!H54="","",'Cash Flow %s Yr1'!H54*'Expenses w MYP'!$E9))</f>
        <v/>
      </c>
      <c r="I54" s="62" t="str">
        <f>IF('Expenses w MYP'!$E9="","",IF('Cash Flow %s Yr1'!I54="","",'Cash Flow %s Yr1'!I54*'Expenses w MYP'!$E9))</f>
        <v/>
      </c>
      <c r="J54" s="62" t="str">
        <f>IF('Expenses w MYP'!$E9="","",IF('Cash Flow %s Yr1'!J54="","",'Cash Flow %s Yr1'!J54*'Expenses w MYP'!$E9))</f>
        <v/>
      </c>
      <c r="K54" s="62" t="str">
        <f>IF('Expenses w MYP'!$E9="","",IF('Cash Flow %s Yr1'!K54="","",'Cash Flow %s Yr1'!K54*'Expenses w MYP'!$E9))</f>
        <v/>
      </c>
      <c r="L54" s="62" t="str">
        <f>IF('Expenses w MYP'!$E9="","",IF('Cash Flow %s Yr1'!L54="","",'Cash Flow %s Yr1'!L54*'Expenses w MYP'!$E9))</f>
        <v/>
      </c>
      <c r="M54" s="62" t="str">
        <f>IF('Expenses w MYP'!$E9="","",IF('Cash Flow %s Yr1'!M54="","",'Cash Flow %s Yr1'!M54*'Expenses w MYP'!$E9))</f>
        <v/>
      </c>
      <c r="N54" s="62" t="str">
        <f>IF('Expenses w MYP'!$E9="","",IF('Cash Flow %s Yr1'!N54="","",'Cash Flow %s Yr1'!N54*'Expenses w MYP'!$E9))</f>
        <v/>
      </c>
      <c r="O54" s="62" t="str">
        <f>IF('Expenses w MYP'!$E9="","",IF('Cash Flow %s Yr1'!O54="","",'Cash Flow %s Yr1'!O54*'Expenses w MYP'!$E9))</f>
        <v/>
      </c>
      <c r="P54" s="113"/>
      <c r="Q54" s="113"/>
      <c r="R54" s="113"/>
      <c r="S54" s="97" t="str">
        <f>IF(SUM(D54:R54)&gt;0,SUM(D54:R54)/'Expenses w MYP'!$E9,"")</f>
        <v/>
      </c>
    </row>
    <row r="55" spans="1:19" x14ac:dyDescent="0.75">
      <c r="A55" s="35"/>
      <c r="B55" s="65" t="str">
        <f>'Expenses w MYP'!C10</f>
        <v>1120</v>
      </c>
      <c r="C55" s="65" t="str">
        <f>'Expenses w MYP'!D10</f>
        <v>Substitute Expense</v>
      </c>
      <c r="D55" s="62" t="str">
        <f>IF('Expenses w MYP'!$E10="","",IF('Cash Flow %s Yr1'!D55="","",'Cash Flow %s Yr1'!D55*'Expenses w MYP'!$E10))</f>
        <v/>
      </c>
      <c r="E55" s="62" t="str">
        <f>IF('Expenses w MYP'!$E10="","",IF('Cash Flow %s Yr1'!E55="","",'Cash Flow %s Yr1'!E55*'Expenses w MYP'!$E10))</f>
        <v/>
      </c>
      <c r="F55" s="62" t="str">
        <f>IF('Expenses w MYP'!$E10="","",IF('Cash Flow %s Yr1'!F55="","",'Cash Flow %s Yr1'!F55*'Expenses w MYP'!$E10))</f>
        <v/>
      </c>
      <c r="G55" s="62" t="str">
        <f>IF('Expenses w MYP'!$E10="","",IF('Cash Flow %s Yr1'!G55="","",'Cash Flow %s Yr1'!G55*'Expenses w MYP'!$E10))</f>
        <v/>
      </c>
      <c r="H55" s="62" t="str">
        <f>IF('Expenses w MYP'!$E10="","",IF('Cash Flow %s Yr1'!H55="","",'Cash Flow %s Yr1'!H55*'Expenses w MYP'!$E10))</f>
        <v/>
      </c>
      <c r="I55" s="62" t="str">
        <f>IF('Expenses w MYP'!$E10="","",IF('Cash Flow %s Yr1'!I55="","",'Cash Flow %s Yr1'!I55*'Expenses w MYP'!$E10))</f>
        <v/>
      </c>
      <c r="J55" s="62" t="str">
        <f>IF('Expenses w MYP'!$E10="","",IF('Cash Flow %s Yr1'!J55="","",'Cash Flow %s Yr1'!J55*'Expenses w MYP'!$E10))</f>
        <v/>
      </c>
      <c r="K55" s="62" t="str">
        <f>IF('Expenses w MYP'!$E10="","",IF('Cash Flow %s Yr1'!K55="","",'Cash Flow %s Yr1'!K55*'Expenses w MYP'!$E10))</f>
        <v/>
      </c>
      <c r="L55" s="62" t="str">
        <f>IF('Expenses w MYP'!$E10="","",IF('Cash Flow %s Yr1'!L55="","",'Cash Flow %s Yr1'!L55*'Expenses w MYP'!$E10))</f>
        <v/>
      </c>
      <c r="M55" s="62" t="str">
        <f>IF('Expenses w MYP'!$E10="","",IF('Cash Flow %s Yr1'!M55="","",'Cash Flow %s Yr1'!M55*'Expenses w MYP'!$E10))</f>
        <v/>
      </c>
      <c r="N55" s="62" t="str">
        <f>IF('Expenses w MYP'!$E10="","",IF('Cash Flow %s Yr1'!N55="","",'Cash Flow %s Yr1'!N55*'Expenses w MYP'!$E10))</f>
        <v/>
      </c>
      <c r="O55" s="62" t="str">
        <f>IF('Expenses w MYP'!$E10="","",IF('Cash Flow %s Yr1'!O55="","",'Cash Flow %s Yr1'!O55*'Expenses w MYP'!$E10))</f>
        <v/>
      </c>
      <c r="P55" s="113"/>
      <c r="Q55" s="113"/>
      <c r="R55" s="113"/>
      <c r="S55" s="97" t="str">
        <f>IF(SUM(D55:R55)&gt;0,SUM(D55:R55)/'Expenses w MYP'!$E10,"")</f>
        <v/>
      </c>
    </row>
    <row r="56" spans="1:19" x14ac:dyDescent="0.75">
      <c r="A56" s="35"/>
      <c r="B56" s="65" t="str">
        <f>'Expenses w MYP'!C11</f>
        <v>1200</v>
      </c>
      <c r="C56" s="65" t="str">
        <f>'Expenses w MYP'!D11</f>
        <v>Certificated Pupil Support Salaries</v>
      </c>
      <c r="D56" s="62" t="str">
        <f>IF('Expenses w MYP'!$E11="","",IF('Cash Flow %s Yr1'!D56="","",'Cash Flow %s Yr1'!D56*'Expenses w MYP'!$E11))</f>
        <v/>
      </c>
      <c r="E56" s="62" t="str">
        <f>IF('Expenses w MYP'!$E11="","",IF('Cash Flow %s Yr1'!E56="","",'Cash Flow %s Yr1'!E56*'Expenses w MYP'!$E11))</f>
        <v/>
      </c>
      <c r="F56" s="62" t="str">
        <f>IF('Expenses w MYP'!$E11="","",IF('Cash Flow %s Yr1'!F56="","",'Cash Flow %s Yr1'!F56*'Expenses w MYP'!$E11))</f>
        <v/>
      </c>
      <c r="G56" s="62" t="str">
        <f>IF('Expenses w MYP'!$E11="","",IF('Cash Flow %s Yr1'!G56="","",'Cash Flow %s Yr1'!G56*'Expenses w MYP'!$E11))</f>
        <v/>
      </c>
      <c r="H56" s="62" t="str">
        <f>IF('Expenses w MYP'!$E11="","",IF('Cash Flow %s Yr1'!H56="","",'Cash Flow %s Yr1'!H56*'Expenses w MYP'!$E11))</f>
        <v/>
      </c>
      <c r="I56" s="62" t="str">
        <f>IF('Expenses w MYP'!$E11="","",IF('Cash Flow %s Yr1'!I56="","",'Cash Flow %s Yr1'!I56*'Expenses w MYP'!$E11))</f>
        <v/>
      </c>
      <c r="J56" s="62" t="str">
        <f>IF('Expenses w MYP'!$E11="","",IF('Cash Flow %s Yr1'!J56="","",'Cash Flow %s Yr1'!J56*'Expenses w MYP'!$E11))</f>
        <v/>
      </c>
      <c r="K56" s="62" t="str">
        <f>IF('Expenses w MYP'!$E11="","",IF('Cash Flow %s Yr1'!K56="","",'Cash Flow %s Yr1'!K56*'Expenses w MYP'!$E11))</f>
        <v/>
      </c>
      <c r="L56" s="62" t="str">
        <f>IF('Expenses w MYP'!$E11="","",IF('Cash Flow %s Yr1'!L56="","",'Cash Flow %s Yr1'!L56*'Expenses w MYP'!$E11))</f>
        <v/>
      </c>
      <c r="M56" s="62" t="str">
        <f>IF('Expenses w MYP'!$E11="","",IF('Cash Flow %s Yr1'!M56="","",'Cash Flow %s Yr1'!M56*'Expenses w MYP'!$E11))</f>
        <v/>
      </c>
      <c r="N56" s="62" t="str">
        <f>IF('Expenses w MYP'!$E11="","",IF('Cash Flow %s Yr1'!N56="","",'Cash Flow %s Yr1'!N56*'Expenses w MYP'!$E11))</f>
        <v/>
      </c>
      <c r="O56" s="62" t="str">
        <f>IF('Expenses w MYP'!$E11="","",IF('Cash Flow %s Yr1'!O56="","",'Cash Flow %s Yr1'!O56*'Expenses w MYP'!$E11))</f>
        <v/>
      </c>
      <c r="P56" s="113"/>
      <c r="Q56" s="113"/>
      <c r="R56" s="113"/>
      <c r="S56" s="97" t="str">
        <f>IF(SUM(D56:R56)&gt;0,SUM(D56:R56)/'Expenses w MYP'!$E11,"")</f>
        <v/>
      </c>
    </row>
    <row r="57" spans="1:19" x14ac:dyDescent="0.75">
      <c r="A57" s="35"/>
      <c r="B57" s="65" t="str">
        <f>'Expenses w MYP'!C12</f>
        <v>1300</v>
      </c>
      <c r="C57" s="65" t="str">
        <f>'Expenses w MYP'!D12</f>
        <v>Certificated Supervisor and Administrator Salaries</v>
      </c>
      <c r="D57" s="62" t="str">
        <f>IF('Expenses w MYP'!$E12="","",IF('Cash Flow %s Yr1'!D57="","",'Cash Flow %s Yr1'!D57*'Expenses w MYP'!$E12))</f>
        <v/>
      </c>
      <c r="E57" s="62" t="str">
        <f>IF('Expenses w MYP'!$E12="","",IF('Cash Flow %s Yr1'!E57="","",'Cash Flow %s Yr1'!E57*'Expenses w MYP'!$E12))</f>
        <v/>
      </c>
      <c r="F57" s="62" t="str">
        <f>IF('Expenses w MYP'!$E12="","",IF('Cash Flow %s Yr1'!F57="","",'Cash Flow %s Yr1'!F57*'Expenses w MYP'!$E12))</f>
        <v/>
      </c>
      <c r="G57" s="62" t="str">
        <f>IF('Expenses w MYP'!$E12="","",IF('Cash Flow %s Yr1'!G57="","",'Cash Flow %s Yr1'!G57*'Expenses w MYP'!$E12))</f>
        <v/>
      </c>
      <c r="H57" s="62" t="str">
        <f>IF('Expenses w MYP'!$E12="","",IF('Cash Flow %s Yr1'!H57="","",'Cash Flow %s Yr1'!H57*'Expenses w MYP'!$E12))</f>
        <v/>
      </c>
      <c r="I57" s="62" t="str">
        <f>IF('Expenses w MYP'!$E12="","",IF('Cash Flow %s Yr1'!I57="","",'Cash Flow %s Yr1'!I57*'Expenses w MYP'!$E12))</f>
        <v/>
      </c>
      <c r="J57" s="62" t="str">
        <f>IF('Expenses w MYP'!$E12="","",IF('Cash Flow %s Yr1'!J57="","",'Cash Flow %s Yr1'!J57*'Expenses w MYP'!$E12))</f>
        <v/>
      </c>
      <c r="K57" s="62" t="str">
        <f>IF('Expenses w MYP'!$E12="","",IF('Cash Flow %s Yr1'!K57="","",'Cash Flow %s Yr1'!K57*'Expenses w MYP'!$E12))</f>
        <v/>
      </c>
      <c r="L57" s="62" t="str">
        <f>IF('Expenses w MYP'!$E12="","",IF('Cash Flow %s Yr1'!L57="","",'Cash Flow %s Yr1'!L57*'Expenses w MYP'!$E12))</f>
        <v/>
      </c>
      <c r="M57" s="62" t="str">
        <f>IF('Expenses w MYP'!$E12="","",IF('Cash Flow %s Yr1'!M57="","",'Cash Flow %s Yr1'!M57*'Expenses w MYP'!$E12))</f>
        <v/>
      </c>
      <c r="N57" s="62" t="str">
        <f>IF('Expenses w MYP'!$E12="","",IF('Cash Flow %s Yr1'!N57="","",'Cash Flow %s Yr1'!N57*'Expenses w MYP'!$E12))</f>
        <v/>
      </c>
      <c r="O57" s="62" t="str">
        <f>IF('Expenses w MYP'!$E12="","",IF('Cash Flow %s Yr1'!O57="","",'Cash Flow %s Yr1'!O57*'Expenses w MYP'!$E12))</f>
        <v/>
      </c>
      <c r="P57" s="113"/>
      <c r="Q57" s="113"/>
      <c r="R57" s="113"/>
      <c r="S57" s="97" t="str">
        <f>IF(SUM(D57:R57)&gt;0,SUM(D57:R57)/'Expenses w MYP'!$E12,"")</f>
        <v/>
      </c>
    </row>
    <row r="58" spans="1:19" x14ac:dyDescent="0.75">
      <c r="A58" s="35"/>
      <c r="B58" s="65" t="str">
        <f>'Expenses w MYP'!C13</f>
        <v>1305</v>
      </c>
      <c r="C58" s="65" t="str">
        <f>'Expenses w MYP'!D13</f>
        <v>Certificated Sup. and Admin. Stipends / Bonus</v>
      </c>
      <c r="D58" s="62" t="str">
        <f>IF('Expenses w MYP'!$E13="","",IF('Cash Flow %s Yr1'!D58="","",'Cash Flow %s Yr1'!D58*'Expenses w MYP'!$E13))</f>
        <v/>
      </c>
      <c r="E58" s="62" t="str">
        <f>IF('Expenses w MYP'!$E13="","",IF('Cash Flow %s Yr1'!E58="","",'Cash Flow %s Yr1'!E58*'Expenses w MYP'!$E13))</f>
        <v/>
      </c>
      <c r="F58" s="62" t="str">
        <f>IF('Expenses w MYP'!$E13="","",IF('Cash Flow %s Yr1'!F58="","",'Cash Flow %s Yr1'!F58*'Expenses w MYP'!$E13))</f>
        <v/>
      </c>
      <c r="G58" s="62" t="str">
        <f>IF('Expenses w MYP'!$E13="","",IF('Cash Flow %s Yr1'!G58="","",'Cash Flow %s Yr1'!G58*'Expenses w MYP'!$E13))</f>
        <v/>
      </c>
      <c r="H58" s="62" t="str">
        <f>IF('Expenses w MYP'!$E13="","",IF('Cash Flow %s Yr1'!H58="","",'Cash Flow %s Yr1'!H58*'Expenses w MYP'!$E13))</f>
        <v/>
      </c>
      <c r="I58" s="62" t="str">
        <f>IF('Expenses w MYP'!$E13="","",IF('Cash Flow %s Yr1'!I58="","",'Cash Flow %s Yr1'!I58*'Expenses w MYP'!$E13))</f>
        <v/>
      </c>
      <c r="J58" s="62" t="str">
        <f>IF('Expenses w MYP'!$E13="","",IF('Cash Flow %s Yr1'!J58="","",'Cash Flow %s Yr1'!J58*'Expenses w MYP'!$E13))</f>
        <v/>
      </c>
      <c r="K58" s="62" t="str">
        <f>IF('Expenses w MYP'!$E13="","",IF('Cash Flow %s Yr1'!K58="","",'Cash Flow %s Yr1'!K58*'Expenses w MYP'!$E13))</f>
        <v/>
      </c>
      <c r="L58" s="62" t="str">
        <f>IF('Expenses w MYP'!$E13="","",IF('Cash Flow %s Yr1'!L58="","",'Cash Flow %s Yr1'!L58*'Expenses w MYP'!$E13))</f>
        <v/>
      </c>
      <c r="M58" s="62" t="str">
        <f>IF('Expenses w MYP'!$E13="","",IF('Cash Flow %s Yr1'!M58="","",'Cash Flow %s Yr1'!M58*'Expenses w MYP'!$E13))</f>
        <v/>
      </c>
      <c r="N58" s="62" t="str">
        <f>IF('Expenses w MYP'!$E13="","",IF('Cash Flow %s Yr1'!N58="","",'Cash Flow %s Yr1'!N58*'Expenses w MYP'!$E13))</f>
        <v/>
      </c>
      <c r="O58" s="62" t="str">
        <f>IF('Expenses w MYP'!$E13="","",IF('Cash Flow %s Yr1'!O58="","",'Cash Flow %s Yr1'!O58*'Expenses w MYP'!$E13))</f>
        <v/>
      </c>
      <c r="P58" s="113"/>
      <c r="Q58" s="113"/>
      <c r="R58" s="113"/>
      <c r="S58" s="97" t="str">
        <f>IF(SUM(D58:R58)&gt;0,SUM(D58:R58)/'Expenses w MYP'!$E13,"")</f>
        <v/>
      </c>
    </row>
    <row r="59" spans="1:19" x14ac:dyDescent="0.75">
      <c r="A59" s="35"/>
      <c r="B59" s="65" t="str">
        <f>'Expenses w MYP'!C14</f>
        <v>1900</v>
      </c>
      <c r="C59" s="65" t="str">
        <f>'Expenses w MYP'!D14</f>
        <v>Other Certificated Salaries</v>
      </c>
      <c r="D59" s="62" t="str">
        <f>IF('Expenses w MYP'!$E14="","",IF('Cash Flow %s Yr1'!D59="","",'Cash Flow %s Yr1'!D59*'Expenses w MYP'!$E14))</f>
        <v/>
      </c>
      <c r="E59" s="62" t="str">
        <f>IF('Expenses w MYP'!$E14="","",IF('Cash Flow %s Yr1'!E59="","",'Cash Flow %s Yr1'!E59*'Expenses w MYP'!$E14))</f>
        <v/>
      </c>
      <c r="F59" s="62" t="str">
        <f>IF('Expenses w MYP'!$E14="","",IF('Cash Flow %s Yr1'!F59="","",'Cash Flow %s Yr1'!F59*'Expenses w MYP'!$E14))</f>
        <v/>
      </c>
      <c r="G59" s="62" t="str">
        <f>IF('Expenses w MYP'!$E14="","",IF('Cash Flow %s Yr1'!G59="","",'Cash Flow %s Yr1'!G59*'Expenses w MYP'!$E14))</f>
        <v/>
      </c>
      <c r="H59" s="62" t="str">
        <f>IF('Expenses w MYP'!$E14="","",IF('Cash Flow %s Yr1'!H59="","",'Cash Flow %s Yr1'!H59*'Expenses w MYP'!$E14))</f>
        <v/>
      </c>
      <c r="I59" s="62" t="str">
        <f>IF('Expenses w MYP'!$E14="","",IF('Cash Flow %s Yr1'!I59="","",'Cash Flow %s Yr1'!I59*'Expenses w MYP'!$E14))</f>
        <v/>
      </c>
      <c r="J59" s="62" t="str">
        <f>IF('Expenses w MYP'!$E14="","",IF('Cash Flow %s Yr1'!J59="","",'Cash Flow %s Yr1'!J59*'Expenses w MYP'!$E14))</f>
        <v/>
      </c>
      <c r="K59" s="62" t="str">
        <f>IF('Expenses w MYP'!$E14="","",IF('Cash Flow %s Yr1'!K59="","",'Cash Flow %s Yr1'!K59*'Expenses w MYP'!$E14))</f>
        <v/>
      </c>
      <c r="L59" s="62" t="str">
        <f>IF('Expenses w MYP'!$E14="","",IF('Cash Flow %s Yr1'!L59="","",'Cash Flow %s Yr1'!L59*'Expenses w MYP'!$E14))</f>
        <v/>
      </c>
      <c r="M59" s="62" t="str">
        <f>IF('Expenses w MYP'!$E14="","",IF('Cash Flow %s Yr1'!M59="","",'Cash Flow %s Yr1'!M59*'Expenses w MYP'!$E14))</f>
        <v/>
      </c>
      <c r="N59" s="62" t="str">
        <f>IF('Expenses w MYP'!$E14="","",IF('Cash Flow %s Yr1'!N59="","",'Cash Flow %s Yr1'!N59*'Expenses w MYP'!$E14))</f>
        <v/>
      </c>
      <c r="O59" s="62" t="str">
        <f>IF('Expenses w MYP'!$E14="","",IF('Cash Flow %s Yr1'!O59="","",'Cash Flow %s Yr1'!O59*'Expenses w MYP'!$E14))</f>
        <v/>
      </c>
      <c r="P59" s="113"/>
      <c r="Q59" s="113"/>
      <c r="R59" s="113"/>
      <c r="S59" s="97" t="str">
        <f>IF(SUM(D59:R59)&gt;0,SUM(D59:R59)/'Expenses w MYP'!$E14,"")</f>
        <v/>
      </c>
    </row>
    <row r="60" spans="1:19" x14ac:dyDescent="0.75">
      <c r="A60" s="35"/>
      <c r="B60" s="65" t="str">
        <f>'Expenses w MYP'!C15</f>
        <v>1910</v>
      </c>
      <c r="C60" s="65" t="str">
        <f>'Expenses w MYP'!D15</f>
        <v>Other Certificated Overtime</v>
      </c>
      <c r="D60" s="62" t="str">
        <f>IF('Expenses w MYP'!$E15="","",IF('Cash Flow %s Yr1'!D60="","",'Cash Flow %s Yr1'!D60*'Expenses w MYP'!$E15))</f>
        <v/>
      </c>
      <c r="E60" s="62" t="str">
        <f>IF('Expenses w MYP'!$E15="","",IF('Cash Flow %s Yr1'!E60="","",'Cash Flow %s Yr1'!E60*'Expenses w MYP'!$E15))</f>
        <v/>
      </c>
      <c r="F60" s="62" t="str">
        <f>IF('Expenses w MYP'!$E15="","",IF('Cash Flow %s Yr1'!F60="","",'Cash Flow %s Yr1'!F60*'Expenses w MYP'!$E15))</f>
        <v/>
      </c>
      <c r="G60" s="62" t="str">
        <f>IF('Expenses w MYP'!$E15="","",IF('Cash Flow %s Yr1'!G60="","",'Cash Flow %s Yr1'!G60*'Expenses w MYP'!$E15))</f>
        <v/>
      </c>
      <c r="H60" s="62" t="str">
        <f>IF('Expenses w MYP'!$E15="","",IF('Cash Flow %s Yr1'!H60="","",'Cash Flow %s Yr1'!H60*'Expenses w MYP'!$E15))</f>
        <v/>
      </c>
      <c r="I60" s="62" t="str">
        <f>IF('Expenses w MYP'!$E15="","",IF('Cash Flow %s Yr1'!I60="","",'Cash Flow %s Yr1'!I60*'Expenses w MYP'!$E15))</f>
        <v/>
      </c>
      <c r="J60" s="62" t="str">
        <f>IF('Expenses w MYP'!$E15="","",IF('Cash Flow %s Yr1'!J60="","",'Cash Flow %s Yr1'!J60*'Expenses w MYP'!$E15))</f>
        <v/>
      </c>
      <c r="K60" s="62" t="str">
        <f>IF('Expenses w MYP'!$E15="","",IF('Cash Flow %s Yr1'!K60="","",'Cash Flow %s Yr1'!K60*'Expenses w MYP'!$E15))</f>
        <v/>
      </c>
      <c r="L60" s="62" t="str">
        <f>IF('Expenses w MYP'!$E15="","",IF('Cash Flow %s Yr1'!L60="","",'Cash Flow %s Yr1'!L60*'Expenses w MYP'!$E15))</f>
        <v/>
      </c>
      <c r="M60" s="62" t="str">
        <f>IF('Expenses w MYP'!$E15="","",IF('Cash Flow %s Yr1'!M60="","",'Cash Flow %s Yr1'!M60*'Expenses w MYP'!$E15))</f>
        <v/>
      </c>
      <c r="N60" s="62" t="str">
        <f>IF('Expenses w MYP'!$E15="","",IF('Cash Flow %s Yr1'!N60="","",'Cash Flow %s Yr1'!N60*'Expenses w MYP'!$E15))</f>
        <v/>
      </c>
      <c r="O60" s="62" t="str">
        <f>IF('Expenses w MYP'!$E15="","",IF('Cash Flow %s Yr1'!O60="","",'Cash Flow %s Yr1'!O60*'Expenses w MYP'!$E15))</f>
        <v/>
      </c>
      <c r="P60" s="113"/>
      <c r="Q60" s="113"/>
      <c r="R60" s="113"/>
      <c r="S60" s="97" t="str">
        <f>IF(SUM(D60:R60)&gt;0,SUM(D60:R60)/'Expenses w MYP'!$E15,"")</f>
        <v/>
      </c>
    </row>
    <row r="61" spans="1:19" x14ac:dyDescent="0.75">
      <c r="A61" s="35"/>
      <c r="B61" s="35" t="s">
        <v>555</v>
      </c>
      <c r="C61" s="34" t="s">
        <v>719</v>
      </c>
      <c r="D61" s="153" t="str">
        <f t="shared" ref="D61:I61" si="4">IF(SUM(D52:D60)&gt;0,SUM(D52:D60),"")</f>
        <v/>
      </c>
      <c r="E61" s="153" t="str">
        <f t="shared" si="4"/>
        <v/>
      </c>
      <c r="F61" s="153" t="str">
        <f t="shared" si="4"/>
        <v/>
      </c>
      <c r="G61" s="153" t="str">
        <f t="shared" si="4"/>
        <v/>
      </c>
      <c r="H61" s="153" t="str">
        <f t="shared" si="4"/>
        <v/>
      </c>
      <c r="I61" s="153" t="str">
        <f t="shared" si="4"/>
        <v/>
      </c>
      <c r="J61" s="153" t="str">
        <f t="shared" ref="J61:R61" si="5">IF(SUM(J52:J60)&gt;0,SUM(J52:J60),"")</f>
        <v/>
      </c>
      <c r="K61" s="153" t="str">
        <f t="shared" si="5"/>
        <v/>
      </c>
      <c r="L61" s="153" t="str">
        <f t="shared" si="5"/>
        <v/>
      </c>
      <c r="M61" s="153" t="str">
        <f t="shared" si="5"/>
        <v/>
      </c>
      <c r="N61" s="153" t="str">
        <f t="shared" si="5"/>
        <v/>
      </c>
      <c r="O61" s="153" t="str">
        <f t="shared" si="5"/>
        <v/>
      </c>
      <c r="P61" s="153" t="str">
        <f t="shared" si="5"/>
        <v/>
      </c>
      <c r="Q61" s="153" t="str">
        <f t="shared" si="5"/>
        <v/>
      </c>
      <c r="R61" s="153" t="str">
        <f t="shared" si="5"/>
        <v/>
      </c>
      <c r="S61" s="94"/>
    </row>
    <row r="62" spans="1:19" s="31" customFormat="1" x14ac:dyDescent="0.75">
      <c r="A62" s="35"/>
      <c r="B62" s="39"/>
      <c r="C62" s="2"/>
      <c r="D62" s="111"/>
      <c r="E62" s="111"/>
      <c r="F62" s="111"/>
      <c r="G62" s="111"/>
      <c r="H62" s="111"/>
      <c r="I62" s="111"/>
      <c r="J62" s="111"/>
      <c r="K62" s="111"/>
      <c r="L62" s="111"/>
      <c r="M62" s="111"/>
      <c r="N62" s="111"/>
      <c r="O62" s="111"/>
      <c r="P62" s="111"/>
      <c r="Q62" s="111"/>
      <c r="R62" s="111"/>
    </row>
    <row r="63" spans="1:19" s="31" customFormat="1" x14ac:dyDescent="0.75">
      <c r="B63" s="4" t="s">
        <v>732</v>
      </c>
      <c r="C63" s="2"/>
      <c r="D63" s="111"/>
      <c r="E63" s="111"/>
      <c r="F63" s="111"/>
      <c r="G63" s="111"/>
      <c r="H63" s="111"/>
      <c r="I63" s="111"/>
      <c r="J63" s="111"/>
      <c r="K63" s="111"/>
      <c r="L63" s="111"/>
      <c r="M63" s="111"/>
      <c r="N63" s="111"/>
      <c r="O63" s="111"/>
      <c r="P63" s="111"/>
      <c r="Q63" s="111"/>
      <c r="R63" s="111"/>
    </row>
    <row r="64" spans="1:19" s="31" customFormat="1" x14ac:dyDescent="0.75">
      <c r="A64" s="35"/>
      <c r="B64" s="65" t="str">
        <f>'Expenses w MYP'!C19</f>
        <v>2100</v>
      </c>
      <c r="C64" s="65" t="str">
        <f>'Expenses w MYP'!D19</f>
        <v>Instructional Aide Salaries</v>
      </c>
      <c r="D64" s="62" t="str">
        <f>IF('Expenses w MYP'!$E19="","",IF('Cash Flow %s Yr1'!D64="","",'Cash Flow %s Yr1'!D64*'Expenses w MYP'!$E19))</f>
        <v/>
      </c>
      <c r="E64" s="62" t="str">
        <f>IF('Expenses w MYP'!$E19="","",IF('Cash Flow %s Yr1'!E64="","",'Cash Flow %s Yr1'!E64*'Expenses w MYP'!$E19))</f>
        <v/>
      </c>
      <c r="F64" s="62" t="str">
        <f>IF('Expenses w MYP'!$E19="","",IF('Cash Flow %s Yr1'!F64="","",'Cash Flow %s Yr1'!F64*'Expenses w MYP'!$E19))</f>
        <v/>
      </c>
      <c r="G64" s="62" t="str">
        <f>IF('Expenses w MYP'!$E19="","",IF('Cash Flow %s Yr1'!G64="","",'Cash Flow %s Yr1'!G64*'Expenses w MYP'!$E19))</f>
        <v/>
      </c>
      <c r="H64" s="62" t="str">
        <f>IF('Expenses w MYP'!$E19="","",IF('Cash Flow %s Yr1'!H64="","",'Cash Flow %s Yr1'!H64*'Expenses w MYP'!$E19))</f>
        <v/>
      </c>
      <c r="I64" s="62" t="str">
        <f>IF('Expenses w MYP'!$E19="","",IF('Cash Flow %s Yr1'!I64="","",'Cash Flow %s Yr1'!I64*'Expenses w MYP'!$E19))</f>
        <v/>
      </c>
      <c r="J64" s="62" t="str">
        <f>IF('Expenses w MYP'!$E19="","",IF('Cash Flow %s Yr1'!J64="","",'Cash Flow %s Yr1'!J64*'Expenses w MYP'!$E19))</f>
        <v/>
      </c>
      <c r="K64" s="62" t="str">
        <f>IF('Expenses w MYP'!$E19="","",IF('Cash Flow %s Yr1'!K64="","",'Cash Flow %s Yr1'!K64*'Expenses w MYP'!$E19))</f>
        <v/>
      </c>
      <c r="L64" s="62" t="str">
        <f>IF('Expenses w MYP'!$E19="","",IF('Cash Flow %s Yr1'!L64="","",'Cash Flow %s Yr1'!L64*'Expenses w MYP'!$E19))</f>
        <v/>
      </c>
      <c r="M64" s="62" t="str">
        <f>IF('Expenses w MYP'!$E19="","",IF('Cash Flow %s Yr1'!M64="","",'Cash Flow %s Yr1'!M64*'Expenses w MYP'!$E19))</f>
        <v/>
      </c>
      <c r="N64" s="62" t="str">
        <f>IF('Expenses w MYP'!$E19="","",IF('Cash Flow %s Yr1'!N64="","",'Cash Flow %s Yr1'!N64*'Expenses w MYP'!$E19))</f>
        <v/>
      </c>
      <c r="O64" s="62" t="str">
        <f>IF('Expenses w MYP'!$E19="","",IF('Cash Flow %s Yr1'!O64="","",'Cash Flow %s Yr1'!O64*'Expenses w MYP'!$E19))</f>
        <v/>
      </c>
      <c r="P64" s="113"/>
      <c r="Q64" s="113"/>
      <c r="R64" s="113"/>
      <c r="S64" s="97" t="str">
        <f>IF(SUM(D64:R64)&gt;0,SUM(D64:R64)/'Expenses w MYP'!$E19,"")</f>
        <v/>
      </c>
    </row>
    <row r="65" spans="1:19" s="31" customFormat="1" x14ac:dyDescent="0.75">
      <c r="A65" s="35"/>
      <c r="B65" s="65" t="str">
        <f>'Expenses w MYP'!C20</f>
        <v>2110</v>
      </c>
      <c r="C65" s="65" t="str">
        <f>'Expenses w MYP'!D20</f>
        <v>Instructional Aide Overtime</v>
      </c>
      <c r="D65" s="62" t="str">
        <f>IF('Expenses w MYP'!$E20="","",IF('Cash Flow %s Yr1'!D65="","",'Cash Flow %s Yr1'!D65*'Expenses w MYP'!$E20))</f>
        <v/>
      </c>
      <c r="E65" s="62" t="str">
        <f>IF('Expenses w MYP'!$E20="","",IF('Cash Flow %s Yr1'!E65="","",'Cash Flow %s Yr1'!E65*'Expenses w MYP'!$E20))</f>
        <v/>
      </c>
      <c r="F65" s="62" t="str">
        <f>IF('Expenses w MYP'!$E20="","",IF('Cash Flow %s Yr1'!F65="","",'Cash Flow %s Yr1'!F65*'Expenses w MYP'!$E20))</f>
        <v/>
      </c>
      <c r="G65" s="62" t="str">
        <f>IF('Expenses w MYP'!$E20="","",IF('Cash Flow %s Yr1'!G65="","",'Cash Flow %s Yr1'!G65*'Expenses w MYP'!$E20))</f>
        <v/>
      </c>
      <c r="H65" s="62" t="str">
        <f>IF('Expenses w MYP'!$E20="","",IF('Cash Flow %s Yr1'!H65="","",'Cash Flow %s Yr1'!H65*'Expenses w MYP'!$E20))</f>
        <v/>
      </c>
      <c r="I65" s="62" t="str">
        <f>IF('Expenses w MYP'!$E20="","",IF('Cash Flow %s Yr1'!I65="","",'Cash Flow %s Yr1'!I65*'Expenses w MYP'!$E20))</f>
        <v/>
      </c>
      <c r="J65" s="62" t="str">
        <f>IF('Expenses w MYP'!$E20="","",IF('Cash Flow %s Yr1'!J65="","",'Cash Flow %s Yr1'!J65*'Expenses w MYP'!$E20))</f>
        <v/>
      </c>
      <c r="K65" s="62" t="str">
        <f>IF('Expenses w MYP'!$E20="","",IF('Cash Flow %s Yr1'!K65="","",'Cash Flow %s Yr1'!K65*'Expenses w MYP'!$E20))</f>
        <v/>
      </c>
      <c r="L65" s="62" t="str">
        <f>IF('Expenses w MYP'!$E20="","",IF('Cash Flow %s Yr1'!L65="","",'Cash Flow %s Yr1'!L65*'Expenses w MYP'!$E20))</f>
        <v/>
      </c>
      <c r="M65" s="62" t="str">
        <f>IF('Expenses w MYP'!$E20="","",IF('Cash Flow %s Yr1'!M65="","",'Cash Flow %s Yr1'!M65*'Expenses w MYP'!$E20))</f>
        <v/>
      </c>
      <c r="N65" s="62" t="str">
        <f>IF('Expenses w MYP'!$E20="","",IF('Cash Flow %s Yr1'!N65="","",'Cash Flow %s Yr1'!N65*'Expenses w MYP'!$E20))</f>
        <v/>
      </c>
      <c r="O65" s="62" t="str">
        <f>IF('Expenses w MYP'!$E20="","",IF('Cash Flow %s Yr1'!O65="","",'Cash Flow %s Yr1'!O65*'Expenses w MYP'!$E20))</f>
        <v/>
      </c>
      <c r="P65" s="113"/>
      <c r="Q65" s="113"/>
      <c r="R65" s="113"/>
      <c r="S65" s="97" t="str">
        <f>IF(SUM(D65:R65)&gt;0,SUM(D65:R65)/'Expenses w MYP'!$E20,"")</f>
        <v/>
      </c>
    </row>
    <row r="66" spans="1:19" s="31" customFormat="1" x14ac:dyDescent="0.75">
      <c r="A66" s="35"/>
      <c r="B66" s="65" t="str">
        <f>'Expenses w MYP'!C21</f>
        <v>2200</v>
      </c>
      <c r="C66" s="65" t="str">
        <f>'Expenses w MYP'!D21</f>
        <v>Classified Support Salaries (Maintenance / Food)</v>
      </c>
      <c r="D66" s="62" t="str">
        <f>IF('Expenses w MYP'!$E21="","",IF('Cash Flow %s Yr1'!D66="","",'Cash Flow %s Yr1'!D66*'Expenses w MYP'!$E21))</f>
        <v/>
      </c>
      <c r="E66" s="62" t="str">
        <f>IF('Expenses w MYP'!$E21="","",IF('Cash Flow %s Yr1'!E66="","",'Cash Flow %s Yr1'!E66*'Expenses w MYP'!$E21))</f>
        <v/>
      </c>
      <c r="F66" s="62" t="str">
        <f>IF('Expenses w MYP'!$E21="","",IF('Cash Flow %s Yr1'!F66="","",'Cash Flow %s Yr1'!F66*'Expenses w MYP'!$E21))</f>
        <v/>
      </c>
      <c r="G66" s="62" t="str">
        <f>IF('Expenses w MYP'!$E21="","",IF('Cash Flow %s Yr1'!G66="","",'Cash Flow %s Yr1'!G66*'Expenses w MYP'!$E21))</f>
        <v/>
      </c>
      <c r="H66" s="62" t="str">
        <f>IF('Expenses w MYP'!$E21="","",IF('Cash Flow %s Yr1'!H66="","",'Cash Flow %s Yr1'!H66*'Expenses w MYP'!$E21))</f>
        <v/>
      </c>
      <c r="I66" s="62" t="str">
        <f>IF('Expenses w MYP'!$E21="","",IF('Cash Flow %s Yr1'!I66="","",'Cash Flow %s Yr1'!I66*'Expenses w MYP'!$E21))</f>
        <v/>
      </c>
      <c r="J66" s="62" t="str">
        <f>IF('Expenses w MYP'!$E21="","",IF('Cash Flow %s Yr1'!J66="","",'Cash Flow %s Yr1'!J66*'Expenses w MYP'!$E21))</f>
        <v/>
      </c>
      <c r="K66" s="62" t="str">
        <f>IF('Expenses w MYP'!$E21="","",IF('Cash Flow %s Yr1'!K66="","",'Cash Flow %s Yr1'!K66*'Expenses w MYP'!$E21))</f>
        <v/>
      </c>
      <c r="L66" s="62" t="str">
        <f>IF('Expenses w MYP'!$E21="","",IF('Cash Flow %s Yr1'!L66="","",'Cash Flow %s Yr1'!L66*'Expenses w MYP'!$E21))</f>
        <v/>
      </c>
      <c r="M66" s="62" t="str">
        <f>IF('Expenses w MYP'!$E21="","",IF('Cash Flow %s Yr1'!M66="","",'Cash Flow %s Yr1'!M66*'Expenses w MYP'!$E21))</f>
        <v/>
      </c>
      <c r="N66" s="62" t="str">
        <f>IF('Expenses w MYP'!$E21="","",IF('Cash Flow %s Yr1'!N66="","",'Cash Flow %s Yr1'!N66*'Expenses w MYP'!$E21))</f>
        <v/>
      </c>
      <c r="O66" s="62" t="str">
        <f>IF('Expenses w MYP'!$E21="","",IF('Cash Flow %s Yr1'!O66="","",'Cash Flow %s Yr1'!O66*'Expenses w MYP'!$E21))</f>
        <v/>
      </c>
      <c r="P66" s="113"/>
      <c r="Q66" s="113"/>
      <c r="R66" s="113"/>
      <c r="S66" s="97" t="str">
        <f>IF(SUM(D66:R66)&gt;0,SUM(D66:R66)/'Expenses w MYP'!$E21,"")</f>
        <v/>
      </c>
    </row>
    <row r="67" spans="1:19" s="31" customFormat="1" x14ac:dyDescent="0.75">
      <c r="A67" s="35"/>
      <c r="B67" s="65" t="str">
        <f>'Expenses w MYP'!C22</f>
        <v>2210</v>
      </c>
      <c r="C67" s="65" t="str">
        <f>'Expenses w MYP'!D22</f>
        <v>Classified Support Overtime</v>
      </c>
      <c r="D67" s="62" t="str">
        <f>IF('Expenses w MYP'!$E22="","",IF('Cash Flow %s Yr1'!D67="","",'Cash Flow %s Yr1'!D67*'Expenses w MYP'!$E22))</f>
        <v/>
      </c>
      <c r="E67" s="62" t="str">
        <f>IF('Expenses w MYP'!$E22="","",IF('Cash Flow %s Yr1'!E67="","",'Cash Flow %s Yr1'!E67*'Expenses w MYP'!$E22))</f>
        <v/>
      </c>
      <c r="F67" s="62" t="str">
        <f>IF('Expenses w MYP'!$E22="","",IF('Cash Flow %s Yr1'!F67="","",'Cash Flow %s Yr1'!F67*'Expenses w MYP'!$E22))</f>
        <v/>
      </c>
      <c r="G67" s="62" t="str">
        <f>IF('Expenses w MYP'!$E22="","",IF('Cash Flow %s Yr1'!G67="","",'Cash Flow %s Yr1'!G67*'Expenses w MYP'!$E22))</f>
        <v/>
      </c>
      <c r="H67" s="62" t="str">
        <f>IF('Expenses w MYP'!$E22="","",IF('Cash Flow %s Yr1'!H67="","",'Cash Flow %s Yr1'!H67*'Expenses w MYP'!$E22))</f>
        <v/>
      </c>
      <c r="I67" s="62" t="str">
        <f>IF('Expenses w MYP'!$E22="","",IF('Cash Flow %s Yr1'!I67="","",'Cash Flow %s Yr1'!I67*'Expenses w MYP'!$E22))</f>
        <v/>
      </c>
      <c r="J67" s="62" t="str">
        <f>IF('Expenses w MYP'!$E22="","",IF('Cash Flow %s Yr1'!J67="","",'Cash Flow %s Yr1'!J67*'Expenses w MYP'!$E22))</f>
        <v/>
      </c>
      <c r="K67" s="62" t="str">
        <f>IF('Expenses w MYP'!$E22="","",IF('Cash Flow %s Yr1'!K67="","",'Cash Flow %s Yr1'!K67*'Expenses w MYP'!$E22))</f>
        <v/>
      </c>
      <c r="L67" s="62" t="str">
        <f>IF('Expenses w MYP'!$E22="","",IF('Cash Flow %s Yr1'!L67="","",'Cash Flow %s Yr1'!L67*'Expenses w MYP'!$E22))</f>
        <v/>
      </c>
      <c r="M67" s="62" t="str">
        <f>IF('Expenses w MYP'!$E22="","",IF('Cash Flow %s Yr1'!M67="","",'Cash Flow %s Yr1'!M67*'Expenses w MYP'!$E22))</f>
        <v/>
      </c>
      <c r="N67" s="62" t="str">
        <f>IF('Expenses w MYP'!$E22="","",IF('Cash Flow %s Yr1'!N67="","",'Cash Flow %s Yr1'!N67*'Expenses w MYP'!$E22))</f>
        <v/>
      </c>
      <c r="O67" s="62" t="str">
        <f>IF('Expenses w MYP'!$E22="","",IF('Cash Flow %s Yr1'!O67="","",'Cash Flow %s Yr1'!O67*'Expenses w MYP'!$E22))</f>
        <v/>
      </c>
      <c r="P67" s="113"/>
      <c r="Q67" s="113"/>
      <c r="R67" s="113"/>
      <c r="S67" s="97" t="str">
        <f>IF(SUM(D67:R67)&gt;0,SUM(D67:R67)/'Expenses w MYP'!$E22,"")</f>
        <v/>
      </c>
    </row>
    <row r="68" spans="1:19" s="31" customFormat="1" x14ac:dyDescent="0.75">
      <c r="A68" s="35"/>
      <c r="B68" s="65" t="str">
        <f>'Expenses w MYP'!C23</f>
        <v>2300</v>
      </c>
      <c r="C68" s="65" t="str">
        <f>'Expenses w MYP'!D23</f>
        <v>Classified Supervisor and Administrator Salaries</v>
      </c>
      <c r="D68" s="62" t="str">
        <f>IF('Expenses w MYP'!$E23="","",IF('Cash Flow %s Yr1'!D68="","",'Cash Flow %s Yr1'!D68*'Expenses w MYP'!$E23))</f>
        <v/>
      </c>
      <c r="E68" s="62" t="str">
        <f>IF('Expenses w MYP'!$E23="","",IF('Cash Flow %s Yr1'!E68="","",'Cash Flow %s Yr1'!E68*'Expenses w MYP'!$E23))</f>
        <v/>
      </c>
      <c r="F68" s="62" t="str">
        <f>IF('Expenses w MYP'!$E23="","",IF('Cash Flow %s Yr1'!F68="","",'Cash Flow %s Yr1'!F68*'Expenses w MYP'!$E23))</f>
        <v/>
      </c>
      <c r="G68" s="62" t="str">
        <f>IF('Expenses w MYP'!$E23="","",IF('Cash Flow %s Yr1'!G68="","",'Cash Flow %s Yr1'!G68*'Expenses w MYP'!$E23))</f>
        <v/>
      </c>
      <c r="H68" s="62" t="str">
        <f>IF('Expenses w MYP'!$E23="","",IF('Cash Flow %s Yr1'!H68="","",'Cash Flow %s Yr1'!H68*'Expenses w MYP'!$E23))</f>
        <v/>
      </c>
      <c r="I68" s="62" t="str">
        <f>IF('Expenses w MYP'!$E23="","",IF('Cash Flow %s Yr1'!I68="","",'Cash Flow %s Yr1'!I68*'Expenses w MYP'!$E23))</f>
        <v/>
      </c>
      <c r="J68" s="62" t="str">
        <f>IF('Expenses w MYP'!$E23="","",IF('Cash Flow %s Yr1'!J68="","",'Cash Flow %s Yr1'!J68*'Expenses w MYP'!$E23))</f>
        <v/>
      </c>
      <c r="K68" s="62" t="str">
        <f>IF('Expenses w MYP'!$E23="","",IF('Cash Flow %s Yr1'!K68="","",'Cash Flow %s Yr1'!K68*'Expenses w MYP'!$E23))</f>
        <v/>
      </c>
      <c r="L68" s="62" t="str">
        <f>IF('Expenses w MYP'!$E23="","",IF('Cash Flow %s Yr1'!L68="","",'Cash Flow %s Yr1'!L68*'Expenses w MYP'!$E23))</f>
        <v/>
      </c>
      <c r="M68" s="62" t="str">
        <f>IF('Expenses w MYP'!$E23="","",IF('Cash Flow %s Yr1'!M68="","",'Cash Flow %s Yr1'!M68*'Expenses w MYP'!$E23))</f>
        <v/>
      </c>
      <c r="N68" s="62" t="str">
        <f>IF('Expenses w MYP'!$E23="","",IF('Cash Flow %s Yr1'!N68="","",'Cash Flow %s Yr1'!N68*'Expenses w MYP'!$E23))</f>
        <v/>
      </c>
      <c r="O68" s="62" t="str">
        <f>IF('Expenses w MYP'!$E23="","",IF('Cash Flow %s Yr1'!O68="","",'Cash Flow %s Yr1'!O68*'Expenses w MYP'!$E23))</f>
        <v/>
      </c>
      <c r="P68" s="113"/>
      <c r="Q68" s="113"/>
      <c r="R68" s="113"/>
      <c r="S68" s="97" t="str">
        <f>IF(SUM(D68:R68)&gt;0,SUM(D68:R68)/'Expenses w MYP'!$E23,"")</f>
        <v/>
      </c>
    </row>
    <row r="69" spans="1:19" s="31" customFormat="1" x14ac:dyDescent="0.75">
      <c r="A69" s="35"/>
      <c r="B69" s="65" t="str">
        <f>'Expenses w MYP'!C24</f>
        <v>2400</v>
      </c>
      <c r="C69" s="65" t="str">
        <f>'Expenses w MYP'!D24</f>
        <v>Clerical, Technical, and Office Staff Salaries</v>
      </c>
      <c r="D69" s="62" t="str">
        <f>IF('Expenses w MYP'!$E24="","",IF('Cash Flow %s Yr1'!D69="","",'Cash Flow %s Yr1'!D69*'Expenses w MYP'!$E24))</f>
        <v/>
      </c>
      <c r="E69" s="62" t="str">
        <f>IF('Expenses w MYP'!$E24="","",IF('Cash Flow %s Yr1'!E69="","",'Cash Flow %s Yr1'!E69*'Expenses w MYP'!$E24))</f>
        <v/>
      </c>
      <c r="F69" s="62" t="str">
        <f>IF('Expenses w MYP'!$E24="","",IF('Cash Flow %s Yr1'!F69="","",'Cash Flow %s Yr1'!F69*'Expenses w MYP'!$E24))</f>
        <v/>
      </c>
      <c r="G69" s="62" t="str">
        <f>IF('Expenses w MYP'!$E24="","",IF('Cash Flow %s Yr1'!G69="","",'Cash Flow %s Yr1'!G69*'Expenses w MYP'!$E24))</f>
        <v/>
      </c>
      <c r="H69" s="62" t="str">
        <f>IF('Expenses w MYP'!$E24="","",IF('Cash Flow %s Yr1'!H69="","",'Cash Flow %s Yr1'!H69*'Expenses w MYP'!$E24))</f>
        <v/>
      </c>
      <c r="I69" s="62" t="str">
        <f>IF('Expenses w MYP'!$E24="","",IF('Cash Flow %s Yr1'!I69="","",'Cash Flow %s Yr1'!I69*'Expenses w MYP'!$E24))</f>
        <v/>
      </c>
      <c r="J69" s="62" t="str">
        <f>IF('Expenses w MYP'!$E24="","",IF('Cash Flow %s Yr1'!J69="","",'Cash Flow %s Yr1'!J69*'Expenses w MYP'!$E24))</f>
        <v/>
      </c>
      <c r="K69" s="62" t="str">
        <f>IF('Expenses w MYP'!$E24="","",IF('Cash Flow %s Yr1'!K69="","",'Cash Flow %s Yr1'!K69*'Expenses w MYP'!$E24))</f>
        <v/>
      </c>
      <c r="L69" s="62" t="str">
        <f>IF('Expenses w MYP'!$E24="","",IF('Cash Flow %s Yr1'!L69="","",'Cash Flow %s Yr1'!L69*'Expenses w MYP'!$E24))</f>
        <v/>
      </c>
      <c r="M69" s="62" t="str">
        <f>IF('Expenses w MYP'!$E24="","",IF('Cash Flow %s Yr1'!M69="","",'Cash Flow %s Yr1'!M69*'Expenses w MYP'!$E24))</f>
        <v/>
      </c>
      <c r="N69" s="62" t="str">
        <f>IF('Expenses w MYP'!$E24="","",IF('Cash Flow %s Yr1'!N69="","",'Cash Flow %s Yr1'!N69*'Expenses w MYP'!$E24))</f>
        <v/>
      </c>
      <c r="O69" s="62" t="str">
        <f>IF('Expenses w MYP'!$E24="","",IF('Cash Flow %s Yr1'!O69="","",'Cash Flow %s Yr1'!O69*'Expenses w MYP'!$E24))</f>
        <v/>
      </c>
      <c r="P69" s="113"/>
      <c r="Q69" s="113"/>
      <c r="R69" s="113"/>
      <c r="S69" s="97" t="str">
        <f>IF(SUM(D69:R69)&gt;0,SUM(D69:R69)/'Expenses w MYP'!$E24,"")</f>
        <v/>
      </c>
    </row>
    <row r="70" spans="1:19" s="31" customFormat="1" x14ac:dyDescent="0.75">
      <c r="A70" s="35"/>
      <c r="B70" s="65" t="str">
        <f>'Expenses w MYP'!C25</f>
        <v>2410</v>
      </c>
      <c r="C70" s="65" t="str">
        <f>'Expenses w MYP'!D25</f>
        <v>Clerical, Technical, and Office Staff Overtime</v>
      </c>
      <c r="D70" s="62" t="str">
        <f>IF('Expenses w MYP'!$E25="","",IF('Cash Flow %s Yr1'!D70="","",'Cash Flow %s Yr1'!D70*'Expenses w MYP'!$E25))</f>
        <v/>
      </c>
      <c r="E70" s="62" t="str">
        <f>IF('Expenses w MYP'!$E25="","",IF('Cash Flow %s Yr1'!E70="","",'Cash Flow %s Yr1'!E70*'Expenses w MYP'!$E25))</f>
        <v/>
      </c>
      <c r="F70" s="62" t="str">
        <f>IF('Expenses w MYP'!$E25="","",IF('Cash Flow %s Yr1'!F70="","",'Cash Flow %s Yr1'!F70*'Expenses w MYP'!$E25))</f>
        <v/>
      </c>
      <c r="G70" s="62" t="str">
        <f>IF('Expenses w MYP'!$E25="","",IF('Cash Flow %s Yr1'!G70="","",'Cash Flow %s Yr1'!G70*'Expenses w MYP'!$E25))</f>
        <v/>
      </c>
      <c r="H70" s="62" t="str">
        <f>IF('Expenses w MYP'!$E25="","",IF('Cash Flow %s Yr1'!H70="","",'Cash Flow %s Yr1'!H70*'Expenses w MYP'!$E25))</f>
        <v/>
      </c>
      <c r="I70" s="62" t="str">
        <f>IF('Expenses w MYP'!$E25="","",IF('Cash Flow %s Yr1'!I70="","",'Cash Flow %s Yr1'!I70*'Expenses w MYP'!$E25))</f>
        <v/>
      </c>
      <c r="J70" s="62" t="str">
        <f>IF('Expenses w MYP'!$E25="","",IF('Cash Flow %s Yr1'!J70="","",'Cash Flow %s Yr1'!J70*'Expenses w MYP'!$E25))</f>
        <v/>
      </c>
      <c r="K70" s="62" t="str">
        <f>IF('Expenses w MYP'!$E25="","",IF('Cash Flow %s Yr1'!K70="","",'Cash Flow %s Yr1'!K70*'Expenses w MYP'!$E25))</f>
        <v/>
      </c>
      <c r="L70" s="62" t="str">
        <f>IF('Expenses w MYP'!$E25="","",IF('Cash Flow %s Yr1'!L70="","",'Cash Flow %s Yr1'!L70*'Expenses w MYP'!$E25))</f>
        <v/>
      </c>
      <c r="M70" s="62" t="str">
        <f>IF('Expenses w MYP'!$E25="","",IF('Cash Flow %s Yr1'!M70="","",'Cash Flow %s Yr1'!M70*'Expenses w MYP'!$E25))</f>
        <v/>
      </c>
      <c r="N70" s="62" t="str">
        <f>IF('Expenses w MYP'!$E25="","",IF('Cash Flow %s Yr1'!N70="","",'Cash Flow %s Yr1'!N70*'Expenses w MYP'!$E25))</f>
        <v/>
      </c>
      <c r="O70" s="62" t="str">
        <f>IF('Expenses w MYP'!$E25="","",IF('Cash Flow %s Yr1'!O70="","",'Cash Flow %s Yr1'!O70*'Expenses w MYP'!$E25))</f>
        <v/>
      </c>
      <c r="P70" s="113"/>
      <c r="Q70" s="113"/>
      <c r="R70" s="113"/>
      <c r="S70" s="97" t="str">
        <f>IF(SUM(D70:R70)&gt;0,SUM(D70:R70)/'Expenses w MYP'!$E25,"")</f>
        <v/>
      </c>
    </row>
    <row r="71" spans="1:19" s="31" customFormat="1" x14ac:dyDescent="0.75">
      <c r="A71" s="35"/>
      <c r="B71" s="65" t="str">
        <f>'Expenses w MYP'!C26</f>
        <v>2900</v>
      </c>
      <c r="C71" s="65" t="str">
        <f>'Expenses w MYP'!D26</f>
        <v>Other Classified Salaries</v>
      </c>
      <c r="D71" s="62" t="str">
        <f>IF('Expenses w MYP'!$E26="","",IF('Cash Flow %s Yr1'!D71="","",'Cash Flow %s Yr1'!D71*'Expenses w MYP'!$E26))</f>
        <v/>
      </c>
      <c r="E71" s="62" t="str">
        <f>IF('Expenses w MYP'!$E26="","",IF('Cash Flow %s Yr1'!E71="","",'Cash Flow %s Yr1'!E71*'Expenses w MYP'!$E26))</f>
        <v/>
      </c>
      <c r="F71" s="62" t="str">
        <f>IF('Expenses w MYP'!$E26="","",IF('Cash Flow %s Yr1'!F71="","",'Cash Flow %s Yr1'!F71*'Expenses w MYP'!$E26))</f>
        <v/>
      </c>
      <c r="G71" s="62" t="str">
        <f>IF('Expenses w MYP'!$E26="","",IF('Cash Flow %s Yr1'!G71="","",'Cash Flow %s Yr1'!G71*'Expenses w MYP'!$E26))</f>
        <v/>
      </c>
      <c r="H71" s="62" t="str">
        <f>IF('Expenses w MYP'!$E26="","",IF('Cash Flow %s Yr1'!H71="","",'Cash Flow %s Yr1'!H71*'Expenses w MYP'!$E26))</f>
        <v/>
      </c>
      <c r="I71" s="62" t="str">
        <f>IF('Expenses w MYP'!$E26="","",IF('Cash Flow %s Yr1'!I71="","",'Cash Flow %s Yr1'!I71*'Expenses w MYP'!$E26))</f>
        <v/>
      </c>
      <c r="J71" s="62" t="str">
        <f>IF('Expenses w MYP'!$E26="","",IF('Cash Flow %s Yr1'!J71="","",'Cash Flow %s Yr1'!J71*'Expenses w MYP'!$E26))</f>
        <v/>
      </c>
      <c r="K71" s="62" t="str">
        <f>IF('Expenses w MYP'!$E26="","",IF('Cash Flow %s Yr1'!K71="","",'Cash Flow %s Yr1'!K71*'Expenses w MYP'!$E26))</f>
        <v/>
      </c>
      <c r="L71" s="62" t="str">
        <f>IF('Expenses w MYP'!$E26="","",IF('Cash Flow %s Yr1'!L71="","",'Cash Flow %s Yr1'!L71*'Expenses w MYP'!$E26))</f>
        <v/>
      </c>
      <c r="M71" s="62" t="str">
        <f>IF('Expenses w MYP'!$E26="","",IF('Cash Flow %s Yr1'!M71="","",'Cash Flow %s Yr1'!M71*'Expenses w MYP'!$E26))</f>
        <v/>
      </c>
      <c r="N71" s="62" t="str">
        <f>IF('Expenses w MYP'!$E26="","",IF('Cash Flow %s Yr1'!N71="","",'Cash Flow %s Yr1'!N71*'Expenses w MYP'!$E26))</f>
        <v/>
      </c>
      <c r="O71" s="62" t="str">
        <f>IF('Expenses w MYP'!$E26="","",IF('Cash Flow %s Yr1'!O71="","",'Cash Flow %s Yr1'!O71*'Expenses w MYP'!$E26))</f>
        <v/>
      </c>
      <c r="P71" s="113"/>
      <c r="Q71" s="113"/>
      <c r="R71" s="113"/>
      <c r="S71" s="97" t="str">
        <f>IF(SUM(D71:R71)&gt;0,SUM(D71:R71)/'Expenses w MYP'!$E26,"")</f>
        <v/>
      </c>
    </row>
    <row r="72" spans="1:19" s="31" customFormat="1" x14ac:dyDescent="0.75">
      <c r="A72" s="35"/>
      <c r="B72" s="65" t="str">
        <f>'Expenses w MYP'!C27</f>
        <v>2905</v>
      </c>
      <c r="C72" s="65" t="str">
        <f>'Expenses w MYP'!D27</f>
        <v>Other Stipends</v>
      </c>
      <c r="D72" s="62" t="str">
        <f>IF('Expenses w MYP'!$E27="","",IF('Cash Flow %s Yr1'!D72="","",'Cash Flow %s Yr1'!D72*'Expenses w MYP'!$E27))</f>
        <v/>
      </c>
      <c r="E72" s="62" t="str">
        <f>IF('Expenses w MYP'!$E27="","",IF('Cash Flow %s Yr1'!E72="","",'Cash Flow %s Yr1'!E72*'Expenses w MYP'!$E27))</f>
        <v/>
      </c>
      <c r="F72" s="62" t="str">
        <f>IF('Expenses w MYP'!$E27="","",IF('Cash Flow %s Yr1'!F72="","",'Cash Flow %s Yr1'!F72*'Expenses w MYP'!$E27))</f>
        <v/>
      </c>
      <c r="G72" s="62" t="str">
        <f>IF('Expenses w MYP'!$E27="","",IF('Cash Flow %s Yr1'!G72="","",'Cash Flow %s Yr1'!G72*'Expenses w MYP'!$E27))</f>
        <v/>
      </c>
      <c r="H72" s="62" t="str">
        <f>IF('Expenses w MYP'!$E27="","",IF('Cash Flow %s Yr1'!H72="","",'Cash Flow %s Yr1'!H72*'Expenses w MYP'!$E27))</f>
        <v/>
      </c>
      <c r="I72" s="62" t="str">
        <f>IF('Expenses w MYP'!$E27="","",IF('Cash Flow %s Yr1'!I72="","",'Cash Flow %s Yr1'!I72*'Expenses w MYP'!$E27))</f>
        <v/>
      </c>
      <c r="J72" s="62" t="str">
        <f>IF('Expenses w MYP'!$E27="","",IF('Cash Flow %s Yr1'!J72="","",'Cash Flow %s Yr1'!J72*'Expenses w MYP'!$E27))</f>
        <v/>
      </c>
      <c r="K72" s="62" t="str">
        <f>IF('Expenses w MYP'!$E27="","",IF('Cash Flow %s Yr1'!K72="","",'Cash Flow %s Yr1'!K72*'Expenses w MYP'!$E27))</f>
        <v/>
      </c>
      <c r="L72" s="62" t="str">
        <f>IF('Expenses w MYP'!$E27="","",IF('Cash Flow %s Yr1'!L72="","",'Cash Flow %s Yr1'!L72*'Expenses w MYP'!$E27))</f>
        <v/>
      </c>
      <c r="M72" s="62" t="str">
        <f>IF('Expenses w MYP'!$E27="","",IF('Cash Flow %s Yr1'!M72="","",'Cash Flow %s Yr1'!M72*'Expenses w MYP'!$E27))</f>
        <v/>
      </c>
      <c r="N72" s="62" t="str">
        <f>IF('Expenses w MYP'!$E27="","",IF('Cash Flow %s Yr1'!N72="","",'Cash Flow %s Yr1'!N72*'Expenses w MYP'!$E27))</f>
        <v/>
      </c>
      <c r="O72" s="62" t="str">
        <f>IF('Expenses w MYP'!$E27="","",IF('Cash Flow %s Yr1'!O72="","",'Cash Flow %s Yr1'!O72*'Expenses w MYP'!$E27))</f>
        <v/>
      </c>
      <c r="P72" s="113"/>
      <c r="Q72" s="113"/>
      <c r="R72" s="113"/>
      <c r="S72" s="97" t="str">
        <f>IF(SUM(D72:R72)&gt;0,SUM(D72:R72)/'Expenses w MYP'!$E27,"")</f>
        <v/>
      </c>
    </row>
    <row r="73" spans="1:19" s="31" customFormat="1" x14ac:dyDescent="0.75">
      <c r="A73" s="35"/>
      <c r="B73" s="65" t="str">
        <f>'Expenses w MYP'!C28</f>
        <v>2910</v>
      </c>
      <c r="C73" s="65" t="str">
        <f>'Expenses w MYP'!D28</f>
        <v>Other Classified Overtime</v>
      </c>
      <c r="D73" s="62" t="str">
        <f>IF('Expenses w MYP'!$E28="","",IF('Cash Flow %s Yr1'!D73="","",'Cash Flow %s Yr1'!D73*'Expenses w MYP'!$E28))</f>
        <v/>
      </c>
      <c r="E73" s="62" t="str">
        <f>IF('Expenses w MYP'!$E28="","",IF('Cash Flow %s Yr1'!E73="","",'Cash Flow %s Yr1'!E73*'Expenses w MYP'!$E28))</f>
        <v/>
      </c>
      <c r="F73" s="62" t="str">
        <f>IF('Expenses w MYP'!$E28="","",IF('Cash Flow %s Yr1'!F73="","",'Cash Flow %s Yr1'!F73*'Expenses w MYP'!$E28))</f>
        <v/>
      </c>
      <c r="G73" s="62" t="str">
        <f>IF('Expenses w MYP'!$E28="","",IF('Cash Flow %s Yr1'!G73="","",'Cash Flow %s Yr1'!G73*'Expenses w MYP'!$E28))</f>
        <v/>
      </c>
      <c r="H73" s="62" t="str">
        <f>IF('Expenses w MYP'!$E28="","",IF('Cash Flow %s Yr1'!H73="","",'Cash Flow %s Yr1'!H73*'Expenses w MYP'!$E28))</f>
        <v/>
      </c>
      <c r="I73" s="62" t="str">
        <f>IF('Expenses w MYP'!$E28="","",IF('Cash Flow %s Yr1'!I73="","",'Cash Flow %s Yr1'!I73*'Expenses w MYP'!$E28))</f>
        <v/>
      </c>
      <c r="J73" s="62" t="str">
        <f>IF('Expenses w MYP'!$E28="","",IF('Cash Flow %s Yr1'!J73="","",'Cash Flow %s Yr1'!J73*'Expenses w MYP'!$E28))</f>
        <v/>
      </c>
      <c r="K73" s="62" t="str">
        <f>IF('Expenses w MYP'!$E28="","",IF('Cash Flow %s Yr1'!K73="","",'Cash Flow %s Yr1'!K73*'Expenses w MYP'!$E28))</f>
        <v/>
      </c>
      <c r="L73" s="62" t="str">
        <f>IF('Expenses w MYP'!$E28="","",IF('Cash Flow %s Yr1'!L73="","",'Cash Flow %s Yr1'!L73*'Expenses w MYP'!$E28))</f>
        <v/>
      </c>
      <c r="M73" s="62" t="str">
        <f>IF('Expenses w MYP'!$E28="","",IF('Cash Flow %s Yr1'!M73="","",'Cash Flow %s Yr1'!M73*'Expenses w MYP'!$E28))</f>
        <v/>
      </c>
      <c r="N73" s="62" t="str">
        <f>IF('Expenses w MYP'!$E28="","",IF('Cash Flow %s Yr1'!N73="","",'Cash Flow %s Yr1'!N73*'Expenses w MYP'!$E28))</f>
        <v/>
      </c>
      <c r="O73" s="62" t="str">
        <f>IF('Expenses w MYP'!$E28="","",IF('Cash Flow %s Yr1'!O73="","",'Cash Flow %s Yr1'!O73*'Expenses w MYP'!$E28))</f>
        <v/>
      </c>
      <c r="P73" s="113"/>
      <c r="Q73" s="113"/>
      <c r="R73" s="113"/>
      <c r="S73" s="97" t="str">
        <f>IF(SUM(D73:R73)&gt;0,SUM(D73:R73)/'Expenses w MYP'!$E28,"")</f>
        <v/>
      </c>
    </row>
    <row r="74" spans="1:19" s="31" customFormat="1" x14ac:dyDescent="0.75">
      <c r="A74" s="35"/>
      <c r="B74" s="42" t="s">
        <v>736</v>
      </c>
      <c r="C74" s="34" t="s">
        <v>719</v>
      </c>
      <c r="D74" s="153" t="str">
        <f t="shared" ref="D74:I74" si="6">IF(SUM(D63:D73)&gt;0,SUM(D63:D73),"")</f>
        <v/>
      </c>
      <c r="E74" s="153" t="str">
        <f t="shared" si="6"/>
        <v/>
      </c>
      <c r="F74" s="153" t="str">
        <f t="shared" si="6"/>
        <v/>
      </c>
      <c r="G74" s="153" t="str">
        <f t="shared" si="6"/>
        <v/>
      </c>
      <c r="H74" s="153" t="str">
        <f t="shared" si="6"/>
        <v/>
      </c>
      <c r="I74" s="153" t="str">
        <f t="shared" si="6"/>
        <v/>
      </c>
      <c r="J74" s="153" t="str">
        <f t="shared" ref="J74:R74" si="7">IF(SUM(J63:J73)&gt;0,SUM(J63:J73),"")</f>
        <v/>
      </c>
      <c r="K74" s="153" t="str">
        <f t="shared" si="7"/>
        <v/>
      </c>
      <c r="L74" s="153" t="str">
        <f t="shared" si="7"/>
        <v/>
      </c>
      <c r="M74" s="153" t="str">
        <f t="shared" si="7"/>
        <v/>
      </c>
      <c r="N74" s="153" t="str">
        <f t="shared" si="7"/>
        <v/>
      </c>
      <c r="O74" s="153" t="str">
        <f t="shared" si="7"/>
        <v/>
      </c>
      <c r="P74" s="153" t="str">
        <f t="shared" si="7"/>
        <v/>
      </c>
      <c r="Q74" s="153" t="str">
        <f t="shared" si="7"/>
        <v/>
      </c>
      <c r="R74" s="153" t="str">
        <f t="shared" si="7"/>
        <v/>
      </c>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62" t="str">
        <f>IF('Expenses w MYP'!$E32="","",IF('Cash Flow %s Yr1'!D77="","",'Cash Flow %s Yr1'!D77*'Expenses w MYP'!$E32))</f>
        <v/>
      </c>
      <c r="E77" s="62" t="str">
        <f>IF('Expenses w MYP'!$E32="","",IF('Cash Flow %s Yr1'!E77="","",'Cash Flow %s Yr1'!E77*'Expenses w MYP'!$E32))</f>
        <v/>
      </c>
      <c r="F77" s="62" t="str">
        <f>IF('Expenses w MYP'!$E32="","",IF('Cash Flow %s Yr1'!F77="","",'Cash Flow %s Yr1'!F77*'Expenses w MYP'!$E32))</f>
        <v/>
      </c>
      <c r="G77" s="62" t="str">
        <f>IF('Expenses w MYP'!$E32="","",IF('Cash Flow %s Yr1'!G77="","",'Cash Flow %s Yr1'!G77*'Expenses w MYP'!$E32))</f>
        <v/>
      </c>
      <c r="H77" s="62" t="str">
        <f>IF('Expenses w MYP'!$E32="","",IF('Cash Flow %s Yr1'!H77="","",'Cash Flow %s Yr1'!H77*'Expenses w MYP'!$E32))</f>
        <v/>
      </c>
      <c r="I77" s="62" t="str">
        <f>IF('Expenses w MYP'!$E32="","",IF('Cash Flow %s Yr1'!I77="","",'Cash Flow %s Yr1'!I77*'Expenses w MYP'!$E32))</f>
        <v/>
      </c>
      <c r="J77" s="62" t="str">
        <f>IF('Expenses w MYP'!$E32="","",IF('Cash Flow %s Yr1'!J77="","",'Cash Flow %s Yr1'!J77*'Expenses w MYP'!$E32))</f>
        <v/>
      </c>
      <c r="K77" s="62" t="str">
        <f>IF('Expenses w MYP'!$E32="","",IF('Cash Flow %s Yr1'!K77="","",'Cash Flow %s Yr1'!K77*'Expenses w MYP'!$E32))</f>
        <v/>
      </c>
      <c r="L77" s="62" t="str">
        <f>IF('Expenses w MYP'!$E32="","",IF('Cash Flow %s Yr1'!L77="","",'Cash Flow %s Yr1'!L77*'Expenses w MYP'!$E32))</f>
        <v/>
      </c>
      <c r="M77" s="62" t="str">
        <f>IF('Expenses w MYP'!$E32="","",IF('Cash Flow %s Yr1'!M77="","",'Cash Flow %s Yr1'!M77*'Expenses w MYP'!$E32))</f>
        <v/>
      </c>
      <c r="N77" s="62" t="str">
        <f>IF('Expenses w MYP'!$E32="","",IF('Cash Flow %s Yr1'!N77="","",'Cash Flow %s Yr1'!N77*'Expenses w MYP'!$E32))</f>
        <v/>
      </c>
      <c r="O77" s="62" t="str">
        <f>IF('Expenses w MYP'!$E32="","",IF('Cash Flow %s Yr1'!O77="","",'Cash Flow %s Yr1'!O77*'Expenses w MYP'!$E32))</f>
        <v/>
      </c>
      <c r="P77" s="113"/>
      <c r="Q77" s="113"/>
      <c r="R77" s="113"/>
      <c r="S77" s="97" t="str">
        <f>IF(SUM(D77:R77)&gt;0,SUM(D77:R77)/'Expenses w MYP'!$E32,"")</f>
        <v/>
      </c>
    </row>
    <row r="78" spans="1:19" s="31" customFormat="1" x14ac:dyDescent="0.75">
      <c r="A78" s="35"/>
      <c r="B78" s="65" t="str">
        <f>'Expenses w MYP'!C45</f>
        <v>3602</v>
      </c>
      <c r="C78" s="65" t="str">
        <f>'Expenses w MYP'!D45</f>
        <v>Worker's Comp - Classified</v>
      </c>
      <c r="D78" s="62" t="str">
        <f>IF('Expenses w MYP'!$E45="","",IF('Cash Flow %s Yr1'!D78="","",'Cash Flow %s Yr1'!D78*'Expenses w MYP'!$E45))</f>
        <v/>
      </c>
      <c r="E78" s="62" t="str">
        <f>IF('Expenses w MYP'!$E45="","",IF('Cash Flow %s Yr1'!E78="","",'Cash Flow %s Yr1'!E78*'Expenses w MYP'!$E45))</f>
        <v/>
      </c>
      <c r="F78" s="62" t="str">
        <f>IF('Expenses w MYP'!$E45="","",IF('Cash Flow %s Yr1'!F78="","",'Cash Flow %s Yr1'!F78*'Expenses w MYP'!$E45))</f>
        <v/>
      </c>
      <c r="G78" s="62" t="str">
        <f>IF('Expenses w MYP'!$E45="","",IF('Cash Flow %s Yr1'!G78="","",'Cash Flow %s Yr1'!G78*'Expenses w MYP'!$E45))</f>
        <v/>
      </c>
      <c r="H78" s="62" t="str">
        <f>IF('Expenses w MYP'!$E45="","",IF('Cash Flow %s Yr1'!H78="","",'Cash Flow %s Yr1'!H78*'Expenses w MYP'!$E45))</f>
        <v/>
      </c>
      <c r="I78" s="62" t="str">
        <f>IF('Expenses w MYP'!$E45="","",IF('Cash Flow %s Yr1'!I78="","",'Cash Flow %s Yr1'!I78*'Expenses w MYP'!$E45))</f>
        <v/>
      </c>
      <c r="J78" s="62" t="str">
        <f>IF('Expenses w MYP'!$E45="","",IF('Cash Flow %s Yr1'!J78="","",'Cash Flow %s Yr1'!J78*'Expenses w MYP'!$E45))</f>
        <v/>
      </c>
      <c r="K78" s="62" t="str">
        <f>IF('Expenses w MYP'!$E45="","",IF('Cash Flow %s Yr1'!K78="","",'Cash Flow %s Yr1'!K78*'Expenses w MYP'!$E45))</f>
        <v/>
      </c>
      <c r="L78" s="62" t="str">
        <f>IF('Expenses w MYP'!$E45="","",IF('Cash Flow %s Yr1'!L78="","",'Cash Flow %s Yr1'!L78*'Expenses w MYP'!$E45))</f>
        <v/>
      </c>
      <c r="M78" s="62" t="str">
        <f>IF('Expenses w MYP'!$E45="","",IF('Cash Flow %s Yr1'!M78="","",'Cash Flow %s Yr1'!M78*'Expenses w MYP'!$E45))</f>
        <v/>
      </c>
      <c r="N78" s="62" t="str">
        <f>IF('Expenses w MYP'!$E45="","",IF('Cash Flow %s Yr1'!N78="","",'Cash Flow %s Yr1'!N78*'Expenses w MYP'!$E45))</f>
        <v/>
      </c>
      <c r="O78" s="62" t="str">
        <f>IF('Expenses w MYP'!$E45="","",IF('Cash Flow %s Yr1'!O78="","",'Cash Flow %s Yr1'!O78*'Expenses w MYP'!$E45))</f>
        <v/>
      </c>
      <c r="P78" s="113"/>
      <c r="Q78" s="113"/>
      <c r="R78" s="113"/>
      <c r="S78" s="97" t="str">
        <f>IF(SUM(D78:R78)&gt;0,SUM(D78:R78)/'Expenses w MYP'!$E45,"")</f>
        <v/>
      </c>
    </row>
    <row r="79" spans="1:19" s="31" customFormat="1" x14ac:dyDescent="0.75">
      <c r="A79" s="35"/>
      <c r="B79" s="65" t="str">
        <f>'Expenses w MYP'!C46</f>
        <v>3603</v>
      </c>
      <c r="C79" s="65" t="str">
        <f>'Expenses w MYP'!D46</f>
        <v>Worker Compensation Insurance</v>
      </c>
      <c r="D79" s="62" t="str">
        <f>IF('Expenses w MYP'!$E46="","",IF('Cash Flow %s Yr1'!D79="","",'Cash Flow %s Yr1'!D79*'Expenses w MYP'!$E46))</f>
        <v/>
      </c>
      <c r="E79" s="62" t="str">
        <f>IF('Expenses w MYP'!$E46="","",IF('Cash Flow %s Yr1'!E79="","",'Cash Flow %s Yr1'!E79*'Expenses w MYP'!$E46))</f>
        <v/>
      </c>
      <c r="F79" s="62" t="str">
        <f>IF('Expenses w MYP'!$E46="","",IF('Cash Flow %s Yr1'!F79="","",'Cash Flow %s Yr1'!F79*'Expenses w MYP'!$E46))</f>
        <v/>
      </c>
      <c r="G79" s="62" t="str">
        <f>IF('Expenses w MYP'!$E46="","",IF('Cash Flow %s Yr1'!G79="","",'Cash Flow %s Yr1'!G79*'Expenses w MYP'!$E46))</f>
        <v/>
      </c>
      <c r="H79" s="62" t="str">
        <f>IF('Expenses w MYP'!$E46="","",IF('Cash Flow %s Yr1'!H79="","",'Cash Flow %s Yr1'!H79*'Expenses w MYP'!$E46))</f>
        <v/>
      </c>
      <c r="I79" s="62" t="str">
        <f>IF('Expenses w MYP'!$E46="","",IF('Cash Flow %s Yr1'!I79="","",'Cash Flow %s Yr1'!I79*'Expenses w MYP'!$E46))</f>
        <v/>
      </c>
      <c r="J79" s="62" t="str">
        <f>IF('Expenses w MYP'!$E46="","",IF('Cash Flow %s Yr1'!J79="","",'Cash Flow %s Yr1'!J79*'Expenses w MYP'!$E46))</f>
        <v/>
      </c>
      <c r="K79" s="62" t="str">
        <f>IF('Expenses w MYP'!$E46="","",IF('Cash Flow %s Yr1'!K79="","",'Cash Flow %s Yr1'!K79*'Expenses w MYP'!$E46))</f>
        <v/>
      </c>
      <c r="L79" s="62" t="str">
        <f>IF('Expenses w MYP'!$E46="","",IF('Cash Flow %s Yr1'!L79="","",'Cash Flow %s Yr1'!L79*'Expenses w MYP'!$E46))</f>
        <v/>
      </c>
      <c r="M79" s="62" t="str">
        <f>IF('Expenses w MYP'!$E46="","",IF('Cash Flow %s Yr1'!M79="","",'Cash Flow %s Yr1'!M79*'Expenses w MYP'!$E46))</f>
        <v/>
      </c>
      <c r="N79" s="62" t="str">
        <f>IF('Expenses w MYP'!$E46="","",IF('Cash Flow %s Yr1'!N79="","",'Cash Flow %s Yr1'!N79*'Expenses w MYP'!$E46))</f>
        <v/>
      </c>
      <c r="O79" s="62" t="str">
        <f>IF('Expenses w MYP'!$E46="","",IF('Cash Flow %s Yr1'!O79="","",'Cash Flow %s Yr1'!O79*'Expenses w MYP'!$E46))</f>
        <v/>
      </c>
      <c r="P79" s="113"/>
      <c r="Q79" s="113"/>
      <c r="R79" s="113"/>
      <c r="S79" s="97" t="str">
        <f>IF(SUM(D79:R79)&gt;0,SUM(D79:R79)/'Expenses w MYP'!$E46,"")</f>
        <v/>
      </c>
    </row>
    <row r="80" spans="1:19" s="31" customFormat="1" x14ac:dyDescent="0.75">
      <c r="A80" s="35"/>
      <c r="B80" s="65" t="str">
        <f>'Expenses w MYP'!C47</f>
        <v>3703</v>
      </c>
      <c r="C80" s="65">
        <f>'Expenses w MYP'!D47</f>
        <v>0</v>
      </c>
      <c r="D80" s="62" t="str">
        <f>IF('Expenses w MYP'!$E47="","",IF('Cash Flow %s Yr1'!D80="","",'Cash Flow %s Yr1'!D80*'Expenses w MYP'!$E47))</f>
        <v/>
      </c>
      <c r="E80" s="62" t="str">
        <f>IF('Expenses w MYP'!$E47="","",IF('Cash Flow %s Yr1'!E80="","",'Cash Flow %s Yr1'!E80*'Expenses w MYP'!$E47))</f>
        <v/>
      </c>
      <c r="F80" s="62" t="str">
        <f>IF('Expenses w MYP'!$E47="","",IF('Cash Flow %s Yr1'!F80="","",'Cash Flow %s Yr1'!F80*'Expenses w MYP'!$E47))</f>
        <v/>
      </c>
      <c r="G80" s="62" t="str">
        <f>IF('Expenses w MYP'!$E47="","",IF('Cash Flow %s Yr1'!G80="","",'Cash Flow %s Yr1'!G80*'Expenses w MYP'!$E47))</f>
        <v/>
      </c>
      <c r="H80" s="62" t="str">
        <f>IF('Expenses w MYP'!$E47="","",IF('Cash Flow %s Yr1'!H80="","",'Cash Flow %s Yr1'!H80*'Expenses w MYP'!$E47))</f>
        <v/>
      </c>
      <c r="I80" s="62" t="str">
        <f>IF('Expenses w MYP'!$E47="","",IF('Cash Flow %s Yr1'!I80="","",'Cash Flow %s Yr1'!I80*'Expenses w MYP'!$E47))</f>
        <v/>
      </c>
      <c r="J80" s="62" t="str">
        <f>IF('Expenses w MYP'!$E47="","",IF('Cash Flow %s Yr1'!J80="","",'Cash Flow %s Yr1'!J80*'Expenses w MYP'!$E47))</f>
        <v/>
      </c>
      <c r="K80" s="62" t="str">
        <f>IF('Expenses w MYP'!$E47="","",IF('Cash Flow %s Yr1'!K80="","",'Cash Flow %s Yr1'!K80*'Expenses w MYP'!$E47))</f>
        <v/>
      </c>
      <c r="L80" s="62" t="str">
        <f>IF('Expenses w MYP'!$E47="","",IF('Cash Flow %s Yr1'!L80="","",'Cash Flow %s Yr1'!L80*'Expenses w MYP'!$E47))</f>
        <v/>
      </c>
      <c r="M80" s="62" t="str">
        <f>IF('Expenses w MYP'!$E47="","",IF('Cash Flow %s Yr1'!M80="","",'Cash Flow %s Yr1'!M80*'Expenses w MYP'!$E47))</f>
        <v/>
      </c>
      <c r="N80" s="62" t="str">
        <f>IF('Expenses w MYP'!$E47="","",IF('Cash Flow %s Yr1'!N80="","",'Cash Flow %s Yr1'!N80*'Expenses w MYP'!$E47))</f>
        <v/>
      </c>
      <c r="O80" s="62" t="str">
        <f>IF('Expenses w MYP'!$E47="","",IF('Cash Flow %s Yr1'!O80="","",'Cash Flow %s Yr1'!O80*'Expenses w MYP'!$E47))</f>
        <v/>
      </c>
      <c r="P80" s="113"/>
      <c r="Q80" s="113"/>
      <c r="R80" s="113"/>
      <c r="S80" s="97" t="str">
        <f>IF(SUM(D80:R80)&gt;0,SUM(D80:R80)/'Expenses w MYP'!$E47,"")</f>
        <v/>
      </c>
    </row>
    <row r="81" spans="1:19" s="31" customFormat="1" x14ac:dyDescent="0.75">
      <c r="A81" s="35"/>
      <c r="B81" s="65" t="str">
        <f>'Expenses w MYP'!C48</f>
        <v>3901</v>
      </c>
      <c r="C81" s="65" t="str">
        <f>'Expenses w MYP'!D48</f>
        <v>Other Employee Benefits - Certificated</v>
      </c>
      <c r="D81" s="62" t="str">
        <f>IF('Expenses w MYP'!$E48="","",IF('Cash Flow %s Yr1'!D81="","",'Cash Flow %s Yr1'!D81*'Expenses w MYP'!$E48))</f>
        <v/>
      </c>
      <c r="E81" s="62" t="str">
        <f>IF('Expenses w MYP'!$E48="","",IF('Cash Flow %s Yr1'!E81="","",'Cash Flow %s Yr1'!E81*'Expenses w MYP'!$E48))</f>
        <v/>
      </c>
      <c r="F81" s="62" t="str">
        <f>IF('Expenses w MYP'!$E48="","",IF('Cash Flow %s Yr1'!F81="","",'Cash Flow %s Yr1'!F81*'Expenses w MYP'!$E48))</f>
        <v/>
      </c>
      <c r="G81" s="62" t="str">
        <f>IF('Expenses w MYP'!$E48="","",IF('Cash Flow %s Yr1'!G81="","",'Cash Flow %s Yr1'!G81*'Expenses w MYP'!$E48))</f>
        <v/>
      </c>
      <c r="H81" s="62" t="str">
        <f>IF('Expenses w MYP'!$E48="","",IF('Cash Flow %s Yr1'!H81="","",'Cash Flow %s Yr1'!H81*'Expenses w MYP'!$E48))</f>
        <v/>
      </c>
      <c r="I81" s="62" t="str">
        <f>IF('Expenses w MYP'!$E48="","",IF('Cash Flow %s Yr1'!I81="","",'Cash Flow %s Yr1'!I81*'Expenses w MYP'!$E48))</f>
        <v/>
      </c>
      <c r="J81" s="62" t="str">
        <f>IF('Expenses w MYP'!$E48="","",IF('Cash Flow %s Yr1'!J81="","",'Cash Flow %s Yr1'!J81*'Expenses w MYP'!$E48))</f>
        <v/>
      </c>
      <c r="K81" s="62" t="str">
        <f>IF('Expenses w MYP'!$E48="","",IF('Cash Flow %s Yr1'!K81="","",'Cash Flow %s Yr1'!K81*'Expenses w MYP'!$E48))</f>
        <v/>
      </c>
      <c r="L81" s="62" t="str">
        <f>IF('Expenses w MYP'!$E48="","",IF('Cash Flow %s Yr1'!L81="","",'Cash Flow %s Yr1'!L81*'Expenses w MYP'!$E48))</f>
        <v/>
      </c>
      <c r="M81" s="62" t="str">
        <f>IF('Expenses w MYP'!$E48="","",IF('Cash Flow %s Yr1'!M81="","",'Cash Flow %s Yr1'!M81*'Expenses w MYP'!$E48))</f>
        <v/>
      </c>
      <c r="N81" s="62" t="str">
        <f>IF('Expenses w MYP'!$E48="","",IF('Cash Flow %s Yr1'!N81="","",'Cash Flow %s Yr1'!N81*'Expenses w MYP'!$E48))</f>
        <v/>
      </c>
      <c r="O81" s="62" t="str">
        <f>IF('Expenses w MYP'!$E48="","",IF('Cash Flow %s Yr1'!O81="","",'Cash Flow %s Yr1'!O81*'Expenses w MYP'!$E48))</f>
        <v/>
      </c>
      <c r="P81" s="113"/>
      <c r="Q81" s="113"/>
      <c r="R81" s="113"/>
      <c r="S81" s="97" t="str">
        <f>IF(SUM(D81:R81)&gt;0,SUM(D81:R81)/'Expenses w MYP'!$E48,"")</f>
        <v/>
      </c>
    </row>
    <row r="82" spans="1:19" s="31" customFormat="1" x14ac:dyDescent="0.75">
      <c r="A82" s="35"/>
      <c r="B82" s="65" t="str">
        <f>'Expenses w MYP'!C49</f>
        <v>3902</v>
      </c>
      <c r="C82" s="65" t="str">
        <f>'Expenses w MYP'!D49</f>
        <v>Other Employee Benefits - Classified</v>
      </c>
      <c r="D82" s="62" t="str">
        <f>IF('Expenses w MYP'!$E49="","",IF('Cash Flow %s Yr1'!D82="","",'Cash Flow %s Yr1'!D82*'Expenses w MYP'!$E49))</f>
        <v/>
      </c>
      <c r="E82" s="62" t="str">
        <f>IF('Expenses w MYP'!$E49="","",IF('Cash Flow %s Yr1'!E82="","",'Cash Flow %s Yr1'!E82*'Expenses w MYP'!$E49))</f>
        <v/>
      </c>
      <c r="F82" s="62" t="str">
        <f>IF('Expenses w MYP'!$E49="","",IF('Cash Flow %s Yr1'!F82="","",'Cash Flow %s Yr1'!F82*'Expenses w MYP'!$E49))</f>
        <v/>
      </c>
      <c r="G82" s="62" t="str">
        <f>IF('Expenses w MYP'!$E49="","",IF('Cash Flow %s Yr1'!G82="","",'Cash Flow %s Yr1'!G82*'Expenses w MYP'!$E49))</f>
        <v/>
      </c>
      <c r="H82" s="62" t="str">
        <f>IF('Expenses w MYP'!$E49="","",IF('Cash Flow %s Yr1'!H82="","",'Cash Flow %s Yr1'!H82*'Expenses w MYP'!$E49))</f>
        <v/>
      </c>
      <c r="I82" s="62" t="str">
        <f>IF('Expenses w MYP'!$E49="","",IF('Cash Flow %s Yr1'!I82="","",'Cash Flow %s Yr1'!I82*'Expenses w MYP'!$E49))</f>
        <v/>
      </c>
      <c r="J82" s="62" t="str">
        <f>IF('Expenses w MYP'!$E49="","",IF('Cash Flow %s Yr1'!J82="","",'Cash Flow %s Yr1'!J82*'Expenses w MYP'!$E49))</f>
        <v/>
      </c>
      <c r="K82" s="62" t="str">
        <f>IF('Expenses w MYP'!$E49="","",IF('Cash Flow %s Yr1'!K82="","",'Cash Flow %s Yr1'!K82*'Expenses w MYP'!$E49))</f>
        <v/>
      </c>
      <c r="L82" s="62" t="str">
        <f>IF('Expenses w MYP'!$E49="","",IF('Cash Flow %s Yr1'!L82="","",'Cash Flow %s Yr1'!L82*'Expenses w MYP'!$E49))</f>
        <v/>
      </c>
      <c r="M82" s="62" t="str">
        <f>IF('Expenses w MYP'!$E49="","",IF('Cash Flow %s Yr1'!M82="","",'Cash Flow %s Yr1'!M82*'Expenses w MYP'!$E49))</f>
        <v/>
      </c>
      <c r="N82" s="62" t="str">
        <f>IF('Expenses w MYP'!$E49="","",IF('Cash Flow %s Yr1'!N82="","",'Cash Flow %s Yr1'!N82*'Expenses w MYP'!$E49))</f>
        <v/>
      </c>
      <c r="O82" s="62" t="str">
        <f>IF('Expenses w MYP'!$E49="","",IF('Cash Flow %s Yr1'!O82="","",'Cash Flow %s Yr1'!O82*'Expenses w MYP'!$E49))</f>
        <v/>
      </c>
      <c r="P82" s="113"/>
      <c r="Q82" s="113"/>
      <c r="R82" s="113"/>
      <c r="S82" s="97" t="str">
        <f>IF(SUM(D82:R82)&gt;0,SUM(D82:R82)/'Expenses w MYP'!$E49,"")</f>
        <v/>
      </c>
    </row>
    <row r="83" spans="1:19" s="31" customFormat="1" x14ac:dyDescent="0.75">
      <c r="A83" s="35"/>
      <c r="B83" s="65" t="str">
        <f>'Expenses w MYP'!C50</f>
        <v>3903</v>
      </c>
      <c r="C83" s="65" t="str">
        <f>'Expenses w MYP'!D50</f>
        <v>Other Post Employment Benefits</v>
      </c>
      <c r="D83" s="62" t="str">
        <f>IF('Expenses w MYP'!$E50="","",IF('Cash Flow %s Yr1'!D83="","",'Cash Flow %s Yr1'!D83*'Expenses w MYP'!$E50))</f>
        <v/>
      </c>
      <c r="E83" s="62" t="str">
        <f>IF('Expenses w MYP'!$E50="","",IF('Cash Flow %s Yr1'!E83="","",'Cash Flow %s Yr1'!E83*'Expenses w MYP'!$E50))</f>
        <v/>
      </c>
      <c r="F83" s="62" t="str">
        <f>IF('Expenses w MYP'!$E50="","",IF('Cash Flow %s Yr1'!F83="","",'Cash Flow %s Yr1'!F83*'Expenses w MYP'!$E50))</f>
        <v/>
      </c>
      <c r="G83" s="62" t="str">
        <f>IF('Expenses w MYP'!$E50="","",IF('Cash Flow %s Yr1'!G83="","",'Cash Flow %s Yr1'!G83*'Expenses w MYP'!$E50))</f>
        <v/>
      </c>
      <c r="H83" s="62" t="str">
        <f>IF('Expenses w MYP'!$E50="","",IF('Cash Flow %s Yr1'!H83="","",'Cash Flow %s Yr1'!H83*'Expenses w MYP'!$E50))</f>
        <v/>
      </c>
      <c r="I83" s="62" t="str">
        <f>IF('Expenses w MYP'!$E50="","",IF('Cash Flow %s Yr1'!I83="","",'Cash Flow %s Yr1'!I83*'Expenses w MYP'!$E50))</f>
        <v/>
      </c>
      <c r="J83" s="62" t="str">
        <f>IF('Expenses w MYP'!$E50="","",IF('Cash Flow %s Yr1'!J83="","",'Cash Flow %s Yr1'!J83*'Expenses w MYP'!$E50))</f>
        <v/>
      </c>
      <c r="K83" s="62" t="str">
        <f>IF('Expenses w MYP'!$E50="","",IF('Cash Flow %s Yr1'!K83="","",'Cash Flow %s Yr1'!K83*'Expenses w MYP'!$E50))</f>
        <v/>
      </c>
      <c r="L83" s="62" t="str">
        <f>IF('Expenses w MYP'!$E50="","",IF('Cash Flow %s Yr1'!L83="","",'Cash Flow %s Yr1'!L83*'Expenses w MYP'!$E50))</f>
        <v/>
      </c>
      <c r="M83" s="62" t="str">
        <f>IF('Expenses w MYP'!$E50="","",IF('Cash Flow %s Yr1'!M83="","",'Cash Flow %s Yr1'!M83*'Expenses w MYP'!$E50))</f>
        <v/>
      </c>
      <c r="N83" s="62" t="str">
        <f>IF('Expenses w MYP'!$E50="","",IF('Cash Flow %s Yr1'!N83="","",'Cash Flow %s Yr1'!N83*'Expenses w MYP'!$E50))</f>
        <v/>
      </c>
      <c r="O83" s="62" t="str">
        <f>IF('Expenses w MYP'!$E50="","",IF('Cash Flow %s Yr1'!O83="","",'Cash Flow %s Yr1'!O83*'Expenses w MYP'!$E50))</f>
        <v/>
      </c>
      <c r="P83" s="113"/>
      <c r="Q83" s="113"/>
      <c r="R83" s="113"/>
      <c r="S83" s="97" t="str">
        <f>IF(SUM(D83:R83)&gt;0,SUM(D83:R83)/'Expenses w MYP'!$E50,"")</f>
        <v/>
      </c>
    </row>
    <row r="84" spans="1:19" s="31" customFormat="1" x14ac:dyDescent="0.75">
      <c r="A84" s="35"/>
      <c r="B84" s="65">
        <f>'Expenses w MYP'!C51</f>
        <v>0</v>
      </c>
      <c r="C84" s="65">
        <f>'Expenses w MYP'!D51</f>
        <v>0</v>
      </c>
      <c r="D84" s="62" t="str">
        <f>IF('Expenses w MYP'!$E51="","",IF('Cash Flow %s Yr1'!D84="","",'Cash Flow %s Yr1'!D84*'Expenses w MYP'!$E51))</f>
        <v/>
      </c>
      <c r="E84" s="62" t="str">
        <f>IF('Expenses w MYP'!$E51="","",IF('Cash Flow %s Yr1'!E84="","",'Cash Flow %s Yr1'!E84*'Expenses w MYP'!$E51))</f>
        <v/>
      </c>
      <c r="F84" s="62" t="str">
        <f>IF('Expenses w MYP'!$E51="","",IF('Cash Flow %s Yr1'!F84="","",'Cash Flow %s Yr1'!F84*'Expenses w MYP'!$E51))</f>
        <v/>
      </c>
      <c r="G84" s="62" t="str">
        <f>IF('Expenses w MYP'!$E51="","",IF('Cash Flow %s Yr1'!G84="","",'Cash Flow %s Yr1'!G84*'Expenses w MYP'!$E51))</f>
        <v/>
      </c>
      <c r="H84" s="62" t="str">
        <f>IF('Expenses w MYP'!$E51="","",IF('Cash Flow %s Yr1'!H84="","",'Cash Flow %s Yr1'!H84*'Expenses w MYP'!$E51))</f>
        <v/>
      </c>
      <c r="I84" s="62" t="str">
        <f>IF('Expenses w MYP'!$E51="","",IF('Cash Flow %s Yr1'!I84="","",'Cash Flow %s Yr1'!I84*'Expenses w MYP'!$E51))</f>
        <v/>
      </c>
      <c r="J84" s="62" t="str">
        <f>IF('Expenses w MYP'!$E51="","",IF('Cash Flow %s Yr1'!J84="","",'Cash Flow %s Yr1'!J84*'Expenses w MYP'!$E51))</f>
        <v/>
      </c>
      <c r="K84" s="62" t="str">
        <f>IF('Expenses w MYP'!$E51="","",IF('Cash Flow %s Yr1'!K84="","",'Cash Flow %s Yr1'!K84*'Expenses w MYP'!$E51))</f>
        <v/>
      </c>
      <c r="L84" s="62" t="str">
        <f>IF('Expenses w MYP'!$E51="","",IF('Cash Flow %s Yr1'!L84="","",'Cash Flow %s Yr1'!L84*'Expenses w MYP'!$E51))</f>
        <v/>
      </c>
      <c r="M84" s="62" t="str">
        <f>IF('Expenses w MYP'!$E51="","",IF('Cash Flow %s Yr1'!M84="","",'Cash Flow %s Yr1'!M84*'Expenses w MYP'!$E51))</f>
        <v/>
      </c>
      <c r="N84" s="62" t="str">
        <f>IF('Expenses w MYP'!$E51="","",IF('Cash Flow %s Yr1'!N84="","",'Cash Flow %s Yr1'!N84*'Expenses w MYP'!$E51))</f>
        <v/>
      </c>
      <c r="O84" s="62" t="str">
        <f>IF('Expenses w MYP'!$E51="","",IF('Cash Flow %s Yr1'!O84="","",'Cash Flow %s Yr1'!O84*'Expenses w MYP'!$E51))</f>
        <v/>
      </c>
      <c r="P84" s="113"/>
      <c r="Q84" s="113"/>
      <c r="R84" s="113"/>
      <c r="S84" s="97" t="str">
        <f>IF(SUM(D84:R84)&gt;0,SUM(D84:R84)/'Expenses w MYP'!$E51,"")</f>
        <v/>
      </c>
    </row>
    <row r="85" spans="1:19" s="31" customFormat="1" x14ac:dyDescent="0.75">
      <c r="A85" s="35"/>
      <c r="B85" s="65">
        <f>'Expenses w MYP'!C52</f>
        <v>0</v>
      </c>
      <c r="C85" s="65">
        <f>'Expenses w MYP'!D52</f>
        <v>0</v>
      </c>
      <c r="D85" s="62" t="str">
        <f>IF('Expenses w MYP'!$E52="","",IF('Cash Flow %s Yr1'!D85="","",'Cash Flow %s Yr1'!D85*'Expenses w MYP'!$E52))</f>
        <v/>
      </c>
      <c r="E85" s="62" t="str">
        <f>IF('Expenses w MYP'!$E52="","",IF('Cash Flow %s Yr1'!E85="","",'Cash Flow %s Yr1'!E85*'Expenses w MYP'!$E52))</f>
        <v/>
      </c>
      <c r="F85" s="62" t="str">
        <f>IF('Expenses w MYP'!$E52="","",IF('Cash Flow %s Yr1'!F85="","",'Cash Flow %s Yr1'!F85*'Expenses w MYP'!$E52))</f>
        <v/>
      </c>
      <c r="G85" s="62" t="str">
        <f>IF('Expenses w MYP'!$E52="","",IF('Cash Flow %s Yr1'!G85="","",'Cash Flow %s Yr1'!G85*'Expenses w MYP'!$E52))</f>
        <v/>
      </c>
      <c r="H85" s="62" t="str">
        <f>IF('Expenses w MYP'!$E52="","",IF('Cash Flow %s Yr1'!H85="","",'Cash Flow %s Yr1'!H85*'Expenses w MYP'!$E52))</f>
        <v/>
      </c>
      <c r="I85" s="62" t="str">
        <f>IF('Expenses w MYP'!$E52="","",IF('Cash Flow %s Yr1'!I85="","",'Cash Flow %s Yr1'!I85*'Expenses w MYP'!$E52))</f>
        <v/>
      </c>
      <c r="J85" s="62" t="str">
        <f>IF('Expenses w MYP'!$E52="","",IF('Cash Flow %s Yr1'!J85="","",'Cash Flow %s Yr1'!J85*'Expenses w MYP'!$E52))</f>
        <v/>
      </c>
      <c r="K85" s="62" t="str">
        <f>IF('Expenses w MYP'!$E52="","",IF('Cash Flow %s Yr1'!K85="","",'Cash Flow %s Yr1'!K85*'Expenses w MYP'!$E52))</f>
        <v/>
      </c>
      <c r="L85" s="62" t="str">
        <f>IF('Expenses w MYP'!$E52="","",IF('Cash Flow %s Yr1'!L85="","",'Cash Flow %s Yr1'!L85*'Expenses w MYP'!$E52))</f>
        <v/>
      </c>
      <c r="M85" s="62" t="str">
        <f>IF('Expenses w MYP'!$E52="","",IF('Cash Flow %s Yr1'!M85="","",'Cash Flow %s Yr1'!M85*'Expenses w MYP'!$E52))</f>
        <v/>
      </c>
      <c r="N85" s="62" t="str">
        <f>IF('Expenses w MYP'!$E52="","",IF('Cash Flow %s Yr1'!N85="","",'Cash Flow %s Yr1'!N85*'Expenses w MYP'!$E52))</f>
        <v/>
      </c>
      <c r="O85" s="62" t="str">
        <f>IF('Expenses w MYP'!$E52="","",IF('Cash Flow %s Yr1'!O85="","",'Cash Flow %s Yr1'!O85*'Expenses w MYP'!$E52))</f>
        <v/>
      </c>
      <c r="P85" s="113"/>
      <c r="Q85" s="113"/>
      <c r="R85" s="113"/>
      <c r="S85" s="97" t="str">
        <f>IF(SUM(D85:R85)&gt;0,SUM(D85:R85)/'Expenses w MYP'!$E52,"")</f>
        <v/>
      </c>
    </row>
    <row r="86" spans="1:19" s="31" customFormat="1" x14ac:dyDescent="0.75">
      <c r="A86" s="35"/>
      <c r="B86" s="42" t="s">
        <v>737</v>
      </c>
      <c r="C86" s="34" t="s">
        <v>719</v>
      </c>
      <c r="D86" s="153" t="str">
        <f t="shared" ref="D86:R86" si="8">IF(SUM(D76:D85)&gt;0,SUM(D76:D85),"")</f>
        <v/>
      </c>
      <c r="E86" s="153" t="str">
        <f t="shared" si="8"/>
        <v/>
      </c>
      <c r="F86" s="153" t="str">
        <f t="shared" si="8"/>
        <v/>
      </c>
      <c r="G86" s="153" t="str">
        <f t="shared" si="8"/>
        <v/>
      </c>
      <c r="H86" s="153" t="str">
        <f t="shared" si="8"/>
        <v/>
      </c>
      <c r="I86" s="153" t="str">
        <f t="shared" si="8"/>
        <v/>
      </c>
      <c r="J86" s="153" t="str">
        <f t="shared" si="8"/>
        <v/>
      </c>
      <c r="K86" s="153" t="str">
        <f t="shared" si="8"/>
        <v/>
      </c>
      <c r="L86" s="153" t="str">
        <f t="shared" si="8"/>
        <v/>
      </c>
      <c r="M86" s="153" t="str">
        <f t="shared" si="8"/>
        <v/>
      </c>
      <c r="N86" s="153" t="str">
        <f t="shared" si="8"/>
        <v/>
      </c>
      <c r="O86" s="153" t="str">
        <f t="shared" si="8"/>
        <v/>
      </c>
      <c r="P86" s="153" t="str">
        <f t="shared" si="8"/>
        <v/>
      </c>
      <c r="Q86" s="153" t="str">
        <f t="shared" si="8"/>
        <v/>
      </c>
      <c r="R86" s="153" t="str">
        <f t="shared" si="8"/>
        <v/>
      </c>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121" t="str">
        <f>'Expenses w MYP'!C58</f>
        <v>4100</v>
      </c>
      <c r="C89" s="121" t="str">
        <f>'Expenses w MYP'!D58</f>
        <v>Approved Textbooks and Core Curricula Materials</v>
      </c>
      <c r="D89" s="62" t="str">
        <f>IF('Expenses w MYP'!$E58="","",IF('Cash Flow %s Yr1'!D89="","",'Cash Flow %s Yr1'!D89*'Expenses w MYP'!$E58))</f>
        <v/>
      </c>
      <c r="E89" s="62" t="str">
        <f>IF('Expenses w MYP'!$E58="","",IF('Cash Flow %s Yr1'!E89="","",'Cash Flow %s Yr1'!E89*'Expenses w MYP'!$E58))</f>
        <v/>
      </c>
      <c r="F89" s="62" t="str">
        <f>IF('Expenses w MYP'!$E58="","",IF('Cash Flow %s Yr1'!F89="","",'Cash Flow %s Yr1'!F89*'Expenses w MYP'!$E58))</f>
        <v/>
      </c>
      <c r="G89" s="62" t="str">
        <f>IF('Expenses w MYP'!$E58="","",IF('Cash Flow %s Yr1'!G89="","",'Cash Flow %s Yr1'!G89*'Expenses w MYP'!$E58))</f>
        <v/>
      </c>
      <c r="H89" s="62" t="str">
        <f>IF('Expenses w MYP'!$E58="","",IF('Cash Flow %s Yr1'!H89="","",'Cash Flow %s Yr1'!H89*'Expenses w MYP'!$E58))</f>
        <v/>
      </c>
      <c r="I89" s="62" t="str">
        <f>IF('Expenses w MYP'!$E58="","",IF('Cash Flow %s Yr1'!I89="","",'Cash Flow %s Yr1'!I89*'Expenses w MYP'!$E58))</f>
        <v/>
      </c>
      <c r="J89" s="62" t="str">
        <f>IF('Expenses w MYP'!$E58="","",IF('Cash Flow %s Yr1'!J89="","",'Cash Flow %s Yr1'!J89*'Expenses w MYP'!$E58))</f>
        <v/>
      </c>
      <c r="K89" s="62" t="str">
        <f>IF('Expenses w MYP'!$E58="","",IF('Cash Flow %s Yr1'!K89="","",'Cash Flow %s Yr1'!K89*'Expenses w MYP'!$E58))</f>
        <v/>
      </c>
      <c r="L89" s="62" t="str">
        <f>IF('Expenses w MYP'!$E58="","",IF('Cash Flow %s Yr1'!L89="","",'Cash Flow %s Yr1'!L89*'Expenses w MYP'!$E58))</f>
        <v/>
      </c>
      <c r="M89" s="62" t="str">
        <f>IF('Expenses w MYP'!$E58="","",IF('Cash Flow %s Yr1'!M89="","",'Cash Flow %s Yr1'!M89*'Expenses w MYP'!$E58))</f>
        <v/>
      </c>
      <c r="N89" s="62" t="str">
        <f>IF('Expenses w MYP'!$E58="","",IF('Cash Flow %s Yr1'!N89="","",'Cash Flow %s Yr1'!N89*'Expenses w MYP'!$E58))</f>
        <v/>
      </c>
      <c r="O89" s="62" t="str">
        <f>IF('Expenses w MYP'!$E58="","",IF('Cash Flow %s Yr1'!O89="","",'Cash Flow %s Yr1'!O89*'Expenses w MYP'!$E58))</f>
        <v/>
      </c>
      <c r="P89" s="113"/>
      <c r="Q89" s="113"/>
      <c r="R89" s="113"/>
      <c r="S89" s="97" t="str">
        <f>IF(SUM(D89:R89)&gt;0,SUM(D89:R89)/'Expenses w MYP'!$E58,"")</f>
        <v/>
      </c>
    </row>
    <row r="90" spans="1:19" x14ac:dyDescent="0.75">
      <c r="A90" s="35"/>
      <c r="B90" s="121" t="str">
        <f>'Expenses w MYP'!C61</f>
        <v>4200</v>
      </c>
      <c r="C90" s="121" t="str">
        <f>'Expenses w MYP'!D61</f>
        <v>Books and Other Reference Materials</v>
      </c>
      <c r="D90" s="62" t="str">
        <f>IF('Expenses w MYP'!$E61="","",IF('Cash Flow %s Yr1'!D90="","",'Cash Flow %s Yr1'!D90*'Expenses w MYP'!$E61))</f>
        <v/>
      </c>
      <c r="E90" s="62" t="str">
        <f>IF('Expenses w MYP'!$E61="","",IF('Cash Flow %s Yr1'!E90="","",'Cash Flow %s Yr1'!E90*'Expenses w MYP'!$E61))</f>
        <v/>
      </c>
      <c r="F90" s="62" t="str">
        <f>IF('Expenses w MYP'!$E61="","",IF('Cash Flow %s Yr1'!F90="","",'Cash Flow %s Yr1'!F90*'Expenses w MYP'!$E61))</f>
        <v/>
      </c>
      <c r="G90" s="62" t="str">
        <f>IF('Expenses w MYP'!$E61="","",IF('Cash Flow %s Yr1'!G90="","",'Cash Flow %s Yr1'!G90*'Expenses w MYP'!$E61))</f>
        <v/>
      </c>
      <c r="H90" s="62" t="str">
        <f>IF('Expenses w MYP'!$E61="","",IF('Cash Flow %s Yr1'!H90="","",'Cash Flow %s Yr1'!H90*'Expenses w MYP'!$E61))</f>
        <v/>
      </c>
      <c r="I90" s="62" t="str">
        <f>IF('Expenses w MYP'!$E61="","",IF('Cash Flow %s Yr1'!I90="","",'Cash Flow %s Yr1'!I90*'Expenses w MYP'!$E61))</f>
        <v/>
      </c>
      <c r="J90" s="62" t="str">
        <f>IF('Expenses w MYP'!$E61="","",IF('Cash Flow %s Yr1'!J90="","",'Cash Flow %s Yr1'!J90*'Expenses w MYP'!$E61))</f>
        <v/>
      </c>
      <c r="K90" s="62" t="str">
        <f>IF('Expenses w MYP'!$E61="","",IF('Cash Flow %s Yr1'!K90="","",'Cash Flow %s Yr1'!K90*'Expenses w MYP'!$E61))</f>
        <v/>
      </c>
      <c r="L90" s="62" t="str">
        <f>IF('Expenses w MYP'!$E61="","",IF('Cash Flow %s Yr1'!L90="","",'Cash Flow %s Yr1'!L90*'Expenses w MYP'!$E61))</f>
        <v/>
      </c>
      <c r="M90" s="62" t="str">
        <f>IF('Expenses w MYP'!$E61="","",IF('Cash Flow %s Yr1'!M90="","",'Cash Flow %s Yr1'!M90*'Expenses w MYP'!$E61))</f>
        <v/>
      </c>
      <c r="N90" s="62" t="str">
        <f>IF('Expenses w MYP'!$E61="","",IF('Cash Flow %s Yr1'!N90="","",'Cash Flow %s Yr1'!N90*'Expenses w MYP'!$E61))</f>
        <v/>
      </c>
      <c r="O90" s="62" t="str">
        <f>IF('Expenses w MYP'!$E61="","",IF('Cash Flow %s Yr1'!O90="","",'Cash Flow %s Yr1'!O90*'Expenses w MYP'!$E61))</f>
        <v/>
      </c>
      <c r="P90" s="113"/>
      <c r="Q90" s="113"/>
      <c r="R90" s="113"/>
      <c r="S90" s="97" t="str">
        <f>IF(SUM(D90:R90)&gt;0,SUM(D90:R90)/'Expenses w MYP'!$E61,"")</f>
        <v/>
      </c>
    </row>
    <row r="91" spans="1:19" x14ac:dyDescent="0.75">
      <c r="A91" s="35"/>
      <c r="B91" s="121" t="str">
        <f>'Expenses w MYP'!C63</f>
        <v>4300</v>
      </c>
      <c r="C91" s="121" t="str">
        <f>'Expenses w MYP'!D63</f>
        <v>Materials and Supplies</v>
      </c>
      <c r="D91" s="62" t="str">
        <f>IF('Expenses w MYP'!$E63="","",IF('Cash Flow %s Yr1'!D91="","",'Cash Flow %s Yr1'!D91*'Expenses w MYP'!$E63))</f>
        <v/>
      </c>
      <c r="E91" s="62" t="str">
        <f>IF('Expenses w MYP'!$E63="","",IF('Cash Flow %s Yr1'!E91="","",'Cash Flow %s Yr1'!E91*'Expenses w MYP'!$E63))</f>
        <v/>
      </c>
      <c r="F91" s="62" t="str">
        <f>IF('Expenses w MYP'!$E63="","",IF('Cash Flow %s Yr1'!F91="","",'Cash Flow %s Yr1'!F91*'Expenses w MYP'!$E63))</f>
        <v/>
      </c>
      <c r="G91" s="62" t="str">
        <f>IF('Expenses w MYP'!$E63="","",IF('Cash Flow %s Yr1'!G91="","",'Cash Flow %s Yr1'!G91*'Expenses w MYP'!$E63))</f>
        <v/>
      </c>
      <c r="H91" s="62" t="str">
        <f>IF('Expenses w MYP'!$E63="","",IF('Cash Flow %s Yr1'!H91="","",'Cash Flow %s Yr1'!H91*'Expenses w MYP'!$E63))</f>
        <v/>
      </c>
      <c r="I91" s="62" t="str">
        <f>IF('Expenses w MYP'!$E63="","",IF('Cash Flow %s Yr1'!I91="","",'Cash Flow %s Yr1'!I91*'Expenses w MYP'!$E63))</f>
        <v/>
      </c>
      <c r="J91" s="62" t="str">
        <f>IF('Expenses w MYP'!$E63="","",IF('Cash Flow %s Yr1'!J91="","",'Cash Flow %s Yr1'!J91*'Expenses w MYP'!$E63))</f>
        <v/>
      </c>
      <c r="K91" s="62" t="str">
        <f>IF('Expenses w MYP'!$E63="","",IF('Cash Flow %s Yr1'!K91="","",'Cash Flow %s Yr1'!K91*'Expenses w MYP'!$E63))</f>
        <v/>
      </c>
      <c r="L91" s="62" t="str">
        <f>IF('Expenses w MYP'!$E63="","",IF('Cash Flow %s Yr1'!L91="","",'Cash Flow %s Yr1'!L91*'Expenses w MYP'!$E63))</f>
        <v/>
      </c>
      <c r="M91" s="62" t="str">
        <f>IF('Expenses w MYP'!$E63="","",IF('Cash Flow %s Yr1'!M91="","",'Cash Flow %s Yr1'!M91*'Expenses w MYP'!$E63))</f>
        <v/>
      </c>
      <c r="N91" s="62" t="str">
        <f>IF('Expenses w MYP'!$E63="","",IF('Cash Flow %s Yr1'!N91="","",'Cash Flow %s Yr1'!N91*'Expenses w MYP'!$E63))</f>
        <v/>
      </c>
      <c r="O91" s="62" t="str">
        <f>IF('Expenses w MYP'!$E63="","",IF('Cash Flow %s Yr1'!O91="","",'Cash Flow %s Yr1'!O91*'Expenses w MYP'!$E63))</f>
        <v/>
      </c>
      <c r="P91" s="113"/>
      <c r="Q91" s="113"/>
      <c r="R91" s="113"/>
      <c r="S91" s="97" t="str">
        <f>IF(SUM(D91:R91)&gt;0,SUM(D91:R91)/'Expenses w MYP'!$E63,"")</f>
        <v/>
      </c>
    </row>
    <row r="92" spans="1:19" x14ac:dyDescent="0.75">
      <c r="A92" s="35"/>
      <c r="B92" s="121" t="str">
        <f>'Expenses w MYP'!C64</f>
        <v>4315</v>
      </c>
      <c r="C92" s="121" t="str">
        <f>'Expenses w MYP'!D64</f>
        <v>Classroom Materials and Supplies</v>
      </c>
      <c r="D92" s="62" t="str">
        <f>IF('Expenses w MYP'!$E64="","",IF('Cash Flow %s Yr1'!D92="","",'Cash Flow %s Yr1'!D92*'Expenses w MYP'!$E64))</f>
        <v/>
      </c>
      <c r="E92" s="62" t="str">
        <f>IF('Expenses w MYP'!$E64="","",IF('Cash Flow %s Yr1'!E92="","",'Cash Flow %s Yr1'!E92*'Expenses w MYP'!$E64))</f>
        <v/>
      </c>
      <c r="F92" s="62" t="str">
        <f>IF('Expenses w MYP'!$E64="","",IF('Cash Flow %s Yr1'!F92="","",'Cash Flow %s Yr1'!F92*'Expenses w MYP'!$E64))</f>
        <v/>
      </c>
      <c r="G92" s="62" t="str">
        <f>IF('Expenses w MYP'!$E64="","",IF('Cash Flow %s Yr1'!G92="","",'Cash Flow %s Yr1'!G92*'Expenses w MYP'!$E64))</f>
        <v/>
      </c>
      <c r="H92" s="62" t="str">
        <f>IF('Expenses w MYP'!$E64="","",IF('Cash Flow %s Yr1'!H92="","",'Cash Flow %s Yr1'!H92*'Expenses w MYP'!$E64))</f>
        <v/>
      </c>
      <c r="I92" s="62" t="str">
        <f>IF('Expenses w MYP'!$E64="","",IF('Cash Flow %s Yr1'!I92="","",'Cash Flow %s Yr1'!I92*'Expenses w MYP'!$E64))</f>
        <v/>
      </c>
      <c r="J92" s="62" t="str">
        <f>IF('Expenses w MYP'!$E64="","",IF('Cash Flow %s Yr1'!J92="","",'Cash Flow %s Yr1'!J92*'Expenses w MYP'!$E64))</f>
        <v/>
      </c>
      <c r="K92" s="62" t="str">
        <f>IF('Expenses w MYP'!$E64="","",IF('Cash Flow %s Yr1'!K92="","",'Cash Flow %s Yr1'!K92*'Expenses w MYP'!$E64))</f>
        <v/>
      </c>
      <c r="L92" s="62" t="str">
        <f>IF('Expenses w MYP'!$E64="","",IF('Cash Flow %s Yr1'!L92="","",'Cash Flow %s Yr1'!L92*'Expenses w MYP'!$E64))</f>
        <v/>
      </c>
      <c r="M92" s="62" t="str">
        <f>IF('Expenses w MYP'!$E64="","",IF('Cash Flow %s Yr1'!M92="","",'Cash Flow %s Yr1'!M92*'Expenses w MYP'!$E64))</f>
        <v/>
      </c>
      <c r="N92" s="62" t="str">
        <f>IF('Expenses w MYP'!$E64="","",IF('Cash Flow %s Yr1'!N92="","",'Cash Flow %s Yr1'!N92*'Expenses w MYP'!$E64))</f>
        <v/>
      </c>
      <c r="O92" s="62" t="str">
        <f>IF('Expenses w MYP'!$E64="","",IF('Cash Flow %s Yr1'!O92="","",'Cash Flow %s Yr1'!O92*'Expenses w MYP'!$E64))</f>
        <v/>
      </c>
      <c r="P92" s="113"/>
      <c r="Q92" s="113"/>
      <c r="R92" s="113"/>
      <c r="S92" s="97" t="str">
        <f>IF(SUM(D92:R92)&gt;0,SUM(D92:R92)/'Expenses w MYP'!$E64,"")</f>
        <v/>
      </c>
    </row>
    <row r="93" spans="1:19" x14ac:dyDescent="0.75">
      <c r="A93" s="35"/>
      <c r="B93" s="121" t="str">
        <f>'Expenses w MYP'!C65</f>
        <v>4381</v>
      </c>
      <c r="C93" s="121" t="str">
        <f>'Expenses w MYP'!D65</f>
        <v>Materials for Plant &amp; Equipment</v>
      </c>
      <c r="D93" s="62" t="str">
        <f>IF('Expenses w MYP'!$E65="","",IF('Cash Flow %s Yr1'!D93="","",'Cash Flow %s Yr1'!D93*'Expenses w MYP'!$E65))</f>
        <v/>
      </c>
      <c r="E93" s="62" t="str">
        <f>IF('Expenses w MYP'!$E65="","",IF('Cash Flow %s Yr1'!E93="","",'Cash Flow %s Yr1'!E93*'Expenses w MYP'!$E65))</f>
        <v/>
      </c>
      <c r="F93" s="62" t="str">
        <f>IF('Expenses w MYP'!$E65="","",IF('Cash Flow %s Yr1'!F93="","",'Cash Flow %s Yr1'!F93*'Expenses w MYP'!$E65))</f>
        <v/>
      </c>
      <c r="G93" s="62" t="str">
        <f>IF('Expenses w MYP'!$E65="","",IF('Cash Flow %s Yr1'!G93="","",'Cash Flow %s Yr1'!G93*'Expenses w MYP'!$E65))</f>
        <v/>
      </c>
      <c r="H93" s="62" t="str">
        <f>IF('Expenses w MYP'!$E65="","",IF('Cash Flow %s Yr1'!H93="","",'Cash Flow %s Yr1'!H93*'Expenses w MYP'!$E65))</f>
        <v/>
      </c>
      <c r="I93" s="62" t="str">
        <f>IF('Expenses w MYP'!$E65="","",IF('Cash Flow %s Yr1'!I93="","",'Cash Flow %s Yr1'!I93*'Expenses w MYP'!$E65))</f>
        <v/>
      </c>
      <c r="J93" s="62" t="str">
        <f>IF('Expenses w MYP'!$E65="","",IF('Cash Flow %s Yr1'!J93="","",'Cash Flow %s Yr1'!J93*'Expenses w MYP'!$E65))</f>
        <v/>
      </c>
      <c r="K93" s="62" t="str">
        <f>IF('Expenses w MYP'!$E65="","",IF('Cash Flow %s Yr1'!K93="","",'Cash Flow %s Yr1'!K93*'Expenses w MYP'!$E65))</f>
        <v/>
      </c>
      <c r="L93" s="62" t="str">
        <f>IF('Expenses w MYP'!$E65="","",IF('Cash Flow %s Yr1'!L93="","",'Cash Flow %s Yr1'!L93*'Expenses w MYP'!$E65))</f>
        <v/>
      </c>
      <c r="M93" s="62" t="str">
        <f>IF('Expenses w MYP'!$E65="","",IF('Cash Flow %s Yr1'!M93="","",'Cash Flow %s Yr1'!M93*'Expenses w MYP'!$E65))</f>
        <v/>
      </c>
      <c r="N93" s="62" t="str">
        <f>IF('Expenses w MYP'!$E65="","",IF('Cash Flow %s Yr1'!N93="","",'Cash Flow %s Yr1'!N93*'Expenses w MYP'!$E65))</f>
        <v/>
      </c>
      <c r="O93" s="62" t="str">
        <f>IF('Expenses w MYP'!$E65="","",IF('Cash Flow %s Yr1'!O93="","",'Cash Flow %s Yr1'!O93*'Expenses w MYP'!$E65))</f>
        <v/>
      </c>
      <c r="P93" s="113"/>
      <c r="Q93" s="113"/>
      <c r="R93" s="113"/>
      <c r="S93" s="97" t="str">
        <f>IF(SUM(D93:R93)&gt;0,SUM(D93:R93)/'Expenses w MYP'!$E65,"")</f>
        <v/>
      </c>
    </row>
    <row r="94" spans="1:19" x14ac:dyDescent="0.75">
      <c r="A94" s="35"/>
      <c r="B94" s="121" t="str">
        <f>'Expenses w MYP'!C66</f>
        <v>4400</v>
      </c>
      <c r="C94" s="121" t="str">
        <f>'Expenses w MYP'!D66</f>
        <v>Noncapitalized Equipment</v>
      </c>
      <c r="D94" s="62" t="str">
        <f>IF('Expenses w MYP'!$E66="","",IF('Cash Flow %s Yr1'!D94="","",'Cash Flow %s Yr1'!D94*'Expenses w MYP'!$E66))</f>
        <v/>
      </c>
      <c r="E94" s="62" t="str">
        <f>IF('Expenses w MYP'!$E66="","",IF('Cash Flow %s Yr1'!E94="","",'Cash Flow %s Yr1'!E94*'Expenses w MYP'!$E66))</f>
        <v/>
      </c>
      <c r="F94" s="62" t="str">
        <f>IF('Expenses w MYP'!$E66="","",IF('Cash Flow %s Yr1'!F94="","",'Cash Flow %s Yr1'!F94*'Expenses w MYP'!$E66))</f>
        <v/>
      </c>
      <c r="G94" s="62" t="str">
        <f>IF('Expenses w MYP'!$E66="","",IF('Cash Flow %s Yr1'!G94="","",'Cash Flow %s Yr1'!G94*'Expenses w MYP'!$E66))</f>
        <v/>
      </c>
      <c r="H94" s="62" t="str">
        <f>IF('Expenses w MYP'!$E66="","",IF('Cash Flow %s Yr1'!H94="","",'Cash Flow %s Yr1'!H94*'Expenses w MYP'!$E66))</f>
        <v/>
      </c>
      <c r="I94" s="62" t="str">
        <f>IF('Expenses w MYP'!$E66="","",IF('Cash Flow %s Yr1'!I94="","",'Cash Flow %s Yr1'!I94*'Expenses w MYP'!$E66))</f>
        <v/>
      </c>
      <c r="J94" s="62" t="str">
        <f>IF('Expenses w MYP'!$E66="","",IF('Cash Flow %s Yr1'!J94="","",'Cash Flow %s Yr1'!J94*'Expenses w MYP'!$E66))</f>
        <v/>
      </c>
      <c r="K94" s="62" t="str">
        <f>IF('Expenses w MYP'!$E66="","",IF('Cash Flow %s Yr1'!K94="","",'Cash Flow %s Yr1'!K94*'Expenses w MYP'!$E66))</f>
        <v/>
      </c>
      <c r="L94" s="62" t="str">
        <f>IF('Expenses w MYP'!$E66="","",IF('Cash Flow %s Yr1'!L94="","",'Cash Flow %s Yr1'!L94*'Expenses w MYP'!$E66))</f>
        <v/>
      </c>
      <c r="M94" s="62" t="str">
        <f>IF('Expenses w MYP'!$E66="","",IF('Cash Flow %s Yr1'!M94="","",'Cash Flow %s Yr1'!M94*'Expenses w MYP'!$E66))</f>
        <v/>
      </c>
      <c r="N94" s="62" t="str">
        <f>IF('Expenses w MYP'!$E66="","",IF('Cash Flow %s Yr1'!N94="","",'Cash Flow %s Yr1'!N94*'Expenses w MYP'!$E66))</f>
        <v/>
      </c>
      <c r="O94" s="62" t="str">
        <f>IF('Expenses w MYP'!$E66="","",IF('Cash Flow %s Yr1'!O94="","",'Cash Flow %s Yr1'!O94*'Expenses w MYP'!$E66))</f>
        <v/>
      </c>
      <c r="P94" s="113"/>
      <c r="Q94" s="113"/>
      <c r="R94" s="113"/>
      <c r="S94" s="97" t="str">
        <f>IF(SUM(D94:R94)&gt;0,SUM(D94:R94)/'Expenses w MYP'!$E66,"")</f>
        <v/>
      </c>
    </row>
    <row r="95" spans="1:19" hidden="1" outlineLevel="1" x14ac:dyDescent="0.75">
      <c r="A95" s="35"/>
      <c r="B95" s="121" t="str">
        <f>'Expenses w MYP'!C68</f>
        <v>4430</v>
      </c>
      <c r="C95" s="121" t="str">
        <f>'Expenses w MYP'!D68</f>
        <v>General Student Equipment</v>
      </c>
      <c r="D95" s="62" t="str">
        <f>IF('Expenses w MYP'!$E68="","",IF('Cash Flow %s Yr1'!D95="","",'Cash Flow %s Yr1'!D95*'Expenses w MYP'!$E68))</f>
        <v/>
      </c>
      <c r="E95" s="62" t="str">
        <f>IF('Expenses w MYP'!$E68="","",IF('Cash Flow %s Yr1'!E95="","",'Cash Flow %s Yr1'!E95*'Expenses w MYP'!$E68))</f>
        <v/>
      </c>
      <c r="F95" s="62" t="str">
        <f>IF('Expenses w MYP'!$E68="","",IF('Cash Flow %s Yr1'!F95="","",'Cash Flow %s Yr1'!F95*'Expenses w MYP'!$E68))</f>
        <v/>
      </c>
      <c r="G95" s="62" t="str">
        <f>IF('Expenses w MYP'!$E68="","",IF('Cash Flow %s Yr1'!G95="","",'Cash Flow %s Yr1'!G95*'Expenses w MYP'!$E68))</f>
        <v/>
      </c>
      <c r="H95" s="62" t="str">
        <f>IF('Expenses w MYP'!$E68="","",IF('Cash Flow %s Yr1'!H95="","",'Cash Flow %s Yr1'!H95*'Expenses w MYP'!$E68))</f>
        <v/>
      </c>
      <c r="I95" s="62" t="str">
        <f>IF('Expenses w MYP'!$E68="","",IF('Cash Flow %s Yr1'!I95="","",'Cash Flow %s Yr1'!I95*'Expenses w MYP'!$E68))</f>
        <v/>
      </c>
      <c r="J95" s="62" t="str">
        <f>IF('Expenses w MYP'!$E68="","",IF('Cash Flow %s Yr1'!J95="","",'Cash Flow %s Yr1'!J95*'Expenses w MYP'!$E68))</f>
        <v/>
      </c>
      <c r="K95" s="62" t="str">
        <f>IF('Expenses w MYP'!$E68="","",IF('Cash Flow %s Yr1'!K95="","",'Cash Flow %s Yr1'!K95*'Expenses w MYP'!$E68))</f>
        <v/>
      </c>
      <c r="L95" s="62" t="str">
        <f>IF('Expenses w MYP'!$E68="","",IF('Cash Flow %s Yr1'!L95="","",'Cash Flow %s Yr1'!L95*'Expenses w MYP'!$E68))</f>
        <v/>
      </c>
      <c r="M95" s="62" t="str">
        <f>IF('Expenses w MYP'!$E68="","",IF('Cash Flow %s Yr1'!M95="","",'Cash Flow %s Yr1'!M95*'Expenses w MYP'!$E68))</f>
        <v/>
      </c>
      <c r="N95" s="62" t="str">
        <f>IF('Expenses w MYP'!$E68="","",IF('Cash Flow %s Yr1'!N95="","",'Cash Flow %s Yr1'!N95*'Expenses w MYP'!$E68))</f>
        <v/>
      </c>
      <c r="O95" s="62" t="str">
        <f>IF('Expenses w MYP'!$E68="","",IF('Cash Flow %s Yr1'!O95="","",'Cash Flow %s Yr1'!O95*'Expenses w MYP'!$E68))</f>
        <v/>
      </c>
      <c r="P95" s="113"/>
      <c r="Q95" s="113"/>
      <c r="R95" s="113"/>
      <c r="S95" s="97" t="str">
        <f>IF(SUM(D95:R95)&gt;0,SUM(D95:R95)/'Expenses w MYP'!$E68,"")</f>
        <v/>
      </c>
    </row>
    <row r="96" spans="1:19" hidden="1" outlineLevel="1" x14ac:dyDescent="0.75">
      <c r="A96" s="35"/>
      <c r="B96" s="121" t="e">
        <f>'Expenses w MYP'!#REF!</f>
        <v>#REF!</v>
      </c>
      <c r="C96" s="121" t="e">
        <f>'Expenses w MYP'!#REF!</f>
        <v>#REF!</v>
      </c>
      <c r="D96" s="62" t="e">
        <f>IF('Expenses w MYP'!#REF!="","",IF('Cash Flow %s Yr1'!D96="","",'Cash Flow %s Yr1'!D96*'Expenses w MYP'!#REF!))</f>
        <v>#REF!</v>
      </c>
      <c r="E96" s="62" t="e">
        <f>IF('Expenses w MYP'!#REF!="","",IF('Cash Flow %s Yr1'!E96="","",'Cash Flow %s Yr1'!E96*'Expenses w MYP'!#REF!))</f>
        <v>#REF!</v>
      </c>
      <c r="F96" s="62" t="e">
        <f>IF('Expenses w MYP'!#REF!="","",IF('Cash Flow %s Yr1'!F96="","",'Cash Flow %s Yr1'!F96*'Expenses w MYP'!#REF!))</f>
        <v>#REF!</v>
      </c>
      <c r="G96" s="62" t="e">
        <f>IF('Expenses w MYP'!#REF!="","",IF('Cash Flow %s Yr1'!G96="","",'Cash Flow %s Yr1'!G96*'Expenses w MYP'!#REF!))</f>
        <v>#REF!</v>
      </c>
      <c r="H96" s="62" t="e">
        <f>IF('Expenses w MYP'!#REF!="","",IF('Cash Flow %s Yr1'!H96="","",'Cash Flow %s Yr1'!H96*'Expenses w MYP'!#REF!))</f>
        <v>#REF!</v>
      </c>
      <c r="I96" s="62" t="e">
        <f>IF('Expenses w MYP'!#REF!="","",IF('Cash Flow %s Yr1'!I96="","",'Cash Flow %s Yr1'!I96*'Expenses w MYP'!#REF!))</f>
        <v>#REF!</v>
      </c>
      <c r="J96" s="62" t="e">
        <f>IF('Expenses w MYP'!#REF!="","",IF('Cash Flow %s Yr1'!J96="","",'Cash Flow %s Yr1'!J96*'Expenses w MYP'!#REF!))</f>
        <v>#REF!</v>
      </c>
      <c r="K96" s="62" t="e">
        <f>IF('Expenses w MYP'!#REF!="","",IF('Cash Flow %s Yr1'!K96="","",'Cash Flow %s Yr1'!K96*'Expenses w MYP'!#REF!))</f>
        <v>#REF!</v>
      </c>
      <c r="L96" s="62" t="e">
        <f>IF('Expenses w MYP'!#REF!="","",IF('Cash Flow %s Yr1'!L96="","",'Cash Flow %s Yr1'!L96*'Expenses w MYP'!#REF!))</f>
        <v>#REF!</v>
      </c>
      <c r="M96" s="62" t="e">
        <f>IF('Expenses w MYP'!#REF!="","",IF('Cash Flow %s Yr1'!M96="","",'Cash Flow %s Yr1'!M96*'Expenses w MYP'!#REF!))</f>
        <v>#REF!</v>
      </c>
      <c r="N96" s="62" t="e">
        <f>IF('Expenses w MYP'!#REF!="","",IF('Cash Flow %s Yr1'!N96="","",'Cash Flow %s Yr1'!N96*'Expenses w MYP'!#REF!))</f>
        <v>#REF!</v>
      </c>
      <c r="O96" s="62" t="e">
        <f>IF('Expenses w MYP'!#REF!="","",IF('Cash Flow %s Yr1'!O96="","",'Cash Flow %s Yr1'!O96*'Expenses w MYP'!#REF!))</f>
        <v>#REF!</v>
      </c>
      <c r="P96" s="113"/>
      <c r="Q96" s="113"/>
      <c r="R96" s="113"/>
      <c r="S96" s="97" t="e">
        <f>IF(SUM(D96:R96)&gt;0,SUM(D96:R96)/'Expenses w MYP'!#REF!,"")</f>
        <v>#REF!</v>
      </c>
    </row>
    <row r="97" spans="1:19" hidden="1" outlineLevel="1" x14ac:dyDescent="0.75">
      <c r="A97" s="35"/>
      <c r="B97" s="121" t="e">
        <f>'Expenses w MYP'!#REF!</f>
        <v>#REF!</v>
      </c>
      <c r="C97" s="121" t="e">
        <f>'Expenses w MYP'!#REF!</f>
        <v>#REF!</v>
      </c>
      <c r="D97" s="62" t="e">
        <f>IF('Expenses w MYP'!#REF!="","",IF('Cash Flow %s Yr1'!D97="","",'Cash Flow %s Yr1'!D97*'Expenses w MYP'!#REF!))</f>
        <v>#REF!</v>
      </c>
      <c r="E97" s="62" t="e">
        <f>IF('Expenses w MYP'!#REF!="","",IF('Cash Flow %s Yr1'!E97="","",'Cash Flow %s Yr1'!E97*'Expenses w MYP'!#REF!))</f>
        <v>#REF!</v>
      </c>
      <c r="F97" s="62" t="e">
        <f>IF('Expenses w MYP'!#REF!="","",IF('Cash Flow %s Yr1'!F97="","",'Cash Flow %s Yr1'!F97*'Expenses w MYP'!#REF!))</f>
        <v>#REF!</v>
      </c>
      <c r="G97" s="62" t="e">
        <f>IF('Expenses w MYP'!#REF!="","",IF('Cash Flow %s Yr1'!G97="","",'Cash Flow %s Yr1'!G97*'Expenses w MYP'!#REF!))</f>
        <v>#REF!</v>
      </c>
      <c r="H97" s="62" t="e">
        <f>IF('Expenses w MYP'!#REF!="","",IF('Cash Flow %s Yr1'!H97="","",'Cash Flow %s Yr1'!H97*'Expenses w MYP'!#REF!))</f>
        <v>#REF!</v>
      </c>
      <c r="I97" s="62" t="e">
        <f>IF('Expenses w MYP'!#REF!="","",IF('Cash Flow %s Yr1'!I97="","",'Cash Flow %s Yr1'!I97*'Expenses w MYP'!#REF!))</f>
        <v>#REF!</v>
      </c>
      <c r="J97" s="62" t="e">
        <f>IF('Expenses w MYP'!#REF!="","",IF('Cash Flow %s Yr1'!J97="","",'Cash Flow %s Yr1'!J97*'Expenses w MYP'!#REF!))</f>
        <v>#REF!</v>
      </c>
      <c r="K97" s="62" t="e">
        <f>IF('Expenses w MYP'!#REF!="","",IF('Cash Flow %s Yr1'!K97="","",'Cash Flow %s Yr1'!K97*'Expenses w MYP'!#REF!))</f>
        <v>#REF!</v>
      </c>
      <c r="L97" s="62" t="e">
        <f>IF('Expenses w MYP'!#REF!="","",IF('Cash Flow %s Yr1'!L97="","",'Cash Flow %s Yr1'!L97*'Expenses w MYP'!#REF!))</f>
        <v>#REF!</v>
      </c>
      <c r="M97" s="62" t="e">
        <f>IF('Expenses w MYP'!#REF!="","",IF('Cash Flow %s Yr1'!M97="","",'Cash Flow %s Yr1'!M97*'Expenses w MYP'!#REF!))</f>
        <v>#REF!</v>
      </c>
      <c r="N97" s="62" t="e">
        <f>IF('Expenses w MYP'!#REF!="","",IF('Cash Flow %s Yr1'!N97="","",'Cash Flow %s Yr1'!N97*'Expenses w MYP'!#REF!))</f>
        <v>#REF!</v>
      </c>
      <c r="O97" s="62" t="e">
        <f>IF('Expenses w MYP'!#REF!="","",IF('Cash Flow %s Yr1'!O97="","",'Cash Flow %s Yr1'!O97*'Expenses w MYP'!#REF!))</f>
        <v>#REF!</v>
      </c>
      <c r="P97" s="113"/>
      <c r="Q97" s="113"/>
      <c r="R97" s="113"/>
      <c r="S97" s="97" t="e">
        <f>IF(SUM(D97:R97)&gt;0,SUM(D97:R97)/'Expenses w MYP'!#REF!,"")</f>
        <v>#REF!</v>
      </c>
    </row>
    <row r="98" spans="1:19" hidden="1" outlineLevel="1" x14ac:dyDescent="0.75">
      <c r="A98" s="35"/>
      <c r="B98" s="121" t="e">
        <f>'Expenses w MYP'!#REF!</f>
        <v>#REF!</v>
      </c>
      <c r="C98" s="121" t="e">
        <f>'Expenses w MYP'!#REF!</f>
        <v>#REF!</v>
      </c>
      <c r="D98" s="62" t="e">
        <f>IF('Expenses w MYP'!#REF!="","",IF('Cash Flow %s Yr1'!D98="","",'Cash Flow %s Yr1'!D98*'Expenses w MYP'!#REF!))</f>
        <v>#REF!</v>
      </c>
      <c r="E98" s="62" t="e">
        <f>IF('Expenses w MYP'!#REF!="","",IF('Cash Flow %s Yr1'!E98="","",'Cash Flow %s Yr1'!E98*'Expenses w MYP'!#REF!))</f>
        <v>#REF!</v>
      </c>
      <c r="F98" s="62" t="e">
        <f>IF('Expenses w MYP'!#REF!="","",IF('Cash Flow %s Yr1'!F98="","",'Cash Flow %s Yr1'!F98*'Expenses w MYP'!#REF!))</f>
        <v>#REF!</v>
      </c>
      <c r="G98" s="62" t="e">
        <f>IF('Expenses w MYP'!#REF!="","",IF('Cash Flow %s Yr1'!G98="","",'Cash Flow %s Yr1'!G98*'Expenses w MYP'!#REF!))</f>
        <v>#REF!</v>
      </c>
      <c r="H98" s="62" t="e">
        <f>IF('Expenses w MYP'!#REF!="","",IF('Cash Flow %s Yr1'!H98="","",'Cash Flow %s Yr1'!H98*'Expenses w MYP'!#REF!))</f>
        <v>#REF!</v>
      </c>
      <c r="I98" s="62" t="e">
        <f>IF('Expenses w MYP'!#REF!="","",IF('Cash Flow %s Yr1'!I98="","",'Cash Flow %s Yr1'!I98*'Expenses w MYP'!#REF!))</f>
        <v>#REF!</v>
      </c>
      <c r="J98" s="62" t="e">
        <f>IF('Expenses w MYP'!#REF!="","",IF('Cash Flow %s Yr1'!J98="","",'Cash Flow %s Yr1'!J98*'Expenses w MYP'!#REF!))</f>
        <v>#REF!</v>
      </c>
      <c r="K98" s="62" t="e">
        <f>IF('Expenses w MYP'!#REF!="","",IF('Cash Flow %s Yr1'!K98="","",'Cash Flow %s Yr1'!K98*'Expenses w MYP'!#REF!))</f>
        <v>#REF!</v>
      </c>
      <c r="L98" s="62" t="e">
        <f>IF('Expenses w MYP'!#REF!="","",IF('Cash Flow %s Yr1'!L98="","",'Cash Flow %s Yr1'!L98*'Expenses w MYP'!#REF!))</f>
        <v>#REF!</v>
      </c>
      <c r="M98" s="62" t="e">
        <f>IF('Expenses w MYP'!#REF!="","",IF('Cash Flow %s Yr1'!M98="","",'Cash Flow %s Yr1'!M98*'Expenses w MYP'!#REF!))</f>
        <v>#REF!</v>
      </c>
      <c r="N98" s="62" t="e">
        <f>IF('Expenses w MYP'!#REF!="","",IF('Cash Flow %s Yr1'!N98="","",'Cash Flow %s Yr1'!N98*'Expenses w MYP'!#REF!))</f>
        <v>#REF!</v>
      </c>
      <c r="O98" s="62" t="e">
        <f>IF('Expenses w MYP'!#REF!="","",IF('Cash Flow %s Yr1'!O98="","",'Cash Flow %s Yr1'!O98*'Expenses w MYP'!#REF!))</f>
        <v>#REF!</v>
      </c>
      <c r="P98" s="113"/>
      <c r="Q98" s="113"/>
      <c r="R98" s="113"/>
      <c r="S98" s="97" t="e">
        <f>IF(SUM(D98:R98)&gt;0,SUM(D98:R98)/'Expenses w MYP'!#REF!,"")</f>
        <v>#REF!</v>
      </c>
    </row>
    <row r="99" spans="1:19" hidden="1" outlineLevel="1" x14ac:dyDescent="0.75">
      <c r="A99" s="35"/>
      <c r="B99" s="121" t="e">
        <f>'Expenses w MYP'!#REF!</f>
        <v>#REF!</v>
      </c>
      <c r="C99" s="121" t="e">
        <f>'Expenses w MYP'!#REF!</f>
        <v>#REF!</v>
      </c>
      <c r="D99" s="62" t="e">
        <f>IF('Expenses w MYP'!#REF!="","",IF('Cash Flow %s Yr1'!D99="","",'Cash Flow %s Yr1'!D99*'Expenses w MYP'!#REF!))</f>
        <v>#REF!</v>
      </c>
      <c r="E99" s="62" t="e">
        <f>IF('Expenses w MYP'!#REF!="","",IF('Cash Flow %s Yr1'!E99="","",'Cash Flow %s Yr1'!E99*'Expenses w MYP'!#REF!))</f>
        <v>#REF!</v>
      </c>
      <c r="F99" s="62" t="e">
        <f>IF('Expenses w MYP'!#REF!="","",IF('Cash Flow %s Yr1'!F99="","",'Cash Flow %s Yr1'!F99*'Expenses w MYP'!#REF!))</f>
        <v>#REF!</v>
      </c>
      <c r="G99" s="62" t="e">
        <f>IF('Expenses w MYP'!#REF!="","",IF('Cash Flow %s Yr1'!G99="","",'Cash Flow %s Yr1'!G99*'Expenses w MYP'!#REF!))</f>
        <v>#REF!</v>
      </c>
      <c r="H99" s="62" t="e">
        <f>IF('Expenses w MYP'!#REF!="","",IF('Cash Flow %s Yr1'!H99="","",'Cash Flow %s Yr1'!H99*'Expenses w MYP'!#REF!))</f>
        <v>#REF!</v>
      </c>
      <c r="I99" s="62" t="e">
        <f>IF('Expenses w MYP'!#REF!="","",IF('Cash Flow %s Yr1'!I99="","",'Cash Flow %s Yr1'!I99*'Expenses w MYP'!#REF!))</f>
        <v>#REF!</v>
      </c>
      <c r="J99" s="62" t="e">
        <f>IF('Expenses w MYP'!#REF!="","",IF('Cash Flow %s Yr1'!J99="","",'Cash Flow %s Yr1'!J99*'Expenses w MYP'!#REF!))</f>
        <v>#REF!</v>
      </c>
      <c r="K99" s="62" t="e">
        <f>IF('Expenses w MYP'!#REF!="","",IF('Cash Flow %s Yr1'!K99="","",'Cash Flow %s Yr1'!K99*'Expenses w MYP'!#REF!))</f>
        <v>#REF!</v>
      </c>
      <c r="L99" s="62" t="e">
        <f>IF('Expenses w MYP'!#REF!="","",IF('Cash Flow %s Yr1'!L99="","",'Cash Flow %s Yr1'!L99*'Expenses w MYP'!#REF!))</f>
        <v>#REF!</v>
      </c>
      <c r="M99" s="62" t="e">
        <f>IF('Expenses w MYP'!#REF!="","",IF('Cash Flow %s Yr1'!M99="","",'Cash Flow %s Yr1'!M99*'Expenses w MYP'!#REF!))</f>
        <v>#REF!</v>
      </c>
      <c r="N99" s="62" t="e">
        <f>IF('Expenses w MYP'!#REF!="","",IF('Cash Flow %s Yr1'!N99="","",'Cash Flow %s Yr1'!N99*'Expenses w MYP'!#REF!))</f>
        <v>#REF!</v>
      </c>
      <c r="O99" s="62" t="e">
        <f>IF('Expenses w MYP'!#REF!="","",IF('Cash Flow %s Yr1'!O99="","",'Cash Flow %s Yr1'!O99*'Expenses w MYP'!#REF!))</f>
        <v>#REF!</v>
      </c>
      <c r="P99" s="113"/>
      <c r="Q99" s="113"/>
      <c r="R99" s="113"/>
      <c r="S99" s="97" t="e">
        <f>IF(SUM(D99:R99)&gt;0,SUM(D99:R99)/'Expenses w MYP'!#REF!,"")</f>
        <v>#REF!</v>
      </c>
    </row>
    <row r="100" spans="1:19" hidden="1" outlineLevel="1" x14ac:dyDescent="0.75">
      <c r="A100" s="35"/>
      <c r="B100" s="121" t="e">
        <f>'Expenses w MYP'!#REF!</f>
        <v>#REF!</v>
      </c>
      <c r="C100" s="121" t="e">
        <f>'Expenses w MYP'!#REF!</f>
        <v>#REF!</v>
      </c>
      <c r="D100" s="62" t="e">
        <f>IF('Expenses w MYP'!#REF!="","",IF('Cash Flow %s Yr1'!D100="","",'Cash Flow %s Yr1'!D100*'Expenses w MYP'!#REF!))</f>
        <v>#REF!</v>
      </c>
      <c r="E100" s="62" t="e">
        <f>IF('Expenses w MYP'!#REF!="","",IF('Cash Flow %s Yr1'!E100="","",'Cash Flow %s Yr1'!E100*'Expenses w MYP'!#REF!))</f>
        <v>#REF!</v>
      </c>
      <c r="F100" s="62" t="e">
        <f>IF('Expenses w MYP'!#REF!="","",IF('Cash Flow %s Yr1'!F100="","",'Cash Flow %s Yr1'!F100*'Expenses w MYP'!#REF!))</f>
        <v>#REF!</v>
      </c>
      <c r="G100" s="62" t="e">
        <f>IF('Expenses w MYP'!#REF!="","",IF('Cash Flow %s Yr1'!G100="","",'Cash Flow %s Yr1'!G100*'Expenses w MYP'!#REF!))</f>
        <v>#REF!</v>
      </c>
      <c r="H100" s="62" t="e">
        <f>IF('Expenses w MYP'!#REF!="","",IF('Cash Flow %s Yr1'!H100="","",'Cash Flow %s Yr1'!H100*'Expenses w MYP'!#REF!))</f>
        <v>#REF!</v>
      </c>
      <c r="I100" s="62" t="e">
        <f>IF('Expenses w MYP'!#REF!="","",IF('Cash Flow %s Yr1'!I100="","",'Cash Flow %s Yr1'!I100*'Expenses w MYP'!#REF!))</f>
        <v>#REF!</v>
      </c>
      <c r="J100" s="62" t="e">
        <f>IF('Expenses w MYP'!#REF!="","",IF('Cash Flow %s Yr1'!J100="","",'Cash Flow %s Yr1'!J100*'Expenses w MYP'!#REF!))</f>
        <v>#REF!</v>
      </c>
      <c r="K100" s="62" t="e">
        <f>IF('Expenses w MYP'!#REF!="","",IF('Cash Flow %s Yr1'!K100="","",'Cash Flow %s Yr1'!K100*'Expenses w MYP'!#REF!))</f>
        <v>#REF!</v>
      </c>
      <c r="L100" s="62" t="e">
        <f>IF('Expenses w MYP'!#REF!="","",IF('Cash Flow %s Yr1'!L100="","",'Cash Flow %s Yr1'!L100*'Expenses w MYP'!#REF!))</f>
        <v>#REF!</v>
      </c>
      <c r="M100" s="62" t="e">
        <f>IF('Expenses w MYP'!#REF!="","",IF('Cash Flow %s Yr1'!M100="","",'Cash Flow %s Yr1'!M100*'Expenses w MYP'!#REF!))</f>
        <v>#REF!</v>
      </c>
      <c r="N100" s="62" t="e">
        <f>IF('Expenses w MYP'!#REF!="","",IF('Cash Flow %s Yr1'!N100="","",'Cash Flow %s Yr1'!N100*'Expenses w MYP'!#REF!))</f>
        <v>#REF!</v>
      </c>
      <c r="O100" s="62" t="e">
        <f>IF('Expenses w MYP'!#REF!="","",IF('Cash Flow %s Yr1'!O100="","",'Cash Flow %s Yr1'!O100*'Expenses w MYP'!#REF!))</f>
        <v>#REF!</v>
      </c>
      <c r="P100" s="113"/>
      <c r="Q100" s="113"/>
      <c r="R100" s="113"/>
      <c r="S100" s="97" t="e">
        <f>IF(SUM(D100:R100)&gt;0,SUM(D100:R100)/'Expenses w MYP'!#REF!,"")</f>
        <v>#REF!</v>
      </c>
    </row>
    <row r="101" spans="1:19" hidden="1" outlineLevel="1" x14ac:dyDescent="0.75">
      <c r="A101" s="35"/>
      <c r="B101" s="121" t="e">
        <f>'Expenses w MYP'!#REF!</f>
        <v>#REF!</v>
      </c>
      <c r="C101" s="121" t="e">
        <f>'Expenses w MYP'!#REF!</f>
        <v>#REF!</v>
      </c>
      <c r="D101" s="62" t="e">
        <f>IF('Expenses w MYP'!#REF!="","",IF('Cash Flow %s Yr1'!D101="","",'Cash Flow %s Yr1'!D101*'Expenses w MYP'!#REF!))</f>
        <v>#REF!</v>
      </c>
      <c r="E101" s="62" t="e">
        <f>IF('Expenses w MYP'!#REF!="","",IF('Cash Flow %s Yr1'!E101="","",'Cash Flow %s Yr1'!E101*'Expenses w MYP'!#REF!))</f>
        <v>#REF!</v>
      </c>
      <c r="F101" s="62" t="e">
        <f>IF('Expenses w MYP'!#REF!="","",IF('Cash Flow %s Yr1'!F101="","",'Cash Flow %s Yr1'!F101*'Expenses w MYP'!#REF!))</f>
        <v>#REF!</v>
      </c>
      <c r="G101" s="62" t="e">
        <f>IF('Expenses w MYP'!#REF!="","",IF('Cash Flow %s Yr1'!G101="","",'Cash Flow %s Yr1'!G101*'Expenses w MYP'!#REF!))</f>
        <v>#REF!</v>
      </c>
      <c r="H101" s="62" t="e">
        <f>IF('Expenses w MYP'!#REF!="","",IF('Cash Flow %s Yr1'!H101="","",'Cash Flow %s Yr1'!H101*'Expenses w MYP'!#REF!))</f>
        <v>#REF!</v>
      </c>
      <c r="I101" s="62" t="e">
        <f>IF('Expenses w MYP'!#REF!="","",IF('Cash Flow %s Yr1'!I101="","",'Cash Flow %s Yr1'!I101*'Expenses w MYP'!#REF!))</f>
        <v>#REF!</v>
      </c>
      <c r="J101" s="62" t="e">
        <f>IF('Expenses w MYP'!#REF!="","",IF('Cash Flow %s Yr1'!J101="","",'Cash Flow %s Yr1'!J101*'Expenses w MYP'!#REF!))</f>
        <v>#REF!</v>
      </c>
      <c r="K101" s="62" t="e">
        <f>IF('Expenses w MYP'!#REF!="","",IF('Cash Flow %s Yr1'!K101="","",'Cash Flow %s Yr1'!K101*'Expenses w MYP'!#REF!))</f>
        <v>#REF!</v>
      </c>
      <c r="L101" s="62" t="e">
        <f>IF('Expenses w MYP'!#REF!="","",IF('Cash Flow %s Yr1'!L101="","",'Cash Flow %s Yr1'!L101*'Expenses w MYP'!#REF!))</f>
        <v>#REF!</v>
      </c>
      <c r="M101" s="62" t="e">
        <f>IF('Expenses w MYP'!#REF!="","",IF('Cash Flow %s Yr1'!M101="","",'Cash Flow %s Yr1'!M101*'Expenses w MYP'!#REF!))</f>
        <v>#REF!</v>
      </c>
      <c r="N101" s="62" t="e">
        <f>IF('Expenses w MYP'!#REF!="","",IF('Cash Flow %s Yr1'!N101="","",'Cash Flow %s Yr1'!N101*'Expenses w MYP'!#REF!))</f>
        <v>#REF!</v>
      </c>
      <c r="O101" s="62" t="e">
        <f>IF('Expenses w MYP'!#REF!="","",IF('Cash Flow %s Yr1'!O101="","",'Cash Flow %s Yr1'!O101*'Expenses w MYP'!#REF!))</f>
        <v>#REF!</v>
      </c>
      <c r="P101" s="113"/>
      <c r="Q101" s="113"/>
      <c r="R101" s="113"/>
      <c r="S101" s="97" t="e">
        <f>IF(SUM(D101:R101)&gt;0,SUM(D101:R101)/'Expenses w MYP'!#REF!,"")</f>
        <v>#REF!</v>
      </c>
    </row>
    <row r="102" spans="1:19" hidden="1" outlineLevel="1" x14ac:dyDescent="0.75">
      <c r="A102" s="35"/>
      <c r="B102" s="121" t="e">
        <f>'Expenses w MYP'!#REF!</f>
        <v>#REF!</v>
      </c>
      <c r="C102" s="121" t="e">
        <f>'Expenses w MYP'!#REF!</f>
        <v>#REF!</v>
      </c>
      <c r="D102" s="62" t="e">
        <f>IF('Expenses w MYP'!#REF!="","",IF('Cash Flow %s Yr1'!D102="","",'Cash Flow %s Yr1'!D102*'Expenses w MYP'!#REF!))</f>
        <v>#REF!</v>
      </c>
      <c r="E102" s="62" t="e">
        <f>IF('Expenses w MYP'!#REF!="","",IF('Cash Flow %s Yr1'!E102="","",'Cash Flow %s Yr1'!E102*'Expenses w MYP'!#REF!))</f>
        <v>#REF!</v>
      </c>
      <c r="F102" s="62" t="e">
        <f>IF('Expenses w MYP'!#REF!="","",IF('Cash Flow %s Yr1'!F102="","",'Cash Flow %s Yr1'!F102*'Expenses w MYP'!#REF!))</f>
        <v>#REF!</v>
      </c>
      <c r="G102" s="62" t="e">
        <f>IF('Expenses w MYP'!#REF!="","",IF('Cash Flow %s Yr1'!G102="","",'Cash Flow %s Yr1'!G102*'Expenses w MYP'!#REF!))</f>
        <v>#REF!</v>
      </c>
      <c r="H102" s="62" t="e">
        <f>IF('Expenses w MYP'!#REF!="","",IF('Cash Flow %s Yr1'!H102="","",'Cash Flow %s Yr1'!H102*'Expenses w MYP'!#REF!))</f>
        <v>#REF!</v>
      </c>
      <c r="I102" s="62" t="e">
        <f>IF('Expenses w MYP'!#REF!="","",IF('Cash Flow %s Yr1'!I102="","",'Cash Flow %s Yr1'!I102*'Expenses w MYP'!#REF!))</f>
        <v>#REF!</v>
      </c>
      <c r="J102" s="62" t="e">
        <f>IF('Expenses w MYP'!#REF!="","",IF('Cash Flow %s Yr1'!J102="","",'Cash Flow %s Yr1'!J102*'Expenses w MYP'!#REF!))</f>
        <v>#REF!</v>
      </c>
      <c r="K102" s="62" t="e">
        <f>IF('Expenses w MYP'!#REF!="","",IF('Cash Flow %s Yr1'!K102="","",'Cash Flow %s Yr1'!K102*'Expenses w MYP'!#REF!))</f>
        <v>#REF!</v>
      </c>
      <c r="L102" s="62" t="e">
        <f>IF('Expenses w MYP'!#REF!="","",IF('Cash Flow %s Yr1'!L102="","",'Cash Flow %s Yr1'!L102*'Expenses w MYP'!#REF!))</f>
        <v>#REF!</v>
      </c>
      <c r="M102" s="62" t="e">
        <f>IF('Expenses w MYP'!#REF!="","",IF('Cash Flow %s Yr1'!M102="","",'Cash Flow %s Yr1'!M102*'Expenses w MYP'!#REF!))</f>
        <v>#REF!</v>
      </c>
      <c r="N102" s="62" t="e">
        <f>IF('Expenses w MYP'!#REF!="","",IF('Cash Flow %s Yr1'!N102="","",'Cash Flow %s Yr1'!N102*'Expenses w MYP'!#REF!))</f>
        <v>#REF!</v>
      </c>
      <c r="O102" s="62" t="e">
        <f>IF('Expenses w MYP'!#REF!="","",IF('Cash Flow %s Yr1'!O102="","",'Cash Flow %s Yr1'!O102*'Expenses w MYP'!#REF!))</f>
        <v>#REF!</v>
      </c>
      <c r="P102" s="113"/>
      <c r="Q102" s="113"/>
      <c r="R102" s="113"/>
      <c r="S102" s="97" t="e">
        <f>IF(SUM(D102:R102)&gt;0,SUM(D102:R102)/'Expenses w MYP'!#REF!,"")</f>
        <v>#REF!</v>
      </c>
    </row>
    <row r="103" spans="1:19" hidden="1" outlineLevel="1" x14ac:dyDescent="0.75">
      <c r="A103" s="35"/>
      <c r="B103" s="121" t="e">
        <f>'Expenses w MYP'!#REF!</f>
        <v>#REF!</v>
      </c>
      <c r="C103" s="121" t="e">
        <f>'Expenses w MYP'!#REF!</f>
        <v>#REF!</v>
      </c>
      <c r="D103" s="62" t="e">
        <f>IF('Expenses w MYP'!#REF!="","",IF('Cash Flow %s Yr1'!D103="","",'Cash Flow %s Yr1'!D103*'Expenses w MYP'!#REF!))</f>
        <v>#REF!</v>
      </c>
      <c r="E103" s="62" t="e">
        <f>IF('Expenses w MYP'!#REF!="","",IF('Cash Flow %s Yr1'!E103="","",'Cash Flow %s Yr1'!E103*'Expenses w MYP'!#REF!))</f>
        <v>#REF!</v>
      </c>
      <c r="F103" s="62" t="e">
        <f>IF('Expenses w MYP'!#REF!="","",IF('Cash Flow %s Yr1'!F103="","",'Cash Flow %s Yr1'!F103*'Expenses w MYP'!#REF!))</f>
        <v>#REF!</v>
      </c>
      <c r="G103" s="62" t="e">
        <f>IF('Expenses w MYP'!#REF!="","",IF('Cash Flow %s Yr1'!G103="","",'Cash Flow %s Yr1'!G103*'Expenses w MYP'!#REF!))</f>
        <v>#REF!</v>
      </c>
      <c r="H103" s="62" t="e">
        <f>IF('Expenses w MYP'!#REF!="","",IF('Cash Flow %s Yr1'!H103="","",'Cash Flow %s Yr1'!H103*'Expenses w MYP'!#REF!))</f>
        <v>#REF!</v>
      </c>
      <c r="I103" s="62" t="e">
        <f>IF('Expenses w MYP'!#REF!="","",IF('Cash Flow %s Yr1'!I103="","",'Cash Flow %s Yr1'!I103*'Expenses w MYP'!#REF!))</f>
        <v>#REF!</v>
      </c>
      <c r="J103" s="62" t="e">
        <f>IF('Expenses w MYP'!#REF!="","",IF('Cash Flow %s Yr1'!J103="","",'Cash Flow %s Yr1'!J103*'Expenses w MYP'!#REF!))</f>
        <v>#REF!</v>
      </c>
      <c r="K103" s="62" t="e">
        <f>IF('Expenses w MYP'!#REF!="","",IF('Cash Flow %s Yr1'!K103="","",'Cash Flow %s Yr1'!K103*'Expenses w MYP'!#REF!))</f>
        <v>#REF!</v>
      </c>
      <c r="L103" s="62" t="e">
        <f>IF('Expenses w MYP'!#REF!="","",IF('Cash Flow %s Yr1'!L103="","",'Cash Flow %s Yr1'!L103*'Expenses w MYP'!#REF!))</f>
        <v>#REF!</v>
      </c>
      <c r="M103" s="62" t="e">
        <f>IF('Expenses w MYP'!#REF!="","",IF('Cash Flow %s Yr1'!M103="","",'Cash Flow %s Yr1'!M103*'Expenses w MYP'!#REF!))</f>
        <v>#REF!</v>
      </c>
      <c r="N103" s="62" t="e">
        <f>IF('Expenses w MYP'!#REF!="","",IF('Cash Flow %s Yr1'!N103="","",'Cash Flow %s Yr1'!N103*'Expenses w MYP'!#REF!))</f>
        <v>#REF!</v>
      </c>
      <c r="O103" s="62" t="e">
        <f>IF('Expenses w MYP'!#REF!="","",IF('Cash Flow %s Yr1'!O103="","",'Cash Flow %s Yr1'!O103*'Expenses w MYP'!#REF!))</f>
        <v>#REF!</v>
      </c>
      <c r="P103" s="113"/>
      <c r="Q103" s="113"/>
      <c r="R103" s="113"/>
      <c r="S103" s="97" t="e">
        <f>IF(SUM(D103:R103)&gt;0,SUM(D103:R103)/'Expenses w MYP'!#REF!,"")</f>
        <v>#REF!</v>
      </c>
    </row>
    <row r="104" spans="1:19" hidden="1" outlineLevel="1" x14ac:dyDescent="0.75">
      <c r="A104" s="35"/>
      <c r="B104" s="121" t="e">
        <f>'Expenses w MYP'!#REF!</f>
        <v>#REF!</v>
      </c>
      <c r="C104" s="121" t="e">
        <f>'Expenses w MYP'!#REF!</f>
        <v>#REF!</v>
      </c>
      <c r="D104" s="62" t="e">
        <f>IF('Expenses w MYP'!#REF!="","",IF('Cash Flow %s Yr1'!D104="","",'Cash Flow %s Yr1'!D104*'Expenses w MYP'!#REF!))</f>
        <v>#REF!</v>
      </c>
      <c r="E104" s="62" t="e">
        <f>IF('Expenses w MYP'!#REF!="","",IF('Cash Flow %s Yr1'!E104="","",'Cash Flow %s Yr1'!E104*'Expenses w MYP'!#REF!))</f>
        <v>#REF!</v>
      </c>
      <c r="F104" s="62" t="e">
        <f>IF('Expenses w MYP'!#REF!="","",IF('Cash Flow %s Yr1'!F104="","",'Cash Flow %s Yr1'!F104*'Expenses w MYP'!#REF!))</f>
        <v>#REF!</v>
      </c>
      <c r="G104" s="62" t="e">
        <f>IF('Expenses w MYP'!#REF!="","",IF('Cash Flow %s Yr1'!G104="","",'Cash Flow %s Yr1'!G104*'Expenses w MYP'!#REF!))</f>
        <v>#REF!</v>
      </c>
      <c r="H104" s="62" t="e">
        <f>IF('Expenses w MYP'!#REF!="","",IF('Cash Flow %s Yr1'!H104="","",'Cash Flow %s Yr1'!H104*'Expenses w MYP'!#REF!))</f>
        <v>#REF!</v>
      </c>
      <c r="I104" s="62" t="e">
        <f>IF('Expenses w MYP'!#REF!="","",IF('Cash Flow %s Yr1'!I104="","",'Cash Flow %s Yr1'!I104*'Expenses w MYP'!#REF!))</f>
        <v>#REF!</v>
      </c>
      <c r="J104" s="62" t="e">
        <f>IF('Expenses w MYP'!#REF!="","",IF('Cash Flow %s Yr1'!J104="","",'Cash Flow %s Yr1'!J104*'Expenses w MYP'!#REF!))</f>
        <v>#REF!</v>
      </c>
      <c r="K104" s="62" t="e">
        <f>IF('Expenses w MYP'!#REF!="","",IF('Cash Flow %s Yr1'!K104="","",'Cash Flow %s Yr1'!K104*'Expenses w MYP'!#REF!))</f>
        <v>#REF!</v>
      </c>
      <c r="L104" s="62" t="e">
        <f>IF('Expenses w MYP'!#REF!="","",IF('Cash Flow %s Yr1'!L104="","",'Cash Flow %s Yr1'!L104*'Expenses w MYP'!#REF!))</f>
        <v>#REF!</v>
      </c>
      <c r="M104" s="62" t="e">
        <f>IF('Expenses w MYP'!#REF!="","",IF('Cash Flow %s Yr1'!M104="","",'Cash Flow %s Yr1'!M104*'Expenses w MYP'!#REF!))</f>
        <v>#REF!</v>
      </c>
      <c r="N104" s="62" t="e">
        <f>IF('Expenses w MYP'!#REF!="","",IF('Cash Flow %s Yr1'!N104="","",'Cash Flow %s Yr1'!N104*'Expenses w MYP'!#REF!))</f>
        <v>#REF!</v>
      </c>
      <c r="O104" s="62" t="e">
        <f>IF('Expenses w MYP'!#REF!="","",IF('Cash Flow %s Yr1'!O104="","",'Cash Flow %s Yr1'!O104*'Expenses w MYP'!#REF!))</f>
        <v>#REF!</v>
      </c>
      <c r="P104" s="113"/>
      <c r="Q104" s="113"/>
      <c r="R104" s="113"/>
      <c r="S104" s="97" t="e">
        <f>IF(SUM(D104:R104)&gt;0,SUM(D104:R104)/'Expenses w MYP'!#REF!,"")</f>
        <v>#REF!</v>
      </c>
    </row>
    <row r="105" spans="1:19" s="31" customFormat="1" collapsed="1" x14ac:dyDescent="0.75">
      <c r="A105" s="35"/>
      <c r="B105" s="121" t="str">
        <f>'Expenses w MYP'!C69</f>
        <v>4700</v>
      </c>
      <c r="C105" s="121" t="str">
        <f>'Expenses w MYP'!D69</f>
        <v>Food and Food Supplies</v>
      </c>
      <c r="D105" s="62" t="str">
        <f>IF('Expenses w MYP'!$E69="","",IF('Cash Flow %s Yr1'!D105="","",'Cash Flow %s Yr1'!D105*'Expenses w MYP'!$E69))</f>
        <v/>
      </c>
      <c r="E105" s="62" t="str">
        <f>IF('Expenses w MYP'!$E69="","",IF('Cash Flow %s Yr1'!E105="","",'Cash Flow %s Yr1'!E105*'Expenses w MYP'!$E69))</f>
        <v/>
      </c>
      <c r="F105" s="62" t="str">
        <f>IF('Expenses w MYP'!$E69="","",IF('Cash Flow %s Yr1'!F105="","",'Cash Flow %s Yr1'!F105*'Expenses w MYP'!$E69))</f>
        <v/>
      </c>
      <c r="G105" s="62" t="str">
        <f>IF('Expenses w MYP'!$E69="","",IF('Cash Flow %s Yr1'!G105="","",'Cash Flow %s Yr1'!G105*'Expenses w MYP'!$E69))</f>
        <v/>
      </c>
      <c r="H105" s="62" t="str">
        <f>IF('Expenses w MYP'!$E69="","",IF('Cash Flow %s Yr1'!H105="","",'Cash Flow %s Yr1'!H105*'Expenses w MYP'!$E69))</f>
        <v/>
      </c>
      <c r="I105" s="62" t="str">
        <f>IF('Expenses w MYP'!$E69="","",IF('Cash Flow %s Yr1'!I105="","",'Cash Flow %s Yr1'!I105*'Expenses w MYP'!$E69))</f>
        <v/>
      </c>
      <c r="J105" s="62" t="str">
        <f>IF('Expenses w MYP'!$E69="","",IF('Cash Flow %s Yr1'!J105="","",'Cash Flow %s Yr1'!J105*'Expenses w MYP'!$E69))</f>
        <v/>
      </c>
      <c r="K105" s="62" t="str">
        <f>IF('Expenses w MYP'!$E69="","",IF('Cash Flow %s Yr1'!K105="","",'Cash Flow %s Yr1'!K105*'Expenses w MYP'!$E69))</f>
        <v/>
      </c>
      <c r="L105" s="62" t="str">
        <f>IF('Expenses w MYP'!$E69="","",IF('Cash Flow %s Yr1'!L105="","",'Cash Flow %s Yr1'!L105*'Expenses w MYP'!$E69))</f>
        <v/>
      </c>
      <c r="M105" s="62" t="str">
        <f>IF('Expenses w MYP'!$E69="","",IF('Cash Flow %s Yr1'!M105="","",'Cash Flow %s Yr1'!M105*'Expenses w MYP'!$E69))</f>
        <v/>
      </c>
      <c r="N105" s="62" t="str">
        <f>IF('Expenses w MYP'!$E69="","",IF('Cash Flow %s Yr1'!N105="","",'Cash Flow %s Yr1'!N105*'Expenses w MYP'!$E69))</f>
        <v/>
      </c>
      <c r="O105" s="62" t="str">
        <f>IF('Expenses w MYP'!$E69="","",IF('Cash Flow %s Yr1'!O105="","",'Cash Flow %s Yr1'!O105*'Expenses w MYP'!$E69))</f>
        <v/>
      </c>
      <c r="P105" s="113"/>
      <c r="Q105" s="113"/>
      <c r="R105" s="113"/>
      <c r="S105" s="97" t="str">
        <f>IF(SUM(D105:R105)&gt;0,SUM(D105:R105)/'Expenses w MYP'!$E69,"")</f>
        <v/>
      </c>
    </row>
    <row r="106" spans="1:19" s="31" customFormat="1" x14ac:dyDescent="0.75">
      <c r="A106" s="35"/>
      <c r="B106" s="33" t="s">
        <v>558</v>
      </c>
      <c r="C106" s="34" t="s">
        <v>719</v>
      </c>
      <c r="D106" s="153" t="e">
        <f t="shared" ref="D106:R106" si="9">IF(SUM(D88:D105)&gt;0,SUM(D88:D105),"")</f>
        <v>#REF!</v>
      </c>
      <c r="E106" s="153" t="e">
        <f t="shared" si="9"/>
        <v>#REF!</v>
      </c>
      <c r="F106" s="153" t="e">
        <f t="shared" si="9"/>
        <v>#REF!</v>
      </c>
      <c r="G106" s="153" t="e">
        <f t="shared" si="9"/>
        <v>#REF!</v>
      </c>
      <c r="H106" s="153" t="e">
        <f t="shared" si="9"/>
        <v>#REF!</v>
      </c>
      <c r="I106" s="153" t="e">
        <f t="shared" si="9"/>
        <v>#REF!</v>
      </c>
      <c r="J106" s="153" t="e">
        <f t="shared" si="9"/>
        <v>#REF!</v>
      </c>
      <c r="K106" s="153" t="e">
        <f t="shared" si="9"/>
        <v>#REF!</v>
      </c>
      <c r="L106" s="153" t="e">
        <f t="shared" si="9"/>
        <v>#REF!</v>
      </c>
      <c r="M106" s="153" t="e">
        <f t="shared" si="9"/>
        <v>#REF!</v>
      </c>
      <c r="N106" s="153" t="e">
        <f t="shared" si="9"/>
        <v>#REF!</v>
      </c>
      <c r="O106" s="153" t="e">
        <f t="shared" si="9"/>
        <v>#REF!</v>
      </c>
      <c r="P106" s="153" t="str">
        <f t="shared" si="9"/>
        <v/>
      </c>
      <c r="Q106" s="153" t="str">
        <f t="shared" si="9"/>
        <v/>
      </c>
      <c r="R106" s="153" t="str">
        <f t="shared" si="9"/>
        <v/>
      </c>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121" t="str">
        <f>'Expenses w MYP'!C73</f>
        <v>5200</v>
      </c>
      <c r="C109" s="121" t="str">
        <f>'Expenses w MYP'!D73</f>
        <v>Travel and Conferences</v>
      </c>
      <c r="D109" s="62" t="str">
        <f>IF('Expenses w MYP'!$E73="","",IF('Cash Flow %s Yr1'!D109="","",'Cash Flow %s Yr1'!D109*'Expenses w MYP'!$E73))</f>
        <v/>
      </c>
      <c r="E109" s="62" t="str">
        <f>IF('Expenses w MYP'!$E73="","",IF('Cash Flow %s Yr1'!E109="","",'Cash Flow %s Yr1'!E109*'Expenses w MYP'!$E73))</f>
        <v/>
      </c>
      <c r="F109" s="62" t="str">
        <f>IF('Expenses w MYP'!$E73="","",IF('Cash Flow %s Yr1'!F109="","",'Cash Flow %s Yr1'!F109*'Expenses w MYP'!$E73))</f>
        <v/>
      </c>
      <c r="G109" s="62" t="str">
        <f>IF('Expenses w MYP'!$E73="","",IF('Cash Flow %s Yr1'!G109="","",'Cash Flow %s Yr1'!G109*'Expenses w MYP'!$E73))</f>
        <v/>
      </c>
      <c r="H109" s="62" t="str">
        <f>IF('Expenses w MYP'!$E73="","",IF('Cash Flow %s Yr1'!H109="","",'Cash Flow %s Yr1'!H109*'Expenses w MYP'!$E73))</f>
        <v/>
      </c>
      <c r="I109" s="62" t="str">
        <f>IF('Expenses w MYP'!$E73="","",IF('Cash Flow %s Yr1'!I109="","",'Cash Flow %s Yr1'!I109*'Expenses w MYP'!$E73))</f>
        <v/>
      </c>
      <c r="J109" s="62" t="str">
        <f>IF('Expenses w MYP'!$E73="","",IF('Cash Flow %s Yr1'!J109="","",'Cash Flow %s Yr1'!J109*'Expenses w MYP'!$E73))</f>
        <v/>
      </c>
      <c r="K109" s="62" t="str">
        <f>IF('Expenses w MYP'!$E73="","",IF('Cash Flow %s Yr1'!K109="","",'Cash Flow %s Yr1'!K109*'Expenses w MYP'!$E73))</f>
        <v/>
      </c>
      <c r="L109" s="62" t="str">
        <f>IF('Expenses w MYP'!$E73="","",IF('Cash Flow %s Yr1'!L109="","",'Cash Flow %s Yr1'!L109*'Expenses w MYP'!$E73))</f>
        <v/>
      </c>
      <c r="M109" s="62" t="str">
        <f>IF('Expenses w MYP'!$E73="","",IF('Cash Flow %s Yr1'!M109="","",'Cash Flow %s Yr1'!M109*'Expenses w MYP'!$E73))</f>
        <v/>
      </c>
      <c r="N109" s="62" t="str">
        <f>IF('Expenses w MYP'!$E73="","",IF('Cash Flow %s Yr1'!N109="","",'Cash Flow %s Yr1'!N109*'Expenses w MYP'!$E73))</f>
        <v/>
      </c>
      <c r="O109" s="62" t="str">
        <f>IF('Expenses w MYP'!$E73="","",IF('Cash Flow %s Yr1'!O109="","",'Cash Flow %s Yr1'!O109*'Expenses w MYP'!$E73))</f>
        <v/>
      </c>
      <c r="P109" s="113"/>
      <c r="Q109" s="113"/>
      <c r="R109" s="113"/>
      <c r="S109" s="97" t="str">
        <f>IF(SUM(D109:R109)&gt;0,SUM(D109:R109)/'Expenses w MYP'!$E73,"")</f>
        <v/>
      </c>
    </row>
    <row r="110" spans="1:19" s="31" customFormat="1" x14ac:dyDescent="0.75">
      <c r="A110" s="35"/>
      <c r="B110" s="121" t="str">
        <f>'Expenses w MYP'!C74</f>
        <v>5210</v>
      </c>
      <c r="C110" s="121" t="str">
        <f>'Expenses w MYP'!D74</f>
        <v>Training and Development Expense</v>
      </c>
      <c r="D110" s="62" t="str">
        <f>IF('Expenses w MYP'!$E74="","",IF('Cash Flow %s Yr1'!D110="","",'Cash Flow %s Yr1'!D110*'Expenses w MYP'!$E74))</f>
        <v/>
      </c>
      <c r="E110" s="62" t="str">
        <f>IF('Expenses w MYP'!$E74="","",IF('Cash Flow %s Yr1'!E110="","",'Cash Flow %s Yr1'!E110*'Expenses w MYP'!$E74))</f>
        <v/>
      </c>
      <c r="F110" s="62" t="str">
        <f>IF('Expenses w MYP'!$E74="","",IF('Cash Flow %s Yr1'!F110="","",'Cash Flow %s Yr1'!F110*'Expenses w MYP'!$E74))</f>
        <v/>
      </c>
      <c r="G110" s="62" t="str">
        <f>IF('Expenses w MYP'!$E74="","",IF('Cash Flow %s Yr1'!G110="","",'Cash Flow %s Yr1'!G110*'Expenses w MYP'!$E74))</f>
        <v/>
      </c>
      <c r="H110" s="62" t="str">
        <f>IF('Expenses w MYP'!$E74="","",IF('Cash Flow %s Yr1'!H110="","",'Cash Flow %s Yr1'!H110*'Expenses w MYP'!$E74))</f>
        <v/>
      </c>
      <c r="I110" s="62" t="str">
        <f>IF('Expenses w MYP'!$E74="","",IF('Cash Flow %s Yr1'!I110="","",'Cash Flow %s Yr1'!I110*'Expenses w MYP'!$E74))</f>
        <v/>
      </c>
      <c r="J110" s="62" t="str">
        <f>IF('Expenses w MYP'!$E74="","",IF('Cash Flow %s Yr1'!J110="","",'Cash Flow %s Yr1'!J110*'Expenses w MYP'!$E74))</f>
        <v/>
      </c>
      <c r="K110" s="62" t="str">
        <f>IF('Expenses w MYP'!$E74="","",IF('Cash Flow %s Yr1'!K110="","",'Cash Flow %s Yr1'!K110*'Expenses w MYP'!$E74))</f>
        <v/>
      </c>
      <c r="L110" s="62" t="str">
        <f>IF('Expenses w MYP'!$E74="","",IF('Cash Flow %s Yr1'!L110="","",'Cash Flow %s Yr1'!L110*'Expenses w MYP'!$E74))</f>
        <v/>
      </c>
      <c r="M110" s="62" t="str">
        <f>IF('Expenses w MYP'!$E74="","",IF('Cash Flow %s Yr1'!M110="","",'Cash Flow %s Yr1'!M110*'Expenses w MYP'!$E74))</f>
        <v/>
      </c>
      <c r="N110" s="62" t="str">
        <f>IF('Expenses w MYP'!$E74="","",IF('Cash Flow %s Yr1'!N110="","",'Cash Flow %s Yr1'!N110*'Expenses w MYP'!$E74))</f>
        <v/>
      </c>
      <c r="O110" s="62" t="str">
        <f>IF('Expenses w MYP'!$E74="","",IF('Cash Flow %s Yr1'!O110="","",'Cash Flow %s Yr1'!O110*'Expenses w MYP'!$E74))</f>
        <v/>
      </c>
      <c r="P110" s="113"/>
      <c r="Q110" s="113"/>
      <c r="R110" s="113"/>
      <c r="S110" s="97" t="str">
        <f>IF(SUM(D110:R110)&gt;0,SUM(D110:R110)/'Expenses w MYP'!$E74,"")</f>
        <v/>
      </c>
    </row>
    <row r="111" spans="1:19" s="31" customFormat="1" x14ac:dyDescent="0.75">
      <c r="A111" s="35"/>
      <c r="B111" s="121" t="str">
        <f>'Expenses w MYP'!C75</f>
        <v>5300</v>
      </c>
      <c r="C111" s="121" t="str">
        <f>'Expenses w MYP'!D75</f>
        <v>Dues and Memberships</v>
      </c>
      <c r="D111" s="62" t="str">
        <f>IF('Expenses w MYP'!$E75="","",IF('Cash Flow %s Yr1'!D111="","",'Cash Flow %s Yr1'!D111*'Expenses w MYP'!$E75))</f>
        <v/>
      </c>
      <c r="E111" s="62" t="str">
        <f>IF('Expenses w MYP'!$E75="","",IF('Cash Flow %s Yr1'!E111="","",'Cash Flow %s Yr1'!E111*'Expenses w MYP'!$E75))</f>
        <v/>
      </c>
      <c r="F111" s="62" t="str">
        <f>IF('Expenses w MYP'!$E75="","",IF('Cash Flow %s Yr1'!F111="","",'Cash Flow %s Yr1'!F111*'Expenses w MYP'!$E75))</f>
        <v/>
      </c>
      <c r="G111" s="62" t="str">
        <f>IF('Expenses w MYP'!$E75="","",IF('Cash Flow %s Yr1'!G111="","",'Cash Flow %s Yr1'!G111*'Expenses w MYP'!$E75))</f>
        <v/>
      </c>
      <c r="H111" s="62" t="str">
        <f>IF('Expenses w MYP'!$E75="","",IF('Cash Flow %s Yr1'!H111="","",'Cash Flow %s Yr1'!H111*'Expenses w MYP'!$E75))</f>
        <v/>
      </c>
      <c r="I111" s="62" t="str">
        <f>IF('Expenses w MYP'!$E75="","",IF('Cash Flow %s Yr1'!I111="","",'Cash Flow %s Yr1'!I111*'Expenses w MYP'!$E75))</f>
        <v/>
      </c>
      <c r="J111" s="62" t="str">
        <f>IF('Expenses w MYP'!$E75="","",IF('Cash Flow %s Yr1'!J111="","",'Cash Flow %s Yr1'!J111*'Expenses w MYP'!$E75))</f>
        <v/>
      </c>
      <c r="K111" s="62" t="str">
        <f>IF('Expenses w MYP'!$E75="","",IF('Cash Flow %s Yr1'!K111="","",'Cash Flow %s Yr1'!K111*'Expenses w MYP'!$E75))</f>
        <v/>
      </c>
      <c r="L111" s="62" t="str">
        <f>IF('Expenses w MYP'!$E75="","",IF('Cash Flow %s Yr1'!L111="","",'Cash Flow %s Yr1'!L111*'Expenses w MYP'!$E75))</f>
        <v/>
      </c>
      <c r="M111" s="62" t="str">
        <f>IF('Expenses w MYP'!$E75="","",IF('Cash Flow %s Yr1'!M111="","",'Cash Flow %s Yr1'!M111*'Expenses w MYP'!$E75))</f>
        <v/>
      </c>
      <c r="N111" s="62" t="str">
        <f>IF('Expenses w MYP'!$E75="","",IF('Cash Flow %s Yr1'!N111="","",'Cash Flow %s Yr1'!N111*'Expenses w MYP'!$E75))</f>
        <v/>
      </c>
      <c r="O111" s="62" t="str">
        <f>IF('Expenses w MYP'!$E75="","",IF('Cash Flow %s Yr1'!O111="","",'Cash Flow %s Yr1'!O111*'Expenses w MYP'!$E75))</f>
        <v/>
      </c>
      <c r="P111" s="113"/>
      <c r="Q111" s="113"/>
      <c r="R111" s="113"/>
      <c r="S111" s="97" t="str">
        <f>IF(SUM(D111:R111)&gt;0,SUM(D111:R111)/'Expenses w MYP'!$E75,"")</f>
        <v/>
      </c>
    </row>
    <row r="112" spans="1:19" s="31" customFormat="1" x14ac:dyDescent="0.75">
      <c r="A112" s="35"/>
      <c r="B112" s="121" t="str">
        <f>'Expenses w MYP'!C76</f>
        <v>5400</v>
      </c>
      <c r="C112" s="121" t="str">
        <f>'Expenses w MYP'!D76</f>
        <v>Insurance</v>
      </c>
      <c r="D112" s="62" t="str">
        <f>IF('Expenses w MYP'!$E76="","",IF('Cash Flow %s Yr1'!D112="","",'Cash Flow %s Yr1'!D112*'Expenses w MYP'!$E76))</f>
        <v/>
      </c>
      <c r="E112" s="62" t="str">
        <f>IF('Expenses w MYP'!$E76="","",IF('Cash Flow %s Yr1'!E112="","",'Cash Flow %s Yr1'!E112*'Expenses w MYP'!$E76))</f>
        <v/>
      </c>
      <c r="F112" s="62" t="str">
        <f>IF('Expenses w MYP'!$E76="","",IF('Cash Flow %s Yr1'!F112="","",'Cash Flow %s Yr1'!F112*'Expenses w MYP'!$E76))</f>
        <v/>
      </c>
      <c r="G112" s="62" t="str">
        <f>IF('Expenses w MYP'!$E76="","",IF('Cash Flow %s Yr1'!G112="","",'Cash Flow %s Yr1'!G112*'Expenses w MYP'!$E76))</f>
        <v/>
      </c>
      <c r="H112" s="62" t="str">
        <f>IF('Expenses w MYP'!$E76="","",IF('Cash Flow %s Yr1'!H112="","",'Cash Flow %s Yr1'!H112*'Expenses w MYP'!$E76))</f>
        <v/>
      </c>
      <c r="I112" s="62" t="str">
        <f>IF('Expenses w MYP'!$E76="","",IF('Cash Flow %s Yr1'!I112="","",'Cash Flow %s Yr1'!I112*'Expenses w MYP'!$E76))</f>
        <v/>
      </c>
      <c r="J112" s="62" t="str">
        <f>IF('Expenses w MYP'!$E76="","",IF('Cash Flow %s Yr1'!J112="","",'Cash Flow %s Yr1'!J112*'Expenses w MYP'!$E76))</f>
        <v/>
      </c>
      <c r="K112" s="62" t="str">
        <f>IF('Expenses w MYP'!$E76="","",IF('Cash Flow %s Yr1'!K112="","",'Cash Flow %s Yr1'!K112*'Expenses w MYP'!$E76))</f>
        <v/>
      </c>
      <c r="L112" s="62" t="str">
        <f>IF('Expenses w MYP'!$E76="","",IF('Cash Flow %s Yr1'!L112="","",'Cash Flow %s Yr1'!L112*'Expenses w MYP'!$E76))</f>
        <v/>
      </c>
      <c r="M112" s="62" t="str">
        <f>IF('Expenses w MYP'!$E76="","",IF('Cash Flow %s Yr1'!M112="","",'Cash Flow %s Yr1'!M112*'Expenses w MYP'!$E76))</f>
        <v/>
      </c>
      <c r="N112" s="62" t="str">
        <f>IF('Expenses w MYP'!$E76="","",IF('Cash Flow %s Yr1'!N112="","",'Cash Flow %s Yr1'!N112*'Expenses w MYP'!$E76))</f>
        <v/>
      </c>
      <c r="O112" s="62" t="str">
        <f>IF('Expenses w MYP'!$E76="","",IF('Cash Flow %s Yr1'!O112="","",'Cash Flow %s Yr1'!O112*'Expenses w MYP'!$E76))</f>
        <v/>
      </c>
      <c r="P112" s="113"/>
      <c r="Q112" s="113"/>
      <c r="R112" s="113"/>
      <c r="S112" s="97" t="str">
        <f>IF(SUM(D112:R112)&gt;0,SUM(D112:R112)/'Expenses w MYP'!$E76,"")</f>
        <v/>
      </c>
    </row>
    <row r="113" spans="1:19" s="31" customFormat="1" x14ac:dyDescent="0.75">
      <c r="A113" s="35"/>
      <c r="B113" s="121" t="str">
        <f>'Expenses w MYP'!C77</f>
        <v>5500</v>
      </c>
      <c r="C113" s="121" t="str">
        <f>'Expenses w MYP'!D77</f>
        <v>Operation and Housekeeping Services/Supplies</v>
      </c>
      <c r="D113" s="62" t="str">
        <f>IF('Expenses w MYP'!$E77="","",IF('Cash Flow %s Yr1'!D113="","",'Cash Flow %s Yr1'!D113*'Expenses w MYP'!$E77))</f>
        <v/>
      </c>
      <c r="E113" s="62" t="str">
        <f>IF('Expenses w MYP'!$E77="","",IF('Cash Flow %s Yr1'!E113="","",'Cash Flow %s Yr1'!E113*'Expenses w MYP'!$E77))</f>
        <v/>
      </c>
      <c r="F113" s="62" t="str">
        <f>IF('Expenses w MYP'!$E77="","",IF('Cash Flow %s Yr1'!F113="","",'Cash Flow %s Yr1'!F113*'Expenses w MYP'!$E77))</f>
        <v/>
      </c>
      <c r="G113" s="62" t="str">
        <f>IF('Expenses w MYP'!$E77="","",IF('Cash Flow %s Yr1'!G113="","",'Cash Flow %s Yr1'!G113*'Expenses w MYP'!$E77))</f>
        <v/>
      </c>
      <c r="H113" s="62" t="str">
        <f>IF('Expenses w MYP'!$E77="","",IF('Cash Flow %s Yr1'!H113="","",'Cash Flow %s Yr1'!H113*'Expenses w MYP'!$E77))</f>
        <v/>
      </c>
      <c r="I113" s="62" t="str">
        <f>IF('Expenses w MYP'!$E77="","",IF('Cash Flow %s Yr1'!I113="","",'Cash Flow %s Yr1'!I113*'Expenses w MYP'!$E77))</f>
        <v/>
      </c>
      <c r="J113" s="62" t="str">
        <f>IF('Expenses w MYP'!$E77="","",IF('Cash Flow %s Yr1'!J113="","",'Cash Flow %s Yr1'!J113*'Expenses w MYP'!$E77))</f>
        <v/>
      </c>
      <c r="K113" s="62" t="str">
        <f>IF('Expenses w MYP'!$E77="","",IF('Cash Flow %s Yr1'!K113="","",'Cash Flow %s Yr1'!K113*'Expenses w MYP'!$E77))</f>
        <v/>
      </c>
      <c r="L113" s="62" t="str">
        <f>IF('Expenses w MYP'!$E77="","",IF('Cash Flow %s Yr1'!L113="","",'Cash Flow %s Yr1'!L113*'Expenses w MYP'!$E77))</f>
        <v/>
      </c>
      <c r="M113" s="62" t="str">
        <f>IF('Expenses w MYP'!$E77="","",IF('Cash Flow %s Yr1'!M113="","",'Cash Flow %s Yr1'!M113*'Expenses w MYP'!$E77))</f>
        <v/>
      </c>
      <c r="N113" s="62" t="str">
        <f>IF('Expenses w MYP'!$E77="","",IF('Cash Flow %s Yr1'!N113="","",'Cash Flow %s Yr1'!N113*'Expenses w MYP'!$E77))</f>
        <v/>
      </c>
      <c r="O113" s="62" t="str">
        <f>IF('Expenses w MYP'!$E77="","",IF('Cash Flow %s Yr1'!O113="","",'Cash Flow %s Yr1'!O113*'Expenses w MYP'!$E77))</f>
        <v/>
      </c>
      <c r="P113" s="113"/>
      <c r="Q113" s="113"/>
      <c r="R113" s="113"/>
      <c r="S113" s="97" t="str">
        <f>IF(SUM(D113:R113)&gt;0,SUM(D113:R113)/'Expenses w MYP'!$E77,"")</f>
        <v/>
      </c>
    </row>
    <row r="114" spans="1:19" s="31" customFormat="1" x14ac:dyDescent="0.75">
      <c r="A114" s="35"/>
      <c r="B114" s="121" t="str">
        <f>'Expenses w MYP'!C78</f>
        <v>5501</v>
      </c>
      <c r="C114" s="121" t="str">
        <f>'Expenses w MYP'!D78</f>
        <v>Utilities</v>
      </c>
      <c r="D114" s="62" t="str">
        <f>IF('Expenses w MYP'!$E78="","",IF('Cash Flow %s Yr1'!D114="","",'Cash Flow %s Yr1'!D114*'Expenses w MYP'!$E78))</f>
        <v/>
      </c>
      <c r="E114" s="62" t="str">
        <f>IF('Expenses w MYP'!$E78="","",IF('Cash Flow %s Yr1'!E114="","",'Cash Flow %s Yr1'!E114*'Expenses w MYP'!$E78))</f>
        <v/>
      </c>
      <c r="F114" s="62" t="str">
        <f>IF('Expenses w MYP'!$E78="","",IF('Cash Flow %s Yr1'!F114="","",'Cash Flow %s Yr1'!F114*'Expenses w MYP'!$E78))</f>
        <v/>
      </c>
      <c r="G114" s="62" t="str">
        <f>IF('Expenses w MYP'!$E78="","",IF('Cash Flow %s Yr1'!G114="","",'Cash Flow %s Yr1'!G114*'Expenses w MYP'!$E78))</f>
        <v/>
      </c>
      <c r="H114" s="62" t="str">
        <f>IF('Expenses w MYP'!$E78="","",IF('Cash Flow %s Yr1'!H114="","",'Cash Flow %s Yr1'!H114*'Expenses w MYP'!$E78))</f>
        <v/>
      </c>
      <c r="I114" s="62" t="str">
        <f>IF('Expenses w MYP'!$E78="","",IF('Cash Flow %s Yr1'!I114="","",'Cash Flow %s Yr1'!I114*'Expenses w MYP'!$E78))</f>
        <v/>
      </c>
      <c r="J114" s="62" t="str">
        <f>IF('Expenses w MYP'!$E78="","",IF('Cash Flow %s Yr1'!J114="","",'Cash Flow %s Yr1'!J114*'Expenses w MYP'!$E78))</f>
        <v/>
      </c>
      <c r="K114" s="62" t="str">
        <f>IF('Expenses w MYP'!$E78="","",IF('Cash Flow %s Yr1'!K114="","",'Cash Flow %s Yr1'!K114*'Expenses w MYP'!$E78))</f>
        <v/>
      </c>
      <c r="L114" s="62" t="str">
        <f>IF('Expenses w MYP'!$E78="","",IF('Cash Flow %s Yr1'!L114="","",'Cash Flow %s Yr1'!L114*'Expenses w MYP'!$E78))</f>
        <v/>
      </c>
      <c r="M114" s="62" t="str">
        <f>IF('Expenses w MYP'!$E78="","",IF('Cash Flow %s Yr1'!M114="","",'Cash Flow %s Yr1'!M114*'Expenses w MYP'!$E78))</f>
        <v/>
      </c>
      <c r="N114" s="62" t="str">
        <f>IF('Expenses w MYP'!$E78="","",IF('Cash Flow %s Yr1'!N114="","",'Cash Flow %s Yr1'!N114*'Expenses w MYP'!$E78))</f>
        <v/>
      </c>
      <c r="O114" s="62" t="str">
        <f>IF('Expenses w MYP'!$E78="","",IF('Cash Flow %s Yr1'!O114="","",'Cash Flow %s Yr1'!O114*'Expenses w MYP'!$E78))</f>
        <v/>
      </c>
      <c r="P114" s="113"/>
      <c r="Q114" s="113"/>
      <c r="R114" s="113"/>
      <c r="S114" s="97" t="str">
        <f>IF(SUM(D114:R114)&gt;0,SUM(D114:R114)/'Expenses w MYP'!$E78,"")</f>
        <v/>
      </c>
    </row>
    <row r="115" spans="1:19" s="31" customFormat="1" x14ac:dyDescent="0.75">
      <c r="A115" s="35"/>
      <c r="B115" s="121" t="str">
        <f>'Expenses w MYP'!C79</f>
        <v>5505</v>
      </c>
      <c r="C115" s="121" t="str">
        <f>'Expenses w MYP'!D79</f>
        <v>Student Transportation / Field Trips</v>
      </c>
      <c r="D115" s="62" t="str">
        <f>IF('Expenses w MYP'!$E79="","",IF('Cash Flow %s Yr1'!D115="","",'Cash Flow %s Yr1'!D115*'Expenses w MYP'!$E79))</f>
        <v/>
      </c>
      <c r="E115" s="62" t="str">
        <f>IF('Expenses w MYP'!$E79="","",IF('Cash Flow %s Yr1'!E115="","",'Cash Flow %s Yr1'!E115*'Expenses w MYP'!$E79))</f>
        <v/>
      </c>
      <c r="F115" s="62" t="str">
        <f>IF('Expenses w MYP'!$E79="","",IF('Cash Flow %s Yr1'!F115="","",'Cash Flow %s Yr1'!F115*'Expenses w MYP'!$E79))</f>
        <v/>
      </c>
      <c r="G115" s="62" t="str">
        <f>IF('Expenses w MYP'!$E79="","",IF('Cash Flow %s Yr1'!G115="","",'Cash Flow %s Yr1'!G115*'Expenses w MYP'!$E79))</f>
        <v/>
      </c>
      <c r="H115" s="62" t="str">
        <f>IF('Expenses w MYP'!$E79="","",IF('Cash Flow %s Yr1'!H115="","",'Cash Flow %s Yr1'!H115*'Expenses w MYP'!$E79))</f>
        <v/>
      </c>
      <c r="I115" s="62" t="str">
        <f>IF('Expenses w MYP'!$E79="","",IF('Cash Flow %s Yr1'!I115="","",'Cash Flow %s Yr1'!I115*'Expenses w MYP'!$E79))</f>
        <v/>
      </c>
      <c r="J115" s="62" t="str">
        <f>IF('Expenses w MYP'!$E79="","",IF('Cash Flow %s Yr1'!J115="","",'Cash Flow %s Yr1'!J115*'Expenses w MYP'!$E79))</f>
        <v/>
      </c>
      <c r="K115" s="62" t="str">
        <f>IF('Expenses w MYP'!$E79="","",IF('Cash Flow %s Yr1'!K115="","",'Cash Flow %s Yr1'!K115*'Expenses w MYP'!$E79))</f>
        <v/>
      </c>
      <c r="L115" s="62" t="str">
        <f>IF('Expenses w MYP'!$E79="","",IF('Cash Flow %s Yr1'!L115="","",'Cash Flow %s Yr1'!L115*'Expenses w MYP'!$E79))</f>
        <v/>
      </c>
      <c r="M115" s="62" t="str">
        <f>IF('Expenses w MYP'!$E79="","",IF('Cash Flow %s Yr1'!M115="","",'Cash Flow %s Yr1'!M115*'Expenses w MYP'!$E79))</f>
        <v/>
      </c>
      <c r="N115" s="62" t="str">
        <f>IF('Expenses w MYP'!$E79="","",IF('Cash Flow %s Yr1'!N115="","",'Cash Flow %s Yr1'!N115*'Expenses w MYP'!$E79))</f>
        <v/>
      </c>
      <c r="O115" s="62" t="str">
        <f>IF('Expenses w MYP'!$E79="","",IF('Cash Flow %s Yr1'!O115="","",'Cash Flow %s Yr1'!O115*'Expenses w MYP'!$E79))</f>
        <v/>
      </c>
      <c r="P115" s="113"/>
      <c r="Q115" s="113"/>
      <c r="R115" s="113"/>
      <c r="S115" s="97" t="str">
        <f>IF(SUM(D115:R115)&gt;0,SUM(D115:R115)/'Expenses w MYP'!$E79,"")</f>
        <v/>
      </c>
    </row>
    <row r="116" spans="1:19" s="31" customFormat="1" x14ac:dyDescent="0.75">
      <c r="A116" s="35"/>
      <c r="B116" s="121" t="str">
        <f>'Expenses w MYP'!C80</f>
        <v>5600</v>
      </c>
      <c r="C116" s="121" t="str">
        <f>'Expenses w MYP'!D80</f>
        <v>Space Rental/Leases Expense</v>
      </c>
      <c r="D116" s="62" t="str">
        <f>IF('Expenses w MYP'!$E80="","",IF('Cash Flow %s Yr1'!D116="","",'Cash Flow %s Yr1'!D116*'Expenses w MYP'!$E80))</f>
        <v/>
      </c>
      <c r="E116" s="62" t="str">
        <f>IF('Expenses w MYP'!$E80="","",IF('Cash Flow %s Yr1'!E116="","",'Cash Flow %s Yr1'!E116*'Expenses w MYP'!$E80))</f>
        <v/>
      </c>
      <c r="F116" s="62" t="str">
        <f>IF('Expenses w MYP'!$E80="","",IF('Cash Flow %s Yr1'!F116="","",'Cash Flow %s Yr1'!F116*'Expenses w MYP'!$E80))</f>
        <v/>
      </c>
      <c r="G116" s="62" t="str">
        <f>IF('Expenses w MYP'!$E80="","",IF('Cash Flow %s Yr1'!G116="","",'Cash Flow %s Yr1'!G116*'Expenses w MYP'!$E80))</f>
        <v/>
      </c>
      <c r="H116" s="62" t="str">
        <f>IF('Expenses w MYP'!$E80="","",IF('Cash Flow %s Yr1'!H116="","",'Cash Flow %s Yr1'!H116*'Expenses w MYP'!$E80))</f>
        <v/>
      </c>
      <c r="I116" s="62" t="str">
        <f>IF('Expenses w MYP'!$E80="","",IF('Cash Flow %s Yr1'!I116="","",'Cash Flow %s Yr1'!I116*'Expenses w MYP'!$E80))</f>
        <v/>
      </c>
      <c r="J116" s="62" t="str">
        <f>IF('Expenses w MYP'!$E80="","",IF('Cash Flow %s Yr1'!J116="","",'Cash Flow %s Yr1'!J116*'Expenses w MYP'!$E80))</f>
        <v/>
      </c>
      <c r="K116" s="62" t="str">
        <f>IF('Expenses w MYP'!$E80="","",IF('Cash Flow %s Yr1'!K116="","",'Cash Flow %s Yr1'!K116*'Expenses w MYP'!$E80))</f>
        <v/>
      </c>
      <c r="L116" s="62" t="str">
        <f>IF('Expenses w MYP'!$E80="","",IF('Cash Flow %s Yr1'!L116="","",'Cash Flow %s Yr1'!L116*'Expenses w MYP'!$E80))</f>
        <v/>
      </c>
      <c r="M116" s="62" t="str">
        <f>IF('Expenses w MYP'!$E80="","",IF('Cash Flow %s Yr1'!M116="","",'Cash Flow %s Yr1'!M116*'Expenses w MYP'!$E80))</f>
        <v/>
      </c>
      <c r="N116" s="62" t="str">
        <f>IF('Expenses w MYP'!$E80="","",IF('Cash Flow %s Yr1'!N116="","",'Cash Flow %s Yr1'!N116*'Expenses w MYP'!$E80))</f>
        <v/>
      </c>
      <c r="O116" s="62" t="str">
        <f>IF('Expenses w MYP'!$E80="","",IF('Cash Flow %s Yr1'!O116="","",'Cash Flow %s Yr1'!O116*'Expenses w MYP'!$E80))</f>
        <v/>
      </c>
      <c r="P116" s="113"/>
      <c r="Q116" s="113"/>
      <c r="R116" s="113"/>
      <c r="S116" s="97" t="str">
        <f>IF(SUM(D116:R116)&gt;0,SUM(D116:R116)/'Expenses w MYP'!$E80,"")</f>
        <v/>
      </c>
    </row>
    <row r="117" spans="1:19" s="31" customFormat="1" x14ac:dyDescent="0.75">
      <c r="A117" s="35"/>
      <c r="B117" s="121" t="str">
        <f>'Expenses w MYP'!C81</f>
        <v>5601</v>
      </c>
      <c r="C117" s="121" t="str">
        <f>'Expenses w MYP'!D81</f>
        <v>Building Maintenance</v>
      </c>
      <c r="D117" s="62" t="str">
        <f>IF('Expenses w MYP'!$E81="","",IF('Cash Flow %s Yr1'!D117="","",'Cash Flow %s Yr1'!D117*'Expenses w MYP'!$E81))</f>
        <v/>
      </c>
      <c r="E117" s="62" t="str">
        <f>IF('Expenses w MYP'!$E81="","",IF('Cash Flow %s Yr1'!E117="","",'Cash Flow %s Yr1'!E117*'Expenses w MYP'!$E81))</f>
        <v/>
      </c>
      <c r="F117" s="62" t="str">
        <f>IF('Expenses w MYP'!$E81="","",IF('Cash Flow %s Yr1'!F117="","",'Cash Flow %s Yr1'!F117*'Expenses w MYP'!$E81))</f>
        <v/>
      </c>
      <c r="G117" s="62" t="str">
        <f>IF('Expenses w MYP'!$E81="","",IF('Cash Flow %s Yr1'!G117="","",'Cash Flow %s Yr1'!G117*'Expenses w MYP'!$E81))</f>
        <v/>
      </c>
      <c r="H117" s="62" t="str">
        <f>IF('Expenses w MYP'!$E81="","",IF('Cash Flow %s Yr1'!H117="","",'Cash Flow %s Yr1'!H117*'Expenses w MYP'!$E81))</f>
        <v/>
      </c>
      <c r="I117" s="62" t="str">
        <f>IF('Expenses w MYP'!$E81="","",IF('Cash Flow %s Yr1'!I117="","",'Cash Flow %s Yr1'!I117*'Expenses w MYP'!$E81))</f>
        <v/>
      </c>
      <c r="J117" s="62" t="str">
        <f>IF('Expenses w MYP'!$E81="","",IF('Cash Flow %s Yr1'!J117="","",'Cash Flow %s Yr1'!J117*'Expenses w MYP'!$E81))</f>
        <v/>
      </c>
      <c r="K117" s="62" t="str">
        <f>IF('Expenses w MYP'!$E81="","",IF('Cash Flow %s Yr1'!K117="","",'Cash Flow %s Yr1'!K117*'Expenses w MYP'!$E81))</f>
        <v/>
      </c>
      <c r="L117" s="62" t="str">
        <f>IF('Expenses w MYP'!$E81="","",IF('Cash Flow %s Yr1'!L117="","",'Cash Flow %s Yr1'!L117*'Expenses w MYP'!$E81))</f>
        <v/>
      </c>
      <c r="M117" s="62" t="str">
        <f>IF('Expenses w MYP'!$E81="","",IF('Cash Flow %s Yr1'!M117="","",'Cash Flow %s Yr1'!M117*'Expenses w MYP'!$E81))</f>
        <v/>
      </c>
      <c r="N117" s="62" t="str">
        <f>IF('Expenses w MYP'!$E81="","",IF('Cash Flow %s Yr1'!N117="","",'Cash Flow %s Yr1'!N117*'Expenses w MYP'!$E81))</f>
        <v/>
      </c>
      <c r="O117" s="62" t="str">
        <f>IF('Expenses w MYP'!$E81="","",IF('Cash Flow %s Yr1'!O117="","",'Cash Flow %s Yr1'!O117*'Expenses w MYP'!$E81))</f>
        <v/>
      </c>
      <c r="P117" s="113"/>
      <c r="Q117" s="113"/>
      <c r="R117" s="113"/>
      <c r="S117" s="97" t="str">
        <f>IF(SUM(D117:R117)&gt;0,SUM(D117:R117)/'Expenses w MYP'!$E81,"")</f>
        <v/>
      </c>
    </row>
    <row r="118" spans="1:19" s="31" customFormat="1" x14ac:dyDescent="0.75">
      <c r="A118" s="35"/>
      <c r="B118" s="121" t="str">
        <f>'Expenses w MYP'!C82</f>
        <v>5602</v>
      </c>
      <c r="C118" s="121" t="str">
        <f>'Expenses w MYP'!D82</f>
        <v>Other Space Rental</v>
      </c>
      <c r="D118" s="62" t="str">
        <f>IF('Expenses w MYP'!$E82="","",IF('Cash Flow %s Yr1'!D118="","",'Cash Flow %s Yr1'!D118*'Expenses w MYP'!$E82))</f>
        <v/>
      </c>
      <c r="E118" s="62" t="str">
        <f>IF('Expenses w MYP'!$E82="","",IF('Cash Flow %s Yr1'!E118="","",'Cash Flow %s Yr1'!E118*'Expenses w MYP'!$E82))</f>
        <v/>
      </c>
      <c r="F118" s="62" t="str">
        <f>IF('Expenses w MYP'!$E82="","",IF('Cash Flow %s Yr1'!F118="","",'Cash Flow %s Yr1'!F118*'Expenses w MYP'!$E82))</f>
        <v/>
      </c>
      <c r="G118" s="62" t="str">
        <f>IF('Expenses w MYP'!$E82="","",IF('Cash Flow %s Yr1'!G118="","",'Cash Flow %s Yr1'!G118*'Expenses w MYP'!$E82))</f>
        <v/>
      </c>
      <c r="H118" s="62" t="str">
        <f>IF('Expenses w MYP'!$E82="","",IF('Cash Flow %s Yr1'!H118="","",'Cash Flow %s Yr1'!H118*'Expenses w MYP'!$E82))</f>
        <v/>
      </c>
      <c r="I118" s="62" t="str">
        <f>IF('Expenses w MYP'!$E82="","",IF('Cash Flow %s Yr1'!I118="","",'Cash Flow %s Yr1'!I118*'Expenses w MYP'!$E82))</f>
        <v/>
      </c>
      <c r="J118" s="62" t="str">
        <f>IF('Expenses w MYP'!$E82="","",IF('Cash Flow %s Yr1'!J118="","",'Cash Flow %s Yr1'!J118*'Expenses w MYP'!$E82))</f>
        <v/>
      </c>
      <c r="K118" s="62" t="str">
        <f>IF('Expenses w MYP'!$E82="","",IF('Cash Flow %s Yr1'!K118="","",'Cash Flow %s Yr1'!K118*'Expenses w MYP'!$E82))</f>
        <v/>
      </c>
      <c r="L118" s="62" t="str">
        <f>IF('Expenses w MYP'!$E82="","",IF('Cash Flow %s Yr1'!L118="","",'Cash Flow %s Yr1'!L118*'Expenses w MYP'!$E82))</f>
        <v/>
      </c>
      <c r="M118" s="62" t="str">
        <f>IF('Expenses w MYP'!$E82="","",IF('Cash Flow %s Yr1'!M118="","",'Cash Flow %s Yr1'!M118*'Expenses w MYP'!$E82))</f>
        <v/>
      </c>
      <c r="N118" s="62" t="str">
        <f>IF('Expenses w MYP'!$E82="","",IF('Cash Flow %s Yr1'!N118="","",'Cash Flow %s Yr1'!N118*'Expenses w MYP'!$E82))</f>
        <v/>
      </c>
      <c r="O118" s="62" t="str">
        <f>IF('Expenses w MYP'!$E82="","",IF('Cash Flow %s Yr1'!O118="","",'Cash Flow %s Yr1'!O118*'Expenses w MYP'!$E82))</f>
        <v/>
      </c>
      <c r="P118" s="113"/>
      <c r="Q118" s="113"/>
      <c r="R118" s="113"/>
      <c r="S118" s="97" t="str">
        <f>IF(SUM(D118:R118)&gt;0,SUM(D118:R118)/'Expenses w MYP'!$E82,"")</f>
        <v/>
      </c>
    </row>
    <row r="119" spans="1:19" s="31" customFormat="1" x14ac:dyDescent="0.75">
      <c r="A119" s="35"/>
      <c r="B119" s="121" t="str">
        <f>'Expenses w MYP'!C83</f>
        <v>5603</v>
      </c>
      <c r="C119" s="121" t="str">
        <f>'Expenses w MYP'!D83</f>
        <v>Engagement Space Rental</v>
      </c>
      <c r="D119" s="62" t="str">
        <f>IF('Expenses w MYP'!$E83="","",IF('Cash Flow %s Yr1'!D119="","",'Cash Flow %s Yr1'!D119*'Expenses w MYP'!$E83))</f>
        <v/>
      </c>
      <c r="E119" s="62" t="str">
        <f>IF('Expenses w MYP'!$E83="","",IF('Cash Flow %s Yr1'!E119="","",'Cash Flow %s Yr1'!E119*'Expenses w MYP'!$E83))</f>
        <v/>
      </c>
      <c r="F119" s="62" t="str">
        <f>IF('Expenses w MYP'!$E83="","",IF('Cash Flow %s Yr1'!F119="","",'Cash Flow %s Yr1'!F119*'Expenses w MYP'!$E83))</f>
        <v/>
      </c>
      <c r="G119" s="62" t="str">
        <f>IF('Expenses w MYP'!$E83="","",IF('Cash Flow %s Yr1'!G119="","",'Cash Flow %s Yr1'!G119*'Expenses w MYP'!$E83))</f>
        <v/>
      </c>
      <c r="H119" s="62" t="str">
        <f>IF('Expenses w MYP'!$E83="","",IF('Cash Flow %s Yr1'!H119="","",'Cash Flow %s Yr1'!H119*'Expenses w MYP'!$E83))</f>
        <v/>
      </c>
      <c r="I119" s="62" t="str">
        <f>IF('Expenses w MYP'!$E83="","",IF('Cash Flow %s Yr1'!I119="","",'Cash Flow %s Yr1'!I119*'Expenses w MYP'!$E83))</f>
        <v/>
      </c>
      <c r="J119" s="62" t="str">
        <f>IF('Expenses w MYP'!$E83="","",IF('Cash Flow %s Yr1'!J119="","",'Cash Flow %s Yr1'!J119*'Expenses w MYP'!$E83))</f>
        <v/>
      </c>
      <c r="K119" s="62" t="str">
        <f>IF('Expenses w MYP'!$E83="","",IF('Cash Flow %s Yr1'!K119="","",'Cash Flow %s Yr1'!K119*'Expenses w MYP'!$E83))</f>
        <v/>
      </c>
      <c r="L119" s="62" t="str">
        <f>IF('Expenses w MYP'!$E83="","",IF('Cash Flow %s Yr1'!L119="","",'Cash Flow %s Yr1'!L119*'Expenses w MYP'!$E83))</f>
        <v/>
      </c>
      <c r="M119" s="62" t="str">
        <f>IF('Expenses w MYP'!$E83="","",IF('Cash Flow %s Yr1'!M119="","",'Cash Flow %s Yr1'!M119*'Expenses w MYP'!$E83))</f>
        <v/>
      </c>
      <c r="N119" s="62" t="str">
        <f>IF('Expenses w MYP'!$E83="","",IF('Cash Flow %s Yr1'!N119="","",'Cash Flow %s Yr1'!N119*'Expenses w MYP'!$E83))</f>
        <v/>
      </c>
      <c r="O119" s="62" t="str">
        <f>IF('Expenses w MYP'!$E83="","",IF('Cash Flow %s Yr1'!O119="","",'Cash Flow %s Yr1'!O119*'Expenses w MYP'!$E83))</f>
        <v/>
      </c>
      <c r="P119" s="113"/>
      <c r="Q119" s="113"/>
      <c r="R119" s="113"/>
      <c r="S119" s="97" t="str">
        <f>IF(SUM(D119:R119)&gt;0,SUM(D119:R119)/'Expenses w MYP'!$E83,"")</f>
        <v/>
      </c>
    </row>
    <row r="120" spans="1:19" s="31" customFormat="1" x14ac:dyDescent="0.75">
      <c r="A120" s="35"/>
      <c r="B120" s="121" t="str">
        <f>'Expenses w MYP'!C84</f>
        <v>5610</v>
      </c>
      <c r="C120" s="121" t="str">
        <f>'Expenses w MYP'!D84</f>
        <v>Equipment Repair</v>
      </c>
      <c r="D120" s="62" t="str">
        <f>IF('Expenses w MYP'!$E84="","",IF('Cash Flow %s Yr1'!D120="","",'Cash Flow %s Yr1'!D120*'Expenses w MYP'!$E84))</f>
        <v/>
      </c>
      <c r="E120" s="62" t="str">
        <f>IF('Expenses w MYP'!$E84="","",IF('Cash Flow %s Yr1'!E120="","",'Cash Flow %s Yr1'!E120*'Expenses w MYP'!$E84))</f>
        <v/>
      </c>
      <c r="F120" s="62" t="str">
        <f>IF('Expenses w MYP'!$E84="","",IF('Cash Flow %s Yr1'!F120="","",'Cash Flow %s Yr1'!F120*'Expenses w MYP'!$E84))</f>
        <v/>
      </c>
      <c r="G120" s="62" t="str">
        <f>IF('Expenses w MYP'!$E84="","",IF('Cash Flow %s Yr1'!G120="","",'Cash Flow %s Yr1'!G120*'Expenses w MYP'!$E84))</f>
        <v/>
      </c>
      <c r="H120" s="62" t="str">
        <f>IF('Expenses w MYP'!$E84="","",IF('Cash Flow %s Yr1'!H120="","",'Cash Flow %s Yr1'!H120*'Expenses w MYP'!$E84))</f>
        <v/>
      </c>
      <c r="I120" s="62" t="str">
        <f>IF('Expenses w MYP'!$E84="","",IF('Cash Flow %s Yr1'!I120="","",'Cash Flow %s Yr1'!I120*'Expenses w MYP'!$E84))</f>
        <v/>
      </c>
      <c r="J120" s="62" t="str">
        <f>IF('Expenses w MYP'!$E84="","",IF('Cash Flow %s Yr1'!J120="","",'Cash Flow %s Yr1'!J120*'Expenses w MYP'!$E84))</f>
        <v/>
      </c>
      <c r="K120" s="62" t="str">
        <f>IF('Expenses w MYP'!$E84="","",IF('Cash Flow %s Yr1'!K120="","",'Cash Flow %s Yr1'!K120*'Expenses w MYP'!$E84))</f>
        <v/>
      </c>
      <c r="L120" s="62" t="str">
        <f>IF('Expenses w MYP'!$E84="","",IF('Cash Flow %s Yr1'!L120="","",'Cash Flow %s Yr1'!L120*'Expenses w MYP'!$E84))</f>
        <v/>
      </c>
      <c r="M120" s="62" t="str">
        <f>IF('Expenses w MYP'!$E84="","",IF('Cash Flow %s Yr1'!M120="","",'Cash Flow %s Yr1'!M120*'Expenses w MYP'!$E84))</f>
        <v/>
      </c>
      <c r="N120" s="62" t="str">
        <f>IF('Expenses w MYP'!$E84="","",IF('Cash Flow %s Yr1'!N120="","",'Cash Flow %s Yr1'!N120*'Expenses w MYP'!$E84))</f>
        <v/>
      </c>
      <c r="O120" s="62" t="str">
        <f>IF('Expenses w MYP'!$E84="","",IF('Cash Flow %s Yr1'!O120="","",'Cash Flow %s Yr1'!O120*'Expenses w MYP'!$E84))</f>
        <v/>
      </c>
      <c r="P120" s="113"/>
      <c r="Q120" s="113"/>
      <c r="R120" s="113"/>
      <c r="S120" s="97" t="str">
        <f>IF(SUM(D120:R120)&gt;0,SUM(D120:R120)/'Expenses w MYP'!$E84,"")</f>
        <v/>
      </c>
    </row>
    <row r="121" spans="1:19" s="31" customFormat="1" x14ac:dyDescent="0.75">
      <c r="A121" s="35"/>
      <c r="B121" s="121" t="str">
        <f>'Expenses w MYP'!C85</f>
        <v>5800</v>
      </c>
      <c r="C121" s="121" t="str">
        <f>'Expenses w MYP'!D85</f>
        <v>Professional/Consulting Services and Operating Expenditures</v>
      </c>
      <c r="D121" s="62" t="str">
        <f>IF('Expenses w MYP'!$E85="","",IF('Cash Flow %s Yr1'!D121="","",'Cash Flow %s Yr1'!D121*'Expenses w MYP'!$E85))</f>
        <v/>
      </c>
      <c r="E121" s="62" t="str">
        <f>IF('Expenses w MYP'!$E85="","",IF('Cash Flow %s Yr1'!E121="","",'Cash Flow %s Yr1'!E121*'Expenses w MYP'!$E85))</f>
        <v/>
      </c>
      <c r="F121" s="62" t="str">
        <f>IF('Expenses w MYP'!$E85="","",IF('Cash Flow %s Yr1'!F121="","",'Cash Flow %s Yr1'!F121*'Expenses w MYP'!$E85))</f>
        <v/>
      </c>
      <c r="G121" s="62" t="str">
        <f>IF('Expenses w MYP'!$E85="","",IF('Cash Flow %s Yr1'!G121="","",'Cash Flow %s Yr1'!G121*'Expenses w MYP'!$E85))</f>
        <v/>
      </c>
      <c r="H121" s="62" t="str">
        <f>IF('Expenses w MYP'!$E85="","",IF('Cash Flow %s Yr1'!H121="","",'Cash Flow %s Yr1'!H121*'Expenses w MYP'!$E85))</f>
        <v/>
      </c>
      <c r="I121" s="62" t="str">
        <f>IF('Expenses w MYP'!$E85="","",IF('Cash Flow %s Yr1'!I121="","",'Cash Flow %s Yr1'!I121*'Expenses w MYP'!$E85))</f>
        <v/>
      </c>
      <c r="J121" s="62" t="str">
        <f>IF('Expenses w MYP'!$E85="","",IF('Cash Flow %s Yr1'!J121="","",'Cash Flow %s Yr1'!J121*'Expenses w MYP'!$E85))</f>
        <v/>
      </c>
      <c r="K121" s="62" t="str">
        <f>IF('Expenses w MYP'!$E85="","",IF('Cash Flow %s Yr1'!K121="","",'Cash Flow %s Yr1'!K121*'Expenses w MYP'!$E85))</f>
        <v/>
      </c>
      <c r="L121" s="62" t="str">
        <f>IF('Expenses w MYP'!$E85="","",IF('Cash Flow %s Yr1'!L121="","",'Cash Flow %s Yr1'!L121*'Expenses w MYP'!$E85))</f>
        <v/>
      </c>
      <c r="M121" s="62" t="str">
        <f>IF('Expenses w MYP'!$E85="","",IF('Cash Flow %s Yr1'!M121="","",'Cash Flow %s Yr1'!M121*'Expenses w MYP'!$E85))</f>
        <v/>
      </c>
      <c r="N121" s="62" t="str">
        <f>IF('Expenses w MYP'!$E85="","",IF('Cash Flow %s Yr1'!N121="","",'Cash Flow %s Yr1'!N121*'Expenses w MYP'!$E85))</f>
        <v/>
      </c>
      <c r="O121" s="62" t="str">
        <f>IF('Expenses w MYP'!$E85="","",IF('Cash Flow %s Yr1'!O121="","",'Cash Flow %s Yr1'!O121*'Expenses w MYP'!$E85))</f>
        <v/>
      </c>
      <c r="P121" s="113"/>
      <c r="Q121" s="113"/>
      <c r="R121" s="113"/>
      <c r="S121" s="97" t="str">
        <f>IF(SUM(D121:R121)&gt;0,SUM(D121:R121)/'Expenses w MYP'!$E85,"")</f>
        <v/>
      </c>
    </row>
    <row r="122" spans="1:19" s="31" customFormat="1" x14ac:dyDescent="0.75">
      <c r="A122" s="35"/>
      <c r="B122" s="121" t="str">
        <f>'Expenses w MYP'!C86</f>
        <v>5803</v>
      </c>
      <c r="C122" s="121" t="str">
        <f>'Expenses w MYP'!D86</f>
        <v>Banking and Payroll Service Fees</v>
      </c>
      <c r="D122" s="62" t="str">
        <f>IF('Expenses w MYP'!$E86="","",IF('Cash Flow %s Yr1'!D122="","",'Cash Flow %s Yr1'!D122*'Expenses w MYP'!$E86))</f>
        <v/>
      </c>
      <c r="E122" s="62" t="str">
        <f>IF('Expenses w MYP'!$E86="","",IF('Cash Flow %s Yr1'!E122="","",'Cash Flow %s Yr1'!E122*'Expenses w MYP'!$E86))</f>
        <v/>
      </c>
      <c r="F122" s="62" t="str">
        <f>IF('Expenses w MYP'!$E86="","",IF('Cash Flow %s Yr1'!F122="","",'Cash Flow %s Yr1'!F122*'Expenses w MYP'!$E86))</f>
        <v/>
      </c>
      <c r="G122" s="62" t="str">
        <f>IF('Expenses w MYP'!$E86="","",IF('Cash Flow %s Yr1'!G122="","",'Cash Flow %s Yr1'!G122*'Expenses w MYP'!$E86))</f>
        <v/>
      </c>
      <c r="H122" s="62" t="str">
        <f>IF('Expenses w MYP'!$E86="","",IF('Cash Flow %s Yr1'!H122="","",'Cash Flow %s Yr1'!H122*'Expenses w MYP'!$E86))</f>
        <v/>
      </c>
      <c r="I122" s="62" t="str">
        <f>IF('Expenses w MYP'!$E86="","",IF('Cash Flow %s Yr1'!I122="","",'Cash Flow %s Yr1'!I122*'Expenses w MYP'!$E86))</f>
        <v/>
      </c>
      <c r="J122" s="62" t="str">
        <f>IF('Expenses w MYP'!$E86="","",IF('Cash Flow %s Yr1'!J122="","",'Cash Flow %s Yr1'!J122*'Expenses w MYP'!$E86))</f>
        <v/>
      </c>
      <c r="K122" s="62" t="str">
        <f>IF('Expenses w MYP'!$E86="","",IF('Cash Flow %s Yr1'!K122="","",'Cash Flow %s Yr1'!K122*'Expenses w MYP'!$E86))</f>
        <v/>
      </c>
      <c r="L122" s="62" t="str">
        <f>IF('Expenses w MYP'!$E86="","",IF('Cash Flow %s Yr1'!L122="","",'Cash Flow %s Yr1'!L122*'Expenses w MYP'!$E86))</f>
        <v/>
      </c>
      <c r="M122" s="62" t="str">
        <f>IF('Expenses w MYP'!$E86="","",IF('Cash Flow %s Yr1'!M122="","",'Cash Flow %s Yr1'!M122*'Expenses w MYP'!$E86))</f>
        <v/>
      </c>
      <c r="N122" s="62" t="str">
        <f>IF('Expenses w MYP'!$E86="","",IF('Cash Flow %s Yr1'!N122="","",'Cash Flow %s Yr1'!N122*'Expenses w MYP'!$E86))</f>
        <v/>
      </c>
      <c r="O122" s="62" t="str">
        <f>IF('Expenses w MYP'!$E86="","",IF('Cash Flow %s Yr1'!O122="","",'Cash Flow %s Yr1'!O122*'Expenses w MYP'!$E86))</f>
        <v/>
      </c>
      <c r="P122" s="113"/>
      <c r="Q122" s="113"/>
      <c r="R122" s="113"/>
      <c r="S122" s="97" t="str">
        <f>IF(SUM(D122:R122)&gt;0,SUM(D122:R122)/'Expenses w MYP'!$E86,"")</f>
        <v/>
      </c>
    </row>
    <row r="123" spans="1:19" s="31" customFormat="1" x14ac:dyDescent="0.75">
      <c r="A123" s="35"/>
      <c r="B123" s="121" t="str">
        <f>'Expenses w MYP'!C87</f>
        <v>5805</v>
      </c>
      <c r="C123" s="121" t="str">
        <f>'Expenses w MYP'!D87</f>
        <v>Legal Fees</v>
      </c>
      <c r="D123" s="62" t="str">
        <f>IF('Expenses w MYP'!$E87="","",IF('Cash Flow %s Yr1'!D123="","",'Cash Flow %s Yr1'!D123*'Expenses w MYP'!$E87))</f>
        <v/>
      </c>
      <c r="E123" s="62" t="str">
        <f>IF('Expenses w MYP'!$E87="","",IF('Cash Flow %s Yr1'!E123="","",'Cash Flow %s Yr1'!E123*'Expenses w MYP'!$E87))</f>
        <v/>
      </c>
      <c r="F123" s="62" t="str">
        <f>IF('Expenses w MYP'!$E87="","",IF('Cash Flow %s Yr1'!F123="","",'Cash Flow %s Yr1'!F123*'Expenses w MYP'!$E87))</f>
        <v/>
      </c>
      <c r="G123" s="62" t="str">
        <f>IF('Expenses w MYP'!$E87="","",IF('Cash Flow %s Yr1'!G123="","",'Cash Flow %s Yr1'!G123*'Expenses w MYP'!$E87))</f>
        <v/>
      </c>
      <c r="H123" s="62" t="str">
        <f>IF('Expenses w MYP'!$E87="","",IF('Cash Flow %s Yr1'!H123="","",'Cash Flow %s Yr1'!H123*'Expenses w MYP'!$E87))</f>
        <v/>
      </c>
      <c r="I123" s="62" t="str">
        <f>IF('Expenses w MYP'!$E87="","",IF('Cash Flow %s Yr1'!I123="","",'Cash Flow %s Yr1'!I123*'Expenses w MYP'!$E87))</f>
        <v/>
      </c>
      <c r="J123" s="62" t="str">
        <f>IF('Expenses w MYP'!$E87="","",IF('Cash Flow %s Yr1'!J123="","",'Cash Flow %s Yr1'!J123*'Expenses w MYP'!$E87))</f>
        <v/>
      </c>
      <c r="K123" s="62" t="str">
        <f>IF('Expenses w MYP'!$E87="","",IF('Cash Flow %s Yr1'!K123="","",'Cash Flow %s Yr1'!K123*'Expenses w MYP'!$E87))</f>
        <v/>
      </c>
      <c r="L123" s="62" t="str">
        <f>IF('Expenses w MYP'!$E87="","",IF('Cash Flow %s Yr1'!L123="","",'Cash Flow %s Yr1'!L123*'Expenses w MYP'!$E87))</f>
        <v/>
      </c>
      <c r="M123" s="62" t="str">
        <f>IF('Expenses w MYP'!$E87="","",IF('Cash Flow %s Yr1'!M123="","",'Cash Flow %s Yr1'!M123*'Expenses w MYP'!$E87))</f>
        <v/>
      </c>
      <c r="N123" s="62" t="str">
        <f>IF('Expenses w MYP'!$E87="","",IF('Cash Flow %s Yr1'!N123="","",'Cash Flow %s Yr1'!N123*'Expenses w MYP'!$E87))</f>
        <v/>
      </c>
      <c r="O123" s="62" t="str">
        <f>IF('Expenses w MYP'!$E87="","",IF('Cash Flow %s Yr1'!O123="","",'Cash Flow %s Yr1'!O123*'Expenses w MYP'!$E87))</f>
        <v/>
      </c>
      <c r="P123" s="113"/>
      <c r="Q123" s="113"/>
      <c r="R123" s="113"/>
      <c r="S123" s="97" t="str">
        <f>IF(SUM(D123:R123)&gt;0,SUM(D123:R123)/'Expenses w MYP'!$E87,"")</f>
        <v/>
      </c>
    </row>
    <row r="124" spans="1:19" s="31" customFormat="1" x14ac:dyDescent="0.75">
      <c r="A124" s="35"/>
      <c r="B124" s="121" t="str">
        <f>'Expenses w MYP'!C88</f>
        <v>5806</v>
      </c>
      <c r="C124" s="121" t="str">
        <f>'Expenses w MYP'!D88</f>
        <v>Audit Services</v>
      </c>
      <c r="D124" s="62" t="str">
        <f>IF('Expenses w MYP'!$E88="","",IF('Cash Flow %s Yr1'!D124="","",'Cash Flow %s Yr1'!D124*'Expenses w MYP'!$E88))</f>
        <v/>
      </c>
      <c r="E124" s="62" t="str">
        <f>IF('Expenses w MYP'!$E88="","",IF('Cash Flow %s Yr1'!E124="","",'Cash Flow %s Yr1'!E124*'Expenses w MYP'!$E88))</f>
        <v/>
      </c>
      <c r="F124" s="62" t="str">
        <f>IF('Expenses w MYP'!$E88="","",IF('Cash Flow %s Yr1'!F124="","",'Cash Flow %s Yr1'!F124*'Expenses w MYP'!$E88))</f>
        <v/>
      </c>
      <c r="G124" s="62" t="str">
        <f>IF('Expenses w MYP'!$E88="","",IF('Cash Flow %s Yr1'!G124="","",'Cash Flow %s Yr1'!G124*'Expenses w MYP'!$E88))</f>
        <v/>
      </c>
      <c r="H124" s="62" t="str">
        <f>IF('Expenses w MYP'!$E88="","",IF('Cash Flow %s Yr1'!H124="","",'Cash Flow %s Yr1'!H124*'Expenses w MYP'!$E88))</f>
        <v/>
      </c>
      <c r="I124" s="62" t="str">
        <f>IF('Expenses w MYP'!$E88="","",IF('Cash Flow %s Yr1'!I124="","",'Cash Flow %s Yr1'!I124*'Expenses w MYP'!$E88))</f>
        <v/>
      </c>
      <c r="J124" s="62" t="str">
        <f>IF('Expenses w MYP'!$E88="","",IF('Cash Flow %s Yr1'!J124="","",'Cash Flow %s Yr1'!J124*'Expenses w MYP'!$E88))</f>
        <v/>
      </c>
      <c r="K124" s="62" t="str">
        <f>IF('Expenses w MYP'!$E88="","",IF('Cash Flow %s Yr1'!K124="","",'Cash Flow %s Yr1'!K124*'Expenses w MYP'!$E88))</f>
        <v/>
      </c>
      <c r="L124" s="62" t="str">
        <f>IF('Expenses w MYP'!$E88="","",IF('Cash Flow %s Yr1'!L124="","",'Cash Flow %s Yr1'!L124*'Expenses w MYP'!$E88))</f>
        <v/>
      </c>
      <c r="M124" s="62" t="str">
        <f>IF('Expenses w MYP'!$E88="","",IF('Cash Flow %s Yr1'!M124="","",'Cash Flow %s Yr1'!M124*'Expenses w MYP'!$E88))</f>
        <v/>
      </c>
      <c r="N124" s="62" t="str">
        <f>IF('Expenses w MYP'!$E88="","",IF('Cash Flow %s Yr1'!N124="","",'Cash Flow %s Yr1'!N124*'Expenses w MYP'!$E88))</f>
        <v/>
      </c>
      <c r="O124" s="62" t="str">
        <f>IF('Expenses w MYP'!$E88="","",IF('Cash Flow %s Yr1'!O124="","",'Cash Flow %s Yr1'!O124*'Expenses w MYP'!$E88))</f>
        <v/>
      </c>
      <c r="P124" s="113"/>
      <c r="Q124" s="113"/>
      <c r="R124" s="113"/>
      <c r="S124" s="97" t="str">
        <f>IF(SUM(D124:R124)&gt;0,SUM(D124:R124)/'Expenses w MYP'!$E88,"")</f>
        <v/>
      </c>
    </row>
    <row r="125" spans="1:19" s="31" customFormat="1" x14ac:dyDescent="0.75">
      <c r="A125" s="35"/>
      <c r="B125" s="121" t="str">
        <f>'Expenses w MYP'!C91</f>
        <v>5810</v>
      </c>
      <c r="C125" s="121" t="str">
        <f>'Expenses w MYP'!D91</f>
        <v>Educational Consultants</v>
      </c>
      <c r="D125" s="62" t="str">
        <f>IF('Expenses w MYP'!$E91="","",IF('Cash Flow %s Yr1'!D125="","",'Cash Flow %s Yr1'!D125*'Expenses w MYP'!$E91))</f>
        <v/>
      </c>
      <c r="E125" s="62" t="str">
        <f>IF('Expenses w MYP'!$E91="","",IF('Cash Flow %s Yr1'!E125="","",'Cash Flow %s Yr1'!E125*'Expenses w MYP'!$E91))</f>
        <v/>
      </c>
      <c r="F125" s="62" t="str">
        <f>IF('Expenses w MYP'!$E91="","",IF('Cash Flow %s Yr1'!F125="","",'Cash Flow %s Yr1'!F125*'Expenses w MYP'!$E91))</f>
        <v/>
      </c>
      <c r="G125" s="62" t="str">
        <f>IF('Expenses w MYP'!$E91="","",IF('Cash Flow %s Yr1'!G125="","",'Cash Flow %s Yr1'!G125*'Expenses w MYP'!$E91))</f>
        <v/>
      </c>
      <c r="H125" s="62" t="str">
        <f>IF('Expenses w MYP'!$E91="","",IF('Cash Flow %s Yr1'!H125="","",'Cash Flow %s Yr1'!H125*'Expenses w MYP'!$E91))</f>
        <v/>
      </c>
      <c r="I125" s="62" t="str">
        <f>IF('Expenses w MYP'!$E91="","",IF('Cash Flow %s Yr1'!I125="","",'Cash Flow %s Yr1'!I125*'Expenses w MYP'!$E91))</f>
        <v/>
      </c>
      <c r="J125" s="62" t="str">
        <f>IF('Expenses w MYP'!$E91="","",IF('Cash Flow %s Yr1'!J125="","",'Cash Flow %s Yr1'!J125*'Expenses w MYP'!$E91))</f>
        <v/>
      </c>
      <c r="K125" s="62" t="str">
        <f>IF('Expenses w MYP'!$E91="","",IF('Cash Flow %s Yr1'!K125="","",'Cash Flow %s Yr1'!K125*'Expenses w MYP'!$E91))</f>
        <v/>
      </c>
      <c r="L125" s="62" t="str">
        <f>IF('Expenses w MYP'!$E91="","",IF('Cash Flow %s Yr1'!L125="","",'Cash Flow %s Yr1'!L125*'Expenses w MYP'!$E91))</f>
        <v/>
      </c>
      <c r="M125" s="62" t="str">
        <f>IF('Expenses w MYP'!$E91="","",IF('Cash Flow %s Yr1'!M125="","",'Cash Flow %s Yr1'!M125*'Expenses w MYP'!$E91))</f>
        <v/>
      </c>
      <c r="N125" s="62" t="str">
        <f>IF('Expenses w MYP'!$E91="","",IF('Cash Flow %s Yr1'!N125="","",'Cash Flow %s Yr1'!N125*'Expenses w MYP'!$E91))</f>
        <v/>
      </c>
      <c r="O125" s="62" t="str">
        <f>IF('Expenses w MYP'!$E91="","",IF('Cash Flow %s Yr1'!O125="","",'Cash Flow %s Yr1'!O125*'Expenses w MYP'!$E91))</f>
        <v/>
      </c>
      <c r="P125" s="113"/>
      <c r="Q125" s="113"/>
      <c r="R125" s="113"/>
      <c r="S125" s="97" t="str">
        <f>IF(SUM(D125:R125)&gt;0,SUM(D125:R125)/'Expenses w MYP'!$E91,"")</f>
        <v/>
      </c>
    </row>
    <row r="126" spans="1:19" s="31" customFormat="1" x14ac:dyDescent="0.75">
      <c r="A126" s="35"/>
      <c r="B126" s="121" t="str">
        <f>'Expenses w MYP'!C92</f>
        <v>5811</v>
      </c>
      <c r="C126" s="121" t="str">
        <f>'Expenses w MYP'!D92</f>
        <v>Student Transportation / Field Trips</v>
      </c>
      <c r="D126" s="62" t="str">
        <f>IF('Expenses w MYP'!$E92="","",IF('Cash Flow %s Yr1'!D126="","",'Cash Flow %s Yr1'!D126*'Expenses w MYP'!$E92))</f>
        <v/>
      </c>
      <c r="E126" s="62" t="str">
        <f>IF('Expenses w MYP'!$E92="","",IF('Cash Flow %s Yr1'!E126="","",'Cash Flow %s Yr1'!E126*'Expenses w MYP'!$E92))</f>
        <v/>
      </c>
      <c r="F126" s="62" t="str">
        <f>IF('Expenses w MYP'!$E92="","",IF('Cash Flow %s Yr1'!F126="","",'Cash Flow %s Yr1'!F126*'Expenses w MYP'!$E92))</f>
        <v/>
      </c>
      <c r="G126" s="62" t="str">
        <f>IF('Expenses w MYP'!$E92="","",IF('Cash Flow %s Yr1'!G126="","",'Cash Flow %s Yr1'!G126*'Expenses w MYP'!$E92))</f>
        <v/>
      </c>
      <c r="H126" s="62" t="str">
        <f>IF('Expenses w MYP'!$E92="","",IF('Cash Flow %s Yr1'!H126="","",'Cash Flow %s Yr1'!H126*'Expenses w MYP'!$E92))</f>
        <v/>
      </c>
      <c r="I126" s="62" t="str">
        <f>IF('Expenses w MYP'!$E92="","",IF('Cash Flow %s Yr1'!I126="","",'Cash Flow %s Yr1'!I126*'Expenses w MYP'!$E92))</f>
        <v/>
      </c>
      <c r="J126" s="62" t="str">
        <f>IF('Expenses w MYP'!$E92="","",IF('Cash Flow %s Yr1'!J126="","",'Cash Flow %s Yr1'!J126*'Expenses w MYP'!$E92))</f>
        <v/>
      </c>
      <c r="K126" s="62" t="str">
        <f>IF('Expenses w MYP'!$E92="","",IF('Cash Flow %s Yr1'!K126="","",'Cash Flow %s Yr1'!K126*'Expenses w MYP'!$E92))</f>
        <v/>
      </c>
      <c r="L126" s="62" t="str">
        <f>IF('Expenses w MYP'!$E92="","",IF('Cash Flow %s Yr1'!L126="","",'Cash Flow %s Yr1'!L126*'Expenses w MYP'!$E92))</f>
        <v/>
      </c>
      <c r="M126" s="62" t="str">
        <f>IF('Expenses w MYP'!$E92="","",IF('Cash Flow %s Yr1'!M126="","",'Cash Flow %s Yr1'!M126*'Expenses w MYP'!$E92))</f>
        <v/>
      </c>
      <c r="N126" s="62" t="str">
        <f>IF('Expenses w MYP'!$E92="","",IF('Cash Flow %s Yr1'!N126="","",'Cash Flow %s Yr1'!N126*'Expenses w MYP'!$E92))</f>
        <v/>
      </c>
      <c r="O126" s="62" t="str">
        <f>IF('Expenses w MYP'!$E92="","",IF('Cash Flow %s Yr1'!O126="","",'Cash Flow %s Yr1'!O126*'Expenses w MYP'!$E92))</f>
        <v/>
      </c>
      <c r="P126" s="113"/>
      <c r="Q126" s="113"/>
      <c r="R126" s="113"/>
      <c r="S126" s="97" t="str">
        <f>IF(SUM(D126:R126)&gt;0,SUM(D126:R126)/'Expenses w MYP'!$E92,"")</f>
        <v/>
      </c>
    </row>
    <row r="127" spans="1:19" s="31" customFormat="1" x14ac:dyDescent="0.75">
      <c r="A127" s="35"/>
      <c r="B127" s="121" t="str">
        <f>'Expenses w MYP'!C94</f>
        <v>5815</v>
      </c>
      <c r="C127" s="121" t="str">
        <f>'Expenses w MYP'!D94</f>
        <v>Advertising / Recruiting</v>
      </c>
      <c r="D127" s="62" t="str">
        <f>IF('Expenses w MYP'!$E94="","",IF('Cash Flow %s Yr1'!D127="","",'Cash Flow %s Yr1'!D127*'Expenses w MYP'!$E94))</f>
        <v/>
      </c>
      <c r="E127" s="62" t="str">
        <f>IF('Expenses w MYP'!$E94="","",IF('Cash Flow %s Yr1'!E127="","",'Cash Flow %s Yr1'!E127*'Expenses w MYP'!$E94))</f>
        <v/>
      </c>
      <c r="F127" s="62" t="str">
        <f>IF('Expenses w MYP'!$E94="","",IF('Cash Flow %s Yr1'!F127="","",'Cash Flow %s Yr1'!F127*'Expenses w MYP'!$E94))</f>
        <v/>
      </c>
      <c r="G127" s="62" t="str">
        <f>IF('Expenses w MYP'!$E94="","",IF('Cash Flow %s Yr1'!G127="","",'Cash Flow %s Yr1'!G127*'Expenses w MYP'!$E94))</f>
        <v/>
      </c>
      <c r="H127" s="62" t="str">
        <f>IF('Expenses w MYP'!$E94="","",IF('Cash Flow %s Yr1'!H127="","",'Cash Flow %s Yr1'!H127*'Expenses w MYP'!$E94))</f>
        <v/>
      </c>
      <c r="I127" s="62" t="str">
        <f>IF('Expenses w MYP'!$E94="","",IF('Cash Flow %s Yr1'!I127="","",'Cash Flow %s Yr1'!I127*'Expenses w MYP'!$E94))</f>
        <v/>
      </c>
      <c r="J127" s="62" t="str">
        <f>IF('Expenses w MYP'!$E94="","",IF('Cash Flow %s Yr1'!J127="","",'Cash Flow %s Yr1'!J127*'Expenses w MYP'!$E94))</f>
        <v/>
      </c>
      <c r="K127" s="62" t="str">
        <f>IF('Expenses w MYP'!$E94="","",IF('Cash Flow %s Yr1'!K127="","",'Cash Flow %s Yr1'!K127*'Expenses w MYP'!$E94))</f>
        <v/>
      </c>
      <c r="L127" s="62" t="str">
        <f>IF('Expenses w MYP'!$E94="","",IF('Cash Flow %s Yr1'!L127="","",'Cash Flow %s Yr1'!L127*'Expenses w MYP'!$E94))</f>
        <v/>
      </c>
      <c r="M127" s="62" t="str">
        <f>IF('Expenses w MYP'!$E94="","",IF('Cash Flow %s Yr1'!M127="","",'Cash Flow %s Yr1'!M127*'Expenses w MYP'!$E94))</f>
        <v/>
      </c>
      <c r="N127" s="62" t="str">
        <f>IF('Expenses w MYP'!$E94="","",IF('Cash Flow %s Yr1'!N127="","",'Cash Flow %s Yr1'!N127*'Expenses w MYP'!$E94))</f>
        <v/>
      </c>
      <c r="O127" s="62" t="str">
        <f>IF('Expenses w MYP'!$E94="","",IF('Cash Flow %s Yr1'!O127="","",'Cash Flow %s Yr1'!O127*'Expenses w MYP'!$E94))</f>
        <v/>
      </c>
      <c r="P127" s="113"/>
      <c r="Q127" s="113"/>
      <c r="R127" s="113"/>
      <c r="S127" s="97" t="str">
        <f>IF(SUM(D127:R127)&gt;0,SUM(D127:R127)/'Expenses w MYP'!$E94,"")</f>
        <v/>
      </c>
    </row>
    <row r="128" spans="1:19" s="31" customFormat="1" x14ac:dyDescent="0.75">
      <c r="A128" s="35"/>
      <c r="B128" s="121" t="str">
        <f>'Expenses w MYP'!C95</f>
        <v>5820</v>
      </c>
      <c r="C128" s="121" t="str">
        <f>'Expenses w MYP'!D95</f>
        <v>Fundraising Expense</v>
      </c>
      <c r="D128" s="62" t="str">
        <f>IF('Expenses w MYP'!$E95="","",IF('Cash Flow %s Yr1'!D128="","",'Cash Flow %s Yr1'!D128*'Expenses w MYP'!$E95))</f>
        <v/>
      </c>
      <c r="E128" s="62" t="str">
        <f>IF('Expenses w MYP'!$E95="","",IF('Cash Flow %s Yr1'!E128="","",'Cash Flow %s Yr1'!E128*'Expenses w MYP'!$E95))</f>
        <v/>
      </c>
      <c r="F128" s="62" t="str">
        <f>IF('Expenses w MYP'!$E95="","",IF('Cash Flow %s Yr1'!F128="","",'Cash Flow %s Yr1'!F128*'Expenses w MYP'!$E95))</f>
        <v/>
      </c>
      <c r="G128" s="62" t="str">
        <f>IF('Expenses w MYP'!$E95="","",IF('Cash Flow %s Yr1'!G128="","",'Cash Flow %s Yr1'!G128*'Expenses w MYP'!$E95))</f>
        <v/>
      </c>
      <c r="H128" s="62" t="str">
        <f>IF('Expenses w MYP'!$E95="","",IF('Cash Flow %s Yr1'!H128="","",'Cash Flow %s Yr1'!H128*'Expenses w MYP'!$E95))</f>
        <v/>
      </c>
      <c r="I128" s="62" t="str">
        <f>IF('Expenses w MYP'!$E95="","",IF('Cash Flow %s Yr1'!I128="","",'Cash Flow %s Yr1'!I128*'Expenses w MYP'!$E95))</f>
        <v/>
      </c>
      <c r="J128" s="62" t="str">
        <f>IF('Expenses w MYP'!$E95="","",IF('Cash Flow %s Yr1'!J128="","",'Cash Flow %s Yr1'!J128*'Expenses w MYP'!$E95))</f>
        <v/>
      </c>
      <c r="K128" s="62" t="str">
        <f>IF('Expenses w MYP'!$E95="","",IF('Cash Flow %s Yr1'!K128="","",'Cash Flow %s Yr1'!K128*'Expenses w MYP'!$E95))</f>
        <v/>
      </c>
      <c r="L128" s="62" t="str">
        <f>IF('Expenses w MYP'!$E95="","",IF('Cash Flow %s Yr1'!L128="","",'Cash Flow %s Yr1'!L128*'Expenses w MYP'!$E95))</f>
        <v/>
      </c>
      <c r="M128" s="62" t="str">
        <f>IF('Expenses w MYP'!$E95="","",IF('Cash Flow %s Yr1'!M128="","",'Cash Flow %s Yr1'!M128*'Expenses w MYP'!$E95))</f>
        <v/>
      </c>
      <c r="N128" s="62" t="str">
        <f>IF('Expenses w MYP'!$E95="","",IF('Cash Flow %s Yr1'!N128="","",'Cash Flow %s Yr1'!N128*'Expenses w MYP'!$E95))</f>
        <v/>
      </c>
      <c r="O128" s="62" t="str">
        <f>IF('Expenses w MYP'!$E95="","",IF('Cash Flow %s Yr1'!O128="","",'Cash Flow %s Yr1'!O128*'Expenses w MYP'!$E95))</f>
        <v/>
      </c>
      <c r="P128" s="113"/>
      <c r="Q128" s="113"/>
      <c r="R128" s="113"/>
      <c r="S128" s="97" t="str">
        <f>IF(SUM(D128:R128)&gt;0,SUM(D128:R128)/'Expenses w MYP'!$E95,"")</f>
        <v/>
      </c>
    </row>
    <row r="129" spans="1:19" s="31" customFormat="1" x14ac:dyDescent="0.75">
      <c r="A129" s="35"/>
      <c r="B129" s="121" t="str">
        <f>'Expenses w MYP'!C97</f>
        <v>5873</v>
      </c>
      <c r="C129" s="121" t="str">
        <f>'Expenses w MYP'!D97</f>
        <v>Financial Services</v>
      </c>
      <c r="D129" s="62" t="str">
        <f>IF('Expenses w MYP'!$E97="","",IF('Cash Flow %s Yr1'!D129="","",'Cash Flow %s Yr1'!D129*'Expenses w MYP'!$E97))</f>
        <v/>
      </c>
      <c r="E129" s="62" t="str">
        <f>IF('Expenses w MYP'!$E97="","",IF('Cash Flow %s Yr1'!E129="","",'Cash Flow %s Yr1'!E129*'Expenses w MYP'!$E97))</f>
        <v/>
      </c>
      <c r="F129" s="62" t="str">
        <f>IF('Expenses w MYP'!$E97="","",IF('Cash Flow %s Yr1'!F129="","",'Cash Flow %s Yr1'!F129*'Expenses w MYP'!$E97))</f>
        <v/>
      </c>
      <c r="G129" s="62" t="str">
        <f>IF('Expenses w MYP'!$E97="","",IF('Cash Flow %s Yr1'!G129="","",'Cash Flow %s Yr1'!G129*'Expenses w MYP'!$E97))</f>
        <v/>
      </c>
      <c r="H129" s="62" t="str">
        <f>IF('Expenses w MYP'!$E97="","",IF('Cash Flow %s Yr1'!H129="","",'Cash Flow %s Yr1'!H129*'Expenses w MYP'!$E97))</f>
        <v/>
      </c>
      <c r="I129" s="62" t="str">
        <f>IF('Expenses w MYP'!$E97="","",IF('Cash Flow %s Yr1'!I129="","",'Cash Flow %s Yr1'!I129*'Expenses w MYP'!$E97))</f>
        <v/>
      </c>
      <c r="J129" s="62" t="str">
        <f>IF('Expenses w MYP'!$E97="","",IF('Cash Flow %s Yr1'!J129="","",'Cash Flow %s Yr1'!J129*'Expenses w MYP'!$E97))</f>
        <v/>
      </c>
      <c r="K129" s="62" t="str">
        <f>IF('Expenses w MYP'!$E97="","",IF('Cash Flow %s Yr1'!K129="","",'Cash Flow %s Yr1'!K129*'Expenses w MYP'!$E97))</f>
        <v/>
      </c>
      <c r="L129" s="62" t="str">
        <f>IF('Expenses w MYP'!$E97="","",IF('Cash Flow %s Yr1'!L129="","",'Cash Flow %s Yr1'!L129*'Expenses w MYP'!$E97))</f>
        <v/>
      </c>
      <c r="M129" s="62" t="str">
        <f>IF('Expenses w MYP'!$E97="","",IF('Cash Flow %s Yr1'!M129="","",'Cash Flow %s Yr1'!M129*'Expenses w MYP'!$E97))</f>
        <v/>
      </c>
      <c r="N129" s="62" t="str">
        <f>IF('Expenses w MYP'!$E97="","",IF('Cash Flow %s Yr1'!N129="","",'Cash Flow %s Yr1'!N129*'Expenses w MYP'!$E97))</f>
        <v/>
      </c>
      <c r="O129" s="62" t="str">
        <f>IF('Expenses w MYP'!$E97="","",IF('Cash Flow %s Yr1'!O129="","",'Cash Flow %s Yr1'!O129*'Expenses w MYP'!$E97))</f>
        <v/>
      </c>
      <c r="P129" s="113"/>
      <c r="Q129" s="113"/>
      <c r="R129" s="113"/>
      <c r="S129" s="97" t="str">
        <f>IF(SUM(D129:R129)&gt;0,SUM(D129:R129)/'Expenses w MYP'!$E97,"")</f>
        <v/>
      </c>
    </row>
    <row r="130" spans="1:19" s="31" customFormat="1" x14ac:dyDescent="0.75">
      <c r="A130" s="35"/>
      <c r="B130" s="121" t="str">
        <f>'Expenses w MYP'!C98</f>
        <v>5874</v>
      </c>
      <c r="C130" s="121" t="str">
        <f>'Expenses w MYP'!D98</f>
        <v>Personnel Services</v>
      </c>
      <c r="D130" s="62" t="str">
        <f>IF('Expenses w MYP'!$E98="","",IF('Cash Flow %s Yr1'!D130="","",'Cash Flow %s Yr1'!D130*'Expenses w MYP'!$E98))</f>
        <v/>
      </c>
      <c r="E130" s="62" t="str">
        <f>IF('Expenses w MYP'!$E98="","",IF('Cash Flow %s Yr1'!E130="","",'Cash Flow %s Yr1'!E130*'Expenses w MYP'!$E98))</f>
        <v/>
      </c>
      <c r="F130" s="62" t="str">
        <f>IF('Expenses w MYP'!$E98="","",IF('Cash Flow %s Yr1'!F130="","",'Cash Flow %s Yr1'!F130*'Expenses w MYP'!$E98))</f>
        <v/>
      </c>
      <c r="G130" s="62" t="str">
        <f>IF('Expenses w MYP'!$E98="","",IF('Cash Flow %s Yr1'!G130="","",'Cash Flow %s Yr1'!G130*'Expenses w MYP'!$E98))</f>
        <v/>
      </c>
      <c r="H130" s="62" t="str">
        <f>IF('Expenses w MYP'!$E98="","",IF('Cash Flow %s Yr1'!H130="","",'Cash Flow %s Yr1'!H130*'Expenses w MYP'!$E98))</f>
        <v/>
      </c>
      <c r="I130" s="62" t="str">
        <f>IF('Expenses w MYP'!$E98="","",IF('Cash Flow %s Yr1'!I130="","",'Cash Flow %s Yr1'!I130*'Expenses w MYP'!$E98))</f>
        <v/>
      </c>
      <c r="J130" s="62" t="str">
        <f>IF('Expenses w MYP'!$E98="","",IF('Cash Flow %s Yr1'!J130="","",'Cash Flow %s Yr1'!J130*'Expenses w MYP'!$E98))</f>
        <v/>
      </c>
      <c r="K130" s="62" t="str">
        <f>IF('Expenses w MYP'!$E98="","",IF('Cash Flow %s Yr1'!K130="","",'Cash Flow %s Yr1'!K130*'Expenses w MYP'!$E98))</f>
        <v/>
      </c>
      <c r="L130" s="62" t="str">
        <f>IF('Expenses w MYP'!$E98="","",IF('Cash Flow %s Yr1'!L130="","",'Cash Flow %s Yr1'!L130*'Expenses w MYP'!$E98))</f>
        <v/>
      </c>
      <c r="M130" s="62" t="str">
        <f>IF('Expenses w MYP'!$E98="","",IF('Cash Flow %s Yr1'!M130="","",'Cash Flow %s Yr1'!M130*'Expenses w MYP'!$E98))</f>
        <v/>
      </c>
      <c r="N130" s="62" t="str">
        <f>IF('Expenses w MYP'!$E98="","",IF('Cash Flow %s Yr1'!N130="","",'Cash Flow %s Yr1'!N130*'Expenses w MYP'!$E98))</f>
        <v/>
      </c>
      <c r="O130" s="62" t="str">
        <f>IF('Expenses w MYP'!$E98="","",IF('Cash Flow %s Yr1'!O130="","",'Cash Flow %s Yr1'!O130*'Expenses w MYP'!$E98))</f>
        <v/>
      </c>
      <c r="P130" s="113"/>
      <c r="Q130" s="113"/>
      <c r="R130" s="113"/>
      <c r="S130" s="97" t="str">
        <f>IF(SUM(D130:R130)&gt;0,SUM(D130:R130)/'Expenses w MYP'!$E98,"")</f>
        <v/>
      </c>
    </row>
    <row r="131" spans="1:19" s="31" customFormat="1" hidden="1" outlineLevel="1" x14ac:dyDescent="0.75">
      <c r="A131" s="35"/>
      <c r="B131" s="121" t="str">
        <f>'Expenses w MYP'!C99</f>
        <v>5875</v>
      </c>
      <c r="C131" s="121" t="str">
        <f>'Expenses w MYP'!D99</f>
        <v>District Oversight Fee</v>
      </c>
      <c r="D131" s="62" t="str">
        <f>IF('Expenses w MYP'!$E99="","",IF('Cash Flow %s Yr1'!D131="","",'Cash Flow %s Yr1'!D131*'Expenses w MYP'!$E99))</f>
        <v/>
      </c>
      <c r="E131" s="62" t="str">
        <f>IF('Expenses w MYP'!$E99="","",IF('Cash Flow %s Yr1'!E131="","",'Cash Flow %s Yr1'!E131*'Expenses w MYP'!$E99))</f>
        <v/>
      </c>
      <c r="F131" s="62" t="str">
        <f>IF('Expenses w MYP'!$E99="","",IF('Cash Flow %s Yr1'!F131="","",'Cash Flow %s Yr1'!F131*'Expenses w MYP'!$E99))</f>
        <v/>
      </c>
      <c r="G131" s="62" t="str">
        <f>IF('Expenses w MYP'!$E99="","",IF('Cash Flow %s Yr1'!G131="","",'Cash Flow %s Yr1'!G131*'Expenses w MYP'!$E99))</f>
        <v/>
      </c>
      <c r="H131" s="62" t="str">
        <f>IF('Expenses w MYP'!$E99="","",IF('Cash Flow %s Yr1'!H131="","",'Cash Flow %s Yr1'!H131*'Expenses w MYP'!$E99))</f>
        <v/>
      </c>
      <c r="I131" s="62" t="str">
        <f>IF('Expenses w MYP'!$E99="","",IF('Cash Flow %s Yr1'!I131="","",'Cash Flow %s Yr1'!I131*'Expenses w MYP'!$E99))</f>
        <v/>
      </c>
      <c r="J131" s="62" t="str">
        <f>IF('Expenses w MYP'!$E99="","",IF('Cash Flow %s Yr1'!J131="","",'Cash Flow %s Yr1'!J131*'Expenses w MYP'!$E99))</f>
        <v/>
      </c>
      <c r="K131" s="62" t="str">
        <f>IF('Expenses w MYP'!$E99="","",IF('Cash Flow %s Yr1'!K131="","",'Cash Flow %s Yr1'!K131*'Expenses w MYP'!$E99))</f>
        <v/>
      </c>
      <c r="L131" s="62" t="str">
        <f>IF('Expenses w MYP'!$E99="","",IF('Cash Flow %s Yr1'!L131="","",'Cash Flow %s Yr1'!L131*'Expenses w MYP'!$E99))</f>
        <v/>
      </c>
      <c r="M131" s="62" t="str">
        <f>IF('Expenses w MYP'!$E99="","",IF('Cash Flow %s Yr1'!M131="","",'Cash Flow %s Yr1'!M131*'Expenses w MYP'!$E99))</f>
        <v/>
      </c>
      <c r="N131" s="62" t="str">
        <f>IF('Expenses w MYP'!$E99="","",IF('Cash Flow %s Yr1'!N131="","",'Cash Flow %s Yr1'!N131*'Expenses w MYP'!$E99))</f>
        <v/>
      </c>
      <c r="O131" s="62" t="str">
        <f>IF('Expenses w MYP'!$E99="","",IF('Cash Flow %s Yr1'!O131="","",'Cash Flow %s Yr1'!O131*'Expenses w MYP'!$E99))</f>
        <v/>
      </c>
      <c r="P131" s="113"/>
      <c r="Q131" s="113"/>
      <c r="R131" s="113"/>
      <c r="S131" s="97" t="str">
        <f>IF(SUM(D131:R131)&gt;0,SUM(D131:R131)/'Expenses w MYP'!$E99,"")</f>
        <v/>
      </c>
    </row>
    <row r="132" spans="1:19" s="31" customFormat="1" hidden="1" outlineLevel="1" x14ac:dyDescent="0.75">
      <c r="A132" s="35"/>
      <c r="B132" s="121" t="str">
        <f>'Expenses w MYP'!C100</f>
        <v>5877</v>
      </c>
      <c r="C132" s="121" t="str">
        <f>'Expenses w MYP'!D100</f>
        <v>IT Services</v>
      </c>
      <c r="D132" s="62" t="str">
        <f>IF('Expenses w MYP'!$E100="","",IF('Cash Flow %s Yr1'!D132="","",'Cash Flow %s Yr1'!D132*'Expenses w MYP'!$E100))</f>
        <v/>
      </c>
      <c r="E132" s="62" t="str">
        <f>IF('Expenses w MYP'!$E100="","",IF('Cash Flow %s Yr1'!E132="","",'Cash Flow %s Yr1'!E132*'Expenses w MYP'!$E100))</f>
        <v/>
      </c>
      <c r="F132" s="62" t="str">
        <f>IF('Expenses w MYP'!$E100="","",IF('Cash Flow %s Yr1'!F132="","",'Cash Flow %s Yr1'!F132*'Expenses w MYP'!$E100))</f>
        <v/>
      </c>
      <c r="G132" s="62" t="str">
        <f>IF('Expenses w MYP'!$E100="","",IF('Cash Flow %s Yr1'!G132="","",'Cash Flow %s Yr1'!G132*'Expenses w MYP'!$E100))</f>
        <v/>
      </c>
      <c r="H132" s="62" t="str">
        <f>IF('Expenses w MYP'!$E100="","",IF('Cash Flow %s Yr1'!H132="","",'Cash Flow %s Yr1'!H132*'Expenses w MYP'!$E100))</f>
        <v/>
      </c>
      <c r="I132" s="62" t="str">
        <f>IF('Expenses w MYP'!$E100="","",IF('Cash Flow %s Yr1'!I132="","",'Cash Flow %s Yr1'!I132*'Expenses w MYP'!$E100))</f>
        <v/>
      </c>
      <c r="J132" s="62" t="str">
        <f>IF('Expenses w MYP'!$E100="","",IF('Cash Flow %s Yr1'!J132="","",'Cash Flow %s Yr1'!J132*'Expenses w MYP'!$E100))</f>
        <v/>
      </c>
      <c r="K132" s="62" t="str">
        <f>IF('Expenses w MYP'!$E100="","",IF('Cash Flow %s Yr1'!K132="","",'Cash Flow %s Yr1'!K132*'Expenses w MYP'!$E100))</f>
        <v/>
      </c>
      <c r="L132" s="62" t="str">
        <f>IF('Expenses w MYP'!$E100="","",IF('Cash Flow %s Yr1'!L132="","",'Cash Flow %s Yr1'!L132*'Expenses w MYP'!$E100))</f>
        <v/>
      </c>
      <c r="M132" s="62" t="str">
        <f>IF('Expenses w MYP'!$E100="","",IF('Cash Flow %s Yr1'!M132="","",'Cash Flow %s Yr1'!M132*'Expenses w MYP'!$E100))</f>
        <v/>
      </c>
      <c r="N132" s="62" t="str">
        <f>IF('Expenses w MYP'!$E100="","",IF('Cash Flow %s Yr1'!N132="","",'Cash Flow %s Yr1'!N132*'Expenses w MYP'!$E100))</f>
        <v/>
      </c>
      <c r="O132" s="62" t="str">
        <f>IF('Expenses w MYP'!$E100="","",IF('Cash Flow %s Yr1'!O132="","",'Cash Flow %s Yr1'!O132*'Expenses w MYP'!$E100))</f>
        <v/>
      </c>
      <c r="P132" s="113"/>
      <c r="Q132" s="113"/>
      <c r="R132" s="113"/>
      <c r="S132" s="97" t="str">
        <f>IF(SUM(D132:R132)&gt;0,SUM(D132:R132)/'Expenses w MYP'!$E100,"")</f>
        <v/>
      </c>
    </row>
    <row r="133" spans="1:19" s="31" customFormat="1" hidden="1" outlineLevel="1" x14ac:dyDescent="0.75">
      <c r="A133" s="35"/>
      <c r="B133" s="121" t="str">
        <f>'Expenses w MYP'!C101</f>
        <v>5890</v>
      </c>
      <c r="C133" s="121" t="str">
        <f>'Expenses w MYP'!D101</f>
        <v>Interest Expense / Misc. Fees</v>
      </c>
      <c r="D133" s="62" t="str">
        <f>IF('Expenses w MYP'!$E101="","",IF('Cash Flow %s Yr1'!D133="","",'Cash Flow %s Yr1'!D133*'Expenses w MYP'!$E101))</f>
        <v/>
      </c>
      <c r="E133" s="62" t="str">
        <f>IF('Expenses w MYP'!$E101="","",IF('Cash Flow %s Yr1'!E133="","",'Cash Flow %s Yr1'!E133*'Expenses w MYP'!$E101))</f>
        <v/>
      </c>
      <c r="F133" s="62" t="str">
        <f>IF('Expenses w MYP'!$E101="","",IF('Cash Flow %s Yr1'!F133="","",'Cash Flow %s Yr1'!F133*'Expenses w MYP'!$E101))</f>
        <v/>
      </c>
      <c r="G133" s="62" t="str">
        <f>IF('Expenses w MYP'!$E101="","",IF('Cash Flow %s Yr1'!G133="","",'Cash Flow %s Yr1'!G133*'Expenses w MYP'!$E101))</f>
        <v/>
      </c>
      <c r="H133" s="62" t="str">
        <f>IF('Expenses w MYP'!$E101="","",IF('Cash Flow %s Yr1'!H133="","",'Cash Flow %s Yr1'!H133*'Expenses w MYP'!$E101))</f>
        <v/>
      </c>
      <c r="I133" s="62" t="str">
        <f>IF('Expenses w MYP'!$E101="","",IF('Cash Flow %s Yr1'!I133="","",'Cash Flow %s Yr1'!I133*'Expenses w MYP'!$E101))</f>
        <v/>
      </c>
      <c r="J133" s="62" t="str">
        <f>IF('Expenses w MYP'!$E101="","",IF('Cash Flow %s Yr1'!J133="","",'Cash Flow %s Yr1'!J133*'Expenses w MYP'!$E101))</f>
        <v/>
      </c>
      <c r="K133" s="62" t="str">
        <f>IF('Expenses w MYP'!$E101="","",IF('Cash Flow %s Yr1'!K133="","",'Cash Flow %s Yr1'!K133*'Expenses w MYP'!$E101))</f>
        <v/>
      </c>
      <c r="L133" s="62" t="str">
        <f>IF('Expenses w MYP'!$E101="","",IF('Cash Flow %s Yr1'!L133="","",'Cash Flow %s Yr1'!L133*'Expenses w MYP'!$E101))</f>
        <v/>
      </c>
      <c r="M133" s="62" t="str">
        <f>IF('Expenses w MYP'!$E101="","",IF('Cash Flow %s Yr1'!M133="","",'Cash Flow %s Yr1'!M133*'Expenses w MYP'!$E101))</f>
        <v/>
      </c>
      <c r="N133" s="62" t="str">
        <f>IF('Expenses w MYP'!$E101="","",IF('Cash Flow %s Yr1'!N133="","",'Cash Flow %s Yr1'!N133*'Expenses w MYP'!$E101))</f>
        <v/>
      </c>
      <c r="O133" s="62" t="str">
        <f>IF('Expenses w MYP'!$E101="","",IF('Cash Flow %s Yr1'!O133="","",'Cash Flow %s Yr1'!O133*'Expenses w MYP'!$E101))</f>
        <v/>
      </c>
      <c r="P133" s="113"/>
      <c r="Q133" s="113"/>
      <c r="R133" s="113"/>
      <c r="S133" s="97" t="str">
        <f>IF(SUM(D133:R133)&gt;0,SUM(D133:R133)/'Expenses w MYP'!$E101,"")</f>
        <v/>
      </c>
    </row>
    <row r="134" spans="1:19" s="31" customFormat="1" hidden="1" outlineLevel="1" x14ac:dyDescent="0.75">
      <c r="A134" s="35"/>
      <c r="B134" s="121" t="str">
        <f>'Expenses w MYP'!C102</f>
        <v>5891</v>
      </c>
      <c r="C134" s="121" t="str">
        <f>'Expenses w MYP'!D102</f>
        <v>CSC Borrowing Fees</v>
      </c>
      <c r="D134" s="62" t="str">
        <f>IF('Expenses w MYP'!$E102="","",IF('Cash Flow %s Yr1'!D134="","",'Cash Flow %s Yr1'!D134*'Expenses w MYP'!$E102))</f>
        <v/>
      </c>
      <c r="E134" s="62" t="str">
        <f>IF('Expenses w MYP'!$E102="","",IF('Cash Flow %s Yr1'!E134="","",'Cash Flow %s Yr1'!E134*'Expenses w MYP'!$E102))</f>
        <v/>
      </c>
      <c r="F134" s="62" t="str">
        <f>IF('Expenses w MYP'!$E102="","",IF('Cash Flow %s Yr1'!F134="","",'Cash Flow %s Yr1'!F134*'Expenses w MYP'!$E102))</f>
        <v/>
      </c>
      <c r="G134" s="62" t="str">
        <f>IF('Expenses w MYP'!$E102="","",IF('Cash Flow %s Yr1'!G134="","",'Cash Flow %s Yr1'!G134*'Expenses w MYP'!$E102))</f>
        <v/>
      </c>
      <c r="H134" s="62" t="str">
        <f>IF('Expenses w MYP'!$E102="","",IF('Cash Flow %s Yr1'!H134="","",'Cash Flow %s Yr1'!H134*'Expenses w MYP'!$E102))</f>
        <v/>
      </c>
      <c r="I134" s="62" t="str">
        <f>IF('Expenses w MYP'!$E102="","",IF('Cash Flow %s Yr1'!I134="","",'Cash Flow %s Yr1'!I134*'Expenses w MYP'!$E102))</f>
        <v/>
      </c>
      <c r="J134" s="62" t="str">
        <f>IF('Expenses w MYP'!$E102="","",IF('Cash Flow %s Yr1'!J134="","",'Cash Flow %s Yr1'!J134*'Expenses w MYP'!$E102))</f>
        <v/>
      </c>
      <c r="K134" s="62" t="str">
        <f>IF('Expenses w MYP'!$E102="","",IF('Cash Flow %s Yr1'!K134="","",'Cash Flow %s Yr1'!K134*'Expenses w MYP'!$E102))</f>
        <v/>
      </c>
      <c r="L134" s="62" t="str">
        <f>IF('Expenses w MYP'!$E102="","",IF('Cash Flow %s Yr1'!L134="","",'Cash Flow %s Yr1'!L134*'Expenses w MYP'!$E102))</f>
        <v/>
      </c>
      <c r="M134" s="62" t="str">
        <f>IF('Expenses w MYP'!$E102="","",IF('Cash Flow %s Yr1'!M134="","",'Cash Flow %s Yr1'!M134*'Expenses w MYP'!$E102))</f>
        <v/>
      </c>
      <c r="N134" s="62" t="str">
        <f>IF('Expenses w MYP'!$E102="","",IF('Cash Flow %s Yr1'!N134="","",'Cash Flow %s Yr1'!N134*'Expenses w MYP'!$E102))</f>
        <v/>
      </c>
      <c r="O134" s="62" t="str">
        <f>IF('Expenses w MYP'!$E102="","",IF('Cash Flow %s Yr1'!O134="","",'Cash Flow %s Yr1'!O134*'Expenses w MYP'!$E102))</f>
        <v/>
      </c>
      <c r="P134" s="113"/>
      <c r="Q134" s="113"/>
      <c r="R134" s="113"/>
      <c r="S134" s="97" t="str">
        <f>IF(SUM(D134:R134)&gt;0,SUM(D134:R134)/'Expenses w MYP'!$E102,"")</f>
        <v/>
      </c>
    </row>
    <row r="135" spans="1:19" s="31" customFormat="1" hidden="1" outlineLevel="1" x14ac:dyDescent="0.75">
      <c r="A135" s="35"/>
      <c r="B135" s="121" t="str">
        <f>'Expenses w MYP'!C103</f>
        <v>5900</v>
      </c>
      <c r="C135" s="121" t="str">
        <f>'Expenses w MYP'!D103</f>
        <v>Communications</v>
      </c>
      <c r="D135" s="62" t="str">
        <f>IF('Expenses w MYP'!$E103="","",IF('Cash Flow %s Yr1'!D135="","",'Cash Flow %s Yr1'!D135*'Expenses w MYP'!$E103))</f>
        <v/>
      </c>
      <c r="E135" s="62" t="str">
        <f>IF('Expenses w MYP'!$E103="","",IF('Cash Flow %s Yr1'!E135="","",'Cash Flow %s Yr1'!E135*'Expenses w MYP'!$E103))</f>
        <v/>
      </c>
      <c r="F135" s="62" t="str">
        <f>IF('Expenses w MYP'!$E103="","",IF('Cash Flow %s Yr1'!F135="","",'Cash Flow %s Yr1'!F135*'Expenses w MYP'!$E103))</f>
        <v/>
      </c>
      <c r="G135" s="62" t="str">
        <f>IF('Expenses w MYP'!$E103="","",IF('Cash Flow %s Yr1'!G135="","",'Cash Flow %s Yr1'!G135*'Expenses w MYP'!$E103))</f>
        <v/>
      </c>
      <c r="H135" s="62" t="str">
        <f>IF('Expenses w MYP'!$E103="","",IF('Cash Flow %s Yr1'!H135="","",'Cash Flow %s Yr1'!H135*'Expenses w MYP'!$E103))</f>
        <v/>
      </c>
      <c r="I135" s="62" t="str">
        <f>IF('Expenses w MYP'!$E103="","",IF('Cash Flow %s Yr1'!I135="","",'Cash Flow %s Yr1'!I135*'Expenses w MYP'!$E103))</f>
        <v/>
      </c>
      <c r="J135" s="62" t="str">
        <f>IF('Expenses w MYP'!$E103="","",IF('Cash Flow %s Yr1'!J135="","",'Cash Flow %s Yr1'!J135*'Expenses w MYP'!$E103))</f>
        <v/>
      </c>
      <c r="K135" s="62" t="str">
        <f>IF('Expenses w MYP'!$E103="","",IF('Cash Flow %s Yr1'!K135="","",'Cash Flow %s Yr1'!K135*'Expenses w MYP'!$E103))</f>
        <v/>
      </c>
      <c r="L135" s="62" t="str">
        <f>IF('Expenses w MYP'!$E103="","",IF('Cash Flow %s Yr1'!L135="","",'Cash Flow %s Yr1'!L135*'Expenses w MYP'!$E103))</f>
        <v/>
      </c>
      <c r="M135" s="62" t="str">
        <f>IF('Expenses w MYP'!$E103="","",IF('Cash Flow %s Yr1'!M135="","",'Cash Flow %s Yr1'!M135*'Expenses w MYP'!$E103))</f>
        <v/>
      </c>
      <c r="N135" s="62" t="str">
        <f>IF('Expenses w MYP'!$E103="","",IF('Cash Flow %s Yr1'!N135="","",'Cash Flow %s Yr1'!N135*'Expenses w MYP'!$E103))</f>
        <v/>
      </c>
      <c r="O135" s="62" t="str">
        <f>IF('Expenses w MYP'!$E103="","",IF('Cash Flow %s Yr1'!O135="","",'Cash Flow %s Yr1'!O135*'Expenses w MYP'!$E103))</f>
        <v/>
      </c>
      <c r="P135" s="113"/>
      <c r="Q135" s="113"/>
      <c r="R135" s="113"/>
      <c r="S135" s="97" t="str">
        <f>IF(SUM(D135:R135)&gt;0,SUM(D135:R135)/'Expenses w MYP'!$E103,"")</f>
        <v/>
      </c>
    </row>
    <row r="136" spans="1:19" s="31" customFormat="1" hidden="1" outlineLevel="1" x14ac:dyDescent="0.75">
      <c r="A136" s="35"/>
      <c r="B136" s="121">
        <f>'Expenses w MYP'!C104</f>
        <v>0</v>
      </c>
      <c r="C136" s="121">
        <f>'Expenses w MYP'!D104</f>
        <v>0</v>
      </c>
      <c r="D136" s="62" t="str">
        <f>IF('Expenses w MYP'!$E104="","",IF('Cash Flow %s Yr1'!D136="","",'Cash Flow %s Yr1'!D136*'Expenses w MYP'!$E104))</f>
        <v/>
      </c>
      <c r="E136" s="62" t="str">
        <f>IF('Expenses w MYP'!$E104="","",IF('Cash Flow %s Yr1'!E136="","",'Cash Flow %s Yr1'!E136*'Expenses w MYP'!$E104))</f>
        <v/>
      </c>
      <c r="F136" s="62" t="str">
        <f>IF('Expenses w MYP'!$E104="","",IF('Cash Flow %s Yr1'!F136="","",'Cash Flow %s Yr1'!F136*'Expenses w MYP'!$E104))</f>
        <v/>
      </c>
      <c r="G136" s="62" t="str">
        <f>IF('Expenses w MYP'!$E104="","",IF('Cash Flow %s Yr1'!G136="","",'Cash Flow %s Yr1'!G136*'Expenses w MYP'!$E104))</f>
        <v/>
      </c>
      <c r="H136" s="62" t="str">
        <f>IF('Expenses w MYP'!$E104="","",IF('Cash Flow %s Yr1'!H136="","",'Cash Flow %s Yr1'!H136*'Expenses w MYP'!$E104))</f>
        <v/>
      </c>
      <c r="I136" s="62" t="str">
        <f>IF('Expenses w MYP'!$E104="","",IF('Cash Flow %s Yr1'!I136="","",'Cash Flow %s Yr1'!I136*'Expenses w MYP'!$E104))</f>
        <v/>
      </c>
      <c r="J136" s="62" t="str">
        <f>IF('Expenses w MYP'!$E104="","",IF('Cash Flow %s Yr1'!J136="","",'Cash Flow %s Yr1'!J136*'Expenses w MYP'!$E104))</f>
        <v/>
      </c>
      <c r="K136" s="62" t="str">
        <f>IF('Expenses w MYP'!$E104="","",IF('Cash Flow %s Yr1'!K136="","",'Cash Flow %s Yr1'!K136*'Expenses w MYP'!$E104))</f>
        <v/>
      </c>
      <c r="L136" s="62" t="str">
        <f>IF('Expenses w MYP'!$E104="","",IF('Cash Flow %s Yr1'!L136="","",'Cash Flow %s Yr1'!L136*'Expenses w MYP'!$E104))</f>
        <v/>
      </c>
      <c r="M136" s="62" t="str">
        <f>IF('Expenses w MYP'!$E104="","",IF('Cash Flow %s Yr1'!M136="","",'Cash Flow %s Yr1'!M136*'Expenses w MYP'!$E104))</f>
        <v/>
      </c>
      <c r="N136" s="62" t="str">
        <f>IF('Expenses w MYP'!$E104="","",IF('Cash Flow %s Yr1'!N136="","",'Cash Flow %s Yr1'!N136*'Expenses w MYP'!$E104))</f>
        <v/>
      </c>
      <c r="O136" s="62" t="str">
        <f>IF('Expenses w MYP'!$E104="","",IF('Cash Flow %s Yr1'!O136="","",'Cash Flow %s Yr1'!O136*'Expenses w MYP'!$E104))</f>
        <v/>
      </c>
      <c r="P136" s="113"/>
      <c r="Q136" s="113"/>
      <c r="R136" s="113"/>
      <c r="S136" s="97" t="str">
        <f>IF(SUM(D136:R136)&gt;0,SUM(D136:R136)/'Expenses w MYP'!$E104,"")</f>
        <v/>
      </c>
    </row>
    <row r="137" spans="1:19" s="31" customFormat="1" hidden="1" outlineLevel="1" x14ac:dyDescent="0.75">
      <c r="A137" s="35"/>
      <c r="B137" s="121">
        <f>'Expenses w MYP'!C105</f>
        <v>0</v>
      </c>
      <c r="C137" s="121">
        <f>'Expenses w MYP'!D105</f>
        <v>0</v>
      </c>
      <c r="D137" s="62" t="str">
        <f>IF('Expenses w MYP'!$E105="","",IF('Cash Flow %s Yr1'!D137="","",'Cash Flow %s Yr1'!D137*'Expenses w MYP'!$E105))</f>
        <v/>
      </c>
      <c r="E137" s="62" t="str">
        <f>IF('Expenses w MYP'!$E105="","",IF('Cash Flow %s Yr1'!E137="","",'Cash Flow %s Yr1'!E137*'Expenses w MYP'!$E105))</f>
        <v/>
      </c>
      <c r="F137" s="62" t="str">
        <f>IF('Expenses w MYP'!$E105="","",IF('Cash Flow %s Yr1'!F137="","",'Cash Flow %s Yr1'!F137*'Expenses w MYP'!$E105))</f>
        <v/>
      </c>
      <c r="G137" s="62" t="str">
        <f>IF('Expenses w MYP'!$E105="","",IF('Cash Flow %s Yr1'!G137="","",'Cash Flow %s Yr1'!G137*'Expenses w MYP'!$E105))</f>
        <v/>
      </c>
      <c r="H137" s="62" t="str">
        <f>IF('Expenses w MYP'!$E105="","",IF('Cash Flow %s Yr1'!H137="","",'Cash Flow %s Yr1'!H137*'Expenses w MYP'!$E105))</f>
        <v/>
      </c>
      <c r="I137" s="62" t="str">
        <f>IF('Expenses w MYP'!$E105="","",IF('Cash Flow %s Yr1'!I137="","",'Cash Flow %s Yr1'!I137*'Expenses w MYP'!$E105))</f>
        <v/>
      </c>
      <c r="J137" s="62" t="str">
        <f>IF('Expenses w MYP'!$E105="","",IF('Cash Flow %s Yr1'!J137="","",'Cash Flow %s Yr1'!J137*'Expenses w MYP'!$E105))</f>
        <v/>
      </c>
      <c r="K137" s="62" t="str">
        <f>IF('Expenses w MYP'!$E105="","",IF('Cash Flow %s Yr1'!K137="","",'Cash Flow %s Yr1'!K137*'Expenses w MYP'!$E105))</f>
        <v/>
      </c>
      <c r="L137" s="62" t="str">
        <f>IF('Expenses w MYP'!$E105="","",IF('Cash Flow %s Yr1'!L137="","",'Cash Flow %s Yr1'!L137*'Expenses w MYP'!$E105))</f>
        <v/>
      </c>
      <c r="M137" s="62" t="str">
        <f>IF('Expenses w MYP'!$E105="","",IF('Cash Flow %s Yr1'!M137="","",'Cash Flow %s Yr1'!M137*'Expenses w MYP'!$E105))</f>
        <v/>
      </c>
      <c r="N137" s="62" t="str">
        <f>IF('Expenses w MYP'!$E105="","",IF('Cash Flow %s Yr1'!N137="","",'Cash Flow %s Yr1'!N137*'Expenses w MYP'!$E105))</f>
        <v/>
      </c>
      <c r="O137" s="62" t="str">
        <f>IF('Expenses w MYP'!$E105="","",IF('Cash Flow %s Yr1'!O137="","",'Cash Flow %s Yr1'!O137*'Expenses w MYP'!$E105))</f>
        <v/>
      </c>
      <c r="P137" s="113"/>
      <c r="Q137" s="113"/>
      <c r="R137" s="113"/>
      <c r="S137" s="97" t="str">
        <f>IF(SUM(D137:R137)&gt;0,SUM(D137:R137)/'Expenses w MYP'!$E105,"")</f>
        <v/>
      </c>
    </row>
    <row r="138" spans="1:19" s="31" customFormat="1" hidden="1" outlineLevel="1" x14ac:dyDescent="0.75">
      <c r="A138" s="35"/>
      <c r="B138" s="121">
        <f>'Expenses w MYP'!C106</f>
        <v>0</v>
      </c>
      <c r="C138" s="121">
        <f>'Expenses w MYP'!D106</f>
        <v>0</v>
      </c>
      <c r="D138" s="62" t="str">
        <f>IF('Expenses w MYP'!$E106="","",IF('Cash Flow %s Yr1'!D138="","",'Cash Flow %s Yr1'!D138*'Expenses w MYP'!$E106))</f>
        <v/>
      </c>
      <c r="E138" s="62" t="str">
        <f>IF('Expenses w MYP'!$E106="","",IF('Cash Flow %s Yr1'!E138="","",'Cash Flow %s Yr1'!E138*'Expenses w MYP'!$E106))</f>
        <v/>
      </c>
      <c r="F138" s="62" t="str">
        <f>IF('Expenses w MYP'!$E106="","",IF('Cash Flow %s Yr1'!F138="","",'Cash Flow %s Yr1'!F138*'Expenses w MYP'!$E106))</f>
        <v/>
      </c>
      <c r="G138" s="62" t="str">
        <f>IF('Expenses w MYP'!$E106="","",IF('Cash Flow %s Yr1'!G138="","",'Cash Flow %s Yr1'!G138*'Expenses w MYP'!$E106))</f>
        <v/>
      </c>
      <c r="H138" s="62" t="str">
        <f>IF('Expenses w MYP'!$E106="","",IF('Cash Flow %s Yr1'!H138="","",'Cash Flow %s Yr1'!H138*'Expenses w MYP'!$E106))</f>
        <v/>
      </c>
      <c r="I138" s="62" t="str">
        <f>IF('Expenses w MYP'!$E106="","",IF('Cash Flow %s Yr1'!I138="","",'Cash Flow %s Yr1'!I138*'Expenses w MYP'!$E106))</f>
        <v/>
      </c>
      <c r="J138" s="62" t="str">
        <f>IF('Expenses w MYP'!$E106="","",IF('Cash Flow %s Yr1'!J138="","",'Cash Flow %s Yr1'!J138*'Expenses w MYP'!$E106))</f>
        <v/>
      </c>
      <c r="K138" s="62" t="str">
        <f>IF('Expenses w MYP'!$E106="","",IF('Cash Flow %s Yr1'!K138="","",'Cash Flow %s Yr1'!K138*'Expenses w MYP'!$E106))</f>
        <v/>
      </c>
      <c r="L138" s="62" t="str">
        <f>IF('Expenses w MYP'!$E106="","",IF('Cash Flow %s Yr1'!L138="","",'Cash Flow %s Yr1'!L138*'Expenses w MYP'!$E106))</f>
        <v/>
      </c>
      <c r="M138" s="62" t="str">
        <f>IF('Expenses w MYP'!$E106="","",IF('Cash Flow %s Yr1'!M138="","",'Cash Flow %s Yr1'!M138*'Expenses w MYP'!$E106))</f>
        <v/>
      </c>
      <c r="N138" s="62" t="str">
        <f>IF('Expenses w MYP'!$E106="","",IF('Cash Flow %s Yr1'!N138="","",'Cash Flow %s Yr1'!N138*'Expenses w MYP'!$E106))</f>
        <v/>
      </c>
      <c r="O138" s="62" t="str">
        <f>IF('Expenses w MYP'!$E106="","",IF('Cash Flow %s Yr1'!O138="","",'Cash Flow %s Yr1'!O138*'Expenses w MYP'!$E106))</f>
        <v/>
      </c>
      <c r="P138" s="113"/>
      <c r="Q138" s="113"/>
      <c r="R138" s="113"/>
      <c r="S138" s="97" t="str">
        <f>IF(SUM(D138:R138)&gt;0,SUM(D138:R138)/'Expenses w MYP'!$E106,"")</f>
        <v/>
      </c>
    </row>
    <row r="139" spans="1:19" s="31" customFormat="1" hidden="1" outlineLevel="1" x14ac:dyDescent="0.75">
      <c r="A139" s="35"/>
      <c r="B139" s="121">
        <f>'Expenses w MYP'!C107</f>
        <v>0</v>
      </c>
      <c r="C139" s="121">
        <f>'Expenses w MYP'!D107</f>
        <v>0</v>
      </c>
      <c r="D139" s="62" t="str">
        <f>IF('Expenses w MYP'!$E107="","",IF('Cash Flow %s Yr1'!D139="","",'Cash Flow %s Yr1'!D139*'Expenses w MYP'!$E107))</f>
        <v/>
      </c>
      <c r="E139" s="62" t="str">
        <f>IF('Expenses w MYP'!$E107="","",IF('Cash Flow %s Yr1'!E139="","",'Cash Flow %s Yr1'!E139*'Expenses w MYP'!$E107))</f>
        <v/>
      </c>
      <c r="F139" s="62" t="str">
        <f>IF('Expenses w MYP'!$E107="","",IF('Cash Flow %s Yr1'!F139="","",'Cash Flow %s Yr1'!F139*'Expenses w MYP'!$E107))</f>
        <v/>
      </c>
      <c r="G139" s="62" t="str">
        <f>IF('Expenses w MYP'!$E107="","",IF('Cash Flow %s Yr1'!G139="","",'Cash Flow %s Yr1'!G139*'Expenses w MYP'!$E107))</f>
        <v/>
      </c>
      <c r="H139" s="62" t="str">
        <f>IF('Expenses w MYP'!$E107="","",IF('Cash Flow %s Yr1'!H139="","",'Cash Flow %s Yr1'!H139*'Expenses w MYP'!$E107))</f>
        <v/>
      </c>
      <c r="I139" s="62" t="str">
        <f>IF('Expenses w MYP'!$E107="","",IF('Cash Flow %s Yr1'!I139="","",'Cash Flow %s Yr1'!I139*'Expenses w MYP'!$E107))</f>
        <v/>
      </c>
      <c r="J139" s="62" t="str">
        <f>IF('Expenses w MYP'!$E107="","",IF('Cash Flow %s Yr1'!J139="","",'Cash Flow %s Yr1'!J139*'Expenses w MYP'!$E107))</f>
        <v/>
      </c>
      <c r="K139" s="62" t="str">
        <f>IF('Expenses w MYP'!$E107="","",IF('Cash Flow %s Yr1'!K139="","",'Cash Flow %s Yr1'!K139*'Expenses w MYP'!$E107))</f>
        <v/>
      </c>
      <c r="L139" s="62" t="str">
        <f>IF('Expenses w MYP'!$E107="","",IF('Cash Flow %s Yr1'!L139="","",'Cash Flow %s Yr1'!L139*'Expenses w MYP'!$E107))</f>
        <v/>
      </c>
      <c r="M139" s="62" t="str">
        <f>IF('Expenses w MYP'!$E107="","",IF('Cash Flow %s Yr1'!M139="","",'Cash Flow %s Yr1'!M139*'Expenses w MYP'!$E107))</f>
        <v/>
      </c>
      <c r="N139" s="62" t="str">
        <f>IF('Expenses w MYP'!$E107="","",IF('Cash Flow %s Yr1'!N139="","",'Cash Flow %s Yr1'!N139*'Expenses w MYP'!$E107))</f>
        <v/>
      </c>
      <c r="O139" s="62" t="str">
        <f>IF('Expenses w MYP'!$E107="","",IF('Cash Flow %s Yr1'!O139="","",'Cash Flow %s Yr1'!O139*'Expenses w MYP'!$E107))</f>
        <v/>
      </c>
      <c r="P139" s="113"/>
      <c r="Q139" s="113"/>
      <c r="R139" s="113"/>
      <c r="S139" s="97" t="str">
        <f>IF(SUM(D139:R139)&gt;0,SUM(D139:R139)/'Expenses w MYP'!$E107,"")</f>
        <v/>
      </c>
    </row>
    <row r="140" spans="1:19" s="31" customFormat="1" hidden="1" outlineLevel="1" x14ac:dyDescent="0.75">
      <c r="A140" s="35"/>
      <c r="B140" s="121">
        <f>'Expenses w MYP'!C108</f>
        <v>0</v>
      </c>
      <c r="C140" s="121">
        <f>'Expenses w MYP'!D108</f>
        <v>0</v>
      </c>
      <c r="D140" s="62" t="str">
        <f>IF('Expenses w MYP'!$E108="","",IF('Cash Flow %s Yr1'!D140="","",'Cash Flow %s Yr1'!D140*'Expenses w MYP'!$E108))</f>
        <v/>
      </c>
      <c r="E140" s="62" t="str">
        <f>IF('Expenses w MYP'!$E108="","",IF('Cash Flow %s Yr1'!E140="","",'Cash Flow %s Yr1'!E140*'Expenses w MYP'!$E108))</f>
        <v/>
      </c>
      <c r="F140" s="62" t="str">
        <f>IF('Expenses w MYP'!$E108="","",IF('Cash Flow %s Yr1'!F140="","",'Cash Flow %s Yr1'!F140*'Expenses w MYP'!$E108))</f>
        <v/>
      </c>
      <c r="G140" s="62" t="str">
        <f>IF('Expenses w MYP'!$E108="","",IF('Cash Flow %s Yr1'!G140="","",'Cash Flow %s Yr1'!G140*'Expenses w MYP'!$E108))</f>
        <v/>
      </c>
      <c r="H140" s="62" t="str">
        <f>IF('Expenses w MYP'!$E108="","",IF('Cash Flow %s Yr1'!H140="","",'Cash Flow %s Yr1'!H140*'Expenses w MYP'!$E108))</f>
        <v/>
      </c>
      <c r="I140" s="62" t="str">
        <f>IF('Expenses w MYP'!$E108="","",IF('Cash Flow %s Yr1'!I140="","",'Cash Flow %s Yr1'!I140*'Expenses w MYP'!$E108))</f>
        <v/>
      </c>
      <c r="J140" s="62" t="str">
        <f>IF('Expenses w MYP'!$E108="","",IF('Cash Flow %s Yr1'!J140="","",'Cash Flow %s Yr1'!J140*'Expenses w MYP'!$E108))</f>
        <v/>
      </c>
      <c r="K140" s="62" t="str">
        <f>IF('Expenses w MYP'!$E108="","",IF('Cash Flow %s Yr1'!K140="","",'Cash Flow %s Yr1'!K140*'Expenses w MYP'!$E108))</f>
        <v/>
      </c>
      <c r="L140" s="62" t="str">
        <f>IF('Expenses w MYP'!$E108="","",IF('Cash Flow %s Yr1'!L140="","",'Cash Flow %s Yr1'!L140*'Expenses w MYP'!$E108))</f>
        <v/>
      </c>
      <c r="M140" s="62" t="str">
        <f>IF('Expenses w MYP'!$E108="","",IF('Cash Flow %s Yr1'!M140="","",'Cash Flow %s Yr1'!M140*'Expenses w MYP'!$E108))</f>
        <v/>
      </c>
      <c r="N140" s="62" t="str">
        <f>IF('Expenses w MYP'!$E108="","",IF('Cash Flow %s Yr1'!N140="","",'Cash Flow %s Yr1'!N140*'Expenses w MYP'!$E108))</f>
        <v/>
      </c>
      <c r="O140" s="62" t="str">
        <f>IF('Expenses w MYP'!$E108="","",IF('Cash Flow %s Yr1'!O140="","",'Cash Flow %s Yr1'!O140*'Expenses w MYP'!$E108))</f>
        <v/>
      </c>
      <c r="P140" s="113"/>
      <c r="Q140" s="113"/>
      <c r="R140" s="113"/>
      <c r="S140" s="97" t="str">
        <f>IF(SUM(D140:R140)&gt;0,SUM(D140:R140)/'Expenses w MYP'!$E108,"")</f>
        <v/>
      </c>
    </row>
    <row r="141" spans="1:19" s="31" customFormat="1" collapsed="1" x14ac:dyDescent="0.75">
      <c r="A141" s="35"/>
      <c r="B141" s="121" t="str">
        <f>'Expenses w MYP'!C109</f>
        <v>5901</v>
      </c>
      <c r="C141" s="121" t="str">
        <f>'Expenses w MYP'!D109</f>
        <v>Scholar Internet Reimbursement</v>
      </c>
      <c r="D141" s="62" t="str">
        <f>IF('Expenses w MYP'!$E109="","",IF('Cash Flow %s Yr1'!D141="","",'Cash Flow %s Yr1'!D141*'Expenses w MYP'!$E109))</f>
        <v/>
      </c>
      <c r="E141" s="62" t="str">
        <f>IF('Expenses w MYP'!$E109="","",IF('Cash Flow %s Yr1'!E141="","",'Cash Flow %s Yr1'!E141*'Expenses w MYP'!$E109))</f>
        <v/>
      </c>
      <c r="F141" s="62" t="str">
        <f>IF('Expenses w MYP'!$E109="","",IF('Cash Flow %s Yr1'!F141="","",'Cash Flow %s Yr1'!F141*'Expenses w MYP'!$E109))</f>
        <v/>
      </c>
      <c r="G141" s="62" t="str">
        <f>IF('Expenses w MYP'!$E109="","",IF('Cash Flow %s Yr1'!G141="","",'Cash Flow %s Yr1'!G141*'Expenses w MYP'!$E109))</f>
        <v/>
      </c>
      <c r="H141" s="62" t="str">
        <f>IF('Expenses w MYP'!$E109="","",IF('Cash Flow %s Yr1'!H141="","",'Cash Flow %s Yr1'!H141*'Expenses w MYP'!$E109))</f>
        <v/>
      </c>
      <c r="I141" s="62" t="str">
        <f>IF('Expenses w MYP'!$E109="","",IF('Cash Flow %s Yr1'!I141="","",'Cash Flow %s Yr1'!I141*'Expenses w MYP'!$E109))</f>
        <v/>
      </c>
      <c r="J141" s="62" t="str">
        <f>IF('Expenses w MYP'!$E109="","",IF('Cash Flow %s Yr1'!J141="","",'Cash Flow %s Yr1'!J141*'Expenses w MYP'!$E109))</f>
        <v/>
      </c>
      <c r="K141" s="62" t="str">
        <f>IF('Expenses w MYP'!$E109="","",IF('Cash Flow %s Yr1'!K141="","",'Cash Flow %s Yr1'!K141*'Expenses w MYP'!$E109))</f>
        <v/>
      </c>
      <c r="L141" s="62" t="str">
        <f>IF('Expenses w MYP'!$E109="","",IF('Cash Flow %s Yr1'!L141="","",'Cash Flow %s Yr1'!L141*'Expenses w MYP'!$E109))</f>
        <v/>
      </c>
      <c r="M141" s="62" t="str">
        <f>IF('Expenses w MYP'!$E109="","",IF('Cash Flow %s Yr1'!M141="","",'Cash Flow %s Yr1'!M141*'Expenses w MYP'!$E109))</f>
        <v/>
      </c>
      <c r="N141" s="62" t="str">
        <f>IF('Expenses w MYP'!$E109="","",IF('Cash Flow %s Yr1'!N141="","",'Cash Flow %s Yr1'!N141*'Expenses w MYP'!$E109))</f>
        <v/>
      </c>
      <c r="O141" s="62" t="str">
        <f>IF('Expenses w MYP'!$E109="","",IF('Cash Flow %s Yr1'!O141="","",'Cash Flow %s Yr1'!O141*'Expenses w MYP'!$E109))</f>
        <v/>
      </c>
      <c r="P141" s="113"/>
      <c r="Q141" s="113"/>
      <c r="R141" s="113"/>
      <c r="S141" s="97" t="str">
        <f>IF(SUM(D141:R141)&gt;0,SUM(D141:R141)/'Expenses w MYP'!$E109,"")</f>
        <v/>
      </c>
    </row>
    <row r="142" spans="1:19" s="31" customFormat="1" x14ac:dyDescent="0.75">
      <c r="A142" s="35"/>
      <c r="B142" s="33" t="s">
        <v>559</v>
      </c>
      <c r="C142" s="34" t="s">
        <v>719</v>
      </c>
      <c r="D142" s="153" t="str">
        <f>IF(SUM(D108:D141)&gt;0,SUM(D108:D141),"")</f>
        <v/>
      </c>
      <c r="E142" s="153" t="str">
        <f t="shared" ref="E142:R142" si="10">IF(SUM(E108:E141)&gt;0,SUM(E108:E141),"")</f>
        <v/>
      </c>
      <c r="F142" s="153" t="str">
        <f t="shared" si="10"/>
        <v/>
      </c>
      <c r="G142" s="153" t="str">
        <f t="shared" si="10"/>
        <v/>
      </c>
      <c r="H142" s="153" t="str">
        <f t="shared" si="10"/>
        <v/>
      </c>
      <c r="I142" s="153" t="str">
        <f t="shared" si="10"/>
        <v/>
      </c>
      <c r="J142" s="153" t="str">
        <f t="shared" si="10"/>
        <v/>
      </c>
      <c r="K142" s="153" t="str">
        <f t="shared" si="10"/>
        <v/>
      </c>
      <c r="L142" s="153" t="str">
        <f t="shared" si="10"/>
        <v/>
      </c>
      <c r="M142" s="153" t="str">
        <f t="shared" si="10"/>
        <v/>
      </c>
      <c r="N142" s="153" t="str">
        <f t="shared" si="10"/>
        <v/>
      </c>
      <c r="O142" s="153" t="str">
        <f t="shared" si="10"/>
        <v/>
      </c>
      <c r="P142" s="153" t="str">
        <f t="shared" si="10"/>
        <v/>
      </c>
      <c r="Q142" s="153" t="str">
        <f t="shared" si="10"/>
        <v/>
      </c>
      <c r="R142" s="153" t="str">
        <f t="shared" si="10"/>
        <v/>
      </c>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19" s="31" customFormat="1" x14ac:dyDescent="0.75">
      <c r="A145" s="35"/>
      <c r="B145" s="121" t="str">
        <f>'Expenses w MYP'!C113</f>
        <v>6900</v>
      </c>
      <c r="C145" s="121" t="str">
        <f>'Expenses w MYP'!D113</f>
        <v xml:space="preserve">Depreciation Expense                                                            </v>
      </c>
      <c r="D145" s="62">
        <f>IF('Expenses w MYP'!$E113="","",IF('Cash Flow %s Yr1'!D145="","",'Cash Flow %s Yr1'!D145*'Expenses w MYP'!$E113))</f>
        <v>0</v>
      </c>
      <c r="E145" s="62">
        <f>IF('Expenses w MYP'!$E113="","",IF('Cash Flow %s Yr1'!E145="","",'Cash Flow %s Yr1'!E145*'Expenses w MYP'!$E113))</f>
        <v>0</v>
      </c>
      <c r="F145" s="62">
        <f>IF('Expenses w MYP'!$E113="","",IF('Cash Flow %s Yr1'!F145="","",'Cash Flow %s Yr1'!F145*'Expenses w MYP'!$E113))</f>
        <v>0</v>
      </c>
      <c r="G145" s="62" t="str">
        <f>IF('Expenses w MYP'!$E113="","",IF('Cash Flow %s Yr1'!G145="","",'Cash Flow %s Yr1'!G145*'Expenses w MYP'!$E113))</f>
        <v/>
      </c>
      <c r="H145" s="62" t="str">
        <f>IF('Expenses w MYP'!$E113="","",IF('Cash Flow %s Yr1'!H145="","",'Cash Flow %s Yr1'!H145*'Expenses w MYP'!$E113))</f>
        <v/>
      </c>
      <c r="I145" s="62" t="str">
        <f>IF('Expenses w MYP'!$E113="","",IF('Cash Flow %s Yr1'!I145="","",'Cash Flow %s Yr1'!I145*'Expenses w MYP'!$E113))</f>
        <v/>
      </c>
      <c r="J145" s="62" t="str">
        <f>IF('Expenses w MYP'!$E113="","",IF('Cash Flow %s Yr1'!J145="","",'Cash Flow %s Yr1'!J145*'Expenses w MYP'!$E113))</f>
        <v/>
      </c>
      <c r="K145" s="62" t="str">
        <f>IF('Expenses w MYP'!$E113="","",IF('Cash Flow %s Yr1'!K145="","",'Cash Flow %s Yr1'!K145*'Expenses w MYP'!$E113))</f>
        <v/>
      </c>
      <c r="L145" s="62" t="str">
        <f>IF('Expenses w MYP'!$E113="","",IF('Cash Flow %s Yr1'!L145="","",'Cash Flow %s Yr1'!L145*'Expenses w MYP'!$E113))</f>
        <v/>
      </c>
      <c r="M145" s="62" t="str">
        <f>IF('Expenses w MYP'!$E113="","",IF('Cash Flow %s Yr1'!M145="","",'Cash Flow %s Yr1'!M145*'Expenses w MYP'!$E113))</f>
        <v/>
      </c>
      <c r="N145" s="62" t="str">
        <f>IF('Expenses w MYP'!$E113="","",IF('Cash Flow %s Yr1'!N145="","",'Cash Flow %s Yr1'!N145*'Expenses w MYP'!$E113))</f>
        <v/>
      </c>
      <c r="O145" s="62" t="str">
        <f>IF('Expenses w MYP'!$E113="","",IF('Cash Flow %s Yr1'!O145="","",'Cash Flow %s Yr1'!O145*'Expenses w MYP'!$E113))</f>
        <v/>
      </c>
      <c r="P145" s="113"/>
      <c r="Q145" s="113"/>
      <c r="R145" s="113"/>
      <c r="S145" s="97" t="str">
        <f>IF(SUM(D145:R145)&gt;0,SUM(D145:R145)/'Expenses w MYP'!$E113,"")</f>
        <v/>
      </c>
    </row>
    <row r="146" spans="1:19" s="31" customFormat="1" x14ac:dyDescent="0.75">
      <c r="A146" s="35"/>
      <c r="B146" s="33" t="s">
        <v>560</v>
      </c>
      <c r="C146" s="34" t="s">
        <v>719</v>
      </c>
      <c r="D146" s="153" t="str">
        <f t="shared" ref="D146:R146" si="11">IF(SUM(D144:D145)&gt;0,SUM(D144:D145),"")</f>
        <v/>
      </c>
      <c r="E146" s="153" t="str">
        <f t="shared" si="11"/>
        <v/>
      </c>
      <c r="F146" s="153" t="str">
        <f t="shared" si="11"/>
        <v/>
      </c>
      <c r="G146" s="153" t="str">
        <f t="shared" si="11"/>
        <v/>
      </c>
      <c r="H146" s="153" t="str">
        <f t="shared" si="11"/>
        <v/>
      </c>
      <c r="I146" s="153" t="str">
        <f t="shared" si="11"/>
        <v/>
      </c>
      <c r="J146" s="153" t="str">
        <f t="shared" si="11"/>
        <v/>
      </c>
      <c r="K146" s="153" t="str">
        <f t="shared" si="11"/>
        <v/>
      </c>
      <c r="L146" s="153" t="str">
        <f t="shared" si="11"/>
        <v/>
      </c>
      <c r="M146" s="153" t="str">
        <f t="shared" si="11"/>
        <v/>
      </c>
      <c r="N146" s="153" t="str">
        <f t="shared" si="11"/>
        <v/>
      </c>
      <c r="O146" s="153" t="str">
        <f t="shared" si="11"/>
        <v/>
      </c>
      <c r="P146" s="153" t="str">
        <f t="shared" si="11"/>
        <v/>
      </c>
      <c r="Q146" s="153" t="str">
        <f t="shared" si="11"/>
        <v/>
      </c>
      <c r="R146" s="153" t="str">
        <f t="shared" si="11"/>
        <v/>
      </c>
      <c r="S146" s="94"/>
    </row>
    <row r="147" spans="1:19" s="31" customFormat="1" x14ac:dyDescent="0.75">
      <c r="A147" s="35"/>
      <c r="B147" s="3"/>
      <c r="C147" s="2"/>
      <c r="D147" s="84"/>
      <c r="E147" s="91"/>
      <c r="F147" s="91"/>
      <c r="G147" s="84"/>
      <c r="H147" s="84"/>
      <c r="I147" s="84"/>
      <c r="J147" s="84"/>
      <c r="K147" s="84"/>
      <c r="L147" s="84"/>
      <c r="M147" s="84"/>
      <c r="N147" s="84"/>
      <c r="O147" s="84"/>
      <c r="P147" s="84"/>
      <c r="Q147" s="84"/>
      <c r="R147" s="84"/>
    </row>
    <row r="148" spans="1:19" s="31" customFormat="1" x14ac:dyDescent="0.75">
      <c r="B148" s="34" t="s">
        <v>722</v>
      </c>
      <c r="C148" s="2"/>
      <c r="D148" s="84"/>
      <c r="E148" s="91"/>
      <c r="F148" s="91"/>
      <c r="G148" s="84"/>
      <c r="H148" s="84"/>
      <c r="I148" s="84"/>
      <c r="J148" s="84"/>
      <c r="K148" s="84"/>
      <c r="L148" s="84"/>
      <c r="M148" s="84"/>
      <c r="N148" s="84"/>
      <c r="O148" s="84"/>
      <c r="P148" s="84"/>
      <c r="Q148" s="84"/>
      <c r="R148" s="84"/>
    </row>
    <row r="149" spans="1:19" s="31" customFormat="1" x14ac:dyDescent="0.75">
      <c r="A149" s="35"/>
      <c r="B149" s="121" t="str">
        <f>'Expenses w MYP'!C117</f>
        <v>7010</v>
      </c>
      <c r="C149" s="121" t="str">
        <f>'Expenses w MYP'!D117</f>
        <v>Special Education Encroachment</v>
      </c>
      <c r="D149" s="62" t="str">
        <f>IF('Expenses w MYP'!$E117="","",IF('Cash Flow %s Yr1'!D149="","",'Cash Flow %s Yr1'!D149*'Expenses w MYP'!$E117))</f>
        <v/>
      </c>
      <c r="E149" s="62" t="str">
        <f>IF('Expenses w MYP'!$E117="","",IF('Cash Flow %s Yr1'!E149="","",'Cash Flow %s Yr1'!E149*'Expenses w MYP'!$E117))</f>
        <v/>
      </c>
      <c r="F149" s="62" t="str">
        <f>IF('Expenses w MYP'!$E117="","",IF('Cash Flow %s Yr1'!F149="","",'Cash Flow %s Yr1'!F149*'Expenses w MYP'!$E117))</f>
        <v/>
      </c>
      <c r="G149" s="62" t="str">
        <f>IF('Expenses w MYP'!$E117="","",IF('Cash Flow %s Yr1'!G149="","",'Cash Flow %s Yr1'!G149*'Expenses w MYP'!$E117))</f>
        <v/>
      </c>
      <c r="H149" s="62" t="str">
        <f>IF('Expenses w MYP'!$E117="","",IF('Cash Flow %s Yr1'!H149="","",'Cash Flow %s Yr1'!H149*'Expenses w MYP'!$E117))</f>
        <v/>
      </c>
      <c r="I149" s="62" t="str">
        <f>IF('Expenses w MYP'!$E117="","",IF('Cash Flow %s Yr1'!I149="","",'Cash Flow %s Yr1'!I149*'Expenses w MYP'!$E117))</f>
        <v/>
      </c>
      <c r="J149" s="62" t="str">
        <f>IF('Expenses w MYP'!$E117="","",IF('Cash Flow %s Yr1'!J149="","",'Cash Flow %s Yr1'!J149*'Expenses w MYP'!$E117))</f>
        <v/>
      </c>
      <c r="K149" s="62" t="str">
        <f>IF('Expenses w MYP'!$E117="","",IF('Cash Flow %s Yr1'!K149="","",'Cash Flow %s Yr1'!K149*'Expenses w MYP'!$E117))</f>
        <v/>
      </c>
      <c r="L149" s="62" t="str">
        <f>IF('Expenses w MYP'!$E117="","",IF('Cash Flow %s Yr1'!L149="","",'Cash Flow %s Yr1'!L149*'Expenses w MYP'!$E117))</f>
        <v/>
      </c>
      <c r="M149" s="62" t="str">
        <f>IF('Expenses w MYP'!$E117="","",IF('Cash Flow %s Yr1'!M149="","",'Cash Flow %s Yr1'!M149*'Expenses w MYP'!$E117))</f>
        <v/>
      </c>
      <c r="N149" s="62" t="str">
        <f>IF('Expenses w MYP'!$E117="","",IF('Cash Flow %s Yr1'!N149="","",'Cash Flow %s Yr1'!N149*'Expenses w MYP'!$E117))</f>
        <v/>
      </c>
      <c r="O149" s="62" t="str">
        <f>IF('Expenses w MYP'!$E117="","",IF('Cash Flow %s Yr1'!O149="","",'Cash Flow %s Yr1'!O149*'Expenses w MYP'!$E117))</f>
        <v/>
      </c>
      <c r="P149" s="113"/>
      <c r="Q149" s="113"/>
      <c r="R149" s="113"/>
      <c r="S149" s="97" t="str">
        <f>IF(SUM(D149:R149)&gt;0,SUM(D149:R149)/'Expenses w MYP'!$E117,"")</f>
        <v/>
      </c>
    </row>
    <row r="150" spans="1:19" s="31" customFormat="1" x14ac:dyDescent="0.75">
      <c r="A150" s="35"/>
      <c r="B150" s="121" t="str">
        <f>'Expenses w MYP'!C118</f>
        <v>7438</v>
      </c>
      <c r="C150" s="121" t="str">
        <f>'Expenses w MYP'!D118</f>
        <v>Debt Service - Interest</v>
      </c>
      <c r="D150" s="62" t="str">
        <f>IF('Expenses w MYP'!$E118="","",IF('Cash Flow %s Yr1'!D150="","",'Cash Flow %s Yr1'!D150*'Expenses w MYP'!$E118))</f>
        <v/>
      </c>
      <c r="E150" s="62" t="str">
        <f>IF('Expenses w MYP'!$E118="","",IF('Cash Flow %s Yr1'!E150="","",'Cash Flow %s Yr1'!E150*'Expenses w MYP'!$E118))</f>
        <v/>
      </c>
      <c r="F150" s="62" t="str">
        <f>IF('Expenses w MYP'!$E118="","",IF('Cash Flow %s Yr1'!F150="","",'Cash Flow %s Yr1'!F150*'Expenses w MYP'!$E118))</f>
        <v/>
      </c>
      <c r="G150" s="62" t="str">
        <f>IF('Expenses w MYP'!$E118="","",IF('Cash Flow %s Yr1'!G150="","",'Cash Flow %s Yr1'!G150*'Expenses w MYP'!$E118))</f>
        <v/>
      </c>
      <c r="H150" s="62" t="str">
        <f>IF('Expenses w MYP'!$E118="","",IF('Cash Flow %s Yr1'!H150="","",'Cash Flow %s Yr1'!H150*'Expenses w MYP'!$E118))</f>
        <v/>
      </c>
      <c r="I150" s="62" t="str">
        <f>IF('Expenses w MYP'!$E118="","",IF('Cash Flow %s Yr1'!I150="","",'Cash Flow %s Yr1'!I150*'Expenses w MYP'!$E118))</f>
        <v/>
      </c>
      <c r="J150" s="62" t="str">
        <f>IF('Expenses w MYP'!$E118="","",IF('Cash Flow %s Yr1'!J150="","",'Cash Flow %s Yr1'!J150*'Expenses w MYP'!$E118))</f>
        <v/>
      </c>
      <c r="K150" s="62" t="str">
        <f>IF('Expenses w MYP'!$E118="","",IF('Cash Flow %s Yr1'!K150="","",'Cash Flow %s Yr1'!K150*'Expenses w MYP'!$E118))</f>
        <v/>
      </c>
      <c r="L150" s="62" t="str">
        <f>IF('Expenses w MYP'!$E118="","",IF('Cash Flow %s Yr1'!L150="","",'Cash Flow %s Yr1'!L150*'Expenses w MYP'!$E118))</f>
        <v/>
      </c>
      <c r="M150" s="62" t="str">
        <f>IF('Expenses w MYP'!$E118="","",IF('Cash Flow %s Yr1'!M150="","",'Cash Flow %s Yr1'!M150*'Expenses w MYP'!$E118))</f>
        <v/>
      </c>
      <c r="N150" s="62" t="str">
        <f>IF('Expenses w MYP'!$E118="","",IF('Cash Flow %s Yr1'!N150="","",'Cash Flow %s Yr1'!N150*'Expenses w MYP'!$E118))</f>
        <v/>
      </c>
      <c r="O150" s="62" t="str">
        <f>IF('Expenses w MYP'!$E118="","",IF('Cash Flow %s Yr1'!O150="","",'Cash Flow %s Yr1'!O150*'Expenses w MYP'!$E118))</f>
        <v/>
      </c>
      <c r="P150" s="113"/>
      <c r="Q150" s="113"/>
      <c r="R150" s="113"/>
      <c r="S150" s="97" t="str">
        <f>IF(SUM(D150:R150)&gt;0,SUM(D150:R150)/'Expenses w MYP'!$E118,"")</f>
        <v/>
      </c>
    </row>
    <row r="151" spans="1:19" s="31" customFormat="1" x14ac:dyDescent="0.75">
      <c r="A151" s="35"/>
      <c r="B151" s="33" t="s">
        <v>683</v>
      </c>
      <c r="C151" s="34" t="s">
        <v>723</v>
      </c>
      <c r="D151" s="167" t="str">
        <f t="shared" ref="D151:R151" si="12">IF(SUM(D148:D150)&gt;0,SUM(D148:D150),"")</f>
        <v/>
      </c>
      <c r="E151" s="167" t="str">
        <f t="shared" si="12"/>
        <v/>
      </c>
      <c r="F151" s="167" t="str">
        <f t="shared" si="12"/>
        <v/>
      </c>
      <c r="G151" s="167" t="str">
        <f t="shared" si="12"/>
        <v/>
      </c>
      <c r="H151" s="167" t="str">
        <f t="shared" si="12"/>
        <v/>
      </c>
      <c r="I151" s="167" t="str">
        <f t="shared" si="12"/>
        <v/>
      </c>
      <c r="J151" s="167" t="str">
        <f t="shared" si="12"/>
        <v/>
      </c>
      <c r="K151" s="167" t="str">
        <f t="shared" si="12"/>
        <v/>
      </c>
      <c r="L151" s="167" t="str">
        <f t="shared" si="12"/>
        <v/>
      </c>
      <c r="M151" s="167" t="str">
        <f t="shared" si="12"/>
        <v/>
      </c>
      <c r="N151" s="167" t="str">
        <f t="shared" si="12"/>
        <v/>
      </c>
      <c r="O151" s="167" t="str">
        <f t="shared" si="12"/>
        <v/>
      </c>
      <c r="P151" s="167" t="str">
        <f t="shared" si="12"/>
        <v/>
      </c>
      <c r="Q151" s="167" t="str">
        <f t="shared" si="12"/>
        <v/>
      </c>
      <c r="R151" s="167" t="str">
        <f t="shared" si="12"/>
        <v/>
      </c>
    </row>
    <row r="152" spans="1:19" s="31" customFormat="1" x14ac:dyDescent="0.75">
      <c r="A152" s="34" t="s">
        <v>730</v>
      </c>
      <c r="B152" s="3"/>
      <c r="C152" s="2"/>
      <c r="D152" s="153" t="e">
        <f t="shared" ref="D152:R152" si="13">IF(SUM(D151,D146,D142,D106,D86,D74,D61)&gt;0,SUM(D151,D146,D142,D106,D86,D74,D61),0)</f>
        <v>#REF!</v>
      </c>
      <c r="E152" s="153" t="e">
        <f t="shared" si="13"/>
        <v>#REF!</v>
      </c>
      <c r="F152" s="153" t="e">
        <f t="shared" si="13"/>
        <v>#REF!</v>
      </c>
      <c r="G152" s="153" t="e">
        <f t="shared" si="13"/>
        <v>#REF!</v>
      </c>
      <c r="H152" s="153" t="e">
        <f t="shared" si="13"/>
        <v>#REF!</v>
      </c>
      <c r="I152" s="153" t="e">
        <f t="shared" si="13"/>
        <v>#REF!</v>
      </c>
      <c r="J152" s="153" t="e">
        <f t="shared" si="13"/>
        <v>#REF!</v>
      </c>
      <c r="K152" s="153" t="e">
        <f t="shared" si="13"/>
        <v>#REF!</v>
      </c>
      <c r="L152" s="153" t="e">
        <f t="shared" si="13"/>
        <v>#REF!</v>
      </c>
      <c r="M152" s="153" t="e">
        <f t="shared" si="13"/>
        <v>#REF!</v>
      </c>
      <c r="N152" s="153" t="e">
        <f t="shared" si="13"/>
        <v>#REF!</v>
      </c>
      <c r="O152" s="153" t="e">
        <f t="shared" si="13"/>
        <v>#REF!</v>
      </c>
      <c r="P152" s="153">
        <f t="shared" si="13"/>
        <v>0</v>
      </c>
      <c r="Q152" s="153">
        <f t="shared" si="13"/>
        <v>0</v>
      </c>
      <c r="R152" s="153">
        <f t="shared" si="13"/>
        <v>0</v>
      </c>
      <c r="S152" s="97" t="e">
        <f>IF(SUM(D152:R152)&gt;0,SUM(D152:R152)/'Expenses w MYP'!$E124,"")</f>
        <v>#REF!</v>
      </c>
    </row>
    <row r="153" spans="1:19" s="31" customFormat="1" x14ac:dyDescent="0.75">
      <c r="A153" s="34"/>
      <c r="B153" s="3"/>
      <c r="C153" s="2"/>
      <c r="D153" s="45"/>
      <c r="E153" s="45"/>
      <c r="F153" s="45"/>
      <c r="G153" s="45"/>
      <c r="H153" s="45"/>
      <c r="I153" s="45"/>
      <c r="J153" s="45"/>
      <c r="K153" s="45"/>
      <c r="L153" s="45"/>
      <c r="M153" s="45"/>
      <c r="N153" s="45"/>
      <c r="O153" s="45"/>
      <c r="P153" s="84"/>
      <c r="Q153" s="84"/>
      <c r="R153" s="84"/>
    </row>
    <row r="154" spans="1:19" s="31" customFormat="1" x14ac:dyDescent="0.75">
      <c r="A154" s="35"/>
      <c r="B154" s="34" t="s">
        <v>818</v>
      </c>
      <c r="C154" s="2"/>
      <c r="D154" s="84"/>
      <c r="E154" s="91"/>
      <c r="F154" s="91"/>
      <c r="G154" s="84"/>
      <c r="H154" s="84"/>
      <c r="I154" s="84"/>
      <c r="J154" s="84"/>
      <c r="K154" s="84"/>
      <c r="L154" s="84"/>
      <c r="M154" s="84"/>
      <c r="N154" s="84"/>
      <c r="O154" s="84"/>
      <c r="P154" s="84"/>
      <c r="Q154" s="84"/>
      <c r="R154" s="84"/>
    </row>
    <row r="155" spans="1:19" s="31" customFormat="1" x14ac:dyDescent="0.75">
      <c r="A155" s="35"/>
      <c r="B155" s="64"/>
      <c r="C155" s="64" t="str">
        <f>'Cash Flow %s Yr1'!C154</f>
        <v>Cash balance at previous year end</v>
      </c>
      <c r="D155" s="62">
        <f>'Cash Flow %s Yr1'!D154*'Cash Flow %s Yr1'!$T154</f>
        <v>200000</v>
      </c>
      <c r="E155" s="62"/>
      <c r="F155" s="62"/>
      <c r="G155" s="62"/>
      <c r="H155" s="62"/>
      <c r="I155" s="62"/>
      <c r="J155" s="62"/>
      <c r="K155" s="62"/>
      <c r="L155" s="62"/>
      <c r="M155" s="62"/>
      <c r="N155" s="62"/>
      <c r="O155" s="62"/>
      <c r="P155" s="90"/>
      <c r="Q155" s="90"/>
      <c r="R155" s="90"/>
    </row>
    <row r="156" spans="1:19" s="31" customFormat="1" x14ac:dyDescent="0.75">
      <c r="A156" s="35"/>
      <c r="B156" s="64"/>
      <c r="C156" s="64" t="str">
        <f>'Cash Flow %s Yr1'!C155</f>
        <v>Change in Current Assets</v>
      </c>
      <c r="D156" s="62">
        <f>'Cash Flow %s Yr1'!D155*'Cash Flow %s Yr1'!$T155</f>
        <v>12500</v>
      </c>
      <c r="E156" s="62">
        <f>'Cash Flow %s Yr1'!E155*'Cash Flow %s Yr1'!$T155</f>
        <v>8750</v>
      </c>
      <c r="F156" s="62">
        <f>'Cash Flow %s Yr1'!F155*'Cash Flow %s Yr1'!$T155</f>
        <v>3750</v>
      </c>
      <c r="G156" s="62">
        <f>'Cash Flow %s Yr1'!G155*'Cash Flow %s Yr1'!$T155</f>
        <v>0</v>
      </c>
      <c r="H156" s="62">
        <f>'Cash Flow %s Yr1'!H155*'Cash Flow %s Yr1'!$T155</f>
        <v>0</v>
      </c>
      <c r="I156" s="62">
        <f>'Cash Flow %s Yr1'!I155*'Cash Flow %s Yr1'!$T155</f>
        <v>0</v>
      </c>
      <c r="J156" s="62">
        <f>'Cash Flow %s Yr1'!J155*'Cash Flow %s Yr1'!$T155</f>
        <v>0</v>
      </c>
      <c r="K156" s="62">
        <f>'Cash Flow %s Yr1'!K155*'Cash Flow %s Yr1'!$T155</f>
        <v>0</v>
      </c>
      <c r="L156" s="62">
        <f>'Cash Flow %s Yr1'!L155*'Cash Flow %s Yr1'!$T155</f>
        <v>0</v>
      </c>
      <c r="M156" s="62">
        <f>'Cash Flow %s Yr1'!M155*'Cash Flow %s Yr1'!$T155</f>
        <v>0</v>
      </c>
      <c r="N156" s="62">
        <f>'Cash Flow %s Yr1'!N155*'Cash Flow %s Yr1'!$T155</f>
        <v>0</v>
      </c>
      <c r="O156" s="62">
        <f>'Cash Flow %s Yr1'!O155*'Cash Flow %s Yr1'!$T155</f>
        <v>0</v>
      </c>
      <c r="P156" s="152">
        <f>P49</f>
        <v>0</v>
      </c>
      <c r="Q156" s="152">
        <f>Q49</f>
        <v>0</v>
      </c>
      <c r="R156" s="152">
        <f>R49</f>
        <v>0</v>
      </c>
    </row>
    <row r="157" spans="1:19" s="31" customFormat="1" x14ac:dyDescent="0.75">
      <c r="A157" s="35"/>
      <c r="B157" s="64"/>
      <c r="C157" s="64" t="str">
        <f>'Cash Flow %s Yr1'!C156</f>
        <v>Change in Current Liabilities</v>
      </c>
      <c r="D157" s="62">
        <f>'Cash Flow %s Yr1'!D156*'Cash Flow %s Yr1'!$T156</f>
        <v>26250</v>
      </c>
      <c r="E157" s="62">
        <f>'Cash Flow %s Yr1'!E156*'Cash Flow %s Yr1'!$T156</f>
        <v>7000</v>
      </c>
      <c r="F157" s="62">
        <f>'Cash Flow %s Yr1'!F156*'Cash Flow %s Yr1'!$T156</f>
        <v>1750</v>
      </c>
      <c r="G157" s="62">
        <f>'Cash Flow %s Yr1'!G156*'Cash Flow %s Yr1'!$T156</f>
        <v>0</v>
      </c>
      <c r="H157" s="62">
        <f>'Cash Flow %s Yr1'!H156*'Cash Flow %s Yr1'!$T156</f>
        <v>0</v>
      </c>
      <c r="I157" s="62">
        <f>'Cash Flow %s Yr1'!I156*'Cash Flow %s Yr1'!$T156</f>
        <v>0</v>
      </c>
      <c r="J157" s="62">
        <f>'Cash Flow %s Yr1'!J156*'Cash Flow %s Yr1'!$T156</f>
        <v>0</v>
      </c>
      <c r="K157" s="62">
        <f>'Cash Flow %s Yr1'!K156*'Cash Flow %s Yr1'!$T156</f>
        <v>0</v>
      </c>
      <c r="L157" s="62">
        <f>'Cash Flow %s Yr1'!L156*'Cash Flow %s Yr1'!$T156</f>
        <v>0</v>
      </c>
      <c r="M157" s="62">
        <f>'Cash Flow %s Yr1'!M156*'Cash Flow %s Yr1'!$T156</f>
        <v>0</v>
      </c>
      <c r="N157" s="62">
        <f>'Cash Flow %s Yr1'!N156*'Cash Flow %s Yr1'!$T156</f>
        <v>0</v>
      </c>
      <c r="O157" s="62">
        <f>'Cash Flow %s Yr1'!O156*'Cash Flow %s Yr1'!$T156</f>
        <v>0</v>
      </c>
      <c r="P157" s="152">
        <f>-P152</f>
        <v>0</v>
      </c>
      <c r="Q157" s="152">
        <f>-Q152</f>
        <v>0</v>
      </c>
      <c r="R157" s="152">
        <f>-R152</f>
        <v>0</v>
      </c>
    </row>
    <row r="158" spans="1:19" s="31" customFormat="1" x14ac:dyDescent="0.75">
      <c r="A158" s="35"/>
      <c r="B158" s="64"/>
      <c r="C158" s="64" t="str">
        <f>'Cash Flow %s Yr1'!C157</f>
        <v>Change in Loans outstanding</v>
      </c>
      <c r="D158" s="62">
        <f>'Cash Flow %s Yr1'!D157*'Cash Flow %s Yr1'!$T157</f>
        <v>0</v>
      </c>
      <c r="E158" s="62">
        <f>'Cash Flow %s Yr1'!E157*'Cash Flow %s Yr1'!$T157</f>
        <v>0</v>
      </c>
      <c r="F158" s="62">
        <f>'Cash Flow %s Yr1'!F157*'Cash Flow %s Yr1'!$T157</f>
        <v>5000</v>
      </c>
      <c r="G158" s="62">
        <f>'Cash Flow %s Yr1'!G157*'Cash Flow %s Yr1'!$T157</f>
        <v>5000</v>
      </c>
      <c r="H158" s="62">
        <f>'Cash Flow %s Yr1'!H157*'Cash Flow %s Yr1'!$T157</f>
        <v>5000</v>
      </c>
      <c r="I158" s="62">
        <f>'Cash Flow %s Yr1'!I157*'Cash Flow %s Yr1'!$T157</f>
        <v>5000</v>
      </c>
      <c r="J158" s="62">
        <f>'Cash Flow %s Yr1'!J157*'Cash Flow %s Yr1'!$T157</f>
        <v>5000</v>
      </c>
      <c r="K158" s="62">
        <f>'Cash Flow %s Yr1'!K157*'Cash Flow %s Yr1'!$T157</f>
        <v>5000</v>
      </c>
      <c r="L158" s="62">
        <f>'Cash Flow %s Yr1'!L157*'Cash Flow %s Yr1'!$T157</f>
        <v>5000</v>
      </c>
      <c r="M158" s="62">
        <f>'Cash Flow %s Yr1'!M157*'Cash Flow %s Yr1'!$T157</f>
        <v>5000</v>
      </c>
      <c r="N158" s="62">
        <f>'Cash Flow %s Yr1'!N157*'Cash Flow %s Yr1'!$T157</f>
        <v>5000</v>
      </c>
      <c r="O158" s="62">
        <f>'Cash Flow %s Yr1'!O157*'Cash Flow %s Yr1'!$T157</f>
        <v>5000</v>
      </c>
      <c r="P158" s="90"/>
      <c r="Q158" s="90"/>
      <c r="R158" s="90"/>
    </row>
    <row r="159" spans="1:19" s="31" customFormat="1" x14ac:dyDescent="0.75">
      <c r="A159" s="35"/>
      <c r="B159" s="3"/>
      <c r="C159" s="34" t="s">
        <v>719</v>
      </c>
      <c r="D159" s="79">
        <f>D155+D156+D157+D158</f>
        <v>238750</v>
      </c>
      <c r="E159" s="79">
        <f t="shared" ref="E159:O159" si="14">E155+E156+E157+E158</f>
        <v>15750</v>
      </c>
      <c r="F159" s="79">
        <f t="shared" si="14"/>
        <v>10500</v>
      </c>
      <c r="G159" s="79">
        <f t="shared" si="14"/>
        <v>5000</v>
      </c>
      <c r="H159" s="79">
        <f t="shared" si="14"/>
        <v>5000</v>
      </c>
      <c r="I159" s="79">
        <f t="shared" si="14"/>
        <v>5000</v>
      </c>
      <c r="J159" s="79">
        <f t="shared" si="14"/>
        <v>5000</v>
      </c>
      <c r="K159" s="79">
        <f t="shared" si="14"/>
        <v>5000</v>
      </c>
      <c r="L159" s="79">
        <f t="shared" si="14"/>
        <v>5000</v>
      </c>
      <c r="M159" s="79">
        <f t="shared" si="14"/>
        <v>5000</v>
      </c>
      <c r="N159" s="79">
        <f t="shared" si="14"/>
        <v>5000</v>
      </c>
      <c r="O159" s="79">
        <f t="shared" si="14"/>
        <v>5000</v>
      </c>
      <c r="P159" s="84"/>
      <c r="Q159" s="84"/>
      <c r="R159" s="84"/>
    </row>
    <row r="160" spans="1:19" s="39" customFormat="1" ht="16.5" thickBot="1" x14ac:dyDescent="0.9">
      <c r="A160" s="35"/>
      <c r="C160" s="1"/>
      <c r="D160" s="84"/>
      <c r="E160" s="84"/>
      <c r="F160" s="84"/>
      <c r="G160" s="84"/>
      <c r="H160" s="84"/>
      <c r="I160" s="84"/>
      <c r="J160" s="84"/>
      <c r="K160" s="84"/>
      <c r="L160" s="84"/>
      <c r="M160" s="84"/>
      <c r="N160" s="84"/>
      <c r="O160" s="84"/>
      <c r="P160" s="84"/>
      <c r="Q160" s="84"/>
      <c r="R160" s="84"/>
    </row>
    <row r="161" spans="1:18" s="39" customFormat="1" ht="16.5" thickBot="1" x14ac:dyDescent="0.9">
      <c r="A161" s="71" t="s">
        <v>825</v>
      </c>
      <c r="B161" s="114"/>
      <c r="C161" s="72"/>
      <c r="D161" s="131" t="e">
        <f t="shared" ref="D161:O161" si="15">D49-D152</f>
        <v>#REF!</v>
      </c>
      <c r="E161" s="131" t="e">
        <f t="shared" si="15"/>
        <v>#REF!</v>
      </c>
      <c r="F161" s="131" t="e">
        <f t="shared" si="15"/>
        <v>#REF!</v>
      </c>
      <c r="G161" s="131" t="e">
        <f t="shared" si="15"/>
        <v>#REF!</v>
      </c>
      <c r="H161" s="131" t="e">
        <f t="shared" si="15"/>
        <v>#REF!</v>
      </c>
      <c r="I161" s="131" t="e">
        <f t="shared" si="15"/>
        <v>#REF!</v>
      </c>
      <c r="J161" s="131" t="e">
        <f t="shared" si="15"/>
        <v>#REF!</v>
      </c>
      <c r="K161" s="131" t="e">
        <f t="shared" si="15"/>
        <v>#REF!</v>
      </c>
      <c r="L161" s="131" t="e">
        <f t="shared" si="15"/>
        <v>#REF!</v>
      </c>
      <c r="M161" s="131" t="e">
        <f t="shared" si="15"/>
        <v>#REF!</v>
      </c>
      <c r="N161" s="131" t="e">
        <f t="shared" si="15"/>
        <v>#REF!</v>
      </c>
      <c r="O161" s="132" t="e">
        <f t="shared" si="15"/>
        <v>#REF!</v>
      </c>
      <c r="P161" s="84"/>
      <c r="Q161" s="84"/>
      <c r="R161" s="84"/>
    </row>
    <row r="162" spans="1:18" s="39" customFormat="1" ht="16.5" thickBot="1" x14ac:dyDescent="0.9">
      <c r="A162" s="35"/>
      <c r="C162" s="1"/>
      <c r="D162" s="133"/>
      <c r="E162" s="133"/>
      <c r="F162" s="133"/>
      <c r="G162" s="133"/>
      <c r="H162" s="133"/>
      <c r="I162" s="133"/>
      <c r="J162" s="133"/>
      <c r="K162" s="133"/>
      <c r="L162" s="133"/>
      <c r="M162" s="133"/>
      <c r="N162" s="133"/>
      <c r="O162" s="133"/>
      <c r="P162" s="84"/>
      <c r="Q162" s="84"/>
      <c r="R162" s="84"/>
    </row>
    <row r="163" spans="1:18" s="39" customFormat="1" ht="16.5" thickBot="1" x14ac:dyDescent="0.9">
      <c r="A163" s="71" t="s">
        <v>816</v>
      </c>
      <c r="B163" s="114"/>
      <c r="C163" s="72"/>
      <c r="D163" s="131" t="e">
        <f>D159+D161</f>
        <v>#REF!</v>
      </c>
      <c r="E163" s="131" t="e">
        <f t="shared" ref="E163:O163" si="16">E159+E161</f>
        <v>#REF!</v>
      </c>
      <c r="F163" s="131" t="e">
        <f t="shared" si="16"/>
        <v>#REF!</v>
      </c>
      <c r="G163" s="131" t="e">
        <f t="shared" si="16"/>
        <v>#REF!</v>
      </c>
      <c r="H163" s="131" t="e">
        <f t="shared" si="16"/>
        <v>#REF!</v>
      </c>
      <c r="I163" s="131" t="e">
        <f t="shared" si="16"/>
        <v>#REF!</v>
      </c>
      <c r="J163" s="131" t="e">
        <f t="shared" si="16"/>
        <v>#REF!</v>
      </c>
      <c r="K163" s="131" t="e">
        <f t="shared" si="16"/>
        <v>#REF!</v>
      </c>
      <c r="L163" s="131" t="e">
        <f t="shared" si="16"/>
        <v>#REF!</v>
      </c>
      <c r="M163" s="131" t="e">
        <f t="shared" si="16"/>
        <v>#REF!</v>
      </c>
      <c r="N163" s="131" t="e">
        <f t="shared" si="16"/>
        <v>#REF!</v>
      </c>
      <c r="O163" s="132" t="e">
        <f t="shared" si="16"/>
        <v>#REF!</v>
      </c>
      <c r="P163" s="84"/>
      <c r="Q163" s="84"/>
      <c r="R163" s="84"/>
    </row>
    <row r="164" spans="1:18" s="39" customFormat="1" ht="16.5" thickBot="1" x14ac:dyDescent="0.9">
      <c r="A164" s="35"/>
      <c r="C164" s="1"/>
      <c r="D164" s="84"/>
      <c r="E164" s="84"/>
      <c r="F164" s="84"/>
      <c r="G164" s="84"/>
      <c r="H164" s="84"/>
      <c r="I164" s="84"/>
      <c r="J164" s="84"/>
      <c r="K164" s="84"/>
      <c r="L164" s="84"/>
      <c r="M164" s="84"/>
      <c r="N164" s="84"/>
      <c r="O164" s="84"/>
      <c r="P164" s="84"/>
      <c r="Q164" s="84"/>
      <c r="R164" s="84"/>
    </row>
    <row r="165" spans="1:18" s="39" customFormat="1" ht="16.5" thickBot="1" x14ac:dyDescent="0.9">
      <c r="A165" s="71" t="s">
        <v>826</v>
      </c>
      <c r="B165" s="114"/>
      <c r="C165" s="72"/>
      <c r="D165" s="131" t="e">
        <f>D163</f>
        <v>#REF!</v>
      </c>
      <c r="E165" s="131" t="e">
        <f>D165+E163</f>
        <v>#REF!</v>
      </c>
      <c r="F165" s="131" t="e">
        <f t="shared" ref="F165:O165" si="17">E165+F163</f>
        <v>#REF!</v>
      </c>
      <c r="G165" s="131" t="e">
        <f t="shared" si="17"/>
        <v>#REF!</v>
      </c>
      <c r="H165" s="131" t="e">
        <f t="shared" si="17"/>
        <v>#REF!</v>
      </c>
      <c r="I165" s="131" t="e">
        <f t="shared" si="17"/>
        <v>#REF!</v>
      </c>
      <c r="J165" s="131" t="e">
        <f t="shared" si="17"/>
        <v>#REF!</v>
      </c>
      <c r="K165" s="131" t="e">
        <f t="shared" si="17"/>
        <v>#REF!</v>
      </c>
      <c r="L165" s="131" t="e">
        <f t="shared" si="17"/>
        <v>#REF!</v>
      </c>
      <c r="M165" s="131" t="e">
        <f t="shared" si="17"/>
        <v>#REF!</v>
      </c>
      <c r="N165" s="131" t="e">
        <f t="shared" si="17"/>
        <v>#REF!</v>
      </c>
      <c r="O165" s="132" t="e">
        <f t="shared" si="17"/>
        <v>#REF!</v>
      </c>
      <c r="P165" s="84"/>
      <c r="Q165" s="84"/>
      <c r="R165" s="84"/>
    </row>
    <row r="166" spans="1:18" s="39" customFormat="1" x14ac:dyDescent="0.75">
      <c r="A166" s="35"/>
      <c r="C166" s="1"/>
      <c r="D166" s="84"/>
      <c r="E166" s="84"/>
      <c r="F166" s="84"/>
      <c r="G166" s="84"/>
      <c r="H166" s="84"/>
      <c r="I166" s="84"/>
      <c r="J166" s="84"/>
      <c r="K166" s="84"/>
      <c r="L166" s="84"/>
      <c r="M166" s="84"/>
      <c r="N166" s="84"/>
      <c r="O166" s="84"/>
      <c r="P166" s="84"/>
      <c r="Q166" s="84"/>
      <c r="R166" s="84"/>
    </row>
    <row r="167" spans="1:18" s="39" customFormat="1" x14ac:dyDescent="0.75">
      <c r="A167" s="35"/>
      <c r="C167" s="1"/>
      <c r="D167" s="84"/>
      <c r="E167" s="84"/>
      <c r="F167" s="84"/>
      <c r="G167" s="84"/>
      <c r="H167" s="84"/>
      <c r="I167" s="84"/>
      <c r="J167" s="84"/>
      <c r="K167" s="84"/>
      <c r="L167" s="84"/>
      <c r="M167" s="84"/>
      <c r="N167" s="84"/>
      <c r="O167" s="84"/>
      <c r="P167" s="84"/>
      <c r="Q167" s="84"/>
      <c r="R167" s="84"/>
    </row>
    <row r="168" spans="1:18" s="39" customFormat="1" x14ac:dyDescent="0.75">
      <c r="A168" s="35"/>
      <c r="C168" s="1"/>
      <c r="D168" s="84"/>
      <c r="E168" s="84"/>
      <c r="F168" s="84"/>
      <c r="G168" s="84"/>
      <c r="H168" s="84"/>
      <c r="I168" s="84"/>
      <c r="J168" s="84"/>
      <c r="K168" s="84"/>
      <c r="L168" s="84"/>
      <c r="M168" s="84"/>
      <c r="N168" s="84"/>
      <c r="O168" s="84"/>
      <c r="P168" s="84"/>
      <c r="Q168" s="84"/>
      <c r="R168" s="84"/>
    </row>
  </sheetData>
  <pageMargins left="0.25" right="0.25" top="0.5" bottom="0.5" header="0.25" footer="0.25"/>
  <pageSetup scale="53" fitToHeight="3" orientation="landscape" r:id="rId1"/>
  <headerFooter alignWithMargins="0">
    <oddHeader>&amp;A</oddHeader>
    <oddFooter>Page &amp;P</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249977111117893"/>
    <pageSetUpPr fitToPage="1"/>
  </sheetPr>
  <dimension ref="A1:S168"/>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12.453125" style="84" customWidth="1"/>
    <col min="19" max="19" width="10.31640625" style="1" bestFit="1" customWidth="1"/>
    <col min="20"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row>
    <row r="2" spans="1:19" ht="17.75" x14ac:dyDescent="0.75">
      <c r="A2" s="21" t="s">
        <v>814</v>
      </c>
    </row>
    <row r="3" spans="1:19" ht="17.75" x14ac:dyDescent="0.75">
      <c r="A3" s="21">
        <f>'Student Info w MYP'!E6</f>
        <v>0</v>
      </c>
    </row>
    <row r="5" spans="1:19" ht="17.75" x14ac:dyDescent="0.75">
      <c r="A5" s="29"/>
      <c r="B5" s="40"/>
      <c r="C5" s="29"/>
      <c r="D5" s="96" t="e">
        <f>'Student Info w MYP'!D63/'Student Info w MYP'!E63</f>
        <v>#VALUE!</v>
      </c>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109" t="s">
        <v>815</v>
      </c>
      <c r="D8" s="96"/>
      <c r="F8" s="85"/>
      <c r="G8" s="85"/>
      <c r="H8" s="85"/>
      <c r="I8" s="31"/>
      <c r="J8" s="31"/>
      <c r="K8" s="85"/>
      <c r="L8" s="85"/>
      <c r="M8" s="85"/>
      <c r="N8" s="85"/>
      <c r="O8" s="85"/>
      <c r="P8" s="85"/>
      <c r="Q8" s="85"/>
      <c r="R8" s="85"/>
    </row>
    <row r="9" spans="1:19" ht="17.75" hidden="1" x14ac:dyDescent="0.75">
      <c r="A9" s="29"/>
      <c r="B9" s="40"/>
      <c r="D9" s="87"/>
      <c r="E9" s="100"/>
      <c r="F9" s="100"/>
      <c r="G9" s="100"/>
      <c r="H9" s="100"/>
      <c r="I9" s="100"/>
      <c r="J9" s="100"/>
      <c r="K9" s="100"/>
      <c r="L9" s="101"/>
      <c r="M9" s="100"/>
      <c r="N9" s="100"/>
      <c r="O9" s="101"/>
      <c r="P9" s="100"/>
      <c r="Q9" s="98"/>
      <c r="R9" s="98"/>
      <c r="S9" s="97"/>
    </row>
    <row r="10" spans="1:19" ht="17.75" hidden="1" x14ac:dyDescent="0.75">
      <c r="A10" s="29"/>
      <c r="B10" s="40"/>
      <c r="D10" s="87"/>
      <c r="E10" s="102"/>
      <c r="F10" s="102"/>
      <c r="G10" s="100"/>
      <c r="H10" s="102"/>
      <c r="I10" s="102"/>
      <c r="J10" s="100"/>
      <c r="K10" s="102"/>
      <c r="L10" s="101"/>
      <c r="M10" s="103"/>
      <c r="N10" s="103"/>
      <c r="O10" s="103"/>
      <c r="P10" s="104"/>
      <c r="Q10" s="87"/>
      <c r="R10" s="98"/>
      <c r="S10" s="97"/>
    </row>
    <row r="11" spans="1:19" s="31" customFormat="1" ht="17.75" x14ac:dyDescent="0.75">
      <c r="B11" s="68" t="s">
        <v>778</v>
      </c>
      <c r="C11" s="47"/>
      <c r="D11" s="86"/>
      <c r="E11" s="86"/>
      <c r="F11" s="86"/>
      <c r="G11" s="86"/>
      <c r="H11" s="86"/>
      <c r="I11" s="86"/>
      <c r="J11" s="86"/>
      <c r="K11" s="86"/>
      <c r="L11" s="86"/>
      <c r="M11" s="86"/>
      <c r="N11" s="86"/>
      <c r="O11" s="86"/>
      <c r="P11" s="86"/>
      <c r="Q11" s="86"/>
      <c r="R11" s="86"/>
    </row>
    <row r="12" spans="1:19" s="31" customFormat="1" x14ac:dyDescent="0.75">
      <c r="A12" s="48"/>
      <c r="B12" s="63" t="str">
        <f>'Revenue w MYP'!C8</f>
        <v>8011</v>
      </c>
      <c r="C12" s="63" t="str">
        <f>'Revenue w MYP'!D8</f>
        <v>LCFF; state aid portion</v>
      </c>
      <c r="D12" s="62" t="str">
        <f>IF('Revenue w MYP'!$F8="","",IF('Cash Flow %s Yr2'!D12="","",'Cash Flow %s Yr2'!D12*'Revenue w MYP'!$F8)*$D$5)</f>
        <v/>
      </c>
      <c r="E12" s="62" t="str">
        <f>IF('Revenue w MYP'!$F8="","",IF('Cash Flow %s Yr2'!E12="","",'Cash Flow %s Yr2'!E12*'Revenue w MYP'!$F8)*$D$5)</f>
        <v/>
      </c>
      <c r="F12" s="62" t="str">
        <f>IF('Revenue w MYP'!$F8="","",IF('Cash Flow %s Yr2'!F12="","",'Cash Flow %s Yr2'!F12*'Revenue w MYP'!$F8)*$D$5)</f>
        <v/>
      </c>
      <c r="G12" s="62" t="str">
        <f>IF('Revenue w MYP'!$F8="","",IF('Cash Flow %s Yr2'!G12="","",'Cash Flow %s Yr2'!G12*'Revenue w MYP'!$F8)*$D$5)</f>
        <v/>
      </c>
      <c r="H12" s="62" t="str">
        <f>IF('Revenue w MYP'!$F8="","",IF('Cash Flow %s Yr2'!H12="","",'Cash Flow %s Yr2'!H12*'Revenue w MYP'!$F8)*$D$5)</f>
        <v/>
      </c>
      <c r="I12" s="62" t="str">
        <f>IF('Revenue w MYP'!$F8="","",IF('Cash Flow %s Yr2'!I12="","",'Cash Flow %s Yr2'!I12*'Revenue w MYP'!$F8)*$D$5)</f>
        <v/>
      </c>
      <c r="J12" s="62" t="str">
        <f>IF('Revenue w MYP'!$F8="","",IF('Cash Flow %s Yr2'!J12="","",'Cash Flow %s Yr2'!J12*'Revenue w MYP'!$F8)*$D$5)</f>
        <v/>
      </c>
      <c r="K12" s="62" t="str">
        <f>IF('Revenue w MYP'!$F8="","",IF('Cash Flow %s Yr2'!K12="","",'Cash Flow %s Yr2'!K12*'Revenue w MYP'!$F8)*$D$5)</f>
        <v/>
      </c>
      <c r="L12" s="62" t="str">
        <f>IF('Revenue w MYP'!$F8="","",IF('Cash Flow %s Yr2'!L12="","",'Cash Flow %s Yr2'!L12*'Revenue w MYP'!$F8)*(1/$D$5))</f>
        <v/>
      </c>
      <c r="M12" s="62" t="str">
        <f>IF('Revenue w MYP'!$F8="","",IF('Cash Flow %s Yr2'!M12="","",'Cash Flow %s Yr2'!M12*'Revenue w MYP'!$F8)*(1/$D$5))</f>
        <v/>
      </c>
      <c r="N12" s="62" t="str">
        <f>IF('Revenue w MYP'!$F8="","",IF('Cash Flow %s Yr2'!N12="","",'Cash Flow %s Yr2'!N12*'Revenue w MYP'!$F8)*(1/$D$5))</f>
        <v/>
      </c>
      <c r="O12" s="62" t="str">
        <f>IF('Revenue w MYP'!$F8="","",IF('Cash Flow %s Yr2'!O12="","",'Cash Flow %s Yr2'!O12*'Revenue w MYP'!$F8)*(1/$D$5))</f>
        <v/>
      </c>
      <c r="P12" s="62" t="str">
        <f>IF('Revenue w MYP'!$F8="","",IF('Cash Flow %s Yr2'!P12="","",'Revenue w MYP'!F8-SUM('Cash Flow $s Yr2'!D12:O12)))</f>
        <v/>
      </c>
      <c r="Q12" s="62"/>
      <c r="R12" s="62"/>
      <c r="S12" s="97" t="str">
        <f>IF(SUM(D12:R12)&gt;0,SUM(D12:R12)/'Revenue w MYP'!$F8,"")</f>
        <v/>
      </c>
    </row>
    <row r="13" spans="1:19" s="31" customFormat="1" x14ac:dyDescent="0.75">
      <c r="A13" s="48"/>
      <c r="B13" s="63" t="str">
        <f>'Revenue w MYP'!C9</f>
        <v>8012</v>
      </c>
      <c r="C13" s="63" t="str">
        <f>'Revenue w MYP'!D9</f>
        <v>LCFF; EPA portion</v>
      </c>
      <c r="D13" s="62" t="str">
        <f>IF('Revenue w MYP'!$F9="","",IF('Cash Flow %s Yr2'!D13="","",'Cash Flow %s Yr2'!D13*'Revenue w MYP'!$F9)*$D$5)</f>
        <v/>
      </c>
      <c r="E13" s="62" t="str">
        <f>IF('Revenue w MYP'!$F9="","",IF('Cash Flow %s Yr2'!E13="","",'Cash Flow %s Yr2'!E13*'Revenue w MYP'!$F9)*$D$5)</f>
        <v/>
      </c>
      <c r="F13" s="62" t="str">
        <f>IF('Revenue w MYP'!$F9="","",IF('Cash Flow %s Yr2'!F13="","",'Cash Flow %s Yr2'!F13*'Revenue w MYP'!$F9)*$D$5)</f>
        <v/>
      </c>
      <c r="G13" s="62" t="str">
        <f>IF('Revenue w MYP'!$F9="","",IF('Cash Flow %s Yr2'!G13="","",'Cash Flow %s Yr2'!G13*'Revenue w MYP'!$F9)*$D$5)</f>
        <v/>
      </c>
      <c r="H13" s="62" t="str">
        <f>IF('Revenue w MYP'!$F9="","",IF('Cash Flow %s Yr2'!H13="","",'Cash Flow %s Yr2'!H13*'Revenue w MYP'!$F9)*$D$5)</f>
        <v/>
      </c>
      <c r="I13" s="62" t="str">
        <f>IF('Revenue w MYP'!$F9="","",IF('Cash Flow %s Yr2'!I13="","",'Cash Flow %s Yr2'!I13*'Revenue w MYP'!$F9)*$D$5)</f>
        <v/>
      </c>
      <c r="J13" s="62" t="str">
        <f>IF('Revenue w MYP'!$F9="","",IF('Cash Flow %s Yr2'!J13="","",'Cash Flow %s Yr2'!J13*'Revenue w MYP'!$F9)*$D$5)</f>
        <v/>
      </c>
      <c r="K13" s="62" t="str">
        <f>IF('Revenue w MYP'!$F9="","",IF('Cash Flow %s Yr2'!K13="","",'Cash Flow %s Yr2'!K13*'Revenue w MYP'!$F9)*$D$5)</f>
        <v/>
      </c>
      <c r="L13" s="62" t="str">
        <f>IF('Revenue w MYP'!$F9="","",IF('Cash Flow %s Yr2'!L13="","",'Cash Flow %s Yr2'!L13*'Revenue w MYP'!$F9)*(1/$D$5))</f>
        <v/>
      </c>
      <c r="M13" s="62" t="str">
        <f>IF('Revenue w MYP'!$F9="","",IF('Cash Flow %s Yr2'!M13="","",'Cash Flow %s Yr2'!M13*'Revenue w MYP'!$F9)*(1/$D$5))</f>
        <v/>
      </c>
      <c r="N13" s="62" t="str">
        <f>IF('Revenue w MYP'!$F9="","",IF('Cash Flow %s Yr2'!N13="","",'Cash Flow %s Yr2'!N13*'Revenue w MYP'!$F9)*(1/$D$5))</f>
        <v/>
      </c>
      <c r="O13" s="62" t="str">
        <f>IF('Revenue w MYP'!$F9="","",IF('Cash Flow %s Yr2'!O13="","",'Cash Flow %s Yr2'!O13*'Revenue w MYP'!$F9)*(1/$D$5))</f>
        <v/>
      </c>
      <c r="P13" s="62" t="str">
        <f>IF('Revenue w MYP'!$F9="","",IF('Cash Flow %s Yr2'!P13="","",'Revenue w MYP'!F9-SUM('Cash Flow $s Yr2'!D13:O13)))</f>
        <v/>
      </c>
      <c r="Q13" s="62"/>
      <c r="R13" s="62"/>
      <c r="S13" s="97" t="str">
        <f>IF(SUM(D13:R13)&gt;0,SUM(D13:R13)/'Revenue w MYP'!$F9,"")</f>
        <v/>
      </c>
    </row>
    <row r="14" spans="1:19" s="31" customFormat="1" x14ac:dyDescent="0.75">
      <c r="A14" s="48"/>
      <c r="B14" s="63" t="str">
        <f>'Revenue w MYP'!C10</f>
        <v>8096</v>
      </c>
      <c r="C14" s="63" t="str">
        <f>'Revenue w MYP'!D10</f>
        <v>In-Lieu of Property Taxes, all grades</v>
      </c>
      <c r="D14" s="62" t="str">
        <f>IF('Revenue w MYP'!$F10="","",IF('Cash Flow %s Yr2'!D14="","",'Cash Flow %s Yr2'!D14*'Revenue w MYP'!$F10)*$D$5)</f>
        <v/>
      </c>
      <c r="E14" s="62" t="str">
        <f>IF('Revenue w MYP'!$F10="","",IF('Cash Flow %s Yr2'!E14="","",'Cash Flow %s Yr2'!E14*'Revenue w MYP'!$F10)*$D$5)</f>
        <v/>
      </c>
      <c r="F14" s="62" t="str">
        <f>IF('Revenue w MYP'!$F10="","",IF('Cash Flow %s Yr2'!F14="","",'Cash Flow %s Yr2'!F14*'Revenue w MYP'!$F10)*$D$5)</f>
        <v/>
      </c>
      <c r="G14" s="62" t="str">
        <f>IF('Revenue w MYP'!$F10="","",IF('Cash Flow %s Yr2'!G14="","",'Cash Flow %s Yr2'!G14*'Revenue w MYP'!$F10)*$D$5)</f>
        <v/>
      </c>
      <c r="H14" s="62" t="str">
        <f>IF('Revenue w MYP'!$F10="","",IF('Cash Flow %s Yr2'!H14="","",'Cash Flow %s Yr2'!H14*'Revenue w MYP'!$F10)*$D$5)</f>
        <v/>
      </c>
      <c r="I14" s="62" t="str">
        <f>IF('Revenue w MYP'!$F10="","",IF('Cash Flow %s Yr2'!I14="","",'Cash Flow %s Yr2'!I14*'Revenue w MYP'!$F10)*$D$5)</f>
        <v/>
      </c>
      <c r="J14" s="62" t="str">
        <f>IF('Revenue w MYP'!$F10="","",IF('Cash Flow %s Yr2'!J14="","",'Cash Flow %s Yr2'!J14*'Revenue w MYP'!$F10)*$D$5)</f>
        <v/>
      </c>
      <c r="K14" s="62" t="str">
        <f>IF('Revenue w MYP'!$F10="","",IF('Cash Flow %s Yr2'!K14="","",'Cash Flow %s Yr2'!K14*'Revenue w MYP'!$F10)*$D$5)</f>
        <v/>
      </c>
      <c r="L14" s="62" t="str">
        <f>IF('Revenue w MYP'!$F10="","",IF('Cash Flow %s Yr2'!L14="","",'Cash Flow %s Yr2'!L14*'Revenue w MYP'!$F10)*(1/$D$5))</f>
        <v/>
      </c>
      <c r="M14" s="62" t="str">
        <f>IF('Revenue w MYP'!$F10="","",IF('Cash Flow %s Yr2'!M14="","",'Cash Flow %s Yr2'!M14*'Revenue w MYP'!$F10)*(1/$D$5))</f>
        <v/>
      </c>
      <c r="N14" s="62" t="str">
        <f>IF('Revenue w MYP'!$F10="","",IF('Cash Flow %s Yr2'!N14="","",'Cash Flow %s Yr2'!N14*'Revenue w MYP'!$F10)*(1/$D$5))</f>
        <v/>
      </c>
      <c r="O14" s="62" t="str">
        <f>IF('Revenue w MYP'!$F10="","",IF('Cash Flow %s Yr2'!O14="","",'Cash Flow %s Yr2'!O14*'Revenue w MYP'!$F10)*(1/$D$5))</f>
        <v/>
      </c>
      <c r="P14" s="62" t="str">
        <f>IF('Revenue w MYP'!$F10="","",IF('Cash Flow %s Yr2'!P14="","",'Revenue w MYP'!F10-SUM('Cash Flow $s Yr2'!D14:O14)))</f>
        <v/>
      </c>
      <c r="Q14" s="62"/>
      <c r="R14" s="62"/>
      <c r="S14" s="97" t="str">
        <f>IF(SUM(D14:R14)&gt;0,SUM(D14:R14)/'Revenue w MYP'!$F10,"")</f>
        <v/>
      </c>
    </row>
    <row r="15" spans="1:19" s="31" customFormat="1" x14ac:dyDescent="0.75">
      <c r="A15" s="48"/>
      <c r="B15" s="63" t="str">
        <f>'Revenue w MYP'!C11</f>
        <v>8019</v>
      </c>
      <c r="C15" s="63" t="str">
        <f>'Revenue w MYP'!D11</f>
        <v>Prior Year Income / Adjustments</v>
      </c>
      <c r="D15" s="62">
        <f>'Cash Flow $s Yr1'!P156</f>
        <v>0</v>
      </c>
      <c r="E15" s="62">
        <f>'Cash Flow $s Yr1'!Q156</f>
        <v>0</v>
      </c>
      <c r="F15" s="62">
        <f>'Cash Flow $s Yr1'!R156</f>
        <v>0</v>
      </c>
      <c r="G15" s="62" t="str">
        <f>IF('Revenue w MYP'!$F11="","",IF('Cash Flow %s Yr2'!G15="","",'Cash Flow %s Yr2'!G15*'Revenue w MYP'!$F11))</f>
        <v/>
      </c>
      <c r="H15" s="62" t="str">
        <f>IF('Revenue w MYP'!$F11="","",IF('Cash Flow %s Yr2'!H15="","",'Cash Flow %s Yr2'!H15*'Revenue w MYP'!$F11))</f>
        <v/>
      </c>
      <c r="I15" s="62" t="str">
        <f>IF('Revenue w MYP'!$F11="","",IF('Cash Flow %s Yr2'!I15="","",'Cash Flow %s Yr2'!I15*'Revenue w MYP'!$F11))</f>
        <v/>
      </c>
      <c r="J15" s="62" t="str">
        <f>IF('Revenue w MYP'!$F11="","",IF('Cash Flow %s Yr2'!J15="","",'Cash Flow %s Yr2'!J15*'Revenue w MYP'!$F11))</f>
        <v/>
      </c>
      <c r="K15" s="62" t="str">
        <f>IF('Revenue w MYP'!$F11="","",IF('Cash Flow %s Yr2'!K15="","",'Cash Flow %s Yr2'!K15*'Revenue w MYP'!$F11))</f>
        <v/>
      </c>
      <c r="L15" s="62" t="str">
        <f>IF('Revenue w MYP'!$F11="","",IF('Cash Flow %s Yr2'!L15="","",'Cash Flow %s Yr2'!L15*'Revenue w MYP'!$F11))</f>
        <v/>
      </c>
      <c r="M15" s="62" t="str">
        <f>IF('Revenue w MYP'!$F11="","",IF('Cash Flow %s Yr2'!M15="","",'Cash Flow %s Yr2'!M15*'Revenue w MYP'!$F11))</f>
        <v/>
      </c>
      <c r="N15" s="62" t="str">
        <f>IF('Revenue w MYP'!$F11="","",IF('Cash Flow %s Yr2'!N15="","",'Cash Flow %s Yr2'!N15*'Revenue w MYP'!$F11))</f>
        <v/>
      </c>
      <c r="O15" s="62" t="str">
        <f>IF('Revenue w MYP'!$F11="","",IF('Cash Flow %s Yr2'!O15="","",'Cash Flow %s Yr2'!O15*'Revenue w MYP'!$F11))</f>
        <v/>
      </c>
      <c r="P15" s="62" t="str">
        <f>IF('Revenue w MYP'!$F11="","",IF('Cash Flow %s Yr2'!P15="","",'Cash Flow %s Yr2'!P15*'Revenue w MYP'!$F11))</f>
        <v/>
      </c>
      <c r="Q15" s="62" t="str">
        <f>IF('Revenue w MYP'!$F11="","",IF('Cash Flow %s Yr2'!Q15="","",'Cash Flow %s Yr2'!Q15*'Revenue w MYP'!$F11))</f>
        <v/>
      </c>
      <c r="R15" s="62" t="str">
        <f>IF('Revenue w MYP'!$F11="","",IF('Cash Flow %s Yr2'!R15="","",'Cash Flow %s Yr2'!R15*'Revenue w MYP'!$F11))</f>
        <v/>
      </c>
      <c r="S15" s="97" t="str">
        <f>IF(SUM(D15:R15)&gt;0,SUM(D15:R15)/'Revenue w MYP'!$F11,"")</f>
        <v/>
      </c>
    </row>
    <row r="16" spans="1:19" s="31" customFormat="1" x14ac:dyDescent="0.75">
      <c r="A16" s="48"/>
      <c r="B16" s="63" t="str">
        <f>'Revenue w MYP'!C12</f>
        <v>8520</v>
      </c>
      <c r="C16" s="63" t="str">
        <f>'Revenue w MYP'!D12</f>
        <v>State Child Nutrition program</v>
      </c>
      <c r="D16" s="62" t="str">
        <f>IF('Revenue w MYP'!$F12="","",IF('Cash Flow %s Yr2'!D16="","",'Cash Flow %s Yr2'!D16*'Revenue w MYP'!$F12))</f>
        <v/>
      </c>
      <c r="E16" s="62" t="str">
        <f>IF('Revenue w MYP'!$F12="","",IF('Cash Flow %s Yr2'!E16="","",'Cash Flow %s Yr2'!E16*'Revenue w MYP'!$F12))</f>
        <v/>
      </c>
      <c r="F16" s="62" t="str">
        <f>IF('Revenue w MYP'!$F12="","",IF('Cash Flow %s Yr2'!F16="","",'Cash Flow %s Yr2'!F16*'Revenue w MYP'!$F12))</f>
        <v/>
      </c>
      <c r="G16" s="62" t="str">
        <f>IF('Revenue w MYP'!$F12="","",IF('Cash Flow %s Yr2'!G16="","",'Cash Flow %s Yr2'!G16*'Revenue w MYP'!$F12))</f>
        <v/>
      </c>
      <c r="H16" s="62" t="str">
        <f>IF('Revenue w MYP'!$F12="","",IF('Cash Flow %s Yr2'!H16="","",'Cash Flow %s Yr2'!H16*'Revenue w MYP'!$F12))</f>
        <v/>
      </c>
      <c r="I16" s="62" t="str">
        <f>IF('Revenue w MYP'!$F12="","",IF('Cash Flow %s Yr2'!I16="","",'Cash Flow %s Yr2'!I16*'Revenue w MYP'!$F12))</f>
        <v/>
      </c>
      <c r="J16" s="62" t="str">
        <f>IF('Revenue w MYP'!$F12="","",IF('Cash Flow %s Yr2'!J16="","",'Cash Flow %s Yr2'!J16*'Revenue w MYP'!$F12))</f>
        <v/>
      </c>
      <c r="K16" s="62" t="str">
        <f>IF('Revenue w MYP'!$F12="","",IF('Cash Flow %s Yr2'!K16="","",'Cash Flow %s Yr2'!K16*'Revenue w MYP'!$F12))</f>
        <v/>
      </c>
      <c r="L16" s="62" t="str">
        <f>IF('Revenue w MYP'!$F12="","",IF('Cash Flow %s Yr2'!L16="","",'Cash Flow %s Yr2'!L16*'Revenue w MYP'!$F12))</f>
        <v/>
      </c>
      <c r="M16" s="62" t="str">
        <f>IF('Revenue w MYP'!$F12="","",IF('Cash Flow %s Yr2'!M16="","",'Cash Flow %s Yr2'!M16*'Revenue w MYP'!$F12))</f>
        <v/>
      </c>
      <c r="N16" s="62" t="str">
        <f>IF('Revenue w MYP'!$F12="","",IF('Cash Flow %s Yr2'!N16="","",'Cash Flow %s Yr2'!N16*'Revenue w MYP'!$F12))</f>
        <v/>
      </c>
      <c r="O16" s="62" t="str">
        <f>IF('Revenue w MYP'!$F12="","",IF('Cash Flow %s Yr2'!O16="","",'Cash Flow %s Yr2'!O16*'Revenue w MYP'!$F12))</f>
        <v/>
      </c>
      <c r="P16" s="62" t="str">
        <f>IF('Revenue w MYP'!$F12="","",IF('Cash Flow %s Yr2'!P16="","",'Cash Flow %s Yr2'!P16*'Revenue w MYP'!$F12))</f>
        <v/>
      </c>
      <c r="Q16" s="62" t="str">
        <f>IF('Revenue w MYP'!$F12="","",IF('Cash Flow %s Yr2'!Q16="","",'Cash Flow %s Yr2'!Q16*'Revenue w MYP'!$F12))</f>
        <v/>
      </c>
      <c r="R16" s="62" t="str">
        <f>IF('Revenue w MYP'!$F12="","",IF('Cash Flow %s Yr2'!R16="","",'Cash Flow %s Yr2'!R16*'Revenue w MYP'!$F12))</f>
        <v/>
      </c>
      <c r="S16" s="97" t="str">
        <f>IF(SUM(D16:R16)&gt;0,SUM(D16:R16)/'Revenue w MYP'!$F12,"")</f>
        <v/>
      </c>
    </row>
    <row r="17" spans="1:19" s="31" customFormat="1" x14ac:dyDescent="0.75">
      <c r="A17" s="48"/>
      <c r="B17" s="63" t="str">
        <f>'Revenue w MYP'!C14</f>
        <v>8560</v>
      </c>
      <c r="C17" s="63" t="str">
        <f>'Revenue w MYP'!D14</f>
        <v>Restricted Lottery</v>
      </c>
      <c r="D17" s="62" t="str">
        <f>IF('Revenue w MYP'!$F14="","",IF('Cash Flow %s Yr2'!D17="","",'Cash Flow %s Yr2'!D17*'Revenue w MYP'!$F14))</f>
        <v/>
      </c>
      <c r="E17" s="62" t="str">
        <f>IF('Revenue w MYP'!$F14="","",IF('Cash Flow %s Yr2'!E17="","",'Cash Flow %s Yr2'!E17*'Revenue w MYP'!$F14))</f>
        <v/>
      </c>
      <c r="F17" s="62" t="str">
        <f>IF('Revenue w MYP'!$F14="","",IF('Cash Flow %s Yr2'!F17="","",'Cash Flow %s Yr2'!F17*'Revenue w MYP'!$F14))</f>
        <v/>
      </c>
      <c r="G17" s="62" t="str">
        <f>IF('Revenue w MYP'!$F14="","",IF('Cash Flow %s Yr2'!G17="","",'Cash Flow %s Yr2'!G17*'Revenue w MYP'!$F14))</f>
        <v/>
      </c>
      <c r="H17" s="62" t="str">
        <f>IF('Revenue w MYP'!$F14="","",IF('Cash Flow %s Yr2'!H17="","",'Cash Flow %s Yr2'!H17*'Revenue w MYP'!$F14))</f>
        <v/>
      </c>
      <c r="I17" s="62" t="str">
        <f>IF('Revenue w MYP'!$F14="","",IF('Cash Flow %s Yr2'!I17="","",'Cash Flow %s Yr2'!I17*'Revenue w MYP'!$F14))</f>
        <v/>
      </c>
      <c r="J17" s="62" t="str">
        <f>IF('Revenue w MYP'!$F14="","",IF('Cash Flow %s Yr2'!J17="","",'Cash Flow %s Yr2'!J17*'Revenue w MYP'!$F14))</f>
        <v/>
      </c>
      <c r="K17" s="62" t="str">
        <f>IF('Revenue w MYP'!$F14="","",IF('Cash Flow %s Yr2'!K17="","",'Cash Flow %s Yr2'!K17*'Revenue w MYP'!$F14))</f>
        <v/>
      </c>
      <c r="L17" s="62" t="str">
        <f>IF('Revenue w MYP'!$F14="","",IF('Cash Flow %s Yr2'!L17="","",'Cash Flow %s Yr2'!L17*'Revenue w MYP'!$F14))</f>
        <v/>
      </c>
      <c r="M17" s="62" t="str">
        <f>IF('Revenue w MYP'!$F14="","",IF('Cash Flow %s Yr2'!M17="","",'Cash Flow %s Yr2'!M17*'Revenue w MYP'!$F14))</f>
        <v/>
      </c>
      <c r="N17" s="62" t="str">
        <f>IF('Revenue w MYP'!$F14="","",IF('Cash Flow %s Yr2'!N17="","",'Cash Flow %s Yr2'!N17*'Revenue w MYP'!$F14))</f>
        <v/>
      </c>
      <c r="O17" s="62" t="str">
        <f>IF('Revenue w MYP'!$F14="","",IF('Cash Flow %s Yr2'!O17="","",'Cash Flow %s Yr2'!O17*'Revenue w MYP'!$F14))</f>
        <v/>
      </c>
      <c r="P17" s="62" t="str">
        <f>IF('Revenue w MYP'!$F14="","",IF('Cash Flow %s Yr2'!P17="","",'Cash Flow %s Yr2'!P17*'Revenue w MYP'!$F14))</f>
        <v/>
      </c>
      <c r="Q17" s="62" t="str">
        <f>IF('Revenue w MYP'!$F14="","",IF('Cash Flow %s Yr2'!Q17="","",'Cash Flow %s Yr2'!Q17*'Revenue w MYP'!$F14))</f>
        <v/>
      </c>
      <c r="R17" s="62" t="str">
        <f>IF('Revenue w MYP'!$F14="","",IF('Cash Flow %s Yr2'!R17="","",'Cash Flow %s Yr2'!R17*'Revenue w MYP'!$F14))</f>
        <v/>
      </c>
      <c r="S17" s="97" t="str">
        <f>IF(SUM(D17:R17)&gt;0,SUM(D17:R17)/'Revenue w MYP'!$F14,"")</f>
        <v/>
      </c>
    </row>
    <row r="18" spans="1:19" s="31" customFormat="1" x14ac:dyDescent="0.75">
      <c r="A18" s="47"/>
      <c r="B18" s="63" t="str">
        <f>'Revenue w MYP'!C15</f>
        <v>8550</v>
      </c>
      <c r="C18" s="63" t="str">
        <f>'Revenue w MYP'!D15</f>
        <v>Mandate Block Grant</v>
      </c>
      <c r="D18" s="62">
        <f>IF('Revenue w MYP'!$F15="","",IF('Cash Flow %s Yr2'!D18="","",'Cash Flow %s Yr2'!D18*'Revenue w MYP'!$F15))</f>
        <v>0</v>
      </c>
      <c r="E18" s="62">
        <f>IF('Revenue w MYP'!$F15="","",IF('Cash Flow %s Yr2'!E18="","",'Cash Flow %s Yr2'!E18*'Revenue w MYP'!$F15))</f>
        <v>0</v>
      </c>
      <c r="F18" s="62">
        <f>IF('Revenue w MYP'!$F15="","",IF('Cash Flow %s Yr2'!F18="","",'Cash Flow %s Yr2'!F18*'Revenue w MYP'!$F15))</f>
        <v>0</v>
      </c>
      <c r="G18" s="62">
        <f>IF('Revenue w MYP'!$F15="","",IF('Cash Flow %s Yr2'!G18="","",'Cash Flow %s Yr2'!G18*'Revenue w MYP'!$F15))</f>
        <v>0</v>
      </c>
      <c r="H18" s="62">
        <f>IF('Revenue w MYP'!$F15="","",IF('Cash Flow %s Yr2'!H18="","",'Cash Flow %s Yr2'!H18*'Revenue w MYP'!$F15))</f>
        <v>0</v>
      </c>
      <c r="I18" s="62">
        <f>IF('Revenue w MYP'!$F15="","",IF('Cash Flow %s Yr2'!I18="","",'Cash Flow %s Yr2'!I18*'Revenue w MYP'!$F15))</f>
        <v>0</v>
      </c>
      <c r="J18" s="62">
        <f>IF('Revenue w MYP'!$F15="","",IF('Cash Flow %s Yr2'!J18="","",'Cash Flow %s Yr2'!J18*'Revenue w MYP'!$F15))</f>
        <v>0</v>
      </c>
      <c r="K18" s="62">
        <f>IF('Revenue w MYP'!$F15="","",IF('Cash Flow %s Yr2'!K18="","",'Cash Flow %s Yr2'!K18*'Revenue w MYP'!$F15))</f>
        <v>0</v>
      </c>
      <c r="L18" s="62">
        <f>IF('Revenue w MYP'!$F15="","",IF('Cash Flow %s Yr2'!L18="","",'Cash Flow %s Yr2'!L18*'Revenue w MYP'!$F15))</f>
        <v>0</v>
      </c>
      <c r="M18" s="62">
        <f>IF('Revenue w MYP'!$F15="","",IF('Cash Flow %s Yr2'!M18="","",'Cash Flow %s Yr2'!M18*'Revenue w MYP'!$F15))</f>
        <v>0</v>
      </c>
      <c r="N18" s="62">
        <f>IF('Revenue w MYP'!$F15="","",IF('Cash Flow %s Yr2'!N18="","",'Cash Flow %s Yr2'!N18*'Revenue w MYP'!$F15))</f>
        <v>0</v>
      </c>
      <c r="O18" s="62">
        <f>IF('Revenue w MYP'!$F15="","",IF('Cash Flow %s Yr2'!O18="","",'Cash Flow %s Yr2'!O18*'Revenue w MYP'!$F15))</f>
        <v>0</v>
      </c>
      <c r="P18" s="62">
        <f>IF('Revenue w MYP'!$F15="","",IF('Cash Flow %s Yr2'!P18="","",'Cash Flow %s Yr2'!P18*'Revenue w MYP'!$F15))</f>
        <v>0</v>
      </c>
      <c r="Q18" s="62">
        <f>IF('Revenue w MYP'!$F15="","",IF('Cash Flow %s Yr2'!Q18="","",'Cash Flow %s Yr2'!Q18*'Revenue w MYP'!$F15))</f>
        <v>0</v>
      </c>
      <c r="R18" s="62">
        <f>IF('Revenue w MYP'!$F15="","",IF('Cash Flow %s Yr2'!R18="","",'Cash Flow %s Yr2'!R18*'Revenue w MYP'!$F15))</f>
        <v>0</v>
      </c>
      <c r="S18" s="97" t="str">
        <f>IF(SUM(D18:R18)&gt;0,SUM(D18:R18)/'Revenue w MYP'!$F15,"")</f>
        <v/>
      </c>
    </row>
    <row r="19" spans="1:19" s="31" customFormat="1" x14ac:dyDescent="0.75">
      <c r="A19" s="48"/>
      <c r="B19" s="63" t="str">
        <f>'Revenue w MYP'!C17</f>
        <v>8590</v>
      </c>
      <c r="C19" s="63" t="str">
        <f>'Revenue w MYP'!D17</f>
        <v>CSEPDBG</v>
      </c>
      <c r="D19" s="62" t="str">
        <f>IF('Revenue w MYP'!$F17="","",IF('Cash Flow %s Yr2'!D19="","",'Cash Flow %s Yr2'!D19*'Revenue w MYP'!$F17))</f>
        <v/>
      </c>
      <c r="E19" s="62" t="str">
        <f>IF('Revenue w MYP'!$F17="","",IF('Cash Flow %s Yr2'!E19="","",'Cash Flow %s Yr2'!E19*'Revenue w MYP'!$F17))</f>
        <v/>
      </c>
      <c r="F19" s="62" t="str">
        <f>IF('Revenue w MYP'!$F17="","",IF('Cash Flow %s Yr2'!F19="","",'Cash Flow %s Yr2'!F19*'Revenue w MYP'!$F17))</f>
        <v/>
      </c>
      <c r="G19" s="62" t="str">
        <f>IF('Revenue w MYP'!$F17="","",IF('Cash Flow %s Yr2'!G19="","",'Cash Flow %s Yr2'!G19*'Revenue w MYP'!$F17))</f>
        <v/>
      </c>
      <c r="H19" s="62" t="str">
        <f>IF('Revenue w MYP'!$F17="","",IF('Cash Flow %s Yr2'!H19="","",'Cash Flow %s Yr2'!H19*'Revenue w MYP'!$F17))</f>
        <v/>
      </c>
      <c r="I19" s="62" t="str">
        <f>IF('Revenue w MYP'!$F17="","",IF('Cash Flow %s Yr2'!I19="","",'Cash Flow %s Yr2'!I19*'Revenue w MYP'!$F17))</f>
        <v/>
      </c>
      <c r="J19" s="62" t="str">
        <f>IF('Revenue w MYP'!$F17="","",IF('Cash Flow %s Yr2'!J19="","",'Cash Flow %s Yr2'!J19*'Revenue w MYP'!$F17))</f>
        <v/>
      </c>
      <c r="K19" s="62" t="str">
        <f>IF('Revenue w MYP'!$F17="","",IF('Cash Flow %s Yr2'!K19="","",'Cash Flow %s Yr2'!K19*'Revenue w MYP'!$F17))</f>
        <v/>
      </c>
      <c r="L19" s="62" t="str">
        <f>IF('Revenue w MYP'!$F17="","",IF('Cash Flow %s Yr2'!L19="","",'Cash Flow %s Yr2'!L19*'Revenue w MYP'!$F17))</f>
        <v/>
      </c>
      <c r="M19" s="62" t="str">
        <f>IF('Revenue w MYP'!$F17="","",IF('Cash Flow %s Yr2'!M19="","",'Cash Flow %s Yr2'!M19*'Revenue w MYP'!$F17))</f>
        <v/>
      </c>
      <c r="N19" s="62" t="str">
        <f>IF('Revenue w MYP'!$F17="","",IF('Cash Flow %s Yr2'!N19="","",'Cash Flow %s Yr2'!N19*'Revenue w MYP'!$F17))</f>
        <v/>
      </c>
      <c r="O19" s="62" t="str">
        <f>IF('Revenue w MYP'!$F17="","",IF('Cash Flow %s Yr2'!O19="","",'Cash Flow %s Yr2'!O19*'Revenue w MYP'!$F17))</f>
        <v/>
      </c>
      <c r="P19" s="62" t="str">
        <f>IF('Revenue w MYP'!$F17="","",IF('Cash Flow %s Yr2'!P19="","",'Cash Flow %s Yr2'!P19*'Revenue w MYP'!$F17))</f>
        <v/>
      </c>
      <c r="Q19" s="62" t="str">
        <f>IF('Revenue w MYP'!$F17="","",IF('Cash Flow %s Yr2'!Q19="","",'Cash Flow %s Yr2'!Q19*'Revenue w MYP'!$F17))</f>
        <v/>
      </c>
      <c r="R19" s="62" t="str">
        <f>IF('Revenue w MYP'!$F17="","",IF('Cash Flow %s Yr2'!R19="","",'Cash Flow %s Yr2'!R19*'Revenue w MYP'!$F17))</f>
        <v/>
      </c>
      <c r="S19" s="97" t="str">
        <f>IF(SUM(D19:R19)&gt;0,SUM(D19:R19)/'Revenue w MYP'!$F17,"")</f>
        <v/>
      </c>
    </row>
    <row r="20" spans="1:19" s="31" customFormat="1" ht="17.75" x14ac:dyDescent="0.75">
      <c r="A20" s="29"/>
      <c r="B20" s="63" t="str">
        <f>'Revenue w MYP'!C18</f>
        <v>8550</v>
      </c>
      <c r="C20" s="63" t="str">
        <f>'Revenue w MYP'!D18</f>
        <v>One Time Mandate Block Grant</v>
      </c>
      <c r="D20" s="62" t="str">
        <f>IF('Revenue w MYP'!$F18="","",IF('Cash Flow %s Yr2'!D20="","",'Cash Flow %s Yr2'!D20*'Revenue w MYP'!$F18))</f>
        <v/>
      </c>
      <c r="E20" s="62" t="str">
        <f>IF('Revenue w MYP'!$F18="","",IF('Cash Flow %s Yr2'!E20="","",'Cash Flow %s Yr2'!E20*'Revenue w MYP'!$F18))</f>
        <v/>
      </c>
      <c r="F20" s="62" t="str">
        <f>IF('Revenue w MYP'!$F18="","",IF('Cash Flow %s Yr2'!F20="","",'Cash Flow %s Yr2'!F20*'Revenue w MYP'!$F18))</f>
        <v/>
      </c>
      <c r="G20" s="62" t="str">
        <f>IF('Revenue w MYP'!$F18="","",IF('Cash Flow %s Yr2'!G20="","",'Cash Flow %s Yr2'!G20*'Revenue w MYP'!$F18))</f>
        <v/>
      </c>
      <c r="H20" s="62" t="str">
        <f>IF('Revenue w MYP'!$F18="","",IF('Cash Flow %s Yr2'!H20="","",'Cash Flow %s Yr2'!H20*'Revenue w MYP'!$F18))</f>
        <v/>
      </c>
      <c r="I20" s="62" t="str">
        <f>IF('Revenue w MYP'!$F18="","",IF('Cash Flow %s Yr2'!I20="","",'Cash Flow %s Yr2'!I20*'Revenue w MYP'!$F18))</f>
        <v/>
      </c>
      <c r="J20" s="62" t="str">
        <f>IF('Revenue w MYP'!$F18="","",IF('Cash Flow %s Yr2'!J20="","",'Cash Flow %s Yr2'!J20*'Revenue w MYP'!$F18))</f>
        <v/>
      </c>
      <c r="K20" s="62" t="str">
        <f>IF('Revenue w MYP'!$F18="","",IF('Cash Flow %s Yr2'!K20="","",'Cash Flow %s Yr2'!K20*'Revenue w MYP'!$F18))</f>
        <v/>
      </c>
      <c r="L20" s="62" t="str">
        <f>IF('Revenue w MYP'!$F18="","",IF('Cash Flow %s Yr2'!L20="","",'Cash Flow %s Yr2'!L20*'Revenue w MYP'!$F18))</f>
        <v/>
      </c>
      <c r="M20" s="62" t="str">
        <f>IF('Revenue w MYP'!$F18="","",IF('Cash Flow %s Yr2'!M20="","",'Cash Flow %s Yr2'!M20*'Revenue w MYP'!$F18))</f>
        <v/>
      </c>
      <c r="N20" s="62" t="str">
        <f>IF('Revenue w MYP'!$F18="","",IF('Cash Flow %s Yr2'!N20="","",'Cash Flow %s Yr2'!N20*'Revenue w MYP'!$F18))</f>
        <v/>
      </c>
      <c r="O20" s="62" t="str">
        <f>IF('Revenue w MYP'!$F18="","",IF('Cash Flow %s Yr2'!O20="","",'Cash Flow %s Yr2'!O20*'Revenue w MYP'!$F18))</f>
        <v/>
      </c>
      <c r="P20" s="62" t="str">
        <f>IF('Revenue w MYP'!$F18="","",IF('Cash Flow %s Yr2'!P20="","",'Cash Flow %s Yr2'!P20*'Revenue w MYP'!$F18))</f>
        <v/>
      </c>
      <c r="Q20" s="62" t="str">
        <f>IF('Revenue w MYP'!$F18="","",IF('Cash Flow %s Yr2'!Q20="","",'Cash Flow %s Yr2'!Q20*'Revenue w MYP'!$F18))</f>
        <v/>
      </c>
      <c r="R20" s="62" t="str">
        <f>IF('Revenue w MYP'!$F18="","",IF('Cash Flow %s Yr2'!R20="","",'Cash Flow %s Yr2'!R20*'Revenue w MYP'!$F18))</f>
        <v/>
      </c>
      <c r="S20" s="97" t="str">
        <f>IF(SUM(D20:R20)&gt;0,SUM(D20:R20)/'Revenue w MYP'!$F18,"")</f>
        <v/>
      </c>
    </row>
    <row r="21" spans="1:19" s="31" customFormat="1" ht="17.75" x14ac:dyDescent="0.75">
      <c r="A21" s="29"/>
      <c r="B21" s="63" t="str">
        <f>'Revenue w MYP'!C19</f>
        <v>8599</v>
      </c>
      <c r="C21" s="63" t="str">
        <f>'Revenue w MYP'!D19</f>
        <v>Prior Year State Income</v>
      </c>
      <c r="D21" s="62" t="str">
        <f>IF('Revenue w MYP'!$F19="","",IF('Cash Flow %s Yr2'!D21="","",'Cash Flow %s Yr2'!D21*'Revenue w MYP'!$F19))</f>
        <v/>
      </c>
      <c r="E21" s="62" t="str">
        <f>IF('Revenue w MYP'!$F19="","",IF('Cash Flow %s Yr2'!E21="","",'Cash Flow %s Yr2'!E21*'Revenue w MYP'!$F19))</f>
        <v/>
      </c>
      <c r="F21" s="62" t="str">
        <f>IF('Revenue w MYP'!$F19="","",IF('Cash Flow %s Yr2'!F21="","",'Cash Flow %s Yr2'!F21*'Revenue w MYP'!$F19))</f>
        <v/>
      </c>
      <c r="G21" s="62" t="str">
        <f>IF('Revenue w MYP'!$F19="","",IF('Cash Flow %s Yr2'!G21="","",'Cash Flow %s Yr2'!G21*'Revenue w MYP'!$F19))</f>
        <v/>
      </c>
      <c r="H21" s="62" t="str">
        <f>IF('Revenue w MYP'!$F19="","",IF('Cash Flow %s Yr2'!H21="","",'Cash Flow %s Yr2'!H21*'Revenue w MYP'!$F19))</f>
        <v/>
      </c>
      <c r="I21" s="62" t="str">
        <f>IF('Revenue w MYP'!$F19="","",IF('Cash Flow %s Yr2'!I21="","",'Cash Flow %s Yr2'!I21*'Revenue w MYP'!$F19))</f>
        <v/>
      </c>
      <c r="J21" s="62" t="str">
        <f>IF('Revenue w MYP'!$F19="","",IF('Cash Flow %s Yr2'!J21="","",'Cash Flow %s Yr2'!J21*'Revenue w MYP'!$F19))</f>
        <v/>
      </c>
      <c r="K21" s="62" t="str">
        <f>IF('Revenue w MYP'!$F19="","",IF('Cash Flow %s Yr2'!K21="","",'Cash Flow %s Yr2'!K21*'Revenue w MYP'!$F19))</f>
        <v/>
      </c>
      <c r="L21" s="62" t="str">
        <f>IF('Revenue w MYP'!$F19="","",IF('Cash Flow %s Yr2'!L21="","",'Cash Flow %s Yr2'!L21*'Revenue w MYP'!$F19))</f>
        <v/>
      </c>
      <c r="M21" s="62" t="str">
        <f>IF('Revenue w MYP'!$F19="","",IF('Cash Flow %s Yr2'!M21="","",'Cash Flow %s Yr2'!M21*'Revenue w MYP'!$F19))</f>
        <v/>
      </c>
      <c r="N21" s="62" t="str">
        <f>IF('Revenue w MYP'!$F19="","",IF('Cash Flow %s Yr2'!N21="","",'Cash Flow %s Yr2'!N21*'Revenue w MYP'!$F19))</f>
        <v/>
      </c>
      <c r="O21" s="62" t="str">
        <f>IF('Revenue w MYP'!$F19="","",IF('Cash Flow %s Yr2'!O21="","",'Cash Flow %s Yr2'!O21*'Revenue w MYP'!$F19))</f>
        <v/>
      </c>
      <c r="P21" s="62" t="str">
        <f>IF('Revenue w MYP'!$F19="","",IF('Cash Flow %s Yr2'!P21="","",'Cash Flow %s Yr2'!P21*'Revenue w MYP'!$F19))</f>
        <v/>
      </c>
      <c r="Q21" s="62" t="str">
        <f>IF('Revenue w MYP'!$F19="","",IF('Cash Flow %s Yr2'!Q21="","",'Cash Flow %s Yr2'!Q21*'Revenue w MYP'!$F19))</f>
        <v/>
      </c>
      <c r="R21" s="62" t="str">
        <f>IF('Revenue w MYP'!$F19="","",IF('Cash Flow %s Yr2'!R21="","",'Cash Flow %s Yr2'!R21*'Revenue w MYP'!$F19))</f>
        <v/>
      </c>
      <c r="S21" s="97" t="str">
        <f>IF(SUM(D21:R21)&gt;0,SUM(D21:R21)/'Revenue w MYP'!$F19,"")</f>
        <v/>
      </c>
    </row>
    <row r="22" spans="1:19" s="31" customFormat="1" ht="17.75" x14ac:dyDescent="0.75">
      <c r="A22" s="29"/>
      <c r="B22" s="70"/>
      <c r="C22" s="34" t="s">
        <v>719</v>
      </c>
      <c r="D22" s="153">
        <f t="shared" ref="D22:R22" si="0">SUM(D12:D21)</f>
        <v>0</v>
      </c>
      <c r="E22" s="153">
        <f t="shared" si="0"/>
        <v>0</v>
      </c>
      <c r="F22" s="153">
        <f t="shared" si="0"/>
        <v>0</v>
      </c>
      <c r="G22" s="153">
        <f t="shared" si="0"/>
        <v>0</v>
      </c>
      <c r="H22" s="153">
        <f t="shared" si="0"/>
        <v>0</v>
      </c>
      <c r="I22" s="153">
        <f t="shared" si="0"/>
        <v>0</v>
      </c>
      <c r="J22" s="153">
        <f t="shared" si="0"/>
        <v>0</v>
      </c>
      <c r="K22" s="153">
        <f t="shared" si="0"/>
        <v>0</v>
      </c>
      <c r="L22" s="153">
        <f t="shared" si="0"/>
        <v>0</v>
      </c>
      <c r="M22" s="153">
        <f t="shared" si="0"/>
        <v>0</v>
      </c>
      <c r="N22" s="153">
        <f t="shared" si="0"/>
        <v>0</v>
      </c>
      <c r="O22" s="153">
        <f t="shared" si="0"/>
        <v>0</v>
      </c>
      <c r="P22" s="153">
        <f t="shared" si="0"/>
        <v>0</v>
      </c>
      <c r="Q22" s="153">
        <f t="shared" si="0"/>
        <v>0</v>
      </c>
      <c r="R22" s="153">
        <f t="shared" si="0"/>
        <v>0</v>
      </c>
      <c r="S22" s="97"/>
    </row>
    <row r="23" spans="1:19" s="31" customFormat="1" ht="17.75" x14ac:dyDescent="0.75">
      <c r="A23" s="29"/>
      <c r="B23" s="69"/>
      <c r="C23" s="48"/>
      <c r="D23" s="110"/>
      <c r="E23" s="110"/>
      <c r="F23" s="110"/>
      <c r="G23" s="110"/>
      <c r="H23" s="110"/>
      <c r="I23" s="110"/>
      <c r="J23" s="110"/>
      <c r="K23" s="110"/>
      <c r="L23" s="110"/>
      <c r="M23" s="110"/>
      <c r="N23" s="110"/>
      <c r="O23" s="110"/>
      <c r="P23" s="110"/>
      <c r="Q23" s="110"/>
      <c r="R23" s="110"/>
    </row>
    <row r="24" spans="1:19" s="31" customFormat="1" ht="17.75" x14ac:dyDescent="0.75">
      <c r="B24" s="29" t="s">
        <v>782</v>
      </c>
      <c r="C24" s="48"/>
      <c r="D24" s="110"/>
      <c r="E24" s="110"/>
      <c r="F24" s="110"/>
      <c r="G24" s="110"/>
      <c r="H24" s="110"/>
      <c r="I24" s="110"/>
      <c r="J24" s="110"/>
      <c r="K24" s="110"/>
      <c r="L24" s="110"/>
      <c r="M24" s="110"/>
      <c r="N24" s="110"/>
      <c r="O24" s="110"/>
      <c r="P24" s="110"/>
      <c r="Q24" s="110"/>
      <c r="R24" s="110"/>
    </row>
    <row r="25" spans="1:19" s="31" customFormat="1" ht="17.75" x14ac:dyDescent="0.75">
      <c r="A25" s="29"/>
      <c r="B25" s="63" t="str">
        <f>'Revenue w MYP'!C23</f>
        <v>8181</v>
      </c>
      <c r="C25" s="63" t="str">
        <f>'Revenue w MYP'!D23</f>
        <v>Special Education, federal</v>
      </c>
      <c r="D25" s="62" t="str">
        <f>IF('Revenue w MYP'!$F23="","",IF('Cash Flow %s Yr2'!D25="","",'Cash Flow %s Yr2'!D25*'Revenue w MYP'!$F23))</f>
        <v/>
      </c>
      <c r="E25" s="62" t="str">
        <f>IF('Revenue w MYP'!$F23="","",IF('Cash Flow %s Yr2'!E25="","",'Cash Flow %s Yr2'!E25*'Revenue w MYP'!$F23))</f>
        <v/>
      </c>
      <c r="F25" s="62" t="str">
        <f>IF('Revenue w MYP'!$F23="","",IF('Cash Flow %s Yr2'!F25="","",'Cash Flow %s Yr2'!F25*'Revenue w MYP'!$F23))</f>
        <v/>
      </c>
      <c r="G25" s="62" t="str">
        <f>IF('Revenue w MYP'!$F23="","",IF('Cash Flow %s Yr2'!G25="","",'Cash Flow %s Yr2'!G25*'Revenue w MYP'!$F23))</f>
        <v/>
      </c>
      <c r="H25" s="62" t="str">
        <f>IF('Revenue w MYP'!$F23="","",IF('Cash Flow %s Yr2'!H25="","",'Cash Flow %s Yr2'!H25*'Revenue w MYP'!$F23))</f>
        <v/>
      </c>
      <c r="I25" s="62" t="str">
        <f>IF('Revenue w MYP'!$F23="","",IF('Cash Flow %s Yr2'!I25="","",'Cash Flow %s Yr2'!I25*'Revenue w MYP'!$F23))</f>
        <v/>
      </c>
      <c r="J25" s="62" t="str">
        <f>IF('Revenue w MYP'!$F23="","",IF('Cash Flow %s Yr2'!J25="","",'Cash Flow %s Yr2'!J25*'Revenue w MYP'!$F23))</f>
        <v/>
      </c>
      <c r="K25" s="62" t="str">
        <f>IF('Revenue w MYP'!$F23="","",IF('Cash Flow %s Yr2'!K25="","",'Cash Flow %s Yr2'!K25*'Revenue w MYP'!$F23))</f>
        <v/>
      </c>
      <c r="L25" s="62" t="str">
        <f>IF('Revenue w MYP'!$F23="","",IF('Cash Flow %s Yr2'!L25="","",'Cash Flow %s Yr2'!L25*'Revenue w MYP'!$F23))</f>
        <v/>
      </c>
      <c r="M25" s="62" t="str">
        <f>IF('Revenue w MYP'!$F23="","",IF('Cash Flow %s Yr2'!M25="","",'Cash Flow %s Yr2'!M25*'Revenue w MYP'!$F23))</f>
        <v/>
      </c>
      <c r="N25" s="62" t="str">
        <f>IF('Revenue w MYP'!$F23="","",IF('Cash Flow %s Yr2'!N25="","",'Cash Flow %s Yr2'!N25*'Revenue w MYP'!$F23))</f>
        <v/>
      </c>
      <c r="O25" s="62" t="str">
        <f>IF('Revenue w MYP'!$F23="","",IF('Cash Flow %s Yr2'!O25="","",'Cash Flow %s Yr2'!O25*'Revenue w MYP'!$F23))</f>
        <v/>
      </c>
      <c r="P25" s="62" t="str">
        <f>IF('Revenue w MYP'!$F23="","",IF('Cash Flow %s Yr2'!P25="","",'Cash Flow %s Yr2'!P25*'Revenue w MYP'!$F23))</f>
        <v/>
      </c>
      <c r="Q25" s="62" t="str">
        <f>IF('Revenue w MYP'!$F23="","",IF('Cash Flow %s Yr2'!Q25="","",'Cash Flow %s Yr2'!Q25*'Revenue w MYP'!$F23))</f>
        <v/>
      </c>
      <c r="R25" s="62" t="str">
        <f>IF('Revenue w MYP'!$F23="","",IF('Cash Flow %s Yr2'!R25="","",'Cash Flow %s Yr2'!R25*'Revenue w MYP'!$F23))</f>
        <v/>
      </c>
      <c r="S25" s="97" t="str">
        <f>IF(SUM(D25:R25)&gt;0,SUM(D25:R25)/'Revenue w MYP'!$F23,"")</f>
        <v/>
      </c>
    </row>
    <row r="26" spans="1:19" s="31" customFormat="1" ht="17.75" x14ac:dyDescent="0.75">
      <c r="A26" s="29"/>
      <c r="B26" s="63" t="str">
        <f>'Revenue w MYP'!C24</f>
        <v>8220</v>
      </c>
      <c r="C26" s="63" t="str">
        <f>'Revenue w MYP'!D24</f>
        <v>Federal Child Nutrition Programs</v>
      </c>
      <c r="D26" s="62" t="str">
        <f>IF('Revenue w MYP'!$F24="","",IF('Cash Flow %s Yr2'!D26="","",'Cash Flow %s Yr2'!D26*'Revenue w MYP'!$F24))</f>
        <v/>
      </c>
      <c r="E26" s="62" t="str">
        <f>IF('Revenue w MYP'!$F24="","",IF('Cash Flow %s Yr2'!E26="","",'Cash Flow %s Yr2'!E26*'Revenue w MYP'!$F24))</f>
        <v/>
      </c>
      <c r="F26" s="62" t="str">
        <f>IF('Revenue w MYP'!$F24="","",IF('Cash Flow %s Yr2'!F26="","",'Cash Flow %s Yr2'!F26*'Revenue w MYP'!$F24))</f>
        <v/>
      </c>
      <c r="G26" s="62" t="str">
        <f>IF('Revenue w MYP'!$F24="","",IF('Cash Flow %s Yr2'!G26="","",'Cash Flow %s Yr2'!G26*'Revenue w MYP'!$F24))</f>
        <v/>
      </c>
      <c r="H26" s="62" t="str">
        <f>IF('Revenue w MYP'!$F24="","",IF('Cash Flow %s Yr2'!H26="","",'Cash Flow %s Yr2'!H26*'Revenue w MYP'!$F24))</f>
        <v/>
      </c>
      <c r="I26" s="62" t="str">
        <f>IF('Revenue w MYP'!$F24="","",IF('Cash Flow %s Yr2'!I26="","",'Cash Flow %s Yr2'!I26*'Revenue w MYP'!$F24))</f>
        <v/>
      </c>
      <c r="J26" s="62" t="str">
        <f>IF('Revenue w MYP'!$F24="","",IF('Cash Flow %s Yr2'!J26="","",'Cash Flow %s Yr2'!J26*'Revenue w MYP'!$F24))</f>
        <v/>
      </c>
      <c r="K26" s="62" t="str">
        <f>IF('Revenue w MYP'!$F24="","",IF('Cash Flow %s Yr2'!K26="","",'Cash Flow %s Yr2'!K26*'Revenue w MYP'!$F24))</f>
        <v/>
      </c>
      <c r="L26" s="62" t="str">
        <f>IF('Revenue w MYP'!$F24="","",IF('Cash Flow %s Yr2'!L26="","",'Cash Flow %s Yr2'!L26*'Revenue w MYP'!$F24))</f>
        <v/>
      </c>
      <c r="M26" s="62" t="str">
        <f>IF('Revenue w MYP'!$F24="","",IF('Cash Flow %s Yr2'!M26="","",'Cash Flow %s Yr2'!M26*'Revenue w MYP'!$F24))</f>
        <v/>
      </c>
      <c r="N26" s="62" t="str">
        <f>IF('Revenue w MYP'!$F24="","",IF('Cash Flow %s Yr2'!N26="","",'Cash Flow %s Yr2'!N26*'Revenue w MYP'!$F24))</f>
        <v/>
      </c>
      <c r="O26" s="62" t="str">
        <f>IF('Revenue w MYP'!$F24="","",IF('Cash Flow %s Yr2'!O26="","",'Cash Flow %s Yr2'!O26*'Revenue w MYP'!$F24))</f>
        <v/>
      </c>
      <c r="P26" s="62" t="str">
        <f>IF('Revenue w MYP'!$F24="","",IF('Cash Flow %s Yr2'!P26="","",'Cash Flow %s Yr2'!P26*'Revenue w MYP'!$F24))</f>
        <v/>
      </c>
      <c r="Q26" s="62" t="str">
        <f>IF('Revenue w MYP'!$F24="","",IF('Cash Flow %s Yr2'!Q26="","",'Cash Flow %s Yr2'!Q26*'Revenue w MYP'!$F24))</f>
        <v/>
      </c>
      <c r="R26" s="62" t="str">
        <f>IF('Revenue w MYP'!$F24="","",IF('Cash Flow %s Yr2'!R26="","",'Cash Flow %s Yr2'!R26*'Revenue w MYP'!$F24))</f>
        <v/>
      </c>
      <c r="S26" s="97" t="str">
        <f>IF(SUM(D26:R26)&gt;0,SUM(D26:R26)/'Revenue w MYP'!$F24,"")</f>
        <v/>
      </c>
    </row>
    <row r="27" spans="1:19" s="31" customFormat="1" ht="17.75" x14ac:dyDescent="0.75">
      <c r="A27" s="29"/>
      <c r="B27" s="63" t="str">
        <f>'Revenue w MYP'!C25</f>
        <v>8290</v>
      </c>
      <c r="C27" s="63" t="str">
        <f>'Revenue w MYP'!D25</f>
        <v>All Other Federal Revenue, inc Facilities Incentive Grants program</v>
      </c>
      <c r="D27" s="62" t="str">
        <f>IF('Revenue w MYP'!$F25="","",IF('Cash Flow %s Yr2'!D27="","",'Cash Flow %s Yr2'!D27*'Revenue w MYP'!$F25))</f>
        <v/>
      </c>
      <c r="E27" s="62" t="str">
        <f>IF('Revenue w MYP'!$F25="","",IF('Cash Flow %s Yr2'!E27="","",'Cash Flow %s Yr2'!E27*'Revenue w MYP'!$F25))</f>
        <v/>
      </c>
      <c r="F27" s="62" t="str">
        <f>IF('Revenue w MYP'!$F25="","",IF('Cash Flow %s Yr2'!F27="","",'Cash Flow %s Yr2'!F27*'Revenue w MYP'!$F25))</f>
        <v/>
      </c>
      <c r="G27" s="62" t="str">
        <f>IF('Revenue w MYP'!$F25="","",IF('Cash Flow %s Yr2'!G27="","",'Cash Flow %s Yr2'!G27*'Revenue w MYP'!$F25))</f>
        <v/>
      </c>
      <c r="H27" s="62" t="str">
        <f>IF('Revenue w MYP'!$F25="","",IF('Cash Flow %s Yr2'!H27="","",'Cash Flow %s Yr2'!H27*'Revenue w MYP'!$F25))</f>
        <v/>
      </c>
      <c r="I27" s="62" t="str">
        <f>IF('Revenue w MYP'!$F25="","",IF('Cash Flow %s Yr2'!I27="","",'Cash Flow %s Yr2'!I27*'Revenue w MYP'!$F25))</f>
        <v/>
      </c>
      <c r="J27" s="62" t="str">
        <f>IF('Revenue w MYP'!$F25="","",IF('Cash Flow %s Yr2'!J27="","",'Cash Flow %s Yr2'!J27*'Revenue w MYP'!$F25))</f>
        <v/>
      </c>
      <c r="K27" s="62" t="str">
        <f>IF('Revenue w MYP'!$F25="","",IF('Cash Flow %s Yr2'!K27="","",'Cash Flow %s Yr2'!K27*'Revenue w MYP'!$F25))</f>
        <v/>
      </c>
      <c r="L27" s="62" t="str">
        <f>IF('Revenue w MYP'!$F25="","",IF('Cash Flow %s Yr2'!L27="","",'Cash Flow %s Yr2'!L27*'Revenue w MYP'!$F25))</f>
        <v/>
      </c>
      <c r="M27" s="62" t="str">
        <f>IF('Revenue w MYP'!$F25="","",IF('Cash Flow %s Yr2'!M27="","",'Cash Flow %s Yr2'!M27*'Revenue w MYP'!$F25))</f>
        <v/>
      </c>
      <c r="N27" s="62" t="str">
        <f>IF('Revenue w MYP'!$F25="","",IF('Cash Flow %s Yr2'!N27="","",'Cash Flow %s Yr2'!N27*'Revenue w MYP'!$F25))</f>
        <v/>
      </c>
      <c r="O27" s="62" t="str">
        <f>IF('Revenue w MYP'!$F25="","",IF('Cash Flow %s Yr2'!O27="","",'Cash Flow %s Yr2'!O27*'Revenue w MYP'!$F25))</f>
        <v/>
      </c>
      <c r="P27" s="62" t="str">
        <f>IF('Revenue w MYP'!$F25="","",IF('Cash Flow %s Yr2'!P27="","",'Cash Flow %s Yr2'!P27*'Revenue w MYP'!$F25))</f>
        <v/>
      </c>
      <c r="Q27" s="62" t="str">
        <f>IF('Revenue w MYP'!$F25="","",IF('Cash Flow %s Yr2'!Q27="","",'Cash Flow %s Yr2'!Q27*'Revenue w MYP'!$F25))</f>
        <v/>
      </c>
      <c r="R27" s="62" t="str">
        <f>IF('Revenue w MYP'!$F25="","",IF('Cash Flow %s Yr2'!R27="","",'Cash Flow %s Yr2'!R27*'Revenue w MYP'!$F25))</f>
        <v/>
      </c>
      <c r="S27" s="97" t="str">
        <f>IF(SUM(D27:R27)&gt;0,SUM(D27:R27)/'Revenue w MYP'!$F25,"")</f>
        <v/>
      </c>
    </row>
    <row r="28" spans="1:19" s="31" customFormat="1" ht="17.75" x14ac:dyDescent="0.75">
      <c r="A28" s="29"/>
      <c r="B28" s="63" t="str">
        <f>'Revenue w MYP'!C26</f>
        <v>8291</v>
      </c>
      <c r="C28" s="63" t="str">
        <f>'Revenue w MYP'!D26</f>
        <v>Title I</v>
      </c>
      <c r="D28" s="62" t="str">
        <f>IF('Revenue w MYP'!$F26="","",IF('Cash Flow %s Yr2'!D28="","",'Cash Flow %s Yr2'!D28*'Revenue w MYP'!$F26))</f>
        <v/>
      </c>
      <c r="E28" s="62" t="str">
        <f>IF('Revenue w MYP'!$F26="","",IF('Cash Flow %s Yr2'!E28="","",'Cash Flow %s Yr2'!E28*'Revenue w MYP'!$F26))</f>
        <v/>
      </c>
      <c r="F28" s="62" t="str">
        <f>IF('Revenue w MYP'!$F26="","",IF('Cash Flow %s Yr2'!F28="","",'Cash Flow %s Yr2'!F28*'Revenue w MYP'!$F26))</f>
        <v/>
      </c>
      <c r="G28" s="62" t="str">
        <f>IF('Revenue w MYP'!$F26="","",IF('Cash Flow %s Yr2'!G28="","",'Cash Flow %s Yr2'!G28*'Revenue w MYP'!$F26))</f>
        <v/>
      </c>
      <c r="H28" s="62" t="str">
        <f>IF('Revenue w MYP'!$F26="","",IF('Cash Flow %s Yr2'!H28="","",'Cash Flow %s Yr2'!H28*'Revenue w MYP'!$F26))</f>
        <v/>
      </c>
      <c r="I28" s="62" t="str">
        <f>IF('Revenue w MYP'!$F26="","",IF('Cash Flow %s Yr2'!I28="","",'Cash Flow %s Yr2'!I28*'Revenue w MYP'!$F26))</f>
        <v/>
      </c>
      <c r="J28" s="62" t="str">
        <f>IF('Revenue w MYP'!$F26="","",IF('Cash Flow %s Yr2'!J28="","",'Cash Flow %s Yr2'!J28*'Revenue w MYP'!$F26))</f>
        <v/>
      </c>
      <c r="K28" s="62" t="str">
        <f>IF('Revenue w MYP'!$F26="","",IF('Cash Flow %s Yr2'!K28="","",'Cash Flow %s Yr2'!K28*'Revenue w MYP'!$F26))</f>
        <v/>
      </c>
      <c r="L28" s="62" t="str">
        <f>IF('Revenue w MYP'!$F26="","",IF('Cash Flow %s Yr2'!L28="","",'Cash Flow %s Yr2'!L28*'Revenue w MYP'!$F26))</f>
        <v/>
      </c>
      <c r="M28" s="62" t="str">
        <f>IF('Revenue w MYP'!$F26="","",IF('Cash Flow %s Yr2'!M28="","",'Cash Flow %s Yr2'!M28*'Revenue w MYP'!$F26))</f>
        <v/>
      </c>
      <c r="N28" s="62" t="str">
        <f>IF('Revenue w MYP'!$F26="","",IF('Cash Flow %s Yr2'!N28="","",'Cash Flow %s Yr2'!N28*'Revenue w MYP'!$F26))</f>
        <v/>
      </c>
      <c r="O28" s="62" t="str">
        <f>IF('Revenue w MYP'!$F26="","",IF('Cash Flow %s Yr2'!O28="","",'Cash Flow %s Yr2'!O28*'Revenue w MYP'!$F26))</f>
        <v/>
      </c>
      <c r="P28" s="62" t="str">
        <f>IF('Revenue w MYP'!$F26="","",IF('Cash Flow %s Yr2'!P28="","",'Cash Flow %s Yr2'!P28*'Revenue w MYP'!$F26))</f>
        <v/>
      </c>
      <c r="Q28" s="62" t="str">
        <f>IF('Revenue w MYP'!$F26="","",IF('Cash Flow %s Yr2'!Q28="","",'Cash Flow %s Yr2'!Q28*'Revenue w MYP'!$F26))</f>
        <v/>
      </c>
      <c r="R28" s="62" t="str">
        <f>IF('Revenue w MYP'!$F26="","",IF('Cash Flow %s Yr2'!R28="","",'Cash Flow %s Yr2'!R28*'Revenue w MYP'!$F26))</f>
        <v/>
      </c>
      <c r="S28" s="97" t="str">
        <f>IF(SUM(D28:R28)&gt;0,SUM(D28:R28)/'Revenue w MYP'!$F26,"")</f>
        <v/>
      </c>
    </row>
    <row r="29" spans="1:19" s="31" customFormat="1" ht="17.75" x14ac:dyDescent="0.75">
      <c r="A29" s="29"/>
      <c r="B29" s="63" t="str">
        <f>'Revenue w MYP'!C27</f>
        <v>8292</v>
      </c>
      <c r="C29" s="63" t="str">
        <f>'Revenue w MYP'!D27</f>
        <v>Title II</v>
      </c>
      <c r="D29" s="62" t="str">
        <f>IF('Revenue w MYP'!$F27="","",IF('Cash Flow %s Yr2'!D29="","",'Cash Flow %s Yr2'!D29*'Revenue w MYP'!$F27))</f>
        <v/>
      </c>
      <c r="E29" s="62" t="str">
        <f>IF('Revenue w MYP'!$F27="","",IF('Cash Flow %s Yr2'!E29="","",'Cash Flow %s Yr2'!E29*'Revenue w MYP'!$F27))</f>
        <v/>
      </c>
      <c r="F29" s="62" t="str">
        <f>IF('Revenue w MYP'!$F27="","",IF('Cash Flow %s Yr2'!F29="","",'Cash Flow %s Yr2'!F29*'Revenue w MYP'!$F27))</f>
        <v/>
      </c>
      <c r="G29" s="62" t="str">
        <f>IF('Revenue w MYP'!$F27="","",IF('Cash Flow %s Yr2'!G29="","",'Cash Flow %s Yr2'!G29*'Revenue w MYP'!$F27))</f>
        <v/>
      </c>
      <c r="H29" s="62" t="str">
        <f>IF('Revenue w MYP'!$F27="","",IF('Cash Flow %s Yr2'!H29="","",'Cash Flow %s Yr2'!H29*'Revenue w MYP'!$F27))</f>
        <v/>
      </c>
      <c r="I29" s="62" t="str">
        <f>IF('Revenue w MYP'!$F27="","",IF('Cash Flow %s Yr2'!I29="","",'Cash Flow %s Yr2'!I29*'Revenue w MYP'!$F27))</f>
        <v/>
      </c>
      <c r="J29" s="62" t="str">
        <f>IF('Revenue w MYP'!$F27="","",IF('Cash Flow %s Yr2'!J29="","",'Cash Flow %s Yr2'!J29*'Revenue w MYP'!$F27))</f>
        <v/>
      </c>
      <c r="K29" s="62" t="str">
        <f>IF('Revenue w MYP'!$F27="","",IF('Cash Flow %s Yr2'!K29="","",'Cash Flow %s Yr2'!K29*'Revenue w MYP'!$F27))</f>
        <v/>
      </c>
      <c r="L29" s="62" t="str">
        <f>IF('Revenue w MYP'!$F27="","",IF('Cash Flow %s Yr2'!L29="","",'Cash Flow %s Yr2'!L29*'Revenue w MYP'!$F27))</f>
        <v/>
      </c>
      <c r="M29" s="62" t="str">
        <f>IF('Revenue w MYP'!$F27="","",IF('Cash Flow %s Yr2'!M29="","",'Cash Flow %s Yr2'!M29*'Revenue w MYP'!$F27))</f>
        <v/>
      </c>
      <c r="N29" s="62" t="str">
        <f>IF('Revenue w MYP'!$F27="","",IF('Cash Flow %s Yr2'!N29="","",'Cash Flow %s Yr2'!N29*'Revenue w MYP'!$F27))</f>
        <v/>
      </c>
      <c r="O29" s="62" t="str">
        <f>IF('Revenue w MYP'!$F27="","",IF('Cash Flow %s Yr2'!O29="","",'Cash Flow %s Yr2'!O29*'Revenue w MYP'!$F27))</f>
        <v/>
      </c>
      <c r="P29" s="62" t="str">
        <f>IF('Revenue w MYP'!$F27="","",IF('Cash Flow %s Yr2'!P29="","",'Cash Flow %s Yr2'!P29*'Revenue w MYP'!$F27))</f>
        <v/>
      </c>
      <c r="Q29" s="62" t="str">
        <f>IF('Revenue w MYP'!$F27="","",IF('Cash Flow %s Yr2'!Q29="","",'Cash Flow %s Yr2'!Q29*'Revenue w MYP'!$F27))</f>
        <v/>
      </c>
      <c r="R29" s="62" t="str">
        <f>IF('Revenue w MYP'!$F27="","",IF('Cash Flow %s Yr2'!R29="","",'Cash Flow %s Yr2'!R29*'Revenue w MYP'!$F27))</f>
        <v/>
      </c>
      <c r="S29" s="97" t="str">
        <f>IF(SUM(D29:R29)&gt;0,SUM(D29:R29)/'Revenue w MYP'!$F27,"")</f>
        <v/>
      </c>
    </row>
    <row r="30" spans="1:19" s="31" customFormat="1" ht="17.75" x14ac:dyDescent="0.75">
      <c r="A30" s="29"/>
      <c r="B30" s="63" t="str">
        <f>'Revenue w MYP'!C28</f>
        <v>8293</v>
      </c>
      <c r="C30" s="63" t="str">
        <f>'Revenue w MYP'!D28</f>
        <v>Title III</v>
      </c>
      <c r="D30" s="62" t="str">
        <f>IF('Revenue w MYP'!$F28="","",IF('Cash Flow %s Yr2'!D30="","",'Cash Flow %s Yr2'!D30*'Revenue w MYP'!$F28))</f>
        <v/>
      </c>
      <c r="E30" s="62" t="str">
        <f>IF('Revenue w MYP'!$F28="","",IF('Cash Flow %s Yr2'!E30="","",'Cash Flow %s Yr2'!E30*'Revenue w MYP'!$F28))</f>
        <v/>
      </c>
      <c r="F30" s="62" t="str">
        <f>IF('Revenue w MYP'!$F28="","",IF('Cash Flow %s Yr2'!F30="","",'Cash Flow %s Yr2'!F30*'Revenue w MYP'!$F28))</f>
        <v/>
      </c>
      <c r="G30" s="62" t="str">
        <f>IF('Revenue w MYP'!$F28="","",IF('Cash Flow %s Yr2'!G30="","",'Cash Flow %s Yr2'!G30*'Revenue w MYP'!$F28))</f>
        <v/>
      </c>
      <c r="H30" s="62" t="str">
        <f>IF('Revenue w MYP'!$F28="","",IF('Cash Flow %s Yr2'!H30="","",'Cash Flow %s Yr2'!H30*'Revenue w MYP'!$F28))</f>
        <v/>
      </c>
      <c r="I30" s="62" t="str">
        <f>IF('Revenue w MYP'!$F28="","",IF('Cash Flow %s Yr2'!I30="","",'Cash Flow %s Yr2'!I30*'Revenue w MYP'!$F28))</f>
        <v/>
      </c>
      <c r="J30" s="62" t="str">
        <f>IF('Revenue w MYP'!$F28="","",IF('Cash Flow %s Yr2'!J30="","",'Cash Flow %s Yr2'!J30*'Revenue w MYP'!$F28))</f>
        <v/>
      </c>
      <c r="K30" s="62" t="str">
        <f>IF('Revenue w MYP'!$F28="","",IF('Cash Flow %s Yr2'!K30="","",'Cash Flow %s Yr2'!K30*'Revenue w MYP'!$F28))</f>
        <v/>
      </c>
      <c r="L30" s="62" t="str">
        <f>IF('Revenue w MYP'!$F28="","",IF('Cash Flow %s Yr2'!L30="","",'Cash Flow %s Yr2'!L30*'Revenue w MYP'!$F28))</f>
        <v/>
      </c>
      <c r="M30" s="62" t="str">
        <f>IF('Revenue w MYP'!$F28="","",IF('Cash Flow %s Yr2'!M30="","",'Cash Flow %s Yr2'!M30*'Revenue w MYP'!$F28))</f>
        <v/>
      </c>
      <c r="N30" s="62" t="str">
        <f>IF('Revenue w MYP'!$F28="","",IF('Cash Flow %s Yr2'!N30="","",'Cash Flow %s Yr2'!N30*'Revenue w MYP'!$F28))</f>
        <v/>
      </c>
      <c r="O30" s="62" t="str">
        <f>IF('Revenue w MYP'!$F28="","",IF('Cash Flow %s Yr2'!O30="","",'Cash Flow %s Yr2'!O30*'Revenue w MYP'!$F28))</f>
        <v/>
      </c>
      <c r="P30" s="62" t="str">
        <f>IF('Revenue w MYP'!$F28="","",IF('Cash Flow %s Yr2'!P30="","",'Cash Flow %s Yr2'!P30*'Revenue w MYP'!$F28))</f>
        <v/>
      </c>
      <c r="Q30" s="62" t="str">
        <f>IF('Revenue w MYP'!$F28="","",IF('Cash Flow %s Yr2'!Q30="","",'Cash Flow %s Yr2'!Q30*'Revenue w MYP'!$F28))</f>
        <v/>
      </c>
      <c r="R30" s="62" t="str">
        <f>IF('Revenue w MYP'!$F28="","",IF('Cash Flow %s Yr2'!R30="","",'Cash Flow %s Yr2'!R30*'Revenue w MYP'!$F28))</f>
        <v/>
      </c>
      <c r="S30" s="97" t="str">
        <f>IF(SUM(D30:R30)&gt;0,SUM(D30:R30)/'Revenue w MYP'!$F28,"")</f>
        <v/>
      </c>
    </row>
    <row r="31" spans="1:19" s="31" customFormat="1" ht="17.75" x14ac:dyDescent="0.75">
      <c r="A31" s="29"/>
      <c r="B31" s="63" t="str">
        <f>'Revenue w MYP'!C30</f>
        <v>8295</v>
      </c>
      <c r="C31" s="63" t="str">
        <f>'Revenue w MYP'!D30</f>
        <v>Title V</v>
      </c>
      <c r="D31" s="62" t="str">
        <f>IF('Revenue w MYP'!$F30="","",IF('Cash Flow %s Yr2'!D31="","",'Cash Flow %s Yr2'!D31*'Revenue w MYP'!$F30))</f>
        <v/>
      </c>
      <c r="E31" s="62" t="str">
        <f>IF('Revenue w MYP'!$F30="","",IF('Cash Flow %s Yr2'!E31="","",'Cash Flow %s Yr2'!E31*'Revenue w MYP'!$F30))</f>
        <v/>
      </c>
      <c r="F31" s="62" t="str">
        <f>IF('Revenue w MYP'!$F30="","",IF('Cash Flow %s Yr2'!F31="","",'Cash Flow %s Yr2'!F31*'Revenue w MYP'!$F30))</f>
        <v/>
      </c>
      <c r="G31" s="62" t="str">
        <f>IF('Revenue w MYP'!$F30="","",IF('Cash Flow %s Yr2'!G31="","",'Cash Flow %s Yr2'!G31*'Revenue w MYP'!$F30))</f>
        <v/>
      </c>
      <c r="H31" s="62" t="str">
        <f>IF('Revenue w MYP'!$F30="","",IF('Cash Flow %s Yr2'!H31="","",'Cash Flow %s Yr2'!H31*'Revenue w MYP'!$F30))</f>
        <v/>
      </c>
      <c r="I31" s="62" t="str">
        <f>IF('Revenue w MYP'!$F30="","",IF('Cash Flow %s Yr2'!I31="","",'Cash Flow %s Yr2'!I31*'Revenue w MYP'!$F30))</f>
        <v/>
      </c>
      <c r="J31" s="62" t="str">
        <f>IF('Revenue w MYP'!$F30="","",IF('Cash Flow %s Yr2'!J31="","",'Cash Flow %s Yr2'!J31*'Revenue w MYP'!$F30))</f>
        <v/>
      </c>
      <c r="K31" s="62" t="str">
        <f>IF('Revenue w MYP'!$F30="","",IF('Cash Flow %s Yr2'!K31="","",'Cash Flow %s Yr2'!K31*'Revenue w MYP'!$F30))</f>
        <v/>
      </c>
      <c r="L31" s="62" t="str">
        <f>IF('Revenue w MYP'!$F30="","",IF('Cash Flow %s Yr2'!L31="","",'Cash Flow %s Yr2'!L31*'Revenue w MYP'!$F30))</f>
        <v/>
      </c>
      <c r="M31" s="62" t="str">
        <f>IF('Revenue w MYP'!$F30="","",IF('Cash Flow %s Yr2'!M31="","",'Cash Flow %s Yr2'!M31*'Revenue w MYP'!$F30))</f>
        <v/>
      </c>
      <c r="N31" s="62" t="str">
        <f>IF('Revenue w MYP'!$F30="","",IF('Cash Flow %s Yr2'!N31="","",'Cash Flow %s Yr2'!N31*'Revenue w MYP'!$F30))</f>
        <v/>
      </c>
      <c r="O31" s="62" t="str">
        <f>IF('Revenue w MYP'!$F30="","",IF('Cash Flow %s Yr2'!O31="","",'Cash Flow %s Yr2'!O31*'Revenue w MYP'!$F30))</f>
        <v/>
      </c>
      <c r="P31" s="62" t="str">
        <f>IF('Revenue w MYP'!$F30="","",IF('Cash Flow %s Yr2'!P31="","",'Cash Flow %s Yr2'!P31*'Revenue w MYP'!$F30))</f>
        <v/>
      </c>
      <c r="Q31" s="62" t="str">
        <f>IF('Revenue w MYP'!$F30="","",IF('Cash Flow %s Yr2'!Q31="","",'Cash Flow %s Yr2'!Q31*'Revenue w MYP'!$F30))</f>
        <v/>
      </c>
      <c r="R31" s="62" t="str">
        <f>IF('Revenue w MYP'!$F30="","",IF('Cash Flow %s Yr2'!R31="","",'Cash Flow %s Yr2'!R31*'Revenue w MYP'!$F30))</f>
        <v/>
      </c>
      <c r="S31" s="97" t="str">
        <f>IF(SUM(D31:R31)&gt;0,SUM(D31:R31)/'Revenue w MYP'!$F30,"")</f>
        <v/>
      </c>
    </row>
    <row r="32" spans="1:19" s="31" customFormat="1" ht="17.75" x14ac:dyDescent="0.75">
      <c r="A32" s="29"/>
      <c r="B32" s="63" t="str">
        <f>'Revenue w MYP'!C31</f>
        <v>8299</v>
      </c>
      <c r="C32" s="63" t="str">
        <f>'Revenue w MYP'!D31</f>
        <v>Prior Year Federal Revenue</v>
      </c>
      <c r="D32" s="62" t="str">
        <f>IF('Revenue w MYP'!$F31="","",IF('Cash Flow %s Yr2'!D32="","",'Cash Flow %s Yr2'!D32*'Revenue w MYP'!$F31))</f>
        <v/>
      </c>
      <c r="E32" s="62" t="str">
        <f>IF('Revenue w MYP'!$F31="","",IF('Cash Flow %s Yr2'!E32="","",'Cash Flow %s Yr2'!E32*'Revenue w MYP'!$F31))</f>
        <v/>
      </c>
      <c r="F32" s="62" t="str">
        <f>IF('Revenue w MYP'!$F31="","",IF('Cash Flow %s Yr2'!F32="","",'Cash Flow %s Yr2'!F32*'Revenue w MYP'!$F31))</f>
        <v/>
      </c>
      <c r="G32" s="62" t="str">
        <f>IF('Revenue w MYP'!$F31="","",IF('Cash Flow %s Yr2'!G32="","",'Cash Flow %s Yr2'!G32*'Revenue w MYP'!$F31))</f>
        <v/>
      </c>
      <c r="H32" s="62" t="str">
        <f>IF('Revenue w MYP'!$F31="","",IF('Cash Flow %s Yr2'!H32="","",'Cash Flow %s Yr2'!H32*'Revenue w MYP'!$F31))</f>
        <v/>
      </c>
      <c r="I32" s="62" t="str">
        <f>IF('Revenue w MYP'!$F31="","",IF('Cash Flow %s Yr2'!I32="","",'Cash Flow %s Yr2'!I32*'Revenue w MYP'!$F31))</f>
        <v/>
      </c>
      <c r="J32" s="62" t="str">
        <f>IF('Revenue w MYP'!$F31="","",IF('Cash Flow %s Yr2'!J32="","",'Cash Flow %s Yr2'!J32*'Revenue w MYP'!$F31))</f>
        <v/>
      </c>
      <c r="K32" s="62" t="str">
        <f>IF('Revenue w MYP'!$F31="","",IF('Cash Flow %s Yr2'!K32="","",'Cash Flow %s Yr2'!K32*'Revenue w MYP'!$F31))</f>
        <v/>
      </c>
      <c r="L32" s="62" t="str">
        <f>IF('Revenue w MYP'!$F31="","",IF('Cash Flow %s Yr2'!L32="","",'Cash Flow %s Yr2'!L32*'Revenue w MYP'!$F31))</f>
        <v/>
      </c>
      <c r="M32" s="62" t="str">
        <f>IF('Revenue w MYP'!$F31="","",IF('Cash Flow %s Yr2'!M32="","",'Cash Flow %s Yr2'!M32*'Revenue w MYP'!$F31))</f>
        <v/>
      </c>
      <c r="N32" s="62" t="str">
        <f>IF('Revenue w MYP'!$F31="","",IF('Cash Flow %s Yr2'!N32="","",'Cash Flow %s Yr2'!N32*'Revenue w MYP'!$F31))</f>
        <v/>
      </c>
      <c r="O32" s="62" t="str">
        <f>IF('Revenue w MYP'!$F31="","",IF('Cash Flow %s Yr2'!O32="","",'Cash Flow %s Yr2'!O32*'Revenue w MYP'!$F31))</f>
        <v/>
      </c>
      <c r="P32" s="62" t="str">
        <f>IF('Revenue w MYP'!$F31="","",IF('Cash Flow %s Yr2'!P32="","",'Cash Flow %s Yr2'!P32*'Revenue w MYP'!$F31))</f>
        <v/>
      </c>
      <c r="Q32" s="62" t="str">
        <f>IF('Revenue w MYP'!$F31="","",IF('Cash Flow %s Yr2'!Q32="","",'Cash Flow %s Yr2'!Q32*'Revenue w MYP'!$F31))</f>
        <v/>
      </c>
      <c r="R32" s="62" t="str">
        <f>IF('Revenue w MYP'!$F31="","",IF('Cash Flow %s Yr2'!R32="","",'Cash Flow %s Yr2'!R32*'Revenue w MYP'!$F31))</f>
        <v/>
      </c>
      <c r="S32" s="97" t="str">
        <f>IF(SUM(D32:R32)&gt;0,SUM(D32:R32)/'Revenue w MYP'!$F31,"")</f>
        <v/>
      </c>
    </row>
    <row r="33" spans="1:19" s="31" customFormat="1" ht="17.75" x14ac:dyDescent="0.75">
      <c r="A33" s="29"/>
      <c r="B33" s="70"/>
      <c r="C33" s="34" t="s">
        <v>719</v>
      </c>
      <c r="D33" s="153">
        <f>SUM(D25:D32)</f>
        <v>0</v>
      </c>
      <c r="E33" s="153">
        <f t="shared" ref="E33:R33" si="1">SUM(E25:E32)</f>
        <v>0</v>
      </c>
      <c r="F33" s="153">
        <f t="shared" si="1"/>
        <v>0</v>
      </c>
      <c r="G33" s="153">
        <f t="shared" si="1"/>
        <v>0</v>
      </c>
      <c r="H33" s="153">
        <f t="shared" si="1"/>
        <v>0</v>
      </c>
      <c r="I33" s="153">
        <f t="shared" si="1"/>
        <v>0</v>
      </c>
      <c r="J33" s="153">
        <f t="shared" si="1"/>
        <v>0</v>
      </c>
      <c r="K33" s="153">
        <f t="shared" si="1"/>
        <v>0</v>
      </c>
      <c r="L33" s="153">
        <f t="shared" si="1"/>
        <v>0</v>
      </c>
      <c r="M33" s="153">
        <f t="shared" si="1"/>
        <v>0</v>
      </c>
      <c r="N33" s="153">
        <f t="shared" si="1"/>
        <v>0</v>
      </c>
      <c r="O33" s="153">
        <f t="shared" si="1"/>
        <v>0</v>
      </c>
      <c r="P33" s="153">
        <f t="shared" si="1"/>
        <v>0</v>
      </c>
      <c r="Q33" s="153">
        <f t="shared" si="1"/>
        <v>0</v>
      </c>
      <c r="R33" s="153">
        <f t="shared" si="1"/>
        <v>0</v>
      </c>
      <c r="S33" s="94"/>
    </row>
    <row r="34" spans="1:19" s="31" customFormat="1" ht="17.75" x14ac:dyDescent="0.75">
      <c r="A34" s="29"/>
      <c r="B34" s="69"/>
      <c r="C34" s="48"/>
      <c r="D34" s="110"/>
      <c r="E34" s="110"/>
      <c r="F34" s="110"/>
      <c r="G34" s="110"/>
      <c r="H34" s="110"/>
      <c r="I34" s="110"/>
      <c r="J34" s="110"/>
      <c r="K34" s="110"/>
      <c r="L34" s="110"/>
      <c r="M34" s="110"/>
      <c r="N34" s="110"/>
      <c r="O34" s="110"/>
      <c r="P34" s="110"/>
      <c r="Q34" s="110"/>
      <c r="R34" s="110"/>
    </row>
    <row r="35" spans="1:19" s="31" customFormat="1" ht="17.75" x14ac:dyDescent="0.75">
      <c r="B35" s="29" t="s">
        <v>790</v>
      </c>
      <c r="C35" s="48"/>
      <c r="D35" s="110"/>
      <c r="E35" s="110"/>
      <c r="F35" s="110"/>
      <c r="G35" s="110"/>
      <c r="H35" s="110"/>
      <c r="I35" s="110"/>
      <c r="J35" s="110"/>
      <c r="K35" s="110"/>
      <c r="L35" s="110"/>
      <c r="M35" s="110"/>
      <c r="N35" s="110"/>
      <c r="O35" s="110"/>
      <c r="P35" s="110"/>
      <c r="Q35" s="110"/>
      <c r="R35" s="110"/>
    </row>
    <row r="36" spans="1:19" s="31" customFormat="1" ht="17.75" x14ac:dyDescent="0.75">
      <c r="A36" s="29"/>
      <c r="B36" s="63" t="str">
        <f>'Revenue w MYP'!C35</f>
        <v>8660</v>
      </c>
      <c r="C36" s="63" t="str">
        <f>'Revenue w MYP'!D35</f>
        <v>Interest</v>
      </c>
      <c r="D36" s="62" t="str">
        <f>IF('Revenue w MYP'!$F35="","",IF('Cash Flow %s Yr2'!D36="","",'Cash Flow %s Yr2'!D36*'Revenue w MYP'!$F35))</f>
        <v/>
      </c>
      <c r="E36" s="62" t="str">
        <f>IF('Revenue w MYP'!$F35="","",IF('Cash Flow %s Yr2'!E36="","",'Cash Flow %s Yr2'!E36*'Revenue w MYP'!$F35))</f>
        <v/>
      </c>
      <c r="F36" s="62" t="str">
        <f>IF('Revenue w MYP'!$F35="","",IF('Cash Flow %s Yr2'!F36="","",'Cash Flow %s Yr2'!F36*'Revenue w MYP'!$F35))</f>
        <v/>
      </c>
      <c r="G36" s="62" t="str">
        <f>IF('Revenue w MYP'!$F35="","",IF('Cash Flow %s Yr2'!G36="","",'Cash Flow %s Yr2'!G36*'Revenue w MYP'!$F35))</f>
        <v/>
      </c>
      <c r="H36" s="62" t="str">
        <f>IF('Revenue w MYP'!$F35="","",IF('Cash Flow %s Yr2'!H36="","",'Cash Flow %s Yr2'!H36*'Revenue w MYP'!$F35))</f>
        <v/>
      </c>
      <c r="I36" s="62" t="str">
        <f>IF('Revenue w MYP'!$F35="","",IF('Cash Flow %s Yr2'!I36="","",'Cash Flow %s Yr2'!I36*'Revenue w MYP'!$F35))</f>
        <v/>
      </c>
      <c r="J36" s="62" t="str">
        <f>IF('Revenue w MYP'!$F35="","",IF('Cash Flow %s Yr2'!J36="","",'Cash Flow %s Yr2'!J36*'Revenue w MYP'!$F35))</f>
        <v/>
      </c>
      <c r="K36" s="62" t="str">
        <f>IF('Revenue w MYP'!$F35="","",IF('Cash Flow %s Yr2'!K36="","",'Cash Flow %s Yr2'!K36*'Revenue w MYP'!$F35))</f>
        <v/>
      </c>
      <c r="L36" s="62" t="str">
        <f>IF('Revenue w MYP'!$F35="","",IF('Cash Flow %s Yr2'!L36="","",'Cash Flow %s Yr2'!L36*'Revenue w MYP'!$F35))</f>
        <v/>
      </c>
      <c r="M36" s="62" t="str">
        <f>IF('Revenue w MYP'!$F35="","",IF('Cash Flow %s Yr2'!M36="","",'Cash Flow %s Yr2'!M36*'Revenue w MYP'!$F35))</f>
        <v/>
      </c>
      <c r="N36" s="62" t="str">
        <f>IF('Revenue w MYP'!$F35="","",IF('Cash Flow %s Yr2'!N36="","",'Cash Flow %s Yr2'!N36*'Revenue w MYP'!$F35))</f>
        <v/>
      </c>
      <c r="O36" s="62" t="str">
        <f>IF('Revenue w MYP'!$F35="","",IF('Cash Flow %s Yr2'!O36="","",'Cash Flow %s Yr2'!O36*'Revenue w MYP'!$F35))</f>
        <v/>
      </c>
      <c r="P36" s="62" t="str">
        <f>IF('Revenue w MYP'!$F35="","",IF('Cash Flow %s Yr2'!P36="","",'Cash Flow %s Yr2'!P36*'Revenue w MYP'!$F35))</f>
        <v/>
      </c>
      <c r="Q36" s="62" t="str">
        <f>IF('Revenue w MYP'!$F35="","",IF('Cash Flow %s Yr2'!Q36="","",'Cash Flow %s Yr2'!Q36*'Revenue w MYP'!$F35))</f>
        <v/>
      </c>
      <c r="R36" s="62" t="str">
        <f>IF('Revenue w MYP'!$F35="","",IF('Cash Flow %s Yr2'!R36="","",'Cash Flow %s Yr2'!R36*'Revenue w MYP'!$F35))</f>
        <v/>
      </c>
      <c r="S36" s="97" t="str">
        <f>IF(SUM(D36:R36)&gt;0,SUM(D36:R36)/'Revenue w MYP'!$F35,"")</f>
        <v/>
      </c>
    </row>
    <row r="37" spans="1:19" s="31" customFormat="1" ht="17.75" x14ac:dyDescent="0.75">
      <c r="A37" s="29"/>
      <c r="B37" s="63" t="str">
        <f>'Revenue w MYP'!C36</f>
        <v>8682</v>
      </c>
      <c r="C37" s="63" t="str">
        <f>'Revenue w MYP'!D36</f>
        <v>Foundation Grants / Donations</v>
      </c>
      <c r="D37" s="62" t="str">
        <f>IF('Revenue w MYP'!$F36="","",IF('Cash Flow %s Yr2'!D37="","",'Cash Flow %s Yr2'!D37*'Revenue w MYP'!$F36))</f>
        <v/>
      </c>
      <c r="E37" s="62" t="str">
        <f>IF('Revenue w MYP'!$F36="","",IF('Cash Flow %s Yr2'!E37="","",'Cash Flow %s Yr2'!E37*'Revenue w MYP'!$F36))</f>
        <v/>
      </c>
      <c r="F37" s="62" t="str">
        <f>IF('Revenue w MYP'!$F36="","",IF('Cash Flow %s Yr2'!F37="","",'Cash Flow %s Yr2'!F37*'Revenue w MYP'!$F36))</f>
        <v/>
      </c>
      <c r="G37" s="62" t="str">
        <f>IF('Revenue w MYP'!$F36="","",IF('Cash Flow %s Yr2'!G37="","",'Cash Flow %s Yr2'!G37*'Revenue w MYP'!$F36))</f>
        <v/>
      </c>
      <c r="H37" s="62" t="str">
        <f>IF('Revenue w MYP'!$F36="","",IF('Cash Flow %s Yr2'!H37="","",'Cash Flow %s Yr2'!H37*'Revenue w MYP'!$F36))</f>
        <v/>
      </c>
      <c r="I37" s="62" t="str">
        <f>IF('Revenue w MYP'!$F36="","",IF('Cash Flow %s Yr2'!I37="","",'Cash Flow %s Yr2'!I37*'Revenue w MYP'!$F36))</f>
        <v/>
      </c>
      <c r="J37" s="62" t="str">
        <f>IF('Revenue w MYP'!$F36="","",IF('Cash Flow %s Yr2'!J37="","",'Cash Flow %s Yr2'!J37*'Revenue w MYP'!$F36))</f>
        <v/>
      </c>
      <c r="K37" s="62" t="str">
        <f>IF('Revenue w MYP'!$F36="","",IF('Cash Flow %s Yr2'!K37="","",'Cash Flow %s Yr2'!K37*'Revenue w MYP'!$F36))</f>
        <v/>
      </c>
      <c r="L37" s="62" t="str">
        <f>IF('Revenue w MYP'!$F36="","",IF('Cash Flow %s Yr2'!L37="","",'Cash Flow %s Yr2'!L37*'Revenue w MYP'!$F36))</f>
        <v/>
      </c>
      <c r="M37" s="62" t="str">
        <f>IF('Revenue w MYP'!$F36="","",IF('Cash Flow %s Yr2'!M37="","",'Cash Flow %s Yr2'!M37*'Revenue w MYP'!$F36))</f>
        <v/>
      </c>
      <c r="N37" s="62" t="str">
        <f>IF('Revenue w MYP'!$F36="","",IF('Cash Flow %s Yr2'!N37="","",'Cash Flow %s Yr2'!N37*'Revenue w MYP'!$F36))</f>
        <v/>
      </c>
      <c r="O37" s="62" t="str">
        <f>IF('Revenue w MYP'!$F36="","",IF('Cash Flow %s Yr2'!O37="","",'Cash Flow %s Yr2'!O37*'Revenue w MYP'!$F36))</f>
        <v/>
      </c>
      <c r="P37" s="62" t="str">
        <f>IF('Revenue w MYP'!$F36="","",IF('Cash Flow %s Yr2'!P37="","",'Cash Flow %s Yr2'!P37*'Revenue w MYP'!$F36))</f>
        <v/>
      </c>
      <c r="Q37" s="62" t="str">
        <f>IF('Revenue w MYP'!$F36="","",IF('Cash Flow %s Yr2'!Q37="","",'Cash Flow %s Yr2'!Q37*'Revenue w MYP'!$F36))</f>
        <v/>
      </c>
      <c r="R37" s="62" t="str">
        <f>IF('Revenue w MYP'!$F36="","",IF('Cash Flow %s Yr2'!R37="","",'Cash Flow %s Yr2'!R37*'Revenue w MYP'!$F36))</f>
        <v/>
      </c>
      <c r="S37" s="97" t="str">
        <f>IF(SUM(D37:R37)&gt;0,SUM(D37:R37)/'Revenue w MYP'!$F36,"")</f>
        <v/>
      </c>
    </row>
    <row r="38" spans="1:19" s="31" customFormat="1" ht="17.75" x14ac:dyDescent="0.75">
      <c r="A38" s="29"/>
      <c r="B38" s="63" t="str">
        <f>'Revenue w MYP'!C37</f>
        <v>8683</v>
      </c>
      <c r="C38" s="63" t="str">
        <f>'Revenue w MYP'!D37</f>
        <v>All Other Local Revenue</v>
      </c>
      <c r="D38" s="62" t="str">
        <f>IF('Revenue w MYP'!$F37="","",IF('Cash Flow %s Yr2'!D38="","",'Cash Flow %s Yr2'!D38*'Revenue w MYP'!$F37))</f>
        <v/>
      </c>
      <c r="E38" s="62" t="str">
        <f>IF('Revenue w MYP'!$F37="","",IF('Cash Flow %s Yr2'!E38="","",'Cash Flow %s Yr2'!E38*'Revenue w MYP'!$F37))</f>
        <v/>
      </c>
      <c r="F38" s="62" t="str">
        <f>IF('Revenue w MYP'!$F37="","",IF('Cash Flow %s Yr2'!F38="","",'Cash Flow %s Yr2'!F38*'Revenue w MYP'!$F37))</f>
        <v/>
      </c>
      <c r="G38" s="62" t="str">
        <f>IF('Revenue w MYP'!$F37="","",IF('Cash Flow %s Yr2'!G38="","",'Cash Flow %s Yr2'!G38*'Revenue w MYP'!$F37))</f>
        <v/>
      </c>
      <c r="H38" s="62" t="str">
        <f>IF('Revenue w MYP'!$F37="","",IF('Cash Flow %s Yr2'!H38="","",'Cash Flow %s Yr2'!H38*'Revenue w MYP'!$F37))</f>
        <v/>
      </c>
      <c r="I38" s="62" t="str">
        <f>IF('Revenue w MYP'!$F37="","",IF('Cash Flow %s Yr2'!I38="","",'Cash Flow %s Yr2'!I38*'Revenue w MYP'!$F37))</f>
        <v/>
      </c>
      <c r="J38" s="62" t="str">
        <f>IF('Revenue w MYP'!$F37="","",IF('Cash Flow %s Yr2'!J38="","",'Cash Flow %s Yr2'!J38*'Revenue w MYP'!$F37))</f>
        <v/>
      </c>
      <c r="K38" s="62" t="str">
        <f>IF('Revenue w MYP'!$F37="","",IF('Cash Flow %s Yr2'!K38="","",'Cash Flow %s Yr2'!K38*'Revenue w MYP'!$F37))</f>
        <v/>
      </c>
      <c r="L38" s="62" t="str">
        <f>IF('Revenue w MYP'!$F37="","",IF('Cash Flow %s Yr2'!L38="","",'Cash Flow %s Yr2'!L38*'Revenue w MYP'!$F37))</f>
        <v/>
      </c>
      <c r="M38" s="62" t="str">
        <f>IF('Revenue w MYP'!$F37="","",IF('Cash Flow %s Yr2'!M38="","",'Cash Flow %s Yr2'!M38*'Revenue w MYP'!$F37))</f>
        <v/>
      </c>
      <c r="N38" s="62" t="str">
        <f>IF('Revenue w MYP'!$F37="","",IF('Cash Flow %s Yr2'!N38="","",'Cash Flow %s Yr2'!N38*'Revenue w MYP'!$F37))</f>
        <v/>
      </c>
      <c r="O38" s="62" t="str">
        <f>IF('Revenue w MYP'!$F37="","",IF('Cash Flow %s Yr2'!O38="","",'Cash Flow %s Yr2'!O38*'Revenue w MYP'!$F37))</f>
        <v/>
      </c>
      <c r="P38" s="62" t="str">
        <f>IF('Revenue w MYP'!$F37="","",IF('Cash Flow %s Yr2'!P38="","",'Cash Flow %s Yr2'!P38*'Revenue w MYP'!$F37))</f>
        <v/>
      </c>
      <c r="Q38" s="62" t="str">
        <f>IF('Revenue w MYP'!$F37="","",IF('Cash Flow %s Yr2'!Q38="","",'Cash Flow %s Yr2'!Q38*'Revenue w MYP'!$F37))</f>
        <v/>
      </c>
      <c r="R38" s="62" t="str">
        <f>IF('Revenue w MYP'!$F37="","",IF('Cash Flow %s Yr2'!R38="","",'Cash Flow %s Yr2'!R38*'Revenue w MYP'!$F37))</f>
        <v/>
      </c>
      <c r="S38" s="97" t="str">
        <f>IF(SUM(D38:R38)&gt;0,SUM(D38:R38)/'Revenue w MYP'!$F37,"")</f>
        <v/>
      </c>
    </row>
    <row r="39" spans="1:19" s="31" customFormat="1" x14ac:dyDescent="0.75">
      <c r="A39" s="47"/>
      <c r="B39" s="63" t="str">
        <f>'Revenue w MYP'!C38</f>
        <v>8684</v>
      </c>
      <c r="C39" s="63" t="str">
        <f>'Revenue w MYP'!D38</f>
        <v>Student Body (ASB) Fundraising Revenue</v>
      </c>
      <c r="D39" s="62" t="str">
        <f>IF('Revenue w MYP'!$F38="","",IF('Cash Flow %s Yr2'!D39="","",'Cash Flow %s Yr2'!D39*'Revenue w MYP'!$F38))</f>
        <v/>
      </c>
      <c r="E39" s="62" t="str">
        <f>IF('Revenue w MYP'!$F38="","",IF('Cash Flow %s Yr2'!E39="","",'Cash Flow %s Yr2'!E39*'Revenue w MYP'!$F38))</f>
        <v/>
      </c>
      <c r="F39" s="62" t="str">
        <f>IF('Revenue w MYP'!$F38="","",IF('Cash Flow %s Yr2'!F39="","",'Cash Flow %s Yr2'!F39*'Revenue w MYP'!$F38))</f>
        <v/>
      </c>
      <c r="G39" s="62" t="str">
        <f>IF('Revenue w MYP'!$F38="","",IF('Cash Flow %s Yr2'!G39="","",'Cash Flow %s Yr2'!G39*'Revenue w MYP'!$F38))</f>
        <v/>
      </c>
      <c r="H39" s="62" t="str">
        <f>IF('Revenue w MYP'!$F38="","",IF('Cash Flow %s Yr2'!H39="","",'Cash Flow %s Yr2'!H39*'Revenue w MYP'!$F38))</f>
        <v/>
      </c>
      <c r="I39" s="62" t="str">
        <f>IF('Revenue w MYP'!$F38="","",IF('Cash Flow %s Yr2'!I39="","",'Cash Flow %s Yr2'!I39*'Revenue w MYP'!$F38))</f>
        <v/>
      </c>
      <c r="J39" s="62" t="str">
        <f>IF('Revenue w MYP'!$F38="","",IF('Cash Flow %s Yr2'!J39="","",'Cash Flow %s Yr2'!J39*'Revenue w MYP'!$F38))</f>
        <v/>
      </c>
      <c r="K39" s="62" t="str">
        <f>IF('Revenue w MYP'!$F38="","",IF('Cash Flow %s Yr2'!K39="","",'Cash Flow %s Yr2'!K39*'Revenue w MYP'!$F38))</f>
        <v/>
      </c>
      <c r="L39" s="62" t="str">
        <f>IF('Revenue w MYP'!$F38="","",IF('Cash Flow %s Yr2'!L39="","",'Cash Flow %s Yr2'!L39*'Revenue w MYP'!$F38))</f>
        <v/>
      </c>
      <c r="M39" s="62" t="str">
        <f>IF('Revenue w MYP'!$F38="","",IF('Cash Flow %s Yr2'!M39="","",'Cash Flow %s Yr2'!M39*'Revenue w MYP'!$F38))</f>
        <v/>
      </c>
      <c r="N39" s="62" t="str">
        <f>IF('Revenue w MYP'!$F38="","",IF('Cash Flow %s Yr2'!N39="","",'Cash Flow %s Yr2'!N39*'Revenue w MYP'!$F38))</f>
        <v/>
      </c>
      <c r="O39" s="62" t="str">
        <f>IF('Revenue w MYP'!$F38="","",IF('Cash Flow %s Yr2'!O39="","",'Cash Flow %s Yr2'!O39*'Revenue w MYP'!$F38))</f>
        <v/>
      </c>
      <c r="P39" s="62" t="str">
        <f>IF('Revenue w MYP'!$F38="","",IF('Cash Flow %s Yr2'!P39="","",'Cash Flow %s Yr2'!P39*'Revenue w MYP'!$F38))</f>
        <v/>
      </c>
      <c r="Q39" s="62" t="str">
        <f>IF('Revenue w MYP'!$F38="","",IF('Cash Flow %s Yr2'!Q39="","",'Cash Flow %s Yr2'!Q39*'Revenue w MYP'!$F38))</f>
        <v/>
      </c>
      <c r="R39" s="62" t="str">
        <f>IF('Revenue w MYP'!$F38="","",IF('Cash Flow %s Yr2'!R39="","",'Cash Flow %s Yr2'!R39*'Revenue w MYP'!$F38))</f>
        <v/>
      </c>
      <c r="S39" s="97" t="str">
        <f>IF(SUM(D39:R39)&gt;0,SUM(D39:R39)/'Revenue w MYP'!$F38,"")</f>
        <v/>
      </c>
    </row>
    <row r="40" spans="1:19" s="31" customFormat="1" x14ac:dyDescent="0.75">
      <c r="A40" s="48"/>
      <c r="B40" s="63" t="str">
        <f>'Revenue w MYP'!C39</f>
        <v>8685</v>
      </c>
      <c r="C40" s="63" t="str">
        <f>'Revenue w MYP'!D39</f>
        <v>School Site Fundraising</v>
      </c>
      <c r="D40" s="62" t="str">
        <f>IF('Revenue w MYP'!$F39="","",IF('Cash Flow %s Yr2'!D40="","",'Cash Flow %s Yr2'!D40*'Revenue w MYP'!$F39))</f>
        <v/>
      </c>
      <c r="E40" s="62" t="str">
        <f>IF('Revenue w MYP'!$F39="","",IF('Cash Flow %s Yr2'!E40="","",'Cash Flow %s Yr2'!E40*'Revenue w MYP'!$F39))</f>
        <v/>
      </c>
      <c r="F40" s="62" t="str">
        <f>IF('Revenue w MYP'!$F39="","",IF('Cash Flow %s Yr2'!F40="","",'Cash Flow %s Yr2'!F40*'Revenue w MYP'!$F39))</f>
        <v/>
      </c>
      <c r="G40" s="62" t="str">
        <f>IF('Revenue w MYP'!$F39="","",IF('Cash Flow %s Yr2'!G40="","",'Cash Flow %s Yr2'!G40*'Revenue w MYP'!$F39))</f>
        <v/>
      </c>
      <c r="H40" s="62" t="str">
        <f>IF('Revenue w MYP'!$F39="","",IF('Cash Flow %s Yr2'!H40="","",'Cash Flow %s Yr2'!H40*'Revenue w MYP'!$F39))</f>
        <v/>
      </c>
      <c r="I40" s="62" t="str">
        <f>IF('Revenue w MYP'!$F39="","",IF('Cash Flow %s Yr2'!I40="","",'Cash Flow %s Yr2'!I40*'Revenue w MYP'!$F39))</f>
        <v/>
      </c>
      <c r="J40" s="62" t="str">
        <f>IF('Revenue w MYP'!$F39="","",IF('Cash Flow %s Yr2'!J40="","",'Cash Flow %s Yr2'!J40*'Revenue w MYP'!$F39))</f>
        <v/>
      </c>
      <c r="K40" s="62" t="str">
        <f>IF('Revenue w MYP'!$F39="","",IF('Cash Flow %s Yr2'!K40="","",'Cash Flow %s Yr2'!K40*'Revenue w MYP'!$F39))</f>
        <v/>
      </c>
      <c r="L40" s="62" t="str">
        <f>IF('Revenue w MYP'!$F39="","",IF('Cash Flow %s Yr2'!L40="","",'Cash Flow %s Yr2'!L40*'Revenue w MYP'!$F39))</f>
        <v/>
      </c>
      <c r="M40" s="62" t="str">
        <f>IF('Revenue w MYP'!$F39="","",IF('Cash Flow %s Yr2'!M40="","",'Cash Flow %s Yr2'!M40*'Revenue w MYP'!$F39))</f>
        <v/>
      </c>
      <c r="N40" s="62" t="str">
        <f>IF('Revenue w MYP'!$F39="","",IF('Cash Flow %s Yr2'!N40="","",'Cash Flow %s Yr2'!N40*'Revenue w MYP'!$F39))</f>
        <v/>
      </c>
      <c r="O40" s="62" t="str">
        <f>IF('Revenue w MYP'!$F39="","",IF('Cash Flow %s Yr2'!O40="","",'Cash Flow %s Yr2'!O40*'Revenue w MYP'!$F39))</f>
        <v/>
      </c>
      <c r="P40" s="62" t="str">
        <f>IF('Revenue w MYP'!$F39="","",IF('Cash Flow %s Yr2'!P40="","",'Cash Flow %s Yr2'!P40*'Revenue w MYP'!$F39))</f>
        <v/>
      </c>
      <c r="Q40" s="62" t="str">
        <f>IF('Revenue w MYP'!$F39="","",IF('Cash Flow %s Yr2'!Q40="","",'Cash Flow %s Yr2'!Q40*'Revenue w MYP'!$F39))</f>
        <v/>
      </c>
      <c r="R40" s="62" t="str">
        <f>IF('Revenue w MYP'!$F39="","",IF('Cash Flow %s Yr2'!R40="","",'Cash Flow %s Yr2'!R40*'Revenue w MYP'!$F39))</f>
        <v/>
      </c>
      <c r="S40" s="97" t="str">
        <f>IF(SUM(D40:R40)&gt;0,SUM(D40:R40)/'Revenue w MYP'!$F39,"")</f>
        <v/>
      </c>
    </row>
    <row r="41" spans="1:19" s="31" customFormat="1" ht="17.75" x14ac:dyDescent="0.75">
      <c r="A41" s="29"/>
      <c r="B41" s="63" t="str">
        <f>'Revenue w MYP'!C40</f>
        <v>8698</v>
      </c>
      <c r="C41" s="63" t="str">
        <f>'Revenue w MYP'!D40</f>
        <v>E-Rate</v>
      </c>
      <c r="D41" s="62" t="str">
        <f>IF('Revenue w MYP'!$F40="","",IF('Cash Flow %s Yr2'!D41="","",'Cash Flow %s Yr2'!D41*'Revenue w MYP'!$F40))</f>
        <v/>
      </c>
      <c r="E41" s="62" t="str">
        <f>IF('Revenue w MYP'!$F40="","",IF('Cash Flow %s Yr2'!E41="","",'Cash Flow %s Yr2'!E41*'Revenue w MYP'!$F40))</f>
        <v/>
      </c>
      <c r="F41" s="62" t="str">
        <f>IF('Revenue w MYP'!$F40="","",IF('Cash Flow %s Yr2'!F41="","",'Cash Flow %s Yr2'!F41*'Revenue w MYP'!$F40))</f>
        <v/>
      </c>
      <c r="G41" s="62" t="str">
        <f>IF('Revenue w MYP'!$F40="","",IF('Cash Flow %s Yr2'!G41="","",'Cash Flow %s Yr2'!G41*'Revenue w MYP'!$F40))</f>
        <v/>
      </c>
      <c r="H41" s="62" t="str">
        <f>IF('Revenue w MYP'!$F40="","",IF('Cash Flow %s Yr2'!H41="","",'Cash Flow %s Yr2'!H41*'Revenue w MYP'!$F40))</f>
        <v/>
      </c>
      <c r="I41" s="62" t="str">
        <f>IF('Revenue w MYP'!$F40="","",IF('Cash Flow %s Yr2'!I41="","",'Cash Flow %s Yr2'!I41*'Revenue w MYP'!$F40))</f>
        <v/>
      </c>
      <c r="J41" s="62" t="str">
        <f>IF('Revenue w MYP'!$F40="","",IF('Cash Flow %s Yr2'!J41="","",'Cash Flow %s Yr2'!J41*'Revenue w MYP'!$F40))</f>
        <v/>
      </c>
      <c r="K41" s="62" t="str">
        <f>IF('Revenue w MYP'!$F40="","",IF('Cash Flow %s Yr2'!K41="","",'Cash Flow %s Yr2'!K41*'Revenue w MYP'!$F40))</f>
        <v/>
      </c>
      <c r="L41" s="62" t="str">
        <f>IF('Revenue w MYP'!$F40="","",IF('Cash Flow %s Yr2'!L41="","",'Cash Flow %s Yr2'!L41*'Revenue w MYP'!$F40))</f>
        <v/>
      </c>
      <c r="M41" s="62" t="str">
        <f>IF('Revenue w MYP'!$F40="","",IF('Cash Flow %s Yr2'!M41="","",'Cash Flow %s Yr2'!M41*'Revenue w MYP'!$F40))</f>
        <v/>
      </c>
      <c r="N41" s="62" t="str">
        <f>IF('Revenue w MYP'!$F40="","",IF('Cash Flow %s Yr2'!N41="","",'Cash Flow %s Yr2'!N41*'Revenue w MYP'!$F40))</f>
        <v/>
      </c>
      <c r="O41" s="62" t="str">
        <f>IF('Revenue w MYP'!$F40="","",IF('Cash Flow %s Yr2'!O41="","",'Cash Flow %s Yr2'!O41*'Revenue w MYP'!$F40))</f>
        <v/>
      </c>
      <c r="P41" s="62" t="str">
        <f>IF('Revenue w MYP'!$F40="","",IF('Cash Flow %s Yr2'!P41="","",'Cash Flow %s Yr2'!P41*'Revenue w MYP'!$F40))</f>
        <v/>
      </c>
      <c r="Q41" s="62" t="str">
        <f>IF('Revenue w MYP'!$F40="","",IF('Cash Flow %s Yr2'!Q41="","",'Cash Flow %s Yr2'!Q41*'Revenue w MYP'!$F40))</f>
        <v/>
      </c>
      <c r="R41" s="62" t="str">
        <f>IF('Revenue w MYP'!$F40="","",IF('Cash Flow %s Yr2'!R41="","",'Cash Flow %s Yr2'!R41*'Revenue w MYP'!$F40))</f>
        <v/>
      </c>
      <c r="S41" s="97" t="str">
        <f>IF(SUM(D41:R41)&gt;0,SUM(D41:R41)/'Revenue w MYP'!$F40,"")</f>
        <v/>
      </c>
    </row>
    <row r="42" spans="1:19" s="31" customFormat="1" ht="17.75" x14ac:dyDescent="0.75">
      <c r="A42" s="29"/>
      <c r="B42" s="63" t="str">
        <f>'Revenue w MYP'!C41</f>
        <v>8699</v>
      </c>
      <c r="C42" s="63" t="str">
        <f>'Revenue w MYP'!D41</f>
        <v>All Other Local Revenue</v>
      </c>
      <c r="D42" s="62" t="str">
        <f>IF('Revenue w MYP'!$F41="","",IF('Cash Flow %s Yr2'!D42="","",'Cash Flow %s Yr2'!D42*'Revenue w MYP'!$F41))</f>
        <v/>
      </c>
      <c r="E42" s="62" t="str">
        <f>IF('Revenue w MYP'!$F41="","",IF('Cash Flow %s Yr2'!E42="","",'Cash Flow %s Yr2'!E42*'Revenue w MYP'!$F41))</f>
        <v/>
      </c>
      <c r="F42" s="62" t="str">
        <f>IF('Revenue w MYP'!$F41="","",IF('Cash Flow %s Yr2'!F42="","",'Cash Flow %s Yr2'!F42*'Revenue w MYP'!$F41))</f>
        <v/>
      </c>
      <c r="G42" s="62" t="str">
        <f>IF('Revenue w MYP'!$F41="","",IF('Cash Flow %s Yr2'!G42="","",'Cash Flow %s Yr2'!G42*'Revenue w MYP'!$F41))</f>
        <v/>
      </c>
      <c r="H42" s="62" t="str">
        <f>IF('Revenue w MYP'!$F41="","",IF('Cash Flow %s Yr2'!H42="","",'Cash Flow %s Yr2'!H42*'Revenue w MYP'!$F41))</f>
        <v/>
      </c>
      <c r="I42" s="62" t="str">
        <f>IF('Revenue w MYP'!$F41="","",IF('Cash Flow %s Yr2'!I42="","",'Cash Flow %s Yr2'!I42*'Revenue w MYP'!$F41))</f>
        <v/>
      </c>
      <c r="J42" s="62" t="str">
        <f>IF('Revenue w MYP'!$F41="","",IF('Cash Flow %s Yr2'!J42="","",'Cash Flow %s Yr2'!J42*'Revenue w MYP'!$F41))</f>
        <v/>
      </c>
      <c r="K42" s="62" t="str">
        <f>IF('Revenue w MYP'!$F41="","",IF('Cash Flow %s Yr2'!K42="","",'Cash Flow %s Yr2'!K42*'Revenue w MYP'!$F41))</f>
        <v/>
      </c>
      <c r="L42" s="62" t="str">
        <f>IF('Revenue w MYP'!$F41="","",IF('Cash Flow %s Yr2'!L42="","",'Cash Flow %s Yr2'!L42*'Revenue w MYP'!$F41))</f>
        <v/>
      </c>
      <c r="M42" s="62" t="str">
        <f>IF('Revenue w MYP'!$F41="","",IF('Cash Flow %s Yr2'!M42="","",'Cash Flow %s Yr2'!M42*'Revenue w MYP'!$F41))</f>
        <v/>
      </c>
      <c r="N42" s="62" t="str">
        <f>IF('Revenue w MYP'!$F41="","",IF('Cash Flow %s Yr2'!N42="","",'Cash Flow %s Yr2'!N42*'Revenue w MYP'!$F41))</f>
        <v/>
      </c>
      <c r="O42" s="62" t="str">
        <f>IF('Revenue w MYP'!$F41="","",IF('Cash Flow %s Yr2'!O42="","",'Cash Flow %s Yr2'!O42*'Revenue w MYP'!$F41))</f>
        <v/>
      </c>
      <c r="P42" s="62" t="str">
        <f>IF('Revenue w MYP'!$F41="","",IF('Cash Flow %s Yr2'!P42="","",'Cash Flow %s Yr2'!P42*'Revenue w MYP'!$F41))</f>
        <v/>
      </c>
      <c r="Q42" s="62" t="str">
        <f>IF('Revenue w MYP'!$F41="","",IF('Cash Flow %s Yr2'!Q42="","",'Cash Flow %s Yr2'!Q42*'Revenue w MYP'!$F41))</f>
        <v/>
      </c>
      <c r="R42" s="62" t="str">
        <f>IF('Revenue w MYP'!$F41="","",IF('Cash Flow %s Yr2'!R42="","",'Cash Flow %s Yr2'!R42*'Revenue w MYP'!$F41))</f>
        <v/>
      </c>
      <c r="S42" s="97" t="str">
        <f>IF(SUM(D42:R42)&gt;0,SUM(D42:R42)/'Revenue w MYP'!$F41,"")</f>
        <v/>
      </c>
    </row>
    <row r="43" spans="1:19" s="31" customFormat="1" ht="17.75" x14ac:dyDescent="0.75">
      <c r="A43" s="29"/>
      <c r="B43" s="63" t="str">
        <f>'Revenue w MYP'!C42</f>
        <v>8785</v>
      </c>
      <c r="C43" s="63" t="str">
        <f>'Revenue w MYP'!D42</f>
        <v>CMO Management fee</v>
      </c>
      <c r="D43" s="62" t="str">
        <f>IF('Revenue w MYP'!$F42="","",IF('Cash Flow %s Yr2'!D43="","",'Cash Flow %s Yr2'!D43*'Revenue w MYP'!$F42))</f>
        <v/>
      </c>
      <c r="E43" s="62" t="str">
        <f>IF('Revenue w MYP'!$F42="","",IF('Cash Flow %s Yr2'!E43="","",'Cash Flow %s Yr2'!E43*'Revenue w MYP'!$F42))</f>
        <v/>
      </c>
      <c r="F43" s="62" t="str">
        <f>IF('Revenue w MYP'!$F42="","",IF('Cash Flow %s Yr2'!F43="","",'Cash Flow %s Yr2'!F43*'Revenue w MYP'!$F42))</f>
        <v/>
      </c>
      <c r="G43" s="62" t="str">
        <f>IF('Revenue w MYP'!$F42="","",IF('Cash Flow %s Yr2'!G43="","",'Cash Flow %s Yr2'!G43*'Revenue w MYP'!$F42))</f>
        <v/>
      </c>
      <c r="H43" s="62" t="str">
        <f>IF('Revenue w MYP'!$F42="","",IF('Cash Flow %s Yr2'!H43="","",'Cash Flow %s Yr2'!H43*'Revenue w MYP'!$F42))</f>
        <v/>
      </c>
      <c r="I43" s="62" t="str">
        <f>IF('Revenue w MYP'!$F42="","",IF('Cash Flow %s Yr2'!I43="","",'Cash Flow %s Yr2'!I43*'Revenue w MYP'!$F42))</f>
        <v/>
      </c>
      <c r="J43" s="62" t="str">
        <f>IF('Revenue w MYP'!$F42="","",IF('Cash Flow %s Yr2'!J43="","",'Cash Flow %s Yr2'!J43*'Revenue w MYP'!$F42))</f>
        <v/>
      </c>
      <c r="K43" s="62" t="str">
        <f>IF('Revenue w MYP'!$F42="","",IF('Cash Flow %s Yr2'!K43="","",'Cash Flow %s Yr2'!K43*'Revenue w MYP'!$F42))</f>
        <v/>
      </c>
      <c r="L43" s="62" t="str">
        <f>IF('Revenue w MYP'!$F42="","",IF('Cash Flow %s Yr2'!L43="","",'Cash Flow %s Yr2'!L43*'Revenue w MYP'!$F42))</f>
        <v/>
      </c>
      <c r="M43" s="62" t="str">
        <f>IF('Revenue w MYP'!$F42="","",IF('Cash Flow %s Yr2'!M43="","",'Cash Flow %s Yr2'!M43*'Revenue w MYP'!$F42))</f>
        <v/>
      </c>
      <c r="N43" s="62" t="str">
        <f>IF('Revenue w MYP'!$F42="","",IF('Cash Flow %s Yr2'!N43="","",'Cash Flow %s Yr2'!N43*'Revenue w MYP'!$F42))</f>
        <v/>
      </c>
      <c r="O43" s="62" t="str">
        <f>IF('Revenue w MYP'!$F42="","",IF('Cash Flow %s Yr2'!O43="","",'Cash Flow %s Yr2'!O43*'Revenue w MYP'!$F42))</f>
        <v/>
      </c>
      <c r="P43" s="62" t="str">
        <f>IF('Revenue w MYP'!$F42="","",IF('Cash Flow %s Yr2'!P43="","",'Cash Flow %s Yr2'!P43*'Revenue w MYP'!$F42))</f>
        <v/>
      </c>
      <c r="Q43" s="62" t="str">
        <f>IF('Revenue w MYP'!$F42="","",IF('Cash Flow %s Yr2'!Q43="","",'Cash Flow %s Yr2'!Q43*'Revenue w MYP'!$F42))</f>
        <v/>
      </c>
      <c r="R43" s="62" t="str">
        <f>IF('Revenue w MYP'!$F42="","",IF('Cash Flow %s Yr2'!R43="","",'Cash Flow %s Yr2'!R43*'Revenue w MYP'!$F42))</f>
        <v/>
      </c>
      <c r="S43" s="97" t="str">
        <f>IF(SUM(D43:R43)&gt;0,SUM(D43:R43)/'Revenue w MYP'!$F42,"")</f>
        <v/>
      </c>
    </row>
    <row r="44" spans="1:19" s="31" customFormat="1" ht="17.75" x14ac:dyDescent="0.75">
      <c r="A44" s="29"/>
      <c r="B44" s="63" t="str">
        <f>'Revenue w MYP'!C43</f>
        <v>8792</v>
      </c>
      <c r="C44" s="63" t="str">
        <f>'Revenue w MYP'!D43</f>
        <v>SPED State / Other Transfers from County</v>
      </c>
      <c r="D44" s="62" t="str">
        <f>IF('Revenue w MYP'!$F43="","",IF('Cash Flow %s Yr2'!D44="","",'Cash Flow %s Yr2'!D44*'Revenue w MYP'!$F43))</f>
        <v/>
      </c>
      <c r="E44" s="62" t="str">
        <f>IF('Revenue w MYP'!$F43="","",IF('Cash Flow %s Yr2'!E44="","",'Cash Flow %s Yr2'!E44*'Revenue w MYP'!$F43))</f>
        <v/>
      </c>
      <c r="F44" s="62" t="str">
        <f>IF('Revenue w MYP'!$F43="","",IF('Cash Flow %s Yr2'!F44="","",'Cash Flow %s Yr2'!F44*'Revenue w MYP'!$F43))</f>
        <v/>
      </c>
      <c r="G44" s="62" t="str">
        <f>IF('Revenue w MYP'!$F43="","",IF('Cash Flow %s Yr2'!G44="","",'Cash Flow %s Yr2'!G44*'Revenue w MYP'!$F43))</f>
        <v/>
      </c>
      <c r="H44" s="62" t="str">
        <f>IF('Revenue w MYP'!$F43="","",IF('Cash Flow %s Yr2'!H44="","",'Cash Flow %s Yr2'!H44*'Revenue w MYP'!$F43))</f>
        <v/>
      </c>
      <c r="I44" s="62" t="str">
        <f>IF('Revenue w MYP'!$F43="","",IF('Cash Flow %s Yr2'!I44="","",'Cash Flow %s Yr2'!I44*'Revenue w MYP'!$F43))</f>
        <v/>
      </c>
      <c r="J44" s="62" t="str">
        <f>IF('Revenue w MYP'!$F43="","",IF('Cash Flow %s Yr2'!J44="","",'Cash Flow %s Yr2'!J44*'Revenue w MYP'!$F43))</f>
        <v/>
      </c>
      <c r="K44" s="62" t="str">
        <f>IF('Revenue w MYP'!$F43="","",IF('Cash Flow %s Yr2'!K44="","",'Cash Flow %s Yr2'!K44*'Revenue w MYP'!$F43))</f>
        <v/>
      </c>
      <c r="L44" s="62" t="str">
        <f>IF('Revenue w MYP'!$F43="","",IF('Cash Flow %s Yr2'!L44="","",'Cash Flow %s Yr2'!L44*'Revenue w MYP'!$F43))</f>
        <v/>
      </c>
      <c r="M44" s="62" t="str">
        <f>IF('Revenue w MYP'!$F43="","",IF('Cash Flow %s Yr2'!M44="","",'Cash Flow %s Yr2'!M44*'Revenue w MYP'!$F43))</f>
        <v/>
      </c>
      <c r="N44" s="62" t="str">
        <f>IF('Revenue w MYP'!$F43="","",IF('Cash Flow %s Yr2'!N44="","",'Cash Flow %s Yr2'!N44*'Revenue w MYP'!$F43))</f>
        <v/>
      </c>
      <c r="O44" s="62" t="str">
        <f>IF('Revenue w MYP'!$F43="","",IF('Cash Flow %s Yr2'!O44="","",'Cash Flow %s Yr2'!O44*'Revenue w MYP'!$F43))</f>
        <v/>
      </c>
      <c r="P44" s="62" t="str">
        <f>IF('Revenue w MYP'!$F43="","",IF('Cash Flow %s Yr2'!P44="","",'Cash Flow %s Yr2'!P44*'Revenue w MYP'!$F43))</f>
        <v/>
      </c>
      <c r="Q44" s="62" t="str">
        <f>IF('Revenue w MYP'!$F43="","",IF('Cash Flow %s Yr2'!Q44="","",'Cash Flow %s Yr2'!Q44*'Revenue w MYP'!$F43))</f>
        <v/>
      </c>
      <c r="R44" s="62" t="str">
        <f>IF('Revenue w MYP'!$F43="","",IF('Cash Flow %s Yr2'!R44="","",'Cash Flow %s Yr2'!R44*'Revenue w MYP'!$F43))</f>
        <v/>
      </c>
      <c r="S44" s="97" t="str">
        <f>IF(SUM(D44:R44)&gt;0,SUM(D44:R44)/'Revenue w MYP'!$F43,"")</f>
        <v/>
      </c>
    </row>
    <row r="45" spans="1:19" s="31" customFormat="1" ht="17.75" x14ac:dyDescent="0.75">
      <c r="A45" s="29"/>
      <c r="B45" s="63" t="str">
        <f>'Revenue w MYP'!C44</f>
        <v>8639</v>
      </c>
      <c r="C45" s="63" t="str">
        <f>'Revenue w MYP'!D44</f>
        <v>Student Lunch Revenue</v>
      </c>
      <c r="D45" s="62" t="str">
        <f>IF('Revenue w MYP'!$F44="","",IF('Cash Flow %s Yr2'!D47="","",'Cash Flow %s Yr2'!D47*'Revenue w MYP'!$F44))</f>
        <v/>
      </c>
      <c r="E45" s="62" t="str">
        <f>IF('Revenue w MYP'!$F44="","",IF('Cash Flow %s Yr2'!E47="","",'Cash Flow %s Yr2'!E47*'Revenue w MYP'!$F44))</f>
        <v/>
      </c>
      <c r="F45" s="62" t="str">
        <f>IF('Revenue w MYP'!$F44="","",IF('Cash Flow %s Yr2'!F47="","",'Cash Flow %s Yr2'!F47*'Revenue w MYP'!$F44))</f>
        <v/>
      </c>
      <c r="G45" s="62" t="str">
        <f>IF('Revenue w MYP'!$F44="","",IF('Cash Flow %s Yr2'!G47="","",'Cash Flow %s Yr2'!G47*'Revenue w MYP'!$F44))</f>
        <v/>
      </c>
      <c r="H45" s="62" t="str">
        <f>IF('Revenue w MYP'!$F44="","",IF('Cash Flow %s Yr2'!H47="","",'Cash Flow %s Yr2'!H47*'Revenue w MYP'!$F44))</f>
        <v/>
      </c>
      <c r="I45" s="62" t="str">
        <f>IF('Revenue w MYP'!$F44="","",IF('Cash Flow %s Yr2'!I47="","",'Cash Flow %s Yr2'!I47*'Revenue w MYP'!$F44))</f>
        <v/>
      </c>
      <c r="J45" s="62" t="str">
        <f>IF('Revenue w MYP'!$F44="","",IF('Cash Flow %s Yr2'!J47="","",'Cash Flow %s Yr2'!J47*'Revenue w MYP'!$F44))</f>
        <v/>
      </c>
      <c r="K45" s="62" t="str">
        <f>IF('Revenue w MYP'!$F44="","",IF('Cash Flow %s Yr2'!K47="","",'Cash Flow %s Yr2'!K47*'Revenue w MYP'!$F44))</f>
        <v/>
      </c>
      <c r="L45" s="62" t="str">
        <f>IF('Revenue w MYP'!$F44="","",IF('Cash Flow %s Yr2'!L47="","",'Cash Flow %s Yr2'!L47*'Revenue w MYP'!$F44))</f>
        <v/>
      </c>
      <c r="M45" s="62" t="str">
        <f>IF('Revenue w MYP'!$F44="","",IF('Cash Flow %s Yr2'!M47="","",'Cash Flow %s Yr2'!M47*'Revenue w MYP'!$F44))</f>
        <v/>
      </c>
      <c r="N45" s="62" t="str">
        <f>IF('Revenue w MYP'!$F44="","",IF('Cash Flow %s Yr2'!N47="","",'Cash Flow %s Yr2'!N47*'Revenue w MYP'!$F44))</f>
        <v/>
      </c>
      <c r="O45" s="62" t="str">
        <f>IF('Revenue w MYP'!$F44="","",IF('Cash Flow %s Yr2'!O47="","",'Cash Flow %s Yr2'!O47*'Revenue w MYP'!$F44))</f>
        <v/>
      </c>
      <c r="P45" s="62" t="str">
        <f>IF('Revenue w MYP'!$F44="","",IF('Cash Flow %s Yr2'!P47="","",'Cash Flow %s Yr2'!P47*'Revenue w MYP'!$F44))</f>
        <v/>
      </c>
      <c r="Q45" s="62" t="str">
        <f>IF('Revenue w MYP'!$F44="","",IF('Cash Flow %s Yr2'!Q47="","",'Cash Flow %s Yr2'!Q47*'Revenue w MYP'!$F44))</f>
        <v/>
      </c>
      <c r="R45" s="62" t="str">
        <f>IF('Revenue w MYP'!$F44="","",IF('Cash Flow %s Yr2'!R47="","",'Cash Flow %s Yr2'!R47*'Revenue w MYP'!$F44))</f>
        <v/>
      </c>
      <c r="S45" s="97" t="str">
        <f>IF(SUM(D45:R45)&gt;0,SUM(D45:R45)/'Revenue w MYP'!$F44,"")</f>
        <v/>
      </c>
    </row>
    <row r="46" spans="1:19" s="31" customFormat="1" ht="17.75" x14ac:dyDescent="0.75">
      <c r="A46" s="29"/>
      <c r="B46" s="63" t="str">
        <f>'Revenue w MYP'!C45</f>
        <v>8986</v>
      </c>
      <c r="C46" s="63" t="str">
        <f>'Revenue w MYP'!D45</f>
        <v>Rental Income</v>
      </c>
      <c r="D46" s="62" t="str">
        <f>IF('Revenue w MYP'!$F45="","",IF('Cash Flow %s Yr2'!D48="","",'Cash Flow %s Yr2'!D48*'Revenue w MYP'!$F45))</f>
        <v/>
      </c>
      <c r="E46" s="62" t="str">
        <f>IF('Revenue w MYP'!$F45="","",IF('Cash Flow %s Yr2'!E48="","",'Cash Flow %s Yr2'!E48*'Revenue w MYP'!$F45))</f>
        <v/>
      </c>
      <c r="F46" s="62" t="str">
        <f>IF('Revenue w MYP'!$F45="","",IF('Cash Flow %s Yr2'!F48="","",'Cash Flow %s Yr2'!F48*'Revenue w MYP'!$F45))</f>
        <v/>
      </c>
      <c r="G46" s="62" t="str">
        <f>IF('Revenue w MYP'!$F45="","",IF('Cash Flow %s Yr2'!G48="","",'Cash Flow %s Yr2'!G48*'Revenue w MYP'!$F45))</f>
        <v/>
      </c>
      <c r="H46" s="62" t="str">
        <f>IF('Revenue w MYP'!$F45="","",IF('Cash Flow %s Yr2'!H48="","",'Cash Flow %s Yr2'!H48*'Revenue w MYP'!$F45))</f>
        <v/>
      </c>
      <c r="I46" s="62" t="str">
        <f>IF('Revenue w MYP'!$F45="","",IF('Cash Flow %s Yr2'!I48="","",'Cash Flow %s Yr2'!I48*'Revenue w MYP'!$F45))</f>
        <v/>
      </c>
      <c r="J46" s="62" t="str">
        <f>IF('Revenue w MYP'!$F45="","",IF('Cash Flow %s Yr2'!J48="","",'Cash Flow %s Yr2'!J48*'Revenue w MYP'!$F45))</f>
        <v/>
      </c>
      <c r="K46" s="62" t="str">
        <f>IF('Revenue w MYP'!$F45="","",IF('Cash Flow %s Yr2'!K48="","",'Cash Flow %s Yr2'!K48*'Revenue w MYP'!$F45))</f>
        <v/>
      </c>
      <c r="L46" s="62" t="str">
        <f>IF('Revenue w MYP'!$F45="","",IF('Cash Flow %s Yr2'!L48="","",'Cash Flow %s Yr2'!L48*'Revenue w MYP'!$F45))</f>
        <v/>
      </c>
      <c r="M46" s="62" t="str">
        <f>IF('Revenue w MYP'!$F45="","",IF('Cash Flow %s Yr2'!M48="","",'Cash Flow %s Yr2'!M48*'Revenue w MYP'!$F45))</f>
        <v/>
      </c>
      <c r="N46" s="62" t="str">
        <f>IF('Revenue w MYP'!$F45="","",IF('Cash Flow %s Yr2'!N48="","",'Cash Flow %s Yr2'!N48*'Revenue w MYP'!$F45))</f>
        <v/>
      </c>
      <c r="O46" s="62" t="str">
        <f>IF('Revenue w MYP'!$F45="","",IF('Cash Flow %s Yr2'!O48="","",'Cash Flow %s Yr2'!O48*'Revenue w MYP'!$F45))</f>
        <v/>
      </c>
      <c r="P46" s="62" t="str">
        <f>IF('Revenue w MYP'!$F45="","",IF('Cash Flow %s Yr2'!P48="","",'Cash Flow %s Yr2'!P48*'Revenue w MYP'!$F45))</f>
        <v/>
      </c>
      <c r="Q46" s="62" t="str">
        <f>IF('Revenue w MYP'!$F45="","",IF('Cash Flow %s Yr2'!Q48="","",'Cash Flow %s Yr2'!Q48*'Revenue w MYP'!$F45))</f>
        <v/>
      </c>
      <c r="R46" s="62" t="str">
        <f>IF('Revenue w MYP'!$F45="","",IF('Cash Flow %s Yr2'!R48="","",'Cash Flow %s Yr2'!R48*'Revenue w MYP'!$F45))</f>
        <v/>
      </c>
      <c r="S46" s="97" t="str">
        <f>IF(SUM(D46:R46)&gt;0,SUM(D46:R46)/'Revenue w MYP'!$F45,"")</f>
        <v/>
      </c>
    </row>
    <row r="47" spans="1:19" s="31" customFormat="1" ht="17.75" x14ac:dyDescent="0.75">
      <c r="A47" s="29"/>
      <c r="B47" s="63" t="str">
        <f>'Revenue w MYP'!C47</f>
        <v>8662</v>
      </c>
      <c r="C47" s="63" t="str">
        <f>'Revenue w MYP'!D47</f>
        <v>Increase/Decrease in Investment</v>
      </c>
      <c r="D47" s="62" t="str">
        <f>IF('Revenue w MYP'!$F47="","",IF('Cash Flow %s Yr2'!D50="","",'Cash Flow %s Yr2'!D50*'Revenue w MYP'!$F47))</f>
        <v/>
      </c>
      <c r="E47" s="62" t="str">
        <f>IF('Revenue w MYP'!$F47="","",IF('Cash Flow %s Yr2'!E50="","",'Cash Flow %s Yr2'!E50*'Revenue w MYP'!$F47))</f>
        <v/>
      </c>
      <c r="F47" s="62" t="str">
        <f>IF('Revenue w MYP'!$F47="","",IF('Cash Flow %s Yr2'!F50="","",'Cash Flow %s Yr2'!F50*'Revenue w MYP'!$F47))</f>
        <v/>
      </c>
      <c r="G47" s="62" t="str">
        <f>IF('Revenue w MYP'!$F47="","",IF('Cash Flow %s Yr2'!G50="","",'Cash Flow %s Yr2'!G50*'Revenue w MYP'!$F47))</f>
        <v/>
      </c>
      <c r="H47" s="62" t="str">
        <f>IF('Revenue w MYP'!$F47="","",IF('Cash Flow %s Yr2'!H50="","",'Cash Flow %s Yr2'!H50*'Revenue w MYP'!$F47))</f>
        <v/>
      </c>
      <c r="I47" s="62" t="str">
        <f>IF('Revenue w MYP'!$F47="","",IF('Cash Flow %s Yr2'!I50="","",'Cash Flow %s Yr2'!I50*'Revenue w MYP'!$F47))</f>
        <v/>
      </c>
      <c r="J47" s="62" t="str">
        <f>IF('Revenue w MYP'!$F47="","",IF('Cash Flow %s Yr2'!J50="","",'Cash Flow %s Yr2'!J50*'Revenue w MYP'!$F47))</f>
        <v/>
      </c>
      <c r="K47" s="62" t="str">
        <f>IF('Revenue w MYP'!$F47="","",IF('Cash Flow %s Yr2'!K50="","",'Cash Flow %s Yr2'!K50*'Revenue w MYP'!$F47))</f>
        <v/>
      </c>
      <c r="L47" s="62" t="str">
        <f>IF('Revenue w MYP'!$F47="","",IF('Cash Flow %s Yr2'!L50="","",'Cash Flow %s Yr2'!L50*'Revenue w MYP'!$F47))</f>
        <v/>
      </c>
      <c r="M47" s="62" t="str">
        <f>IF('Revenue w MYP'!$F47="","",IF('Cash Flow %s Yr2'!M50="","",'Cash Flow %s Yr2'!M50*'Revenue w MYP'!$F47))</f>
        <v/>
      </c>
      <c r="N47" s="62" t="str">
        <f>IF('Revenue w MYP'!$F47="","",IF('Cash Flow %s Yr2'!N50="","",'Cash Flow %s Yr2'!N50*'Revenue w MYP'!$F47))</f>
        <v/>
      </c>
      <c r="O47" s="62" t="str">
        <f>IF('Revenue w MYP'!$F47="","",IF('Cash Flow %s Yr2'!O50="","",'Cash Flow %s Yr2'!O50*'Revenue w MYP'!$F47))</f>
        <v/>
      </c>
      <c r="P47" s="62" t="str">
        <f>IF('Revenue w MYP'!$F47="","",IF('Cash Flow %s Yr2'!P50="","",'Cash Flow %s Yr2'!P50*'Revenue w MYP'!$F47))</f>
        <v/>
      </c>
      <c r="Q47" s="62" t="str">
        <f>IF('Revenue w MYP'!$F47="","",IF('Cash Flow %s Yr2'!Q50="","",'Cash Flow %s Yr2'!Q50*'Revenue w MYP'!$F47))</f>
        <v/>
      </c>
      <c r="R47" s="62" t="str">
        <f>IF('Revenue w MYP'!$F47="","",IF('Cash Flow %s Yr2'!R50="","",'Cash Flow %s Yr2'!R50*'Revenue w MYP'!$F47))</f>
        <v/>
      </c>
      <c r="S47" s="97" t="str">
        <f>IF(SUM(D47:R47)&gt;0,SUM(D47:R47)/'Revenue w MYP'!$F47,"")</f>
        <v/>
      </c>
    </row>
    <row r="48" spans="1:19" s="31" customFormat="1" ht="17.75" x14ac:dyDescent="0.75">
      <c r="A48" s="29"/>
      <c r="B48" s="69"/>
      <c r="C48" s="34" t="s">
        <v>719</v>
      </c>
      <c r="D48" s="167">
        <f t="shared" ref="D48:R48" si="2">SUM(D36:D47)</f>
        <v>0</v>
      </c>
      <c r="E48" s="167">
        <f t="shared" si="2"/>
        <v>0</v>
      </c>
      <c r="F48" s="167">
        <f t="shared" si="2"/>
        <v>0</v>
      </c>
      <c r="G48" s="167">
        <f t="shared" si="2"/>
        <v>0</v>
      </c>
      <c r="H48" s="167">
        <f t="shared" si="2"/>
        <v>0</v>
      </c>
      <c r="I48" s="167">
        <f t="shared" si="2"/>
        <v>0</v>
      </c>
      <c r="J48" s="167">
        <f t="shared" si="2"/>
        <v>0</v>
      </c>
      <c r="K48" s="167">
        <f t="shared" si="2"/>
        <v>0</v>
      </c>
      <c r="L48" s="167">
        <f t="shared" si="2"/>
        <v>0</v>
      </c>
      <c r="M48" s="167">
        <f t="shared" si="2"/>
        <v>0</v>
      </c>
      <c r="N48" s="167">
        <f t="shared" si="2"/>
        <v>0</v>
      </c>
      <c r="O48" s="167">
        <f t="shared" si="2"/>
        <v>0</v>
      </c>
      <c r="P48" s="167">
        <f t="shared" si="2"/>
        <v>0</v>
      </c>
      <c r="Q48" s="167">
        <f t="shared" si="2"/>
        <v>0</v>
      </c>
      <c r="R48" s="167">
        <f t="shared" si="2"/>
        <v>0</v>
      </c>
      <c r="S48" s="94"/>
    </row>
    <row r="49" spans="1:19" s="31" customFormat="1" ht="17.75" x14ac:dyDescent="0.75">
      <c r="A49" s="29"/>
      <c r="B49" s="47" t="s">
        <v>675</v>
      </c>
      <c r="C49" s="48"/>
      <c r="D49" s="168">
        <f t="shared" ref="D49:R49" si="3">SUM(D48,D33,D22)</f>
        <v>0</v>
      </c>
      <c r="E49" s="168">
        <f t="shared" si="3"/>
        <v>0</v>
      </c>
      <c r="F49" s="168">
        <f t="shared" si="3"/>
        <v>0</v>
      </c>
      <c r="G49" s="168">
        <f t="shared" si="3"/>
        <v>0</v>
      </c>
      <c r="H49" s="168">
        <f t="shared" si="3"/>
        <v>0</v>
      </c>
      <c r="I49" s="168">
        <f t="shared" si="3"/>
        <v>0</v>
      </c>
      <c r="J49" s="168">
        <f t="shared" si="3"/>
        <v>0</v>
      </c>
      <c r="K49" s="168">
        <f t="shared" si="3"/>
        <v>0</v>
      </c>
      <c r="L49" s="168">
        <f t="shared" si="3"/>
        <v>0</v>
      </c>
      <c r="M49" s="168">
        <f t="shared" si="3"/>
        <v>0</v>
      </c>
      <c r="N49" s="168">
        <f t="shared" si="3"/>
        <v>0</v>
      </c>
      <c r="O49" s="168">
        <f t="shared" si="3"/>
        <v>0</v>
      </c>
      <c r="P49" s="168">
        <f t="shared" si="3"/>
        <v>0</v>
      </c>
      <c r="Q49" s="168">
        <f t="shared" si="3"/>
        <v>0</v>
      </c>
      <c r="R49" s="168">
        <f t="shared" si="3"/>
        <v>0</v>
      </c>
      <c r="S49" s="94"/>
    </row>
    <row r="50" spans="1:19" s="31" customFormat="1" ht="17.75" x14ac:dyDescent="0.75">
      <c r="A50" s="29"/>
      <c r="B50" s="69"/>
      <c r="C50" s="48"/>
      <c r="D50" s="111"/>
      <c r="E50" s="111"/>
      <c r="F50" s="111"/>
      <c r="G50" s="111"/>
      <c r="H50" s="111"/>
      <c r="I50" s="111"/>
      <c r="J50" s="111"/>
      <c r="K50" s="111"/>
      <c r="L50" s="111"/>
      <c r="M50" s="111"/>
      <c r="N50" s="111"/>
      <c r="O50" s="111"/>
      <c r="P50" s="111"/>
      <c r="Q50" s="111"/>
      <c r="R50" s="111"/>
    </row>
    <row r="51" spans="1:19" s="31" customFormat="1" ht="17.75" x14ac:dyDescent="0.75">
      <c r="A51" s="29" t="s">
        <v>796</v>
      </c>
      <c r="B51" s="70"/>
      <c r="C51" s="34"/>
      <c r="D51" s="112"/>
      <c r="E51" s="112"/>
      <c r="F51" s="112"/>
      <c r="G51" s="112"/>
      <c r="H51" s="112"/>
      <c r="I51" s="112"/>
      <c r="J51" s="112"/>
      <c r="K51" s="112"/>
      <c r="L51" s="112"/>
      <c r="M51" s="112"/>
      <c r="N51" s="112"/>
      <c r="O51" s="112"/>
      <c r="P51" s="112"/>
      <c r="Q51" s="112"/>
      <c r="R51" s="112"/>
    </row>
    <row r="52" spans="1:19" x14ac:dyDescent="0.75">
      <c r="A52" s="1"/>
      <c r="B52" s="34" t="s">
        <v>731</v>
      </c>
      <c r="C52" s="2"/>
      <c r="D52" s="94"/>
      <c r="E52" s="94"/>
      <c r="F52" s="94"/>
      <c r="G52" s="94"/>
      <c r="H52" s="94"/>
      <c r="I52" s="94"/>
      <c r="J52" s="94"/>
      <c r="K52" s="94"/>
      <c r="L52" s="94"/>
      <c r="M52" s="94"/>
      <c r="N52" s="94"/>
      <c r="O52" s="94"/>
      <c r="P52" s="94"/>
      <c r="Q52" s="94"/>
      <c r="R52" s="94"/>
    </row>
    <row r="53" spans="1:19" x14ac:dyDescent="0.75">
      <c r="A53" s="35"/>
      <c r="B53" s="65" t="str">
        <f>'Expenses w MYP'!C8</f>
        <v>1100</v>
      </c>
      <c r="C53" s="65" t="str">
        <f>'Expenses w MYP'!D8</f>
        <v>Teachers' Salaries</v>
      </c>
      <c r="D53" s="62" t="str">
        <f>IF('Expenses w MYP'!$F8="","",IF('Cash Flow %s Yr2'!D53="","",'Cash Flow %s Yr2'!D53*'Expenses w MYP'!$F8))</f>
        <v/>
      </c>
      <c r="E53" s="62" t="str">
        <f>IF('Expenses w MYP'!$F8="","",IF('Cash Flow %s Yr2'!E53="","",'Cash Flow %s Yr2'!E53*'Expenses w MYP'!$F8))</f>
        <v/>
      </c>
      <c r="F53" s="62" t="str">
        <f>IF('Expenses w MYP'!$F8="","",IF('Cash Flow %s Yr2'!F53="","",'Cash Flow %s Yr2'!F53*'Expenses w MYP'!$F8))</f>
        <v/>
      </c>
      <c r="G53" s="62" t="str">
        <f>IF('Expenses w MYP'!$F8="","",IF('Cash Flow %s Yr2'!G53="","",'Cash Flow %s Yr2'!G53*'Expenses w MYP'!$F8))</f>
        <v/>
      </c>
      <c r="H53" s="62" t="str">
        <f>IF('Expenses w MYP'!$F8="","",IF('Cash Flow %s Yr2'!H53="","",'Cash Flow %s Yr2'!H53*'Expenses w MYP'!$F8))</f>
        <v/>
      </c>
      <c r="I53" s="62" t="str">
        <f>IF('Expenses w MYP'!$F8="","",IF('Cash Flow %s Yr2'!I53="","",'Cash Flow %s Yr2'!I53*'Expenses w MYP'!$F8))</f>
        <v/>
      </c>
      <c r="J53" s="62" t="str">
        <f>IF('Expenses w MYP'!$F8="","",IF('Cash Flow %s Yr2'!J53="","",'Cash Flow %s Yr2'!J53*'Expenses w MYP'!$F8))</f>
        <v/>
      </c>
      <c r="K53" s="62" t="str">
        <f>IF('Expenses w MYP'!$F8="","",IF('Cash Flow %s Yr2'!K53="","",'Cash Flow %s Yr2'!K53*'Expenses w MYP'!$F8))</f>
        <v/>
      </c>
      <c r="L53" s="62" t="str">
        <f>IF('Expenses w MYP'!$F8="","",IF('Cash Flow %s Yr2'!L53="","",'Cash Flow %s Yr2'!L53*'Expenses w MYP'!$F8))</f>
        <v/>
      </c>
      <c r="M53" s="62" t="str">
        <f>IF('Expenses w MYP'!$F8="","",IF('Cash Flow %s Yr2'!M53="","",'Cash Flow %s Yr2'!M53*'Expenses w MYP'!$F8))</f>
        <v/>
      </c>
      <c r="N53" s="62" t="str">
        <f>IF('Expenses w MYP'!$F8="","",IF('Cash Flow %s Yr2'!N53="","",'Cash Flow %s Yr2'!N53*'Expenses w MYP'!$F8))</f>
        <v/>
      </c>
      <c r="O53" s="62" t="str">
        <f>IF('Expenses w MYP'!$F8="","",IF('Cash Flow %s Yr2'!O53="","",'Cash Flow %s Yr2'!O53*'Expenses w MYP'!$F8))</f>
        <v/>
      </c>
      <c r="P53" s="113"/>
      <c r="Q53" s="113"/>
      <c r="R53" s="113"/>
      <c r="S53" s="97" t="str">
        <f>IF(SUM(D53:R53)&gt;0,SUM(D53:R53)/'Expenses w MYP'!$F8,"")</f>
        <v/>
      </c>
    </row>
    <row r="54" spans="1:19" x14ac:dyDescent="0.75">
      <c r="A54" s="35"/>
      <c r="B54" s="65" t="str">
        <f>'Expenses w MYP'!C9</f>
        <v>1105</v>
      </c>
      <c r="C54" s="65" t="str">
        <f>'Expenses w MYP'!D9</f>
        <v>Teachers' Stipends / Bonus</v>
      </c>
      <c r="D54" s="62" t="str">
        <f>IF('Expenses w MYP'!$F9="","",IF('Cash Flow %s Yr2'!D54="","",'Cash Flow %s Yr2'!D54*'Expenses w MYP'!$F9))</f>
        <v/>
      </c>
      <c r="E54" s="62" t="str">
        <f>IF('Expenses w MYP'!$F9="","",IF('Cash Flow %s Yr2'!E54="","",'Cash Flow %s Yr2'!E54*'Expenses w MYP'!$F9))</f>
        <v/>
      </c>
      <c r="F54" s="62" t="str">
        <f>IF('Expenses w MYP'!$F9="","",IF('Cash Flow %s Yr2'!F54="","",'Cash Flow %s Yr2'!F54*'Expenses w MYP'!$F9))</f>
        <v/>
      </c>
      <c r="G54" s="62" t="str">
        <f>IF('Expenses w MYP'!$F9="","",IF('Cash Flow %s Yr2'!G54="","",'Cash Flow %s Yr2'!G54*'Expenses w MYP'!$F9))</f>
        <v/>
      </c>
      <c r="H54" s="62" t="str">
        <f>IF('Expenses w MYP'!$F9="","",IF('Cash Flow %s Yr2'!H54="","",'Cash Flow %s Yr2'!H54*'Expenses w MYP'!$F9))</f>
        <v/>
      </c>
      <c r="I54" s="62" t="str">
        <f>IF('Expenses w MYP'!$F9="","",IF('Cash Flow %s Yr2'!I54="","",'Cash Flow %s Yr2'!I54*'Expenses w MYP'!$F9))</f>
        <v/>
      </c>
      <c r="J54" s="62" t="str">
        <f>IF('Expenses w MYP'!$F9="","",IF('Cash Flow %s Yr2'!J54="","",'Cash Flow %s Yr2'!J54*'Expenses w MYP'!$F9))</f>
        <v/>
      </c>
      <c r="K54" s="62" t="str">
        <f>IF('Expenses w MYP'!$F9="","",IF('Cash Flow %s Yr2'!K54="","",'Cash Flow %s Yr2'!K54*'Expenses w MYP'!$F9))</f>
        <v/>
      </c>
      <c r="L54" s="62" t="str">
        <f>IF('Expenses w MYP'!$F9="","",IF('Cash Flow %s Yr2'!L54="","",'Cash Flow %s Yr2'!L54*'Expenses w MYP'!$F9))</f>
        <v/>
      </c>
      <c r="M54" s="62" t="str">
        <f>IF('Expenses w MYP'!$F9="","",IF('Cash Flow %s Yr2'!M54="","",'Cash Flow %s Yr2'!M54*'Expenses w MYP'!$F9))</f>
        <v/>
      </c>
      <c r="N54" s="62" t="str">
        <f>IF('Expenses w MYP'!$F9="","",IF('Cash Flow %s Yr2'!N54="","",'Cash Flow %s Yr2'!N54*'Expenses w MYP'!$F9))</f>
        <v/>
      </c>
      <c r="O54" s="62" t="str">
        <f>IF('Expenses w MYP'!$F9="","",IF('Cash Flow %s Yr2'!O54="","",'Cash Flow %s Yr2'!O54*'Expenses w MYP'!$F9))</f>
        <v/>
      </c>
      <c r="P54" s="113"/>
      <c r="Q54" s="113"/>
      <c r="R54" s="113"/>
      <c r="S54" s="97" t="str">
        <f>IF(SUM(D54:R54)&gt;0,SUM(D54:R54)/'Expenses w MYP'!$F9,"")</f>
        <v/>
      </c>
    </row>
    <row r="55" spans="1:19" x14ac:dyDescent="0.75">
      <c r="A55" s="35"/>
      <c r="B55" s="65" t="str">
        <f>'Expenses w MYP'!C10</f>
        <v>1120</v>
      </c>
      <c r="C55" s="65" t="str">
        <f>'Expenses w MYP'!D10</f>
        <v>Substitute Expense</v>
      </c>
      <c r="D55" s="62" t="str">
        <f>IF('Expenses w MYP'!$F10="","",IF('Cash Flow %s Yr2'!D55="","",'Cash Flow %s Yr2'!D55*'Expenses w MYP'!$F10))</f>
        <v/>
      </c>
      <c r="E55" s="62" t="str">
        <f>IF('Expenses w MYP'!$F10="","",IF('Cash Flow %s Yr2'!E55="","",'Cash Flow %s Yr2'!E55*'Expenses w MYP'!$F10))</f>
        <v/>
      </c>
      <c r="F55" s="62" t="str">
        <f>IF('Expenses w MYP'!$F10="","",IF('Cash Flow %s Yr2'!F55="","",'Cash Flow %s Yr2'!F55*'Expenses w MYP'!$F10))</f>
        <v/>
      </c>
      <c r="G55" s="62" t="str">
        <f>IF('Expenses w MYP'!$F10="","",IF('Cash Flow %s Yr2'!G55="","",'Cash Flow %s Yr2'!G55*'Expenses w MYP'!$F10))</f>
        <v/>
      </c>
      <c r="H55" s="62" t="str">
        <f>IF('Expenses w MYP'!$F10="","",IF('Cash Flow %s Yr2'!H55="","",'Cash Flow %s Yr2'!H55*'Expenses w MYP'!$F10))</f>
        <v/>
      </c>
      <c r="I55" s="62" t="str">
        <f>IF('Expenses w MYP'!$F10="","",IF('Cash Flow %s Yr2'!I55="","",'Cash Flow %s Yr2'!I55*'Expenses w MYP'!$F10))</f>
        <v/>
      </c>
      <c r="J55" s="62" t="str">
        <f>IF('Expenses w MYP'!$F10="","",IF('Cash Flow %s Yr2'!J55="","",'Cash Flow %s Yr2'!J55*'Expenses w MYP'!$F10))</f>
        <v/>
      </c>
      <c r="K55" s="62" t="str">
        <f>IF('Expenses w MYP'!$F10="","",IF('Cash Flow %s Yr2'!K55="","",'Cash Flow %s Yr2'!K55*'Expenses w MYP'!$F10))</f>
        <v/>
      </c>
      <c r="L55" s="62" t="str">
        <f>IF('Expenses w MYP'!$F10="","",IF('Cash Flow %s Yr2'!L55="","",'Cash Flow %s Yr2'!L55*'Expenses w MYP'!$F10))</f>
        <v/>
      </c>
      <c r="M55" s="62" t="str">
        <f>IF('Expenses w MYP'!$F10="","",IF('Cash Flow %s Yr2'!M55="","",'Cash Flow %s Yr2'!M55*'Expenses w MYP'!$F10))</f>
        <v/>
      </c>
      <c r="N55" s="62" t="str">
        <f>IF('Expenses w MYP'!$F10="","",IF('Cash Flow %s Yr2'!N55="","",'Cash Flow %s Yr2'!N55*'Expenses w MYP'!$F10))</f>
        <v/>
      </c>
      <c r="O55" s="62" t="str">
        <f>IF('Expenses w MYP'!$F10="","",IF('Cash Flow %s Yr2'!O55="","",'Cash Flow %s Yr2'!O55*'Expenses w MYP'!$F10))</f>
        <v/>
      </c>
      <c r="P55" s="113"/>
      <c r="Q55" s="113"/>
      <c r="R55" s="113"/>
      <c r="S55" s="97" t="str">
        <f>IF(SUM(D55:R55)&gt;0,SUM(D55:R55)/'Expenses w MYP'!$F10,"")</f>
        <v/>
      </c>
    </row>
    <row r="56" spans="1:19" x14ac:dyDescent="0.75">
      <c r="A56" s="35"/>
      <c r="B56" s="65" t="str">
        <f>'Expenses w MYP'!C11</f>
        <v>1200</v>
      </c>
      <c r="C56" s="65" t="str">
        <f>'Expenses w MYP'!D11</f>
        <v>Certificated Pupil Support Salaries</v>
      </c>
      <c r="D56" s="62" t="str">
        <f>IF('Expenses w MYP'!$F11="","",IF('Cash Flow %s Yr2'!D56="","",'Cash Flow %s Yr2'!D56*'Expenses w MYP'!$F11))</f>
        <v/>
      </c>
      <c r="E56" s="62" t="str">
        <f>IF('Expenses w MYP'!$F11="","",IF('Cash Flow %s Yr2'!E56="","",'Cash Flow %s Yr2'!E56*'Expenses w MYP'!$F11))</f>
        <v/>
      </c>
      <c r="F56" s="62" t="str">
        <f>IF('Expenses w MYP'!$F11="","",IF('Cash Flow %s Yr2'!F56="","",'Cash Flow %s Yr2'!F56*'Expenses w MYP'!$F11))</f>
        <v/>
      </c>
      <c r="G56" s="62" t="str">
        <f>IF('Expenses w MYP'!$F11="","",IF('Cash Flow %s Yr2'!G56="","",'Cash Flow %s Yr2'!G56*'Expenses w MYP'!$F11))</f>
        <v/>
      </c>
      <c r="H56" s="62" t="str">
        <f>IF('Expenses w MYP'!$F11="","",IF('Cash Flow %s Yr2'!H56="","",'Cash Flow %s Yr2'!H56*'Expenses w MYP'!$F11))</f>
        <v/>
      </c>
      <c r="I56" s="62" t="str">
        <f>IF('Expenses w MYP'!$F11="","",IF('Cash Flow %s Yr2'!I56="","",'Cash Flow %s Yr2'!I56*'Expenses w MYP'!$F11))</f>
        <v/>
      </c>
      <c r="J56" s="62" t="str">
        <f>IF('Expenses w MYP'!$F11="","",IF('Cash Flow %s Yr2'!J56="","",'Cash Flow %s Yr2'!J56*'Expenses w MYP'!$F11))</f>
        <v/>
      </c>
      <c r="K56" s="62" t="str">
        <f>IF('Expenses w MYP'!$F11="","",IF('Cash Flow %s Yr2'!K56="","",'Cash Flow %s Yr2'!K56*'Expenses w MYP'!$F11))</f>
        <v/>
      </c>
      <c r="L56" s="62" t="str">
        <f>IF('Expenses w MYP'!$F11="","",IF('Cash Flow %s Yr2'!L56="","",'Cash Flow %s Yr2'!L56*'Expenses w MYP'!$F11))</f>
        <v/>
      </c>
      <c r="M56" s="62" t="str">
        <f>IF('Expenses w MYP'!$F11="","",IF('Cash Flow %s Yr2'!M56="","",'Cash Flow %s Yr2'!M56*'Expenses w MYP'!$F11))</f>
        <v/>
      </c>
      <c r="N56" s="62" t="str">
        <f>IF('Expenses w MYP'!$F11="","",IF('Cash Flow %s Yr2'!N56="","",'Cash Flow %s Yr2'!N56*'Expenses w MYP'!$F11))</f>
        <v/>
      </c>
      <c r="O56" s="62" t="str">
        <f>IF('Expenses w MYP'!$F11="","",IF('Cash Flow %s Yr2'!O56="","",'Cash Flow %s Yr2'!O56*'Expenses w MYP'!$F11))</f>
        <v/>
      </c>
      <c r="P56" s="113"/>
      <c r="Q56" s="113"/>
      <c r="R56" s="113"/>
      <c r="S56" s="97" t="str">
        <f>IF(SUM(D56:R56)&gt;0,SUM(D56:R56)/'Expenses w MYP'!$F11,"")</f>
        <v/>
      </c>
    </row>
    <row r="57" spans="1:19" x14ac:dyDescent="0.75">
      <c r="A57" s="35"/>
      <c r="B57" s="65" t="str">
        <f>'Expenses w MYP'!C12</f>
        <v>1300</v>
      </c>
      <c r="C57" s="65" t="str">
        <f>'Expenses w MYP'!D12</f>
        <v>Certificated Supervisor and Administrator Salaries</v>
      </c>
      <c r="D57" s="62" t="str">
        <f>IF('Expenses w MYP'!$F12="","",IF('Cash Flow %s Yr2'!D57="","",'Cash Flow %s Yr2'!D57*'Expenses w MYP'!$F12))</f>
        <v/>
      </c>
      <c r="E57" s="62" t="str">
        <f>IF('Expenses w MYP'!$F12="","",IF('Cash Flow %s Yr2'!E57="","",'Cash Flow %s Yr2'!E57*'Expenses w MYP'!$F12))</f>
        <v/>
      </c>
      <c r="F57" s="62" t="str">
        <f>IF('Expenses w MYP'!$F12="","",IF('Cash Flow %s Yr2'!F57="","",'Cash Flow %s Yr2'!F57*'Expenses w MYP'!$F12))</f>
        <v/>
      </c>
      <c r="G57" s="62" t="str">
        <f>IF('Expenses w MYP'!$F12="","",IF('Cash Flow %s Yr2'!G57="","",'Cash Flow %s Yr2'!G57*'Expenses w MYP'!$F12))</f>
        <v/>
      </c>
      <c r="H57" s="62" t="str">
        <f>IF('Expenses w MYP'!$F12="","",IF('Cash Flow %s Yr2'!H57="","",'Cash Flow %s Yr2'!H57*'Expenses w MYP'!$F12))</f>
        <v/>
      </c>
      <c r="I57" s="62" t="str">
        <f>IF('Expenses w MYP'!$F12="","",IF('Cash Flow %s Yr2'!I57="","",'Cash Flow %s Yr2'!I57*'Expenses w MYP'!$F12))</f>
        <v/>
      </c>
      <c r="J57" s="62" t="str">
        <f>IF('Expenses w MYP'!$F12="","",IF('Cash Flow %s Yr2'!J57="","",'Cash Flow %s Yr2'!J57*'Expenses w MYP'!$F12))</f>
        <v/>
      </c>
      <c r="K57" s="62" t="str">
        <f>IF('Expenses w MYP'!$F12="","",IF('Cash Flow %s Yr2'!K57="","",'Cash Flow %s Yr2'!K57*'Expenses w MYP'!$F12))</f>
        <v/>
      </c>
      <c r="L57" s="62" t="str">
        <f>IF('Expenses w MYP'!$F12="","",IF('Cash Flow %s Yr2'!L57="","",'Cash Flow %s Yr2'!L57*'Expenses w MYP'!$F12))</f>
        <v/>
      </c>
      <c r="M57" s="62" t="str">
        <f>IF('Expenses w MYP'!$F12="","",IF('Cash Flow %s Yr2'!M57="","",'Cash Flow %s Yr2'!M57*'Expenses w MYP'!$F12))</f>
        <v/>
      </c>
      <c r="N57" s="62" t="str">
        <f>IF('Expenses w MYP'!$F12="","",IF('Cash Flow %s Yr2'!N57="","",'Cash Flow %s Yr2'!N57*'Expenses w MYP'!$F12))</f>
        <v/>
      </c>
      <c r="O57" s="62" t="str">
        <f>IF('Expenses w MYP'!$F12="","",IF('Cash Flow %s Yr2'!O57="","",'Cash Flow %s Yr2'!O57*'Expenses w MYP'!$F12))</f>
        <v/>
      </c>
      <c r="P57" s="113"/>
      <c r="Q57" s="113"/>
      <c r="R57" s="113"/>
      <c r="S57" s="97" t="str">
        <f>IF(SUM(D57:R57)&gt;0,SUM(D57:R57)/'Expenses w MYP'!$F12,"")</f>
        <v/>
      </c>
    </row>
    <row r="58" spans="1:19" x14ac:dyDescent="0.75">
      <c r="A58" s="35"/>
      <c r="B58" s="65" t="str">
        <f>'Expenses w MYP'!C13</f>
        <v>1305</v>
      </c>
      <c r="C58" s="65" t="str">
        <f>'Expenses w MYP'!D13</f>
        <v>Certificated Sup. and Admin. Stipends / Bonus</v>
      </c>
      <c r="D58" s="62" t="str">
        <f>IF('Expenses w MYP'!$F13="","",IF('Cash Flow %s Yr2'!D58="","",'Cash Flow %s Yr2'!D58*'Expenses w MYP'!$F13))</f>
        <v/>
      </c>
      <c r="E58" s="62" t="str">
        <f>IF('Expenses w MYP'!$F13="","",IF('Cash Flow %s Yr2'!E58="","",'Cash Flow %s Yr2'!E58*'Expenses w MYP'!$F13))</f>
        <v/>
      </c>
      <c r="F58" s="62" t="str">
        <f>IF('Expenses w MYP'!$F13="","",IF('Cash Flow %s Yr2'!F58="","",'Cash Flow %s Yr2'!F58*'Expenses w MYP'!$F13))</f>
        <v/>
      </c>
      <c r="G58" s="62" t="str">
        <f>IF('Expenses w MYP'!$F13="","",IF('Cash Flow %s Yr2'!G58="","",'Cash Flow %s Yr2'!G58*'Expenses w MYP'!$F13))</f>
        <v/>
      </c>
      <c r="H58" s="62" t="str">
        <f>IF('Expenses w MYP'!$F13="","",IF('Cash Flow %s Yr2'!H58="","",'Cash Flow %s Yr2'!H58*'Expenses w MYP'!$F13))</f>
        <v/>
      </c>
      <c r="I58" s="62" t="str">
        <f>IF('Expenses w MYP'!$F13="","",IF('Cash Flow %s Yr2'!I58="","",'Cash Flow %s Yr2'!I58*'Expenses w MYP'!$F13))</f>
        <v/>
      </c>
      <c r="J58" s="62" t="str">
        <f>IF('Expenses w MYP'!$F13="","",IF('Cash Flow %s Yr2'!J58="","",'Cash Flow %s Yr2'!J58*'Expenses w MYP'!$F13))</f>
        <v/>
      </c>
      <c r="K58" s="62" t="str">
        <f>IF('Expenses w MYP'!$F13="","",IF('Cash Flow %s Yr2'!K58="","",'Cash Flow %s Yr2'!K58*'Expenses w MYP'!$F13))</f>
        <v/>
      </c>
      <c r="L58" s="62" t="str">
        <f>IF('Expenses w MYP'!$F13="","",IF('Cash Flow %s Yr2'!L58="","",'Cash Flow %s Yr2'!L58*'Expenses w MYP'!$F13))</f>
        <v/>
      </c>
      <c r="M58" s="62" t="str">
        <f>IF('Expenses w MYP'!$F13="","",IF('Cash Flow %s Yr2'!M58="","",'Cash Flow %s Yr2'!M58*'Expenses w MYP'!$F13))</f>
        <v/>
      </c>
      <c r="N58" s="62" t="str">
        <f>IF('Expenses w MYP'!$F13="","",IF('Cash Flow %s Yr2'!N58="","",'Cash Flow %s Yr2'!N58*'Expenses w MYP'!$F13))</f>
        <v/>
      </c>
      <c r="O58" s="62" t="str">
        <f>IF('Expenses w MYP'!$F13="","",IF('Cash Flow %s Yr2'!O58="","",'Cash Flow %s Yr2'!O58*'Expenses w MYP'!$F13))</f>
        <v/>
      </c>
      <c r="P58" s="113"/>
      <c r="Q58" s="113"/>
      <c r="R58" s="113"/>
      <c r="S58" s="97" t="str">
        <f>IF(SUM(D58:R58)&gt;0,SUM(D58:R58)/'Expenses w MYP'!$F13,"")</f>
        <v/>
      </c>
    </row>
    <row r="59" spans="1:19" x14ac:dyDescent="0.75">
      <c r="A59" s="35"/>
      <c r="B59" s="65" t="str">
        <f>'Expenses w MYP'!C14</f>
        <v>1900</v>
      </c>
      <c r="C59" s="65" t="str">
        <f>'Expenses w MYP'!D14</f>
        <v>Other Certificated Salaries</v>
      </c>
      <c r="D59" s="62" t="str">
        <f>IF('Expenses w MYP'!$F14="","",IF('Cash Flow %s Yr2'!D59="","",'Cash Flow %s Yr2'!D59*'Expenses w MYP'!$F14))</f>
        <v/>
      </c>
      <c r="E59" s="62" t="str">
        <f>IF('Expenses w MYP'!$F14="","",IF('Cash Flow %s Yr2'!E59="","",'Cash Flow %s Yr2'!E59*'Expenses w MYP'!$F14))</f>
        <v/>
      </c>
      <c r="F59" s="62" t="str">
        <f>IF('Expenses w MYP'!$F14="","",IF('Cash Flow %s Yr2'!F59="","",'Cash Flow %s Yr2'!F59*'Expenses w MYP'!$F14))</f>
        <v/>
      </c>
      <c r="G59" s="62" t="str">
        <f>IF('Expenses w MYP'!$F14="","",IF('Cash Flow %s Yr2'!G59="","",'Cash Flow %s Yr2'!G59*'Expenses w MYP'!$F14))</f>
        <v/>
      </c>
      <c r="H59" s="62" t="str">
        <f>IF('Expenses w MYP'!$F14="","",IF('Cash Flow %s Yr2'!H59="","",'Cash Flow %s Yr2'!H59*'Expenses w MYP'!$F14))</f>
        <v/>
      </c>
      <c r="I59" s="62" t="str">
        <f>IF('Expenses w MYP'!$F14="","",IF('Cash Flow %s Yr2'!I59="","",'Cash Flow %s Yr2'!I59*'Expenses w MYP'!$F14))</f>
        <v/>
      </c>
      <c r="J59" s="62" t="str">
        <f>IF('Expenses w MYP'!$F14="","",IF('Cash Flow %s Yr2'!J59="","",'Cash Flow %s Yr2'!J59*'Expenses w MYP'!$F14))</f>
        <v/>
      </c>
      <c r="K59" s="62" t="str">
        <f>IF('Expenses w MYP'!$F14="","",IF('Cash Flow %s Yr2'!K59="","",'Cash Flow %s Yr2'!K59*'Expenses w MYP'!$F14))</f>
        <v/>
      </c>
      <c r="L59" s="62" t="str">
        <f>IF('Expenses w MYP'!$F14="","",IF('Cash Flow %s Yr2'!L59="","",'Cash Flow %s Yr2'!L59*'Expenses w MYP'!$F14))</f>
        <v/>
      </c>
      <c r="M59" s="62" t="str">
        <f>IF('Expenses w MYP'!$F14="","",IF('Cash Flow %s Yr2'!M59="","",'Cash Flow %s Yr2'!M59*'Expenses w MYP'!$F14))</f>
        <v/>
      </c>
      <c r="N59" s="62" t="str">
        <f>IF('Expenses w MYP'!$F14="","",IF('Cash Flow %s Yr2'!N59="","",'Cash Flow %s Yr2'!N59*'Expenses w MYP'!$F14))</f>
        <v/>
      </c>
      <c r="O59" s="62" t="str">
        <f>IF('Expenses w MYP'!$F14="","",IF('Cash Flow %s Yr2'!O59="","",'Cash Flow %s Yr2'!O59*'Expenses w MYP'!$F14))</f>
        <v/>
      </c>
      <c r="P59" s="113"/>
      <c r="Q59" s="113"/>
      <c r="R59" s="113"/>
      <c r="S59" s="97" t="str">
        <f>IF(SUM(D59:R59)&gt;0,SUM(D59:R59)/'Expenses w MYP'!$F14,"")</f>
        <v/>
      </c>
    </row>
    <row r="60" spans="1:19" x14ac:dyDescent="0.75">
      <c r="A60" s="35"/>
      <c r="B60" s="65" t="str">
        <f>'Expenses w MYP'!C15</f>
        <v>1910</v>
      </c>
      <c r="C60" s="65" t="str">
        <f>'Expenses w MYP'!D15</f>
        <v>Other Certificated Overtime</v>
      </c>
      <c r="D60" s="62" t="str">
        <f>IF('Expenses w MYP'!$F15="","",IF('Cash Flow %s Yr2'!D60="","",'Cash Flow %s Yr2'!D60*'Expenses w MYP'!$F15))</f>
        <v/>
      </c>
      <c r="E60" s="62" t="str">
        <f>IF('Expenses w MYP'!$F15="","",IF('Cash Flow %s Yr2'!E60="","",'Cash Flow %s Yr2'!E60*'Expenses w MYP'!$F15))</f>
        <v/>
      </c>
      <c r="F60" s="62" t="str">
        <f>IF('Expenses w MYP'!$F15="","",IF('Cash Flow %s Yr2'!F60="","",'Cash Flow %s Yr2'!F60*'Expenses w MYP'!$F15))</f>
        <v/>
      </c>
      <c r="G60" s="62" t="str">
        <f>IF('Expenses w MYP'!$F15="","",IF('Cash Flow %s Yr2'!G60="","",'Cash Flow %s Yr2'!G60*'Expenses w MYP'!$F15))</f>
        <v/>
      </c>
      <c r="H60" s="62" t="str">
        <f>IF('Expenses w MYP'!$F15="","",IF('Cash Flow %s Yr2'!H60="","",'Cash Flow %s Yr2'!H60*'Expenses w MYP'!$F15))</f>
        <v/>
      </c>
      <c r="I60" s="62" t="str">
        <f>IF('Expenses w MYP'!$F15="","",IF('Cash Flow %s Yr2'!I60="","",'Cash Flow %s Yr2'!I60*'Expenses w MYP'!$F15))</f>
        <v/>
      </c>
      <c r="J60" s="62" t="str">
        <f>IF('Expenses w MYP'!$F15="","",IF('Cash Flow %s Yr2'!J60="","",'Cash Flow %s Yr2'!J60*'Expenses w MYP'!$F15))</f>
        <v/>
      </c>
      <c r="K60" s="62" t="str">
        <f>IF('Expenses w MYP'!$F15="","",IF('Cash Flow %s Yr2'!K60="","",'Cash Flow %s Yr2'!K60*'Expenses w MYP'!$F15))</f>
        <v/>
      </c>
      <c r="L60" s="62" t="str">
        <f>IF('Expenses w MYP'!$F15="","",IF('Cash Flow %s Yr2'!L60="","",'Cash Flow %s Yr2'!L60*'Expenses w MYP'!$F15))</f>
        <v/>
      </c>
      <c r="M60" s="62" t="str">
        <f>IF('Expenses w MYP'!$F15="","",IF('Cash Flow %s Yr2'!M60="","",'Cash Flow %s Yr2'!M60*'Expenses w MYP'!$F15))</f>
        <v/>
      </c>
      <c r="N60" s="62" t="str">
        <f>IF('Expenses w MYP'!$F15="","",IF('Cash Flow %s Yr2'!N60="","",'Cash Flow %s Yr2'!N60*'Expenses w MYP'!$F15))</f>
        <v/>
      </c>
      <c r="O60" s="62" t="str">
        <f>IF('Expenses w MYP'!$F15="","",IF('Cash Flow %s Yr2'!O60="","",'Cash Flow %s Yr2'!O60*'Expenses w MYP'!$F15))</f>
        <v/>
      </c>
      <c r="P60" s="113"/>
      <c r="Q60" s="113"/>
      <c r="R60" s="113"/>
      <c r="S60" s="97" t="str">
        <f>IF(SUM(D60:R60)&gt;0,SUM(D60:R60)/'Expenses w MYP'!$F15,"")</f>
        <v/>
      </c>
    </row>
    <row r="61" spans="1:19" x14ac:dyDescent="0.75">
      <c r="A61" s="35"/>
      <c r="B61" s="35" t="s">
        <v>555</v>
      </c>
      <c r="C61" s="34" t="s">
        <v>719</v>
      </c>
      <c r="D61" s="153" t="str">
        <f t="shared" ref="D61:I61" si="4">IF(SUM(D52:D60)&gt;0,SUM(D52:D60),"")</f>
        <v/>
      </c>
      <c r="E61" s="153" t="str">
        <f t="shared" si="4"/>
        <v/>
      </c>
      <c r="F61" s="153" t="str">
        <f t="shared" si="4"/>
        <v/>
      </c>
      <c r="G61" s="153" t="str">
        <f t="shared" si="4"/>
        <v/>
      </c>
      <c r="H61" s="153" t="str">
        <f t="shared" si="4"/>
        <v/>
      </c>
      <c r="I61" s="153" t="str">
        <f t="shared" si="4"/>
        <v/>
      </c>
      <c r="J61" s="153" t="str">
        <f t="shared" ref="J61:R61" si="5">IF(SUM(J52:J60)&gt;0,SUM(J52:J60),"")</f>
        <v/>
      </c>
      <c r="K61" s="153" t="str">
        <f t="shared" si="5"/>
        <v/>
      </c>
      <c r="L61" s="153" t="str">
        <f t="shared" si="5"/>
        <v/>
      </c>
      <c r="M61" s="153" t="str">
        <f t="shared" si="5"/>
        <v/>
      </c>
      <c r="N61" s="153" t="str">
        <f t="shared" si="5"/>
        <v/>
      </c>
      <c r="O61" s="153" t="str">
        <f t="shared" si="5"/>
        <v/>
      </c>
      <c r="P61" s="153" t="str">
        <f t="shared" si="5"/>
        <v/>
      </c>
      <c r="Q61" s="153" t="str">
        <f t="shared" si="5"/>
        <v/>
      </c>
      <c r="R61" s="153" t="str">
        <f t="shared" si="5"/>
        <v/>
      </c>
      <c r="S61" s="94"/>
    </row>
    <row r="62" spans="1:19" s="31" customFormat="1" x14ac:dyDescent="0.75">
      <c r="A62" s="35"/>
      <c r="B62" s="39"/>
      <c r="C62" s="2"/>
      <c r="D62" s="111"/>
      <c r="E62" s="111"/>
      <c r="F62" s="111"/>
      <c r="G62" s="111"/>
      <c r="H62" s="111"/>
      <c r="I62" s="111"/>
      <c r="J62" s="111"/>
      <c r="K62" s="111"/>
      <c r="L62" s="111"/>
      <c r="M62" s="111"/>
      <c r="N62" s="111"/>
      <c r="O62" s="111"/>
      <c r="P62" s="111"/>
      <c r="Q62" s="111"/>
      <c r="R62" s="111"/>
    </row>
    <row r="63" spans="1:19" s="31" customFormat="1" x14ac:dyDescent="0.75">
      <c r="B63" s="4" t="s">
        <v>732</v>
      </c>
      <c r="C63" s="2"/>
      <c r="D63" s="111"/>
      <c r="E63" s="111"/>
      <c r="F63" s="111"/>
      <c r="G63" s="111"/>
      <c r="H63" s="111"/>
      <c r="I63" s="111"/>
      <c r="J63" s="111"/>
      <c r="K63" s="111"/>
      <c r="L63" s="111"/>
      <c r="M63" s="111"/>
      <c r="N63" s="111"/>
      <c r="O63" s="111"/>
      <c r="P63" s="111"/>
      <c r="Q63" s="111"/>
      <c r="R63" s="111"/>
    </row>
    <row r="64" spans="1:19" s="31" customFormat="1" x14ac:dyDescent="0.75">
      <c r="A64" s="35"/>
      <c r="B64" s="65" t="str">
        <f>'Expenses w MYP'!C19</f>
        <v>2100</v>
      </c>
      <c r="C64" s="65" t="str">
        <f>'Expenses w MYP'!D19</f>
        <v>Instructional Aide Salaries</v>
      </c>
      <c r="D64" s="62" t="str">
        <f>IF('Expenses w MYP'!$F19="","",IF('Cash Flow %s Yr2'!D64="","",'Cash Flow %s Yr2'!D64*'Expenses w MYP'!$F19))</f>
        <v/>
      </c>
      <c r="E64" s="62" t="str">
        <f>IF('Expenses w MYP'!$F19="","",IF('Cash Flow %s Yr2'!E64="","",'Cash Flow %s Yr2'!E64*'Expenses w MYP'!$F19))</f>
        <v/>
      </c>
      <c r="F64" s="62" t="str">
        <f>IF('Expenses w MYP'!$F19="","",IF('Cash Flow %s Yr2'!F64="","",'Cash Flow %s Yr2'!F64*'Expenses w MYP'!$F19))</f>
        <v/>
      </c>
      <c r="G64" s="62" t="str">
        <f>IF('Expenses w MYP'!$F19="","",IF('Cash Flow %s Yr2'!G64="","",'Cash Flow %s Yr2'!G64*'Expenses w MYP'!$F19))</f>
        <v/>
      </c>
      <c r="H64" s="62" t="str">
        <f>IF('Expenses w MYP'!$F19="","",IF('Cash Flow %s Yr2'!H64="","",'Cash Flow %s Yr2'!H64*'Expenses w MYP'!$F19))</f>
        <v/>
      </c>
      <c r="I64" s="62" t="str">
        <f>IF('Expenses w MYP'!$F19="","",IF('Cash Flow %s Yr2'!I64="","",'Cash Flow %s Yr2'!I64*'Expenses w MYP'!$F19))</f>
        <v/>
      </c>
      <c r="J64" s="62" t="str">
        <f>IF('Expenses w MYP'!$F19="","",IF('Cash Flow %s Yr2'!J64="","",'Cash Flow %s Yr2'!J64*'Expenses w MYP'!$F19))</f>
        <v/>
      </c>
      <c r="K64" s="62" t="str">
        <f>IF('Expenses w MYP'!$F19="","",IF('Cash Flow %s Yr2'!K64="","",'Cash Flow %s Yr2'!K64*'Expenses w MYP'!$F19))</f>
        <v/>
      </c>
      <c r="L64" s="62" t="str">
        <f>IF('Expenses w MYP'!$F19="","",IF('Cash Flow %s Yr2'!L64="","",'Cash Flow %s Yr2'!L64*'Expenses w MYP'!$F19))</f>
        <v/>
      </c>
      <c r="M64" s="62" t="str">
        <f>IF('Expenses w MYP'!$F19="","",IF('Cash Flow %s Yr2'!M64="","",'Cash Flow %s Yr2'!M64*'Expenses w MYP'!$F19))</f>
        <v/>
      </c>
      <c r="N64" s="62" t="str">
        <f>IF('Expenses w MYP'!$F19="","",IF('Cash Flow %s Yr2'!N64="","",'Cash Flow %s Yr2'!N64*'Expenses w MYP'!$F19))</f>
        <v/>
      </c>
      <c r="O64" s="62" t="str">
        <f>IF('Expenses w MYP'!$F19="","",IF('Cash Flow %s Yr2'!O64="","",'Cash Flow %s Yr2'!O64*'Expenses w MYP'!$F19))</f>
        <v/>
      </c>
      <c r="P64" s="113"/>
      <c r="Q64" s="113"/>
      <c r="R64" s="113"/>
      <c r="S64" s="97" t="str">
        <f>IF(SUM(D64:R64)&gt;0,SUM(D64:R64)/'Expenses w MYP'!$F19,"")</f>
        <v/>
      </c>
    </row>
    <row r="65" spans="1:19" s="31" customFormat="1" x14ac:dyDescent="0.75">
      <c r="A65" s="35"/>
      <c r="B65" s="65" t="str">
        <f>'Expenses w MYP'!C20</f>
        <v>2110</v>
      </c>
      <c r="C65" s="65" t="str">
        <f>'Expenses w MYP'!D20</f>
        <v>Instructional Aide Overtime</v>
      </c>
      <c r="D65" s="62" t="str">
        <f>IF('Expenses w MYP'!$F20="","",IF('Cash Flow %s Yr2'!D65="","",'Cash Flow %s Yr2'!D65*'Expenses w MYP'!$F20))</f>
        <v/>
      </c>
      <c r="E65" s="62" t="str">
        <f>IF('Expenses w MYP'!$F20="","",IF('Cash Flow %s Yr2'!E65="","",'Cash Flow %s Yr2'!E65*'Expenses w MYP'!$F20))</f>
        <v/>
      </c>
      <c r="F65" s="62" t="str">
        <f>IF('Expenses w MYP'!$F20="","",IF('Cash Flow %s Yr2'!F65="","",'Cash Flow %s Yr2'!F65*'Expenses w MYP'!$F20))</f>
        <v/>
      </c>
      <c r="G65" s="62" t="str">
        <f>IF('Expenses w MYP'!$F20="","",IF('Cash Flow %s Yr2'!G65="","",'Cash Flow %s Yr2'!G65*'Expenses w MYP'!$F20))</f>
        <v/>
      </c>
      <c r="H65" s="62" t="str">
        <f>IF('Expenses w MYP'!$F20="","",IF('Cash Flow %s Yr2'!H65="","",'Cash Flow %s Yr2'!H65*'Expenses w MYP'!$F20))</f>
        <v/>
      </c>
      <c r="I65" s="62" t="str">
        <f>IF('Expenses w MYP'!$F20="","",IF('Cash Flow %s Yr2'!I65="","",'Cash Flow %s Yr2'!I65*'Expenses w MYP'!$F20))</f>
        <v/>
      </c>
      <c r="J65" s="62" t="str">
        <f>IF('Expenses w MYP'!$F20="","",IF('Cash Flow %s Yr2'!J65="","",'Cash Flow %s Yr2'!J65*'Expenses w MYP'!$F20))</f>
        <v/>
      </c>
      <c r="K65" s="62" t="str">
        <f>IF('Expenses w MYP'!$F20="","",IF('Cash Flow %s Yr2'!K65="","",'Cash Flow %s Yr2'!K65*'Expenses w MYP'!$F20))</f>
        <v/>
      </c>
      <c r="L65" s="62" t="str">
        <f>IF('Expenses w MYP'!$F20="","",IF('Cash Flow %s Yr2'!L65="","",'Cash Flow %s Yr2'!L65*'Expenses w MYP'!$F20))</f>
        <v/>
      </c>
      <c r="M65" s="62" t="str">
        <f>IF('Expenses w MYP'!$F20="","",IF('Cash Flow %s Yr2'!M65="","",'Cash Flow %s Yr2'!M65*'Expenses w MYP'!$F20))</f>
        <v/>
      </c>
      <c r="N65" s="62" t="str">
        <f>IF('Expenses w MYP'!$F20="","",IF('Cash Flow %s Yr2'!N65="","",'Cash Flow %s Yr2'!N65*'Expenses w MYP'!$F20))</f>
        <v/>
      </c>
      <c r="O65" s="62" t="str">
        <f>IF('Expenses w MYP'!$F20="","",IF('Cash Flow %s Yr2'!O65="","",'Cash Flow %s Yr2'!O65*'Expenses w MYP'!$F20))</f>
        <v/>
      </c>
      <c r="P65" s="113"/>
      <c r="Q65" s="113"/>
      <c r="R65" s="113"/>
      <c r="S65" s="97" t="str">
        <f>IF(SUM(D65:R65)&gt;0,SUM(D65:R65)/'Expenses w MYP'!$F20,"")</f>
        <v/>
      </c>
    </row>
    <row r="66" spans="1:19" s="31" customFormat="1" x14ac:dyDescent="0.75">
      <c r="A66" s="35"/>
      <c r="B66" s="65" t="str">
        <f>'Expenses w MYP'!C21</f>
        <v>2200</v>
      </c>
      <c r="C66" s="65" t="str">
        <f>'Expenses w MYP'!D21</f>
        <v>Classified Support Salaries (Maintenance / Food)</v>
      </c>
      <c r="D66" s="62" t="str">
        <f>IF('Expenses w MYP'!$F21="","",IF('Cash Flow %s Yr2'!D66="","",'Cash Flow %s Yr2'!D66*'Expenses w MYP'!$F21))</f>
        <v/>
      </c>
      <c r="E66" s="62" t="str">
        <f>IF('Expenses w MYP'!$F21="","",IF('Cash Flow %s Yr2'!E66="","",'Cash Flow %s Yr2'!E66*'Expenses w MYP'!$F21))</f>
        <v/>
      </c>
      <c r="F66" s="62" t="str">
        <f>IF('Expenses w MYP'!$F21="","",IF('Cash Flow %s Yr2'!F66="","",'Cash Flow %s Yr2'!F66*'Expenses w MYP'!$F21))</f>
        <v/>
      </c>
      <c r="G66" s="62" t="str">
        <f>IF('Expenses w MYP'!$F21="","",IF('Cash Flow %s Yr2'!G66="","",'Cash Flow %s Yr2'!G66*'Expenses w MYP'!$F21))</f>
        <v/>
      </c>
      <c r="H66" s="62" t="str">
        <f>IF('Expenses w MYP'!$F21="","",IF('Cash Flow %s Yr2'!H66="","",'Cash Flow %s Yr2'!H66*'Expenses w MYP'!$F21))</f>
        <v/>
      </c>
      <c r="I66" s="62" t="str">
        <f>IF('Expenses w MYP'!$F21="","",IF('Cash Flow %s Yr2'!I66="","",'Cash Flow %s Yr2'!I66*'Expenses w MYP'!$F21))</f>
        <v/>
      </c>
      <c r="J66" s="62" t="str">
        <f>IF('Expenses w MYP'!$F21="","",IF('Cash Flow %s Yr2'!J66="","",'Cash Flow %s Yr2'!J66*'Expenses w MYP'!$F21))</f>
        <v/>
      </c>
      <c r="K66" s="62" t="str">
        <f>IF('Expenses w MYP'!$F21="","",IF('Cash Flow %s Yr2'!K66="","",'Cash Flow %s Yr2'!K66*'Expenses w MYP'!$F21))</f>
        <v/>
      </c>
      <c r="L66" s="62" t="str">
        <f>IF('Expenses w MYP'!$F21="","",IF('Cash Flow %s Yr2'!L66="","",'Cash Flow %s Yr2'!L66*'Expenses w MYP'!$F21))</f>
        <v/>
      </c>
      <c r="M66" s="62" t="str">
        <f>IF('Expenses w MYP'!$F21="","",IF('Cash Flow %s Yr2'!M66="","",'Cash Flow %s Yr2'!M66*'Expenses w MYP'!$F21))</f>
        <v/>
      </c>
      <c r="N66" s="62" t="str">
        <f>IF('Expenses w MYP'!$F21="","",IF('Cash Flow %s Yr2'!N66="","",'Cash Flow %s Yr2'!N66*'Expenses w MYP'!$F21))</f>
        <v/>
      </c>
      <c r="O66" s="62" t="str">
        <f>IF('Expenses w MYP'!$F21="","",IF('Cash Flow %s Yr2'!O66="","",'Cash Flow %s Yr2'!O66*'Expenses w MYP'!$F21))</f>
        <v/>
      </c>
      <c r="P66" s="113"/>
      <c r="Q66" s="113"/>
      <c r="R66" s="113"/>
      <c r="S66" s="97" t="str">
        <f>IF(SUM(D66:R66)&gt;0,SUM(D66:R66)/'Expenses w MYP'!$F21,"")</f>
        <v/>
      </c>
    </row>
    <row r="67" spans="1:19" s="31" customFormat="1" x14ac:dyDescent="0.75">
      <c r="A67" s="35"/>
      <c r="B67" s="65" t="str">
        <f>'Expenses w MYP'!C22</f>
        <v>2210</v>
      </c>
      <c r="C67" s="65" t="str">
        <f>'Expenses w MYP'!D22</f>
        <v>Classified Support Overtime</v>
      </c>
      <c r="D67" s="62" t="str">
        <f>IF('Expenses w MYP'!$F22="","",IF('Cash Flow %s Yr2'!D67="","",'Cash Flow %s Yr2'!D67*'Expenses w MYP'!$F22))</f>
        <v/>
      </c>
      <c r="E67" s="62" t="str">
        <f>IF('Expenses w MYP'!$F22="","",IF('Cash Flow %s Yr2'!E67="","",'Cash Flow %s Yr2'!E67*'Expenses w MYP'!$F22))</f>
        <v/>
      </c>
      <c r="F67" s="62" t="str">
        <f>IF('Expenses w MYP'!$F22="","",IF('Cash Flow %s Yr2'!F67="","",'Cash Flow %s Yr2'!F67*'Expenses w MYP'!$F22))</f>
        <v/>
      </c>
      <c r="G67" s="62" t="str">
        <f>IF('Expenses w MYP'!$F22="","",IF('Cash Flow %s Yr2'!G67="","",'Cash Flow %s Yr2'!G67*'Expenses w MYP'!$F22))</f>
        <v/>
      </c>
      <c r="H67" s="62" t="str">
        <f>IF('Expenses w MYP'!$F22="","",IF('Cash Flow %s Yr2'!H67="","",'Cash Flow %s Yr2'!H67*'Expenses w MYP'!$F22))</f>
        <v/>
      </c>
      <c r="I67" s="62" t="str">
        <f>IF('Expenses w MYP'!$F22="","",IF('Cash Flow %s Yr2'!I67="","",'Cash Flow %s Yr2'!I67*'Expenses w MYP'!$F22))</f>
        <v/>
      </c>
      <c r="J67" s="62" t="str">
        <f>IF('Expenses w MYP'!$F22="","",IF('Cash Flow %s Yr2'!J67="","",'Cash Flow %s Yr2'!J67*'Expenses w MYP'!$F22))</f>
        <v/>
      </c>
      <c r="K67" s="62" t="str">
        <f>IF('Expenses w MYP'!$F22="","",IF('Cash Flow %s Yr2'!K67="","",'Cash Flow %s Yr2'!K67*'Expenses w MYP'!$F22))</f>
        <v/>
      </c>
      <c r="L67" s="62" t="str">
        <f>IF('Expenses w MYP'!$F22="","",IF('Cash Flow %s Yr2'!L67="","",'Cash Flow %s Yr2'!L67*'Expenses w MYP'!$F22))</f>
        <v/>
      </c>
      <c r="M67" s="62" t="str">
        <f>IF('Expenses w MYP'!$F22="","",IF('Cash Flow %s Yr2'!M67="","",'Cash Flow %s Yr2'!M67*'Expenses w MYP'!$F22))</f>
        <v/>
      </c>
      <c r="N67" s="62" t="str">
        <f>IF('Expenses w MYP'!$F22="","",IF('Cash Flow %s Yr2'!N67="","",'Cash Flow %s Yr2'!N67*'Expenses w MYP'!$F22))</f>
        <v/>
      </c>
      <c r="O67" s="62" t="str">
        <f>IF('Expenses w MYP'!$F22="","",IF('Cash Flow %s Yr2'!O67="","",'Cash Flow %s Yr2'!O67*'Expenses w MYP'!$F22))</f>
        <v/>
      </c>
      <c r="P67" s="113"/>
      <c r="Q67" s="113"/>
      <c r="R67" s="113"/>
      <c r="S67" s="97" t="str">
        <f>IF(SUM(D67:R67)&gt;0,SUM(D67:R67)/'Expenses w MYP'!$F22,"")</f>
        <v/>
      </c>
    </row>
    <row r="68" spans="1:19" s="31" customFormat="1" x14ac:dyDescent="0.75">
      <c r="A68" s="35"/>
      <c r="B68" s="65" t="str">
        <f>'Expenses w MYP'!C23</f>
        <v>2300</v>
      </c>
      <c r="C68" s="65" t="str">
        <f>'Expenses w MYP'!D23</f>
        <v>Classified Supervisor and Administrator Salaries</v>
      </c>
      <c r="D68" s="62" t="str">
        <f>IF('Expenses w MYP'!$F23="","",IF('Cash Flow %s Yr2'!D68="","",'Cash Flow %s Yr2'!D68*'Expenses w MYP'!$F23))</f>
        <v/>
      </c>
      <c r="E68" s="62" t="str">
        <f>IF('Expenses w MYP'!$F23="","",IF('Cash Flow %s Yr2'!E68="","",'Cash Flow %s Yr2'!E68*'Expenses w MYP'!$F23))</f>
        <v/>
      </c>
      <c r="F68" s="62" t="str">
        <f>IF('Expenses w MYP'!$F23="","",IF('Cash Flow %s Yr2'!F68="","",'Cash Flow %s Yr2'!F68*'Expenses w MYP'!$F23))</f>
        <v/>
      </c>
      <c r="G68" s="62" t="str">
        <f>IF('Expenses w MYP'!$F23="","",IF('Cash Flow %s Yr2'!G68="","",'Cash Flow %s Yr2'!G68*'Expenses w MYP'!$F23))</f>
        <v/>
      </c>
      <c r="H68" s="62" t="str">
        <f>IF('Expenses w MYP'!$F23="","",IF('Cash Flow %s Yr2'!H68="","",'Cash Flow %s Yr2'!H68*'Expenses w MYP'!$F23))</f>
        <v/>
      </c>
      <c r="I68" s="62" t="str">
        <f>IF('Expenses w MYP'!$F23="","",IF('Cash Flow %s Yr2'!I68="","",'Cash Flow %s Yr2'!I68*'Expenses w MYP'!$F23))</f>
        <v/>
      </c>
      <c r="J68" s="62" t="str">
        <f>IF('Expenses w MYP'!$F23="","",IF('Cash Flow %s Yr2'!J68="","",'Cash Flow %s Yr2'!J68*'Expenses w MYP'!$F23))</f>
        <v/>
      </c>
      <c r="K68" s="62" t="str">
        <f>IF('Expenses w MYP'!$F23="","",IF('Cash Flow %s Yr2'!K68="","",'Cash Flow %s Yr2'!K68*'Expenses w MYP'!$F23))</f>
        <v/>
      </c>
      <c r="L68" s="62" t="str">
        <f>IF('Expenses w MYP'!$F23="","",IF('Cash Flow %s Yr2'!L68="","",'Cash Flow %s Yr2'!L68*'Expenses w MYP'!$F23))</f>
        <v/>
      </c>
      <c r="M68" s="62" t="str">
        <f>IF('Expenses w MYP'!$F23="","",IF('Cash Flow %s Yr2'!M68="","",'Cash Flow %s Yr2'!M68*'Expenses w MYP'!$F23))</f>
        <v/>
      </c>
      <c r="N68" s="62" t="str">
        <f>IF('Expenses w MYP'!$F23="","",IF('Cash Flow %s Yr2'!N68="","",'Cash Flow %s Yr2'!N68*'Expenses w MYP'!$F23))</f>
        <v/>
      </c>
      <c r="O68" s="62" t="str">
        <f>IF('Expenses w MYP'!$F23="","",IF('Cash Flow %s Yr2'!O68="","",'Cash Flow %s Yr2'!O68*'Expenses w MYP'!$F23))</f>
        <v/>
      </c>
      <c r="P68" s="113"/>
      <c r="Q68" s="113"/>
      <c r="R68" s="113"/>
      <c r="S68" s="97" t="str">
        <f>IF(SUM(D68:R68)&gt;0,SUM(D68:R68)/'Expenses w MYP'!$F23,"")</f>
        <v/>
      </c>
    </row>
    <row r="69" spans="1:19" s="31" customFormat="1" x14ac:dyDescent="0.75">
      <c r="A69" s="35"/>
      <c r="B69" s="65" t="str">
        <f>'Expenses w MYP'!C24</f>
        <v>2400</v>
      </c>
      <c r="C69" s="65" t="str">
        <f>'Expenses w MYP'!D24</f>
        <v>Clerical, Technical, and Office Staff Salaries</v>
      </c>
      <c r="D69" s="62" t="str">
        <f>IF('Expenses w MYP'!$F24="","",IF('Cash Flow %s Yr2'!D69="","",'Cash Flow %s Yr2'!D69*'Expenses w MYP'!$F24))</f>
        <v/>
      </c>
      <c r="E69" s="62" t="str">
        <f>IF('Expenses w MYP'!$F24="","",IF('Cash Flow %s Yr2'!E69="","",'Cash Flow %s Yr2'!E69*'Expenses w MYP'!$F24))</f>
        <v/>
      </c>
      <c r="F69" s="62" t="str">
        <f>IF('Expenses w MYP'!$F24="","",IF('Cash Flow %s Yr2'!F69="","",'Cash Flow %s Yr2'!F69*'Expenses w MYP'!$F24))</f>
        <v/>
      </c>
      <c r="G69" s="62" t="str">
        <f>IF('Expenses w MYP'!$F24="","",IF('Cash Flow %s Yr2'!G69="","",'Cash Flow %s Yr2'!G69*'Expenses w MYP'!$F24))</f>
        <v/>
      </c>
      <c r="H69" s="62" t="str">
        <f>IF('Expenses w MYP'!$F24="","",IF('Cash Flow %s Yr2'!H69="","",'Cash Flow %s Yr2'!H69*'Expenses w MYP'!$F24))</f>
        <v/>
      </c>
      <c r="I69" s="62" t="str">
        <f>IF('Expenses w MYP'!$F24="","",IF('Cash Flow %s Yr2'!I69="","",'Cash Flow %s Yr2'!I69*'Expenses w MYP'!$F24))</f>
        <v/>
      </c>
      <c r="J69" s="62" t="str">
        <f>IF('Expenses w MYP'!$F24="","",IF('Cash Flow %s Yr2'!J69="","",'Cash Flow %s Yr2'!J69*'Expenses w MYP'!$F24))</f>
        <v/>
      </c>
      <c r="K69" s="62" t="str">
        <f>IF('Expenses w MYP'!$F24="","",IF('Cash Flow %s Yr2'!K69="","",'Cash Flow %s Yr2'!K69*'Expenses w MYP'!$F24))</f>
        <v/>
      </c>
      <c r="L69" s="62" t="str">
        <f>IF('Expenses w MYP'!$F24="","",IF('Cash Flow %s Yr2'!L69="","",'Cash Flow %s Yr2'!L69*'Expenses w MYP'!$F24))</f>
        <v/>
      </c>
      <c r="M69" s="62" t="str">
        <f>IF('Expenses w MYP'!$F24="","",IF('Cash Flow %s Yr2'!M69="","",'Cash Flow %s Yr2'!M69*'Expenses w MYP'!$F24))</f>
        <v/>
      </c>
      <c r="N69" s="62" t="str">
        <f>IF('Expenses w MYP'!$F24="","",IF('Cash Flow %s Yr2'!N69="","",'Cash Flow %s Yr2'!N69*'Expenses w MYP'!$F24))</f>
        <v/>
      </c>
      <c r="O69" s="62" t="str">
        <f>IF('Expenses w MYP'!$F24="","",IF('Cash Flow %s Yr2'!O69="","",'Cash Flow %s Yr2'!O69*'Expenses w MYP'!$F24))</f>
        <v/>
      </c>
      <c r="P69" s="113"/>
      <c r="Q69" s="113"/>
      <c r="R69" s="113"/>
      <c r="S69" s="97" t="str">
        <f>IF(SUM(D69:R69)&gt;0,SUM(D69:R69)/'Expenses w MYP'!$F24,"")</f>
        <v/>
      </c>
    </row>
    <row r="70" spans="1:19" s="31" customFormat="1" x14ac:dyDescent="0.75">
      <c r="A70" s="35"/>
      <c r="B70" s="65" t="str">
        <f>'Expenses w MYP'!C25</f>
        <v>2410</v>
      </c>
      <c r="C70" s="65" t="str">
        <f>'Expenses w MYP'!D25</f>
        <v>Clerical, Technical, and Office Staff Overtime</v>
      </c>
      <c r="D70" s="62" t="str">
        <f>IF('Expenses w MYP'!$F25="","",IF('Cash Flow %s Yr2'!D70="","",'Cash Flow %s Yr2'!D70*'Expenses w MYP'!$F25))</f>
        <v/>
      </c>
      <c r="E70" s="62" t="str">
        <f>IF('Expenses w MYP'!$F25="","",IF('Cash Flow %s Yr2'!E70="","",'Cash Flow %s Yr2'!E70*'Expenses w MYP'!$F25))</f>
        <v/>
      </c>
      <c r="F70" s="62" t="str">
        <f>IF('Expenses w MYP'!$F25="","",IF('Cash Flow %s Yr2'!F70="","",'Cash Flow %s Yr2'!F70*'Expenses w MYP'!$F25))</f>
        <v/>
      </c>
      <c r="G70" s="62" t="str">
        <f>IF('Expenses w MYP'!$F25="","",IF('Cash Flow %s Yr2'!G70="","",'Cash Flow %s Yr2'!G70*'Expenses w MYP'!$F25))</f>
        <v/>
      </c>
      <c r="H70" s="62" t="str">
        <f>IF('Expenses w MYP'!$F25="","",IF('Cash Flow %s Yr2'!H70="","",'Cash Flow %s Yr2'!H70*'Expenses w MYP'!$F25))</f>
        <v/>
      </c>
      <c r="I70" s="62" t="str">
        <f>IF('Expenses w MYP'!$F25="","",IF('Cash Flow %s Yr2'!I70="","",'Cash Flow %s Yr2'!I70*'Expenses w MYP'!$F25))</f>
        <v/>
      </c>
      <c r="J70" s="62" t="str">
        <f>IF('Expenses w MYP'!$F25="","",IF('Cash Flow %s Yr2'!J70="","",'Cash Flow %s Yr2'!J70*'Expenses w MYP'!$F25))</f>
        <v/>
      </c>
      <c r="K70" s="62" t="str">
        <f>IF('Expenses w MYP'!$F25="","",IF('Cash Flow %s Yr2'!K70="","",'Cash Flow %s Yr2'!K70*'Expenses w MYP'!$F25))</f>
        <v/>
      </c>
      <c r="L70" s="62" t="str">
        <f>IF('Expenses w MYP'!$F25="","",IF('Cash Flow %s Yr2'!L70="","",'Cash Flow %s Yr2'!L70*'Expenses w MYP'!$F25))</f>
        <v/>
      </c>
      <c r="M70" s="62" t="str">
        <f>IF('Expenses w MYP'!$F25="","",IF('Cash Flow %s Yr2'!M70="","",'Cash Flow %s Yr2'!M70*'Expenses w MYP'!$F25))</f>
        <v/>
      </c>
      <c r="N70" s="62" t="str">
        <f>IF('Expenses w MYP'!$F25="","",IF('Cash Flow %s Yr2'!N70="","",'Cash Flow %s Yr2'!N70*'Expenses w MYP'!$F25))</f>
        <v/>
      </c>
      <c r="O70" s="62" t="str">
        <f>IF('Expenses w MYP'!$F25="","",IF('Cash Flow %s Yr2'!O70="","",'Cash Flow %s Yr2'!O70*'Expenses w MYP'!$F25))</f>
        <v/>
      </c>
      <c r="P70" s="113"/>
      <c r="Q70" s="113"/>
      <c r="R70" s="113"/>
      <c r="S70" s="97" t="str">
        <f>IF(SUM(D70:R70)&gt;0,SUM(D70:R70)/'Expenses w MYP'!$F25,"")</f>
        <v/>
      </c>
    </row>
    <row r="71" spans="1:19" s="31" customFormat="1" x14ac:dyDescent="0.75">
      <c r="A71" s="35"/>
      <c r="B71" s="65" t="str">
        <f>'Expenses w MYP'!C26</f>
        <v>2900</v>
      </c>
      <c r="C71" s="65" t="str">
        <f>'Expenses w MYP'!D26</f>
        <v>Other Classified Salaries</v>
      </c>
      <c r="D71" s="62" t="str">
        <f>IF('Expenses w MYP'!$F26="","",IF('Cash Flow %s Yr2'!D71="","",'Cash Flow %s Yr2'!D71*'Expenses w MYP'!$F26))</f>
        <v/>
      </c>
      <c r="E71" s="62" t="str">
        <f>IF('Expenses w MYP'!$F26="","",IF('Cash Flow %s Yr2'!E71="","",'Cash Flow %s Yr2'!E71*'Expenses w MYP'!$F26))</f>
        <v/>
      </c>
      <c r="F71" s="62" t="str">
        <f>IF('Expenses w MYP'!$F26="","",IF('Cash Flow %s Yr2'!F71="","",'Cash Flow %s Yr2'!F71*'Expenses w MYP'!$F26))</f>
        <v/>
      </c>
      <c r="G71" s="62" t="str">
        <f>IF('Expenses w MYP'!$F26="","",IF('Cash Flow %s Yr2'!G71="","",'Cash Flow %s Yr2'!G71*'Expenses w MYP'!$F26))</f>
        <v/>
      </c>
      <c r="H71" s="62" t="str">
        <f>IF('Expenses w MYP'!$F26="","",IF('Cash Flow %s Yr2'!H71="","",'Cash Flow %s Yr2'!H71*'Expenses w MYP'!$F26))</f>
        <v/>
      </c>
      <c r="I71" s="62" t="str">
        <f>IF('Expenses w MYP'!$F26="","",IF('Cash Flow %s Yr2'!I71="","",'Cash Flow %s Yr2'!I71*'Expenses w MYP'!$F26))</f>
        <v/>
      </c>
      <c r="J71" s="62" t="str">
        <f>IF('Expenses w MYP'!$F26="","",IF('Cash Flow %s Yr2'!J71="","",'Cash Flow %s Yr2'!J71*'Expenses w MYP'!$F26))</f>
        <v/>
      </c>
      <c r="K71" s="62" t="str">
        <f>IF('Expenses w MYP'!$F26="","",IF('Cash Flow %s Yr2'!K71="","",'Cash Flow %s Yr2'!K71*'Expenses w MYP'!$F26))</f>
        <v/>
      </c>
      <c r="L71" s="62" t="str">
        <f>IF('Expenses w MYP'!$F26="","",IF('Cash Flow %s Yr2'!L71="","",'Cash Flow %s Yr2'!L71*'Expenses w MYP'!$F26))</f>
        <v/>
      </c>
      <c r="M71" s="62" t="str">
        <f>IF('Expenses w MYP'!$F26="","",IF('Cash Flow %s Yr2'!M71="","",'Cash Flow %s Yr2'!M71*'Expenses w MYP'!$F26))</f>
        <v/>
      </c>
      <c r="N71" s="62" t="str">
        <f>IF('Expenses w MYP'!$F26="","",IF('Cash Flow %s Yr2'!N71="","",'Cash Flow %s Yr2'!N71*'Expenses w MYP'!$F26))</f>
        <v/>
      </c>
      <c r="O71" s="62" t="str">
        <f>IF('Expenses w MYP'!$F26="","",IF('Cash Flow %s Yr2'!O71="","",'Cash Flow %s Yr2'!O71*'Expenses w MYP'!$F26))</f>
        <v/>
      </c>
      <c r="P71" s="113"/>
      <c r="Q71" s="113"/>
      <c r="R71" s="113"/>
      <c r="S71" s="97" t="str">
        <f>IF(SUM(D71:R71)&gt;0,SUM(D71:R71)/'Expenses w MYP'!$F26,"")</f>
        <v/>
      </c>
    </row>
    <row r="72" spans="1:19" s="31" customFormat="1" x14ac:dyDescent="0.75">
      <c r="A72" s="35"/>
      <c r="B72" s="65" t="str">
        <f>'Expenses w MYP'!C27</f>
        <v>2905</v>
      </c>
      <c r="C72" s="65" t="str">
        <f>'Expenses w MYP'!D27</f>
        <v>Other Stipends</v>
      </c>
      <c r="D72" s="62" t="str">
        <f>IF('Expenses w MYP'!$F27="","",IF('Cash Flow %s Yr2'!D72="","",'Cash Flow %s Yr2'!D72*'Expenses w MYP'!$F27))</f>
        <v/>
      </c>
      <c r="E72" s="62" t="str">
        <f>IF('Expenses w MYP'!$F27="","",IF('Cash Flow %s Yr2'!E72="","",'Cash Flow %s Yr2'!E72*'Expenses w MYP'!$F27))</f>
        <v/>
      </c>
      <c r="F72" s="62" t="str">
        <f>IF('Expenses w MYP'!$F27="","",IF('Cash Flow %s Yr2'!F72="","",'Cash Flow %s Yr2'!F72*'Expenses w MYP'!$F27))</f>
        <v/>
      </c>
      <c r="G72" s="62" t="str">
        <f>IF('Expenses w MYP'!$F27="","",IF('Cash Flow %s Yr2'!G72="","",'Cash Flow %s Yr2'!G72*'Expenses w MYP'!$F27))</f>
        <v/>
      </c>
      <c r="H72" s="62" t="str">
        <f>IF('Expenses w MYP'!$F27="","",IF('Cash Flow %s Yr2'!H72="","",'Cash Flow %s Yr2'!H72*'Expenses w MYP'!$F27))</f>
        <v/>
      </c>
      <c r="I72" s="62" t="str">
        <f>IF('Expenses w MYP'!$F27="","",IF('Cash Flow %s Yr2'!I72="","",'Cash Flow %s Yr2'!I72*'Expenses w MYP'!$F27))</f>
        <v/>
      </c>
      <c r="J72" s="62" t="str">
        <f>IF('Expenses w MYP'!$F27="","",IF('Cash Flow %s Yr2'!J72="","",'Cash Flow %s Yr2'!J72*'Expenses w MYP'!$F27))</f>
        <v/>
      </c>
      <c r="K72" s="62" t="str">
        <f>IF('Expenses w MYP'!$F27="","",IF('Cash Flow %s Yr2'!K72="","",'Cash Flow %s Yr2'!K72*'Expenses w MYP'!$F27))</f>
        <v/>
      </c>
      <c r="L72" s="62" t="str">
        <f>IF('Expenses w MYP'!$F27="","",IF('Cash Flow %s Yr2'!L72="","",'Cash Flow %s Yr2'!L72*'Expenses w MYP'!$F27))</f>
        <v/>
      </c>
      <c r="M72" s="62" t="str">
        <f>IF('Expenses w MYP'!$F27="","",IF('Cash Flow %s Yr2'!M72="","",'Cash Flow %s Yr2'!M72*'Expenses w MYP'!$F27))</f>
        <v/>
      </c>
      <c r="N72" s="62" t="str">
        <f>IF('Expenses w MYP'!$F27="","",IF('Cash Flow %s Yr2'!N72="","",'Cash Flow %s Yr2'!N72*'Expenses w MYP'!$F27))</f>
        <v/>
      </c>
      <c r="O72" s="62" t="str">
        <f>IF('Expenses w MYP'!$F27="","",IF('Cash Flow %s Yr2'!O72="","",'Cash Flow %s Yr2'!O72*'Expenses w MYP'!$F27))</f>
        <v/>
      </c>
      <c r="P72" s="113"/>
      <c r="Q72" s="113"/>
      <c r="R72" s="113"/>
      <c r="S72" s="97" t="str">
        <f>IF(SUM(D72:R72)&gt;0,SUM(D72:R72)/'Expenses w MYP'!$F27,"")</f>
        <v/>
      </c>
    </row>
    <row r="73" spans="1:19" s="31" customFormat="1" x14ac:dyDescent="0.75">
      <c r="A73" s="35"/>
      <c r="B73" s="65" t="str">
        <f>'Expenses w MYP'!C28</f>
        <v>2910</v>
      </c>
      <c r="C73" s="65" t="str">
        <f>'Expenses w MYP'!D28</f>
        <v>Other Classified Overtime</v>
      </c>
      <c r="D73" s="62" t="str">
        <f>IF('Expenses w MYP'!$F28="","",IF('Cash Flow %s Yr2'!D73="","",'Cash Flow %s Yr2'!D73*'Expenses w MYP'!$F28))</f>
        <v/>
      </c>
      <c r="E73" s="62" t="str">
        <f>IF('Expenses w MYP'!$F28="","",IF('Cash Flow %s Yr2'!E73="","",'Cash Flow %s Yr2'!E73*'Expenses w MYP'!$F28))</f>
        <v/>
      </c>
      <c r="F73" s="62" t="str">
        <f>IF('Expenses w MYP'!$F28="","",IF('Cash Flow %s Yr2'!F73="","",'Cash Flow %s Yr2'!F73*'Expenses w MYP'!$F28))</f>
        <v/>
      </c>
      <c r="G73" s="62" t="str">
        <f>IF('Expenses w MYP'!$F28="","",IF('Cash Flow %s Yr2'!G73="","",'Cash Flow %s Yr2'!G73*'Expenses w MYP'!$F28))</f>
        <v/>
      </c>
      <c r="H73" s="62" t="str">
        <f>IF('Expenses w MYP'!$F28="","",IF('Cash Flow %s Yr2'!H73="","",'Cash Flow %s Yr2'!H73*'Expenses w MYP'!$F28))</f>
        <v/>
      </c>
      <c r="I73" s="62" t="str">
        <f>IF('Expenses w MYP'!$F28="","",IF('Cash Flow %s Yr2'!I73="","",'Cash Flow %s Yr2'!I73*'Expenses w MYP'!$F28))</f>
        <v/>
      </c>
      <c r="J73" s="62" t="str">
        <f>IF('Expenses w MYP'!$F28="","",IF('Cash Flow %s Yr2'!J73="","",'Cash Flow %s Yr2'!J73*'Expenses w MYP'!$F28))</f>
        <v/>
      </c>
      <c r="K73" s="62" t="str">
        <f>IF('Expenses w MYP'!$F28="","",IF('Cash Flow %s Yr2'!K73="","",'Cash Flow %s Yr2'!K73*'Expenses w MYP'!$F28))</f>
        <v/>
      </c>
      <c r="L73" s="62" t="str">
        <f>IF('Expenses w MYP'!$F28="","",IF('Cash Flow %s Yr2'!L73="","",'Cash Flow %s Yr2'!L73*'Expenses w MYP'!$F28))</f>
        <v/>
      </c>
      <c r="M73" s="62" t="str">
        <f>IF('Expenses w MYP'!$F28="","",IF('Cash Flow %s Yr2'!M73="","",'Cash Flow %s Yr2'!M73*'Expenses w MYP'!$F28))</f>
        <v/>
      </c>
      <c r="N73" s="62" t="str">
        <f>IF('Expenses w MYP'!$F28="","",IF('Cash Flow %s Yr2'!N73="","",'Cash Flow %s Yr2'!N73*'Expenses w MYP'!$F28))</f>
        <v/>
      </c>
      <c r="O73" s="62" t="str">
        <f>IF('Expenses w MYP'!$F28="","",IF('Cash Flow %s Yr2'!O73="","",'Cash Flow %s Yr2'!O73*'Expenses w MYP'!$F28))</f>
        <v/>
      </c>
      <c r="P73" s="113"/>
      <c r="Q73" s="113"/>
      <c r="R73" s="113"/>
      <c r="S73" s="97" t="str">
        <f>IF(SUM(D73:R73)&gt;0,SUM(D73:R73)/'Expenses w MYP'!$F28,"")</f>
        <v/>
      </c>
    </row>
    <row r="74" spans="1:19" s="31" customFormat="1" x14ac:dyDescent="0.75">
      <c r="A74" s="35"/>
      <c r="B74" s="42" t="s">
        <v>736</v>
      </c>
      <c r="C74" s="34" t="s">
        <v>719</v>
      </c>
      <c r="D74" s="153" t="str">
        <f t="shared" ref="D74:I74" si="6">IF(SUM(D63:D73)&gt;0,SUM(D63:D73),"")</f>
        <v/>
      </c>
      <c r="E74" s="153" t="str">
        <f t="shared" si="6"/>
        <v/>
      </c>
      <c r="F74" s="153" t="str">
        <f t="shared" si="6"/>
        <v/>
      </c>
      <c r="G74" s="153" t="str">
        <f t="shared" si="6"/>
        <v/>
      </c>
      <c r="H74" s="153" t="str">
        <f t="shared" si="6"/>
        <v/>
      </c>
      <c r="I74" s="153" t="str">
        <f t="shared" si="6"/>
        <v/>
      </c>
      <c r="J74" s="153" t="str">
        <f t="shared" ref="J74:R74" si="7">IF(SUM(J63:J73)&gt;0,SUM(J63:J73),"")</f>
        <v/>
      </c>
      <c r="K74" s="153" t="str">
        <f t="shared" si="7"/>
        <v/>
      </c>
      <c r="L74" s="153" t="str">
        <f t="shared" si="7"/>
        <v/>
      </c>
      <c r="M74" s="153" t="str">
        <f t="shared" si="7"/>
        <v/>
      </c>
      <c r="N74" s="153" t="str">
        <f t="shared" si="7"/>
        <v/>
      </c>
      <c r="O74" s="153" t="str">
        <f t="shared" si="7"/>
        <v/>
      </c>
      <c r="P74" s="153" t="str">
        <f t="shared" si="7"/>
        <v/>
      </c>
      <c r="Q74" s="153" t="str">
        <f t="shared" si="7"/>
        <v/>
      </c>
      <c r="R74" s="153" t="str">
        <f t="shared" si="7"/>
        <v/>
      </c>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62" t="str">
        <f>IF('Expenses w MYP'!$F32="","",IF('Cash Flow %s Yr2'!D77="","",'Cash Flow %s Yr2'!D77*'Expenses w MYP'!$F32))</f>
        <v/>
      </c>
      <c r="E77" s="62" t="str">
        <f>IF('Expenses w MYP'!$F32="","",IF('Cash Flow %s Yr2'!E77="","",'Cash Flow %s Yr2'!E77*'Expenses w MYP'!$F32))</f>
        <v/>
      </c>
      <c r="F77" s="62" t="str">
        <f>IF('Expenses w MYP'!$F32="","",IF('Cash Flow %s Yr2'!F77="","",'Cash Flow %s Yr2'!F77*'Expenses w MYP'!$F32))</f>
        <v/>
      </c>
      <c r="G77" s="62" t="str">
        <f>IF('Expenses w MYP'!$F32="","",IF('Cash Flow %s Yr2'!G77="","",'Cash Flow %s Yr2'!G77*'Expenses w MYP'!$F32))</f>
        <v/>
      </c>
      <c r="H77" s="62" t="str">
        <f>IF('Expenses w MYP'!$F32="","",IF('Cash Flow %s Yr2'!H77="","",'Cash Flow %s Yr2'!H77*'Expenses w MYP'!$F32))</f>
        <v/>
      </c>
      <c r="I77" s="62" t="str">
        <f>IF('Expenses w MYP'!$F32="","",IF('Cash Flow %s Yr2'!I77="","",'Cash Flow %s Yr2'!I77*'Expenses w MYP'!$F32))</f>
        <v/>
      </c>
      <c r="J77" s="62" t="str">
        <f>IF('Expenses w MYP'!$F32="","",IF('Cash Flow %s Yr2'!J77="","",'Cash Flow %s Yr2'!J77*'Expenses w MYP'!$F32))</f>
        <v/>
      </c>
      <c r="K77" s="62" t="str">
        <f>IF('Expenses w MYP'!$F32="","",IF('Cash Flow %s Yr2'!K77="","",'Cash Flow %s Yr2'!K77*'Expenses w MYP'!$F32))</f>
        <v/>
      </c>
      <c r="L77" s="62" t="str">
        <f>IF('Expenses w MYP'!$F32="","",IF('Cash Flow %s Yr2'!L77="","",'Cash Flow %s Yr2'!L77*'Expenses w MYP'!$F32))</f>
        <v/>
      </c>
      <c r="M77" s="62" t="str">
        <f>IF('Expenses w MYP'!$F32="","",IF('Cash Flow %s Yr2'!M77="","",'Cash Flow %s Yr2'!M77*'Expenses w MYP'!$F32))</f>
        <v/>
      </c>
      <c r="N77" s="62" t="str">
        <f>IF('Expenses w MYP'!$F32="","",IF('Cash Flow %s Yr2'!N77="","",'Cash Flow %s Yr2'!N77*'Expenses w MYP'!$F32))</f>
        <v/>
      </c>
      <c r="O77" s="62" t="str">
        <f>IF('Expenses w MYP'!$F32="","",IF('Cash Flow %s Yr2'!O77="","",'Cash Flow %s Yr2'!O77*'Expenses w MYP'!$F32))</f>
        <v/>
      </c>
      <c r="P77" s="113"/>
      <c r="Q77" s="113"/>
      <c r="R77" s="113"/>
      <c r="S77" s="97" t="str">
        <f>IF(SUM(D77:R77)&gt;0,SUM(D77:R77)/'Expenses w MYP'!$F32,"")</f>
        <v/>
      </c>
    </row>
    <row r="78" spans="1:19" s="31" customFormat="1" x14ac:dyDescent="0.75">
      <c r="A78" s="35"/>
      <c r="B78" s="65" t="str">
        <f>'Expenses w MYP'!C45</f>
        <v>3602</v>
      </c>
      <c r="C78" s="65" t="str">
        <f>'Expenses w MYP'!D45</f>
        <v>Worker's Comp - Classified</v>
      </c>
      <c r="D78" s="62" t="str">
        <f>IF('Expenses w MYP'!$F45="","",IF('Cash Flow %s Yr2'!D78="","",'Cash Flow %s Yr2'!D78*'Expenses w MYP'!$F45))</f>
        <v/>
      </c>
      <c r="E78" s="62" t="str">
        <f>IF('Expenses w MYP'!$F45="","",IF('Cash Flow %s Yr2'!E78="","",'Cash Flow %s Yr2'!E78*'Expenses w MYP'!$F45))</f>
        <v/>
      </c>
      <c r="F78" s="62" t="str">
        <f>IF('Expenses w MYP'!$F45="","",IF('Cash Flow %s Yr2'!F78="","",'Cash Flow %s Yr2'!F78*'Expenses w MYP'!$F45))</f>
        <v/>
      </c>
      <c r="G78" s="62" t="str">
        <f>IF('Expenses w MYP'!$F45="","",IF('Cash Flow %s Yr2'!G78="","",'Cash Flow %s Yr2'!G78*'Expenses w MYP'!$F45))</f>
        <v/>
      </c>
      <c r="H78" s="62" t="str">
        <f>IF('Expenses w MYP'!$F45="","",IF('Cash Flow %s Yr2'!H78="","",'Cash Flow %s Yr2'!H78*'Expenses w MYP'!$F45))</f>
        <v/>
      </c>
      <c r="I78" s="62" t="str">
        <f>IF('Expenses w MYP'!$F45="","",IF('Cash Flow %s Yr2'!I78="","",'Cash Flow %s Yr2'!I78*'Expenses w MYP'!$F45))</f>
        <v/>
      </c>
      <c r="J78" s="62" t="str">
        <f>IF('Expenses w MYP'!$F45="","",IF('Cash Flow %s Yr2'!J78="","",'Cash Flow %s Yr2'!J78*'Expenses w MYP'!$F45))</f>
        <v/>
      </c>
      <c r="K78" s="62" t="str">
        <f>IF('Expenses w MYP'!$F45="","",IF('Cash Flow %s Yr2'!K78="","",'Cash Flow %s Yr2'!K78*'Expenses w MYP'!$F45))</f>
        <v/>
      </c>
      <c r="L78" s="62" t="str">
        <f>IF('Expenses w MYP'!$F45="","",IF('Cash Flow %s Yr2'!L78="","",'Cash Flow %s Yr2'!L78*'Expenses w MYP'!$F45))</f>
        <v/>
      </c>
      <c r="M78" s="62" t="str">
        <f>IF('Expenses w MYP'!$F45="","",IF('Cash Flow %s Yr2'!M78="","",'Cash Flow %s Yr2'!M78*'Expenses w MYP'!$F45))</f>
        <v/>
      </c>
      <c r="N78" s="62" t="str">
        <f>IF('Expenses w MYP'!$F45="","",IF('Cash Flow %s Yr2'!N78="","",'Cash Flow %s Yr2'!N78*'Expenses w MYP'!$F45))</f>
        <v/>
      </c>
      <c r="O78" s="62" t="str">
        <f>IF('Expenses w MYP'!$F45="","",IF('Cash Flow %s Yr2'!O78="","",'Cash Flow %s Yr2'!O78*'Expenses w MYP'!$F45))</f>
        <v/>
      </c>
      <c r="P78" s="113"/>
      <c r="Q78" s="113"/>
      <c r="R78" s="113"/>
      <c r="S78" s="97" t="str">
        <f>IF(SUM(D78:R78)&gt;0,SUM(D78:R78)/'Expenses w MYP'!$F45,"")</f>
        <v/>
      </c>
    </row>
    <row r="79" spans="1:19" s="31" customFormat="1" x14ac:dyDescent="0.75">
      <c r="A79" s="35"/>
      <c r="B79" s="65" t="str">
        <f>'Expenses w MYP'!C46</f>
        <v>3603</v>
      </c>
      <c r="C79" s="65" t="str">
        <f>'Expenses w MYP'!D46</f>
        <v>Worker Compensation Insurance</v>
      </c>
      <c r="D79" s="62" t="str">
        <f>IF('Expenses w MYP'!$F46="","",IF('Cash Flow %s Yr2'!D79="","",'Cash Flow %s Yr2'!D79*'Expenses w MYP'!$F46))</f>
        <v/>
      </c>
      <c r="E79" s="62" t="str">
        <f>IF('Expenses w MYP'!$F46="","",IF('Cash Flow %s Yr2'!E79="","",'Cash Flow %s Yr2'!E79*'Expenses w MYP'!$F46))</f>
        <v/>
      </c>
      <c r="F79" s="62" t="str">
        <f>IF('Expenses w MYP'!$F46="","",IF('Cash Flow %s Yr2'!F79="","",'Cash Flow %s Yr2'!F79*'Expenses w MYP'!$F46))</f>
        <v/>
      </c>
      <c r="G79" s="62" t="str">
        <f>IF('Expenses w MYP'!$F46="","",IF('Cash Flow %s Yr2'!G79="","",'Cash Flow %s Yr2'!G79*'Expenses w MYP'!$F46))</f>
        <v/>
      </c>
      <c r="H79" s="62" t="str">
        <f>IF('Expenses w MYP'!$F46="","",IF('Cash Flow %s Yr2'!H79="","",'Cash Flow %s Yr2'!H79*'Expenses w MYP'!$F46))</f>
        <v/>
      </c>
      <c r="I79" s="62" t="str">
        <f>IF('Expenses w MYP'!$F46="","",IF('Cash Flow %s Yr2'!I79="","",'Cash Flow %s Yr2'!I79*'Expenses w MYP'!$F46))</f>
        <v/>
      </c>
      <c r="J79" s="62" t="str">
        <f>IF('Expenses w MYP'!$F46="","",IF('Cash Flow %s Yr2'!J79="","",'Cash Flow %s Yr2'!J79*'Expenses w MYP'!$F46))</f>
        <v/>
      </c>
      <c r="K79" s="62" t="str">
        <f>IF('Expenses w MYP'!$F46="","",IF('Cash Flow %s Yr2'!K79="","",'Cash Flow %s Yr2'!K79*'Expenses w MYP'!$F46))</f>
        <v/>
      </c>
      <c r="L79" s="62" t="str">
        <f>IF('Expenses w MYP'!$F46="","",IF('Cash Flow %s Yr2'!L79="","",'Cash Flow %s Yr2'!L79*'Expenses w MYP'!$F46))</f>
        <v/>
      </c>
      <c r="M79" s="62" t="str">
        <f>IF('Expenses w MYP'!$F46="","",IF('Cash Flow %s Yr2'!M79="","",'Cash Flow %s Yr2'!M79*'Expenses w MYP'!$F46))</f>
        <v/>
      </c>
      <c r="N79" s="62" t="str">
        <f>IF('Expenses w MYP'!$F46="","",IF('Cash Flow %s Yr2'!N79="","",'Cash Flow %s Yr2'!N79*'Expenses w MYP'!$F46))</f>
        <v/>
      </c>
      <c r="O79" s="62" t="str">
        <f>IF('Expenses w MYP'!$F46="","",IF('Cash Flow %s Yr2'!O79="","",'Cash Flow %s Yr2'!O79*'Expenses w MYP'!$F46))</f>
        <v/>
      </c>
      <c r="P79" s="113"/>
      <c r="Q79" s="113"/>
      <c r="R79" s="113"/>
      <c r="S79" s="97" t="str">
        <f>IF(SUM(D79:R79)&gt;0,SUM(D79:R79)/'Expenses w MYP'!$F46,"")</f>
        <v/>
      </c>
    </row>
    <row r="80" spans="1:19" s="31" customFormat="1" x14ac:dyDescent="0.75">
      <c r="A80" s="35"/>
      <c r="B80" s="65" t="str">
        <f>'Expenses w MYP'!C47</f>
        <v>3703</v>
      </c>
      <c r="C80" s="65">
        <f>'Expenses w MYP'!D47</f>
        <v>0</v>
      </c>
      <c r="D80" s="62" t="str">
        <f>IF('Expenses w MYP'!$F47="","",IF('Cash Flow %s Yr2'!D80="","",'Cash Flow %s Yr2'!D80*'Expenses w MYP'!$F47))</f>
        <v/>
      </c>
      <c r="E80" s="62" t="str">
        <f>IF('Expenses w MYP'!$F47="","",IF('Cash Flow %s Yr2'!E80="","",'Cash Flow %s Yr2'!E80*'Expenses w MYP'!$F47))</f>
        <v/>
      </c>
      <c r="F80" s="62" t="str">
        <f>IF('Expenses w MYP'!$F47="","",IF('Cash Flow %s Yr2'!F80="","",'Cash Flow %s Yr2'!F80*'Expenses w MYP'!$F47))</f>
        <v/>
      </c>
      <c r="G80" s="62" t="str">
        <f>IF('Expenses w MYP'!$F47="","",IF('Cash Flow %s Yr2'!G80="","",'Cash Flow %s Yr2'!G80*'Expenses w MYP'!$F47))</f>
        <v/>
      </c>
      <c r="H80" s="62" t="str">
        <f>IF('Expenses w MYP'!$F47="","",IF('Cash Flow %s Yr2'!H80="","",'Cash Flow %s Yr2'!H80*'Expenses w MYP'!$F47))</f>
        <v/>
      </c>
      <c r="I80" s="62" t="str">
        <f>IF('Expenses w MYP'!$F47="","",IF('Cash Flow %s Yr2'!I80="","",'Cash Flow %s Yr2'!I80*'Expenses w MYP'!$F47))</f>
        <v/>
      </c>
      <c r="J80" s="62" t="str">
        <f>IF('Expenses w MYP'!$F47="","",IF('Cash Flow %s Yr2'!J80="","",'Cash Flow %s Yr2'!J80*'Expenses w MYP'!$F47))</f>
        <v/>
      </c>
      <c r="K80" s="62" t="str">
        <f>IF('Expenses w MYP'!$F47="","",IF('Cash Flow %s Yr2'!K80="","",'Cash Flow %s Yr2'!K80*'Expenses w MYP'!$F47))</f>
        <v/>
      </c>
      <c r="L80" s="62" t="str">
        <f>IF('Expenses w MYP'!$F47="","",IF('Cash Flow %s Yr2'!L80="","",'Cash Flow %s Yr2'!L80*'Expenses w MYP'!$F47))</f>
        <v/>
      </c>
      <c r="M80" s="62" t="str">
        <f>IF('Expenses w MYP'!$F47="","",IF('Cash Flow %s Yr2'!M80="","",'Cash Flow %s Yr2'!M80*'Expenses w MYP'!$F47))</f>
        <v/>
      </c>
      <c r="N80" s="62" t="str">
        <f>IF('Expenses w MYP'!$F47="","",IF('Cash Flow %s Yr2'!N80="","",'Cash Flow %s Yr2'!N80*'Expenses w MYP'!$F47))</f>
        <v/>
      </c>
      <c r="O80" s="62" t="str">
        <f>IF('Expenses w MYP'!$F47="","",IF('Cash Flow %s Yr2'!O80="","",'Cash Flow %s Yr2'!O80*'Expenses w MYP'!$F47))</f>
        <v/>
      </c>
      <c r="P80" s="113"/>
      <c r="Q80" s="113"/>
      <c r="R80" s="113"/>
      <c r="S80" s="97" t="str">
        <f>IF(SUM(D80:R80)&gt;0,SUM(D80:R80)/'Expenses w MYP'!$F47,"")</f>
        <v/>
      </c>
    </row>
    <row r="81" spans="1:19" s="31" customFormat="1" x14ac:dyDescent="0.75">
      <c r="A81" s="35"/>
      <c r="B81" s="65" t="str">
        <f>'Expenses w MYP'!C48</f>
        <v>3901</v>
      </c>
      <c r="C81" s="65" t="str">
        <f>'Expenses w MYP'!D48</f>
        <v>Other Employee Benefits - Certificated</v>
      </c>
      <c r="D81" s="62" t="str">
        <f>IF('Expenses w MYP'!$F48="","",IF('Cash Flow %s Yr2'!D81="","",'Cash Flow %s Yr2'!D81*'Expenses w MYP'!$F48))</f>
        <v/>
      </c>
      <c r="E81" s="62" t="str">
        <f>IF('Expenses w MYP'!$F48="","",IF('Cash Flow %s Yr2'!E81="","",'Cash Flow %s Yr2'!E81*'Expenses w MYP'!$F48))</f>
        <v/>
      </c>
      <c r="F81" s="62" t="str">
        <f>IF('Expenses w MYP'!$F48="","",IF('Cash Flow %s Yr2'!F81="","",'Cash Flow %s Yr2'!F81*'Expenses w MYP'!$F48))</f>
        <v/>
      </c>
      <c r="G81" s="62" t="str">
        <f>IF('Expenses w MYP'!$F48="","",IF('Cash Flow %s Yr2'!G81="","",'Cash Flow %s Yr2'!G81*'Expenses w MYP'!$F48))</f>
        <v/>
      </c>
      <c r="H81" s="62" t="str">
        <f>IF('Expenses w MYP'!$F48="","",IF('Cash Flow %s Yr2'!H81="","",'Cash Flow %s Yr2'!H81*'Expenses w MYP'!$F48))</f>
        <v/>
      </c>
      <c r="I81" s="62" t="str">
        <f>IF('Expenses w MYP'!$F48="","",IF('Cash Flow %s Yr2'!I81="","",'Cash Flow %s Yr2'!I81*'Expenses w MYP'!$F48))</f>
        <v/>
      </c>
      <c r="J81" s="62" t="str">
        <f>IF('Expenses w MYP'!$F48="","",IF('Cash Flow %s Yr2'!J81="","",'Cash Flow %s Yr2'!J81*'Expenses w MYP'!$F48))</f>
        <v/>
      </c>
      <c r="K81" s="62" t="str">
        <f>IF('Expenses w MYP'!$F48="","",IF('Cash Flow %s Yr2'!K81="","",'Cash Flow %s Yr2'!K81*'Expenses w MYP'!$F48))</f>
        <v/>
      </c>
      <c r="L81" s="62" t="str">
        <f>IF('Expenses w MYP'!$F48="","",IF('Cash Flow %s Yr2'!L81="","",'Cash Flow %s Yr2'!L81*'Expenses w MYP'!$F48))</f>
        <v/>
      </c>
      <c r="M81" s="62" t="str">
        <f>IF('Expenses w MYP'!$F48="","",IF('Cash Flow %s Yr2'!M81="","",'Cash Flow %s Yr2'!M81*'Expenses w MYP'!$F48))</f>
        <v/>
      </c>
      <c r="N81" s="62" t="str">
        <f>IF('Expenses w MYP'!$F48="","",IF('Cash Flow %s Yr2'!N81="","",'Cash Flow %s Yr2'!N81*'Expenses w MYP'!$F48))</f>
        <v/>
      </c>
      <c r="O81" s="62" t="str">
        <f>IF('Expenses w MYP'!$F48="","",IF('Cash Flow %s Yr2'!O81="","",'Cash Flow %s Yr2'!O81*'Expenses w MYP'!$F48))</f>
        <v/>
      </c>
      <c r="P81" s="113"/>
      <c r="Q81" s="113"/>
      <c r="R81" s="113"/>
      <c r="S81" s="97" t="str">
        <f>IF(SUM(D81:R81)&gt;0,SUM(D81:R81)/'Expenses w MYP'!$F48,"")</f>
        <v/>
      </c>
    </row>
    <row r="82" spans="1:19" s="31" customFormat="1" x14ac:dyDescent="0.75">
      <c r="A82" s="35"/>
      <c r="B82" s="65" t="str">
        <f>'Expenses w MYP'!C49</f>
        <v>3902</v>
      </c>
      <c r="C82" s="65" t="str">
        <f>'Expenses w MYP'!D49</f>
        <v>Other Employee Benefits - Classified</v>
      </c>
      <c r="D82" s="62" t="str">
        <f>IF('Expenses w MYP'!$F49="","",IF('Cash Flow %s Yr2'!D82="","",'Cash Flow %s Yr2'!D82*'Expenses w MYP'!$F49))</f>
        <v/>
      </c>
      <c r="E82" s="62" t="str">
        <f>IF('Expenses w MYP'!$F49="","",IF('Cash Flow %s Yr2'!E82="","",'Cash Flow %s Yr2'!E82*'Expenses w MYP'!$F49))</f>
        <v/>
      </c>
      <c r="F82" s="62" t="str">
        <f>IF('Expenses w MYP'!$F49="","",IF('Cash Flow %s Yr2'!F82="","",'Cash Flow %s Yr2'!F82*'Expenses w MYP'!$F49))</f>
        <v/>
      </c>
      <c r="G82" s="62" t="str">
        <f>IF('Expenses w MYP'!$F49="","",IF('Cash Flow %s Yr2'!G82="","",'Cash Flow %s Yr2'!G82*'Expenses w MYP'!$F49))</f>
        <v/>
      </c>
      <c r="H82" s="62" t="str">
        <f>IF('Expenses w MYP'!$F49="","",IF('Cash Flow %s Yr2'!H82="","",'Cash Flow %s Yr2'!H82*'Expenses w MYP'!$F49))</f>
        <v/>
      </c>
      <c r="I82" s="62" t="str">
        <f>IF('Expenses w MYP'!$F49="","",IF('Cash Flow %s Yr2'!I82="","",'Cash Flow %s Yr2'!I82*'Expenses w MYP'!$F49))</f>
        <v/>
      </c>
      <c r="J82" s="62" t="str">
        <f>IF('Expenses w MYP'!$F49="","",IF('Cash Flow %s Yr2'!J82="","",'Cash Flow %s Yr2'!J82*'Expenses w MYP'!$F49))</f>
        <v/>
      </c>
      <c r="K82" s="62" t="str">
        <f>IF('Expenses w MYP'!$F49="","",IF('Cash Flow %s Yr2'!K82="","",'Cash Flow %s Yr2'!K82*'Expenses w MYP'!$F49))</f>
        <v/>
      </c>
      <c r="L82" s="62" t="str">
        <f>IF('Expenses w MYP'!$F49="","",IF('Cash Flow %s Yr2'!L82="","",'Cash Flow %s Yr2'!L82*'Expenses w MYP'!$F49))</f>
        <v/>
      </c>
      <c r="M82" s="62" t="str">
        <f>IF('Expenses w MYP'!$F49="","",IF('Cash Flow %s Yr2'!M82="","",'Cash Flow %s Yr2'!M82*'Expenses w MYP'!$F49))</f>
        <v/>
      </c>
      <c r="N82" s="62" t="str">
        <f>IF('Expenses w MYP'!$F49="","",IF('Cash Flow %s Yr2'!N82="","",'Cash Flow %s Yr2'!N82*'Expenses w MYP'!$F49))</f>
        <v/>
      </c>
      <c r="O82" s="62" t="str">
        <f>IF('Expenses w MYP'!$F49="","",IF('Cash Flow %s Yr2'!O82="","",'Cash Flow %s Yr2'!O82*'Expenses w MYP'!$F49))</f>
        <v/>
      </c>
      <c r="P82" s="113"/>
      <c r="Q82" s="113"/>
      <c r="R82" s="113"/>
      <c r="S82" s="97" t="str">
        <f>IF(SUM(D82:R82)&gt;0,SUM(D82:R82)/'Expenses w MYP'!$F49,"")</f>
        <v/>
      </c>
    </row>
    <row r="83" spans="1:19" s="31" customFormat="1" x14ac:dyDescent="0.75">
      <c r="A83" s="35"/>
      <c r="B83" s="65" t="str">
        <f>'Expenses w MYP'!C50</f>
        <v>3903</v>
      </c>
      <c r="C83" s="65" t="str">
        <f>'Expenses w MYP'!D50</f>
        <v>Other Post Employment Benefits</v>
      </c>
      <c r="D83" s="62" t="str">
        <f>IF('Expenses w MYP'!$F50="","",IF('Cash Flow %s Yr2'!D83="","",'Cash Flow %s Yr2'!D83*'Expenses w MYP'!$F50))</f>
        <v/>
      </c>
      <c r="E83" s="62" t="str">
        <f>IF('Expenses w MYP'!$F50="","",IF('Cash Flow %s Yr2'!E83="","",'Cash Flow %s Yr2'!E83*'Expenses w MYP'!$F50))</f>
        <v/>
      </c>
      <c r="F83" s="62" t="str">
        <f>IF('Expenses w MYP'!$F50="","",IF('Cash Flow %s Yr2'!F83="","",'Cash Flow %s Yr2'!F83*'Expenses w MYP'!$F50))</f>
        <v/>
      </c>
      <c r="G83" s="62" t="str">
        <f>IF('Expenses w MYP'!$F50="","",IF('Cash Flow %s Yr2'!G83="","",'Cash Flow %s Yr2'!G83*'Expenses w MYP'!$F50))</f>
        <v/>
      </c>
      <c r="H83" s="62" t="str">
        <f>IF('Expenses w MYP'!$F50="","",IF('Cash Flow %s Yr2'!H83="","",'Cash Flow %s Yr2'!H83*'Expenses w MYP'!$F50))</f>
        <v/>
      </c>
      <c r="I83" s="62" t="str">
        <f>IF('Expenses w MYP'!$F50="","",IF('Cash Flow %s Yr2'!I83="","",'Cash Flow %s Yr2'!I83*'Expenses w MYP'!$F50))</f>
        <v/>
      </c>
      <c r="J83" s="62" t="str">
        <f>IF('Expenses w MYP'!$F50="","",IF('Cash Flow %s Yr2'!J83="","",'Cash Flow %s Yr2'!J83*'Expenses w MYP'!$F50))</f>
        <v/>
      </c>
      <c r="K83" s="62" t="str">
        <f>IF('Expenses w MYP'!$F50="","",IF('Cash Flow %s Yr2'!K83="","",'Cash Flow %s Yr2'!K83*'Expenses w MYP'!$F50))</f>
        <v/>
      </c>
      <c r="L83" s="62" t="str">
        <f>IF('Expenses w MYP'!$F50="","",IF('Cash Flow %s Yr2'!L83="","",'Cash Flow %s Yr2'!L83*'Expenses w MYP'!$F50))</f>
        <v/>
      </c>
      <c r="M83" s="62" t="str">
        <f>IF('Expenses w MYP'!$F50="","",IF('Cash Flow %s Yr2'!M83="","",'Cash Flow %s Yr2'!M83*'Expenses w MYP'!$F50))</f>
        <v/>
      </c>
      <c r="N83" s="62" t="str">
        <f>IF('Expenses w MYP'!$F50="","",IF('Cash Flow %s Yr2'!N83="","",'Cash Flow %s Yr2'!N83*'Expenses w MYP'!$F50))</f>
        <v/>
      </c>
      <c r="O83" s="62" t="str">
        <f>IF('Expenses w MYP'!$F50="","",IF('Cash Flow %s Yr2'!O83="","",'Cash Flow %s Yr2'!O83*'Expenses w MYP'!$F50))</f>
        <v/>
      </c>
      <c r="P83" s="113"/>
      <c r="Q83" s="113"/>
      <c r="R83" s="113"/>
      <c r="S83" s="97" t="str">
        <f>IF(SUM(D83:R83)&gt;0,SUM(D83:R83)/'Expenses w MYP'!$F50,"")</f>
        <v/>
      </c>
    </row>
    <row r="84" spans="1:19" s="31" customFormat="1" x14ac:dyDescent="0.75">
      <c r="A84" s="35"/>
      <c r="B84" s="65">
        <f>'Expenses w MYP'!C51</f>
        <v>0</v>
      </c>
      <c r="C84" s="65">
        <f>'Expenses w MYP'!D51</f>
        <v>0</v>
      </c>
      <c r="D84" s="62" t="str">
        <f>IF('Expenses w MYP'!$F51="","",IF('Cash Flow %s Yr2'!D84="","",'Cash Flow %s Yr2'!D84*'Expenses w MYP'!$F51))</f>
        <v/>
      </c>
      <c r="E84" s="62" t="str">
        <f>IF('Expenses w MYP'!$F51="","",IF('Cash Flow %s Yr2'!E84="","",'Cash Flow %s Yr2'!E84*'Expenses w MYP'!$F51))</f>
        <v/>
      </c>
      <c r="F84" s="62" t="str">
        <f>IF('Expenses w MYP'!$F51="","",IF('Cash Flow %s Yr2'!F84="","",'Cash Flow %s Yr2'!F84*'Expenses w MYP'!$F51))</f>
        <v/>
      </c>
      <c r="G84" s="62" t="str">
        <f>IF('Expenses w MYP'!$F51="","",IF('Cash Flow %s Yr2'!G84="","",'Cash Flow %s Yr2'!G84*'Expenses w MYP'!$F51))</f>
        <v/>
      </c>
      <c r="H84" s="62" t="str">
        <f>IF('Expenses w MYP'!$F51="","",IF('Cash Flow %s Yr2'!H84="","",'Cash Flow %s Yr2'!H84*'Expenses w MYP'!$F51))</f>
        <v/>
      </c>
      <c r="I84" s="62" t="str">
        <f>IF('Expenses w MYP'!$F51="","",IF('Cash Flow %s Yr2'!I84="","",'Cash Flow %s Yr2'!I84*'Expenses w MYP'!$F51))</f>
        <v/>
      </c>
      <c r="J84" s="62" t="str">
        <f>IF('Expenses w MYP'!$F51="","",IF('Cash Flow %s Yr2'!J84="","",'Cash Flow %s Yr2'!J84*'Expenses w MYP'!$F51))</f>
        <v/>
      </c>
      <c r="K84" s="62" t="str">
        <f>IF('Expenses w MYP'!$F51="","",IF('Cash Flow %s Yr2'!K84="","",'Cash Flow %s Yr2'!K84*'Expenses w MYP'!$F51))</f>
        <v/>
      </c>
      <c r="L84" s="62" t="str">
        <f>IF('Expenses w MYP'!$F51="","",IF('Cash Flow %s Yr2'!L84="","",'Cash Flow %s Yr2'!L84*'Expenses w MYP'!$F51))</f>
        <v/>
      </c>
      <c r="M84" s="62" t="str">
        <f>IF('Expenses w MYP'!$F51="","",IF('Cash Flow %s Yr2'!M84="","",'Cash Flow %s Yr2'!M84*'Expenses w MYP'!$F51))</f>
        <v/>
      </c>
      <c r="N84" s="62" t="str">
        <f>IF('Expenses w MYP'!$F51="","",IF('Cash Flow %s Yr2'!N84="","",'Cash Flow %s Yr2'!N84*'Expenses w MYP'!$F51))</f>
        <v/>
      </c>
      <c r="O84" s="62" t="str">
        <f>IF('Expenses w MYP'!$F51="","",IF('Cash Flow %s Yr2'!O84="","",'Cash Flow %s Yr2'!O84*'Expenses w MYP'!$F51))</f>
        <v/>
      </c>
      <c r="P84" s="113"/>
      <c r="Q84" s="113"/>
      <c r="R84" s="113"/>
      <c r="S84" s="97" t="str">
        <f>IF(SUM(D84:R84)&gt;0,SUM(D84:R84)/'Expenses w MYP'!$F51,"")</f>
        <v/>
      </c>
    </row>
    <row r="85" spans="1:19" s="31" customFormat="1" x14ac:dyDescent="0.75">
      <c r="A85" s="35"/>
      <c r="B85" s="65">
        <f>'Expenses w MYP'!C52</f>
        <v>0</v>
      </c>
      <c r="C85" s="65">
        <f>'Expenses w MYP'!D52</f>
        <v>0</v>
      </c>
      <c r="D85" s="62" t="str">
        <f>IF('Expenses w MYP'!$F52="","",IF('Cash Flow %s Yr2'!D85="","",'Cash Flow %s Yr2'!D85*'Expenses w MYP'!$F52))</f>
        <v/>
      </c>
      <c r="E85" s="62" t="str">
        <f>IF('Expenses w MYP'!$F52="","",IF('Cash Flow %s Yr2'!E85="","",'Cash Flow %s Yr2'!E85*'Expenses w MYP'!$F52))</f>
        <v/>
      </c>
      <c r="F85" s="62" t="str">
        <f>IF('Expenses w MYP'!$F52="","",IF('Cash Flow %s Yr2'!F85="","",'Cash Flow %s Yr2'!F85*'Expenses w MYP'!$F52))</f>
        <v/>
      </c>
      <c r="G85" s="62" t="str">
        <f>IF('Expenses w MYP'!$F52="","",IF('Cash Flow %s Yr2'!G85="","",'Cash Flow %s Yr2'!G85*'Expenses w MYP'!$F52))</f>
        <v/>
      </c>
      <c r="H85" s="62" t="str">
        <f>IF('Expenses w MYP'!$F52="","",IF('Cash Flow %s Yr2'!H85="","",'Cash Flow %s Yr2'!H85*'Expenses w MYP'!$F52))</f>
        <v/>
      </c>
      <c r="I85" s="62" t="str">
        <f>IF('Expenses w MYP'!$F52="","",IF('Cash Flow %s Yr2'!I85="","",'Cash Flow %s Yr2'!I85*'Expenses w MYP'!$F52))</f>
        <v/>
      </c>
      <c r="J85" s="62" t="str">
        <f>IF('Expenses w MYP'!$F52="","",IF('Cash Flow %s Yr2'!J85="","",'Cash Flow %s Yr2'!J85*'Expenses w MYP'!$F52))</f>
        <v/>
      </c>
      <c r="K85" s="62" t="str">
        <f>IF('Expenses w MYP'!$F52="","",IF('Cash Flow %s Yr2'!K85="","",'Cash Flow %s Yr2'!K85*'Expenses w MYP'!$F52))</f>
        <v/>
      </c>
      <c r="L85" s="62" t="str">
        <f>IF('Expenses w MYP'!$F52="","",IF('Cash Flow %s Yr2'!L85="","",'Cash Flow %s Yr2'!L85*'Expenses w MYP'!$F52))</f>
        <v/>
      </c>
      <c r="M85" s="62" t="str">
        <f>IF('Expenses w MYP'!$F52="","",IF('Cash Flow %s Yr2'!M85="","",'Cash Flow %s Yr2'!M85*'Expenses w MYP'!$F52))</f>
        <v/>
      </c>
      <c r="N85" s="62" t="str">
        <f>IF('Expenses w MYP'!$F52="","",IF('Cash Flow %s Yr2'!N85="","",'Cash Flow %s Yr2'!N85*'Expenses w MYP'!$F52))</f>
        <v/>
      </c>
      <c r="O85" s="62" t="str">
        <f>IF('Expenses w MYP'!$F52="","",IF('Cash Flow %s Yr2'!O85="","",'Cash Flow %s Yr2'!O85*'Expenses w MYP'!$F52))</f>
        <v/>
      </c>
      <c r="P85" s="113"/>
      <c r="Q85" s="113"/>
      <c r="R85" s="113"/>
      <c r="S85" s="97" t="str">
        <f>IF(SUM(D85:R85)&gt;0,SUM(D85:R85)/'Expenses w MYP'!$F52,"")</f>
        <v/>
      </c>
    </row>
    <row r="86" spans="1:19" s="31" customFormat="1" x14ac:dyDescent="0.75">
      <c r="A86" s="35"/>
      <c r="B86" s="42" t="s">
        <v>737</v>
      </c>
      <c r="C86" s="34" t="s">
        <v>719</v>
      </c>
      <c r="D86" s="153" t="str">
        <f t="shared" ref="D86:R86" si="8">IF(SUM(D76:D85)&gt;0,SUM(D76:D85),"")</f>
        <v/>
      </c>
      <c r="E86" s="153" t="str">
        <f t="shared" si="8"/>
        <v/>
      </c>
      <c r="F86" s="153" t="str">
        <f t="shared" si="8"/>
        <v/>
      </c>
      <c r="G86" s="153" t="str">
        <f t="shared" si="8"/>
        <v/>
      </c>
      <c r="H86" s="153" t="str">
        <f t="shared" si="8"/>
        <v/>
      </c>
      <c r="I86" s="153" t="str">
        <f t="shared" si="8"/>
        <v/>
      </c>
      <c r="J86" s="153" t="str">
        <f t="shared" si="8"/>
        <v/>
      </c>
      <c r="K86" s="153" t="str">
        <f t="shared" si="8"/>
        <v/>
      </c>
      <c r="L86" s="153" t="str">
        <f t="shared" si="8"/>
        <v/>
      </c>
      <c r="M86" s="153" t="str">
        <f t="shared" si="8"/>
        <v/>
      </c>
      <c r="N86" s="153" t="str">
        <f t="shared" si="8"/>
        <v/>
      </c>
      <c r="O86" s="153" t="str">
        <f t="shared" si="8"/>
        <v/>
      </c>
      <c r="P86" s="153" t="str">
        <f t="shared" si="8"/>
        <v/>
      </c>
      <c r="Q86" s="153" t="str">
        <f t="shared" si="8"/>
        <v/>
      </c>
      <c r="R86" s="153" t="str">
        <f t="shared" si="8"/>
        <v/>
      </c>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121" t="str">
        <f>'Expenses w MYP'!C58</f>
        <v>4100</v>
      </c>
      <c r="C89" s="121" t="str">
        <f>'Expenses w MYP'!D58</f>
        <v>Approved Textbooks and Core Curricula Materials</v>
      </c>
      <c r="D89" s="62" t="str">
        <f>IF('Expenses w MYP'!$F58="","",IF('Cash Flow %s Yr2'!D89="","",'Cash Flow %s Yr2'!D89*'Expenses w MYP'!$F58))</f>
        <v/>
      </c>
      <c r="E89" s="62" t="str">
        <f>IF('Expenses w MYP'!$F58="","",IF('Cash Flow %s Yr2'!E89="","",'Cash Flow %s Yr2'!E89*'Expenses w MYP'!$F58))</f>
        <v/>
      </c>
      <c r="F89" s="62" t="str">
        <f>IF('Expenses w MYP'!$F58="","",IF('Cash Flow %s Yr2'!F89="","",'Cash Flow %s Yr2'!F89*'Expenses w MYP'!$F58))</f>
        <v/>
      </c>
      <c r="G89" s="62" t="str">
        <f>IF('Expenses w MYP'!$F58="","",IF('Cash Flow %s Yr2'!G89="","",'Cash Flow %s Yr2'!G89*'Expenses w MYP'!$F58))</f>
        <v/>
      </c>
      <c r="H89" s="62" t="str">
        <f>IF('Expenses w MYP'!$F58="","",IF('Cash Flow %s Yr2'!H89="","",'Cash Flow %s Yr2'!H89*'Expenses w MYP'!$F58))</f>
        <v/>
      </c>
      <c r="I89" s="62" t="str">
        <f>IF('Expenses w MYP'!$F58="","",IF('Cash Flow %s Yr2'!I89="","",'Cash Flow %s Yr2'!I89*'Expenses w MYP'!$F58))</f>
        <v/>
      </c>
      <c r="J89" s="62" t="str">
        <f>IF('Expenses w MYP'!$F58="","",IF('Cash Flow %s Yr2'!J89="","",'Cash Flow %s Yr2'!J89*'Expenses w MYP'!$F58))</f>
        <v/>
      </c>
      <c r="K89" s="62" t="str">
        <f>IF('Expenses w MYP'!$F58="","",IF('Cash Flow %s Yr2'!K89="","",'Cash Flow %s Yr2'!K89*'Expenses w MYP'!$F58))</f>
        <v/>
      </c>
      <c r="L89" s="62" t="str">
        <f>IF('Expenses w MYP'!$F58="","",IF('Cash Flow %s Yr2'!L89="","",'Cash Flow %s Yr2'!L89*'Expenses w MYP'!$F58))</f>
        <v/>
      </c>
      <c r="M89" s="62" t="str">
        <f>IF('Expenses w MYP'!$F58="","",IF('Cash Flow %s Yr2'!M89="","",'Cash Flow %s Yr2'!M89*'Expenses w MYP'!$F58))</f>
        <v/>
      </c>
      <c r="N89" s="62" t="str">
        <f>IF('Expenses w MYP'!$F58="","",IF('Cash Flow %s Yr2'!N89="","",'Cash Flow %s Yr2'!N89*'Expenses w MYP'!$F58))</f>
        <v/>
      </c>
      <c r="O89" s="62" t="str">
        <f>IF('Expenses w MYP'!$F58="","",IF('Cash Flow %s Yr2'!O89="","",'Cash Flow %s Yr2'!O89*'Expenses w MYP'!$F58))</f>
        <v/>
      </c>
      <c r="P89" s="113"/>
      <c r="Q89" s="113"/>
      <c r="R89" s="113"/>
      <c r="S89" s="97" t="str">
        <f>IF(SUM(D89:R89)&gt;0,SUM(D89:R89)/'Expenses w MYP'!$F58,"")</f>
        <v/>
      </c>
    </row>
    <row r="90" spans="1:19" x14ac:dyDescent="0.75">
      <c r="A90" s="35"/>
      <c r="B90" s="121" t="str">
        <f>'Expenses w MYP'!C61</f>
        <v>4200</v>
      </c>
      <c r="C90" s="121" t="str">
        <f>'Expenses w MYP'!D61</f>
        <v>Books and Other Reference Materials</v>
      </c>
      <c r="D90" s="62" t="str">
        <f>IF('Expenses w MYP'!$F61="","",IF('Cash Flow %s Yr2'!D90="","",'Cash Flow %s Yr2'!D90*'Expenses w MYP'!$F61))</f>
        <v/>
      </c>
      <c r="E90" s="62" t="str">
        <f>IF('Expenses w MYP'!$F61="","",IF('Cash Flow %s Yr2'!E90="","",'Cash Flow %s Yr2'!E90*'Expenses w MYP'!$F61))</f>
        <v/>
      </c>
      <c r="F90" s="62" t="str">
        <f>IF('Expenses w MYP'!$F61="","",IF('Cash Flow %s Yr2'!F90="","",'Cash Flow %s Yr2'!F90*'Expenses w MYP'!$F61))</f>
        <v/>
      </c>
      <c r="G90" s="62" t="str">
        <f>IF('Expenses w MYP'!$F61="","",IF('Cash Flow %s Yr2'!G90="","",'Cash Flow %s Yr2'!G90*'Expenses w MYP'!$F61))</f>
        <v/>
      </c>
      <c r="H90" s="62" t="str">
        <f>IF('Expenses w MYP'!$F61="","",IF('Cash Flow %s Yr2'!H90="","",'Cash Flow %s Yr2'!H90*'Expenses w MYP'!$F61))</f>
        <v/>
      </c>
      <c r="I90" s="62" t="str">
        <f>IF('Expenses w MYP'!$F61="","",IF('Cash Flow %s Yr2'!I90="","",'Cash Flow %s Yr2'!I90*'Expenses w MYP'!$F61))</f>
        <v/>
      </c>
      <c r="J90" s="62" t="str">
        <f>IF('Expenses w MYP'!$F61="","",IF('Cash Flow %s Yr2'!J90="","",'Cash Flow %s Yr2'!J90*'Expenses w MYP'!$F61))</f>
        <v/>
      </c>
      <c r="K90" s="62" t="str">
        <f>IF('Expenses w MYP'!$F61="","",IF('Cash Flow %s Yr2'!K90="","",'Cash Flow %s Yr2'!K90*'Expenses w MYP'!$F61))</f>
        <v/>
      </c>
      <c r="L90" s="62" t="str">
        <f>IF('Expenses w MYP'!$F61="","",IF('Cash Flow %s Yr2'!L90="","",'Cash Flow %s Yr2'!L90*'Expenses w MYP'!$F61))</f>
        <v/>
      </c>
      <c r="M90" s="62" t="str">
        <f>IF('Expenses w MYP'!$F61="","",IF('Cash Flow %s Yr2'!M90="","",'Cash Flow %s Yr2'!M90*'Expenses w MYP'!$F61))</f>
        <v/>
      </c>
      <c r="N90" s="62" t="str">
        <f>IF('Expenses w MYP'!$F61="","",IF('Cash Flow %s Yr2'!N90="","",'Cash Flow %s Yr2'!N90*'Expenses w MYP'!$F61))</f>
        <v/>
      </c>
      <c r="O90" s="62" t="str">
        <f>IF('Expenses w MYP'!$F61="","",IF('Cash Flow %s Yr2'!O90="","",'Cash Flow %s Yr2'!O90*'Expenses w MYP'!$F61))</f>
        <v/>
      </c>
      <c r="P90" s="113"/>
      <c r="Q90" s="113"/>
      <c r="R90" s="113"/>
      <c r="S90" s="97" t="str">
        <f>IF(SUM(D90:R90)&gt;0,SUM(D90:R90)/'Expenses w MYP'!$F61,"")</f>
        <v/>
      </c>
    </row>
    <row r="91" spans="1:19" x14ac:dyDescent="0.75">
      <c r="A91" s="35"/>
      <c r="B91" s="121" t="str">
        <f>'Expenses w MYP'!C63</f>
        <v>4300</v>
      </c>
      <c r="C91" s="121" t="str">
        <f>'Expenses w MYP'!D63</f>
        <v>Materials and Supplies</v>
      </c>
      <c r="D91" s="62" t="str">
        <f>IF('Expenses w MYP'!$F63="","",IF('Cash Flow %s Yr2'!D91="","",'Cash Flow %s Yr2'!D91*'Expenses w MYP'!$F63))</f>
        <v/>
      </c>
      <c r="E91" s="62" t="str">
        <f>IF('Expenses w MYP'!$F63="","",IF('Cash Flow %s Yr2'!E91="","",'Cash Flow %s Yr2'!E91*'Expenses w MYP'!$F63))</f>
        <v/>
      </c>
      <c r="F91" s="62" t="str">
        <f>IF('Expenses w MYP'!$F63="","",IF('Cash Flow %s Yr2'!F91="","",'Cash Flow %s Yr2'!F91*'Expenses w MYP'!$F63))</f>
        <v/>
      </c>
      <c r="G91" s="62" t="str">
        <f>IF('Expenses w MYP'!$F63="","",IF('Cash Flow %s Yr2'!G91="","",'Cash Flow %s Yr2'!G91*'Expenses w MYP'!$F63))</f>
        <v/>
      </c>
      <c r="H91" s="62" t="str">
        <f>IF('Expenses w MYP'!$F63="","",IF('Cash Flow %s Yr2'!H91="","",'Cash Flow %s Yr2'!H91*'Expenses w MYP'!$F63))</f>
        <v/>
      </c>
      <c r="I91" s="62" t="str">
        <f>IF('Expenses w MYP'!$F63="","",IF('Cash Flow %s Yr2'!I91="","",'Cash Flow %s Yr2'!I91*'Expenses w MYP'!$F63))</f>
        <v/>
      </c>
      <c r="J91" s="62" t="str">
        <f>IF('Expenses w MYP'!$F63="","",IF('Cash Flow %s Yr2'!J91="","",'Cash Flow %s Yr2'!J91*'Expenses w MYP'!$F63))</f>
        <v/>
      </c>
      <c r="K91" s="62" t="str">
        <f>IF('Expenses w MYP'!$F63="","",IF('Cash Flow %s Yr2'!K91="","",'Cash Flow %s Yr2'!K91*'Expenses w MYP'!$F63))</f>
        <v/>
      </c>
      <c r="L91" s="62" t="str">
        <f>IF('Expenses w MYP'!$F63="","",IF('Cash Flow %s Yr2'!L91="","",'Cash Flow %s Yr2'!L91*'Expenses w MYP'!$F63))</f>
        <v/>
      </c>
      <c r="M91" s="62" t="str">
        <f>IF('Expenses w MYP'!$F63="","",IF('Cash Flow %s Yr2'!M91="","",'Cash Flow %s Yr2'!M91*'Expenses w MYP'!$F63))</f>
        <v/>
      </c>
      <c r="N91" s="62" t="str">
        <f>IF('Expenses w MYP'!$F63="","",IF('Cash Flow %s Yr2'!N91="","",'Cash Flow %s Yr2'!N91*'Expenses w MYP'!$F63))</f>
        <v/>
      </c>
      <c r="O91" s="62" t="str">
        <f>IF('Expenses w MYP'!$F63="","",IF('Cash Flow %s Yr2'!O91="","",'Cash Flow %s Yr2'!O91*'Expenses w MYP'!$F63))</f>
        <v/>
      </c>
      <c r="P91" s="113"/>
      <c r="Q91" s="113"/>
      <c r="R91" s="113"/>
      <c r="S91" s="97" t="str">
        <f>IF(SUM(D91:R91)&gt;0,SUM(D91:R91)/'Expenses w MYP'!$F63,"")</f>
        <v/>
      </c>
    </row>
    <row r="92" spans="1:19" x14ac:dyDescent="0.75">
      <c r="A92" s="35"/>
      <c r="B92" s="121" t="str">
        <f>'Expenses w MYP'!C64</f>
        <v>4315</v>
      </c>
      <c r="C92" s="121" t="str">
        <f>'Expenses w MYP'!D64</f>
        <v>Classroom Materials and Supplies</v>
      </c>
      <c r="D92" s="62" t="str">
        <f>IF('Expenses w MYP'!$F64="","",IF('Cash Flow %s Yr2'!D92="","",'Cash Flow %s Yr2'!D92*'Expenses w MYP'!$F64))</f>
        <v/>
      </c>
      <c r="E92" s="62" t="str">
        <f>IF('Expenses w MYP'!$F64="","",IF('Cash Flow %s Yr2'!E92="","",'Cash Flow %s Yr2'!E92*'Expenses w MYP'!$F64))</f>
        <v/>
      </c>
      <c r="F92" s="62" t="str">
        <f>IF('Expenses w MYP'!$F64="","",IF('Cash Flow %s Yr2'!F92="","",'Cash Flow %s Yr2'!F92*'Expenses w MYP'!$F64))</f>
        <v/>
      </c>
      <c r="G92" s="62" t="str">
        <f>IF('Expenses w MYP'!$F64="","",IF('Cash Flow %s Yr2'!G92="","",'Cash Flow %s Yr2'!G92*'Expenses w MYP'!$F64))</f>
        <v/>
      </c>
      <c r="H92" s="62" t="str">
        <f>IF('Expenses w MYP'!$F64="","",IF('Cash Flow %s Yr2'!H92="","",'Cash Flow %s Yr2'!H92*'Expenses w MYP'!$F64))</f>
        <v/>
      </c>
      <c r="I92" s="62" t="str">
        <f>IF('Expenses w MYP'!$F64="","",IF('Cash Flow %s Yr2'!I92="","",'Cash Flow %s Yr2'!I92*'Expenses w MYP'!$F64))</f>
        <v/>
      </c>
      <c r="J92" s="62" t="str">
        <f>IF('Expenses w MYP'!$F64="","",IF('Cash Flow %s Yr2'!J92="","",'Cash Flow %s Yr2'!J92*'Expenses w MYP'!$F64))</f>
        <v/>
      </c>
      <c r="K92" s="62" t="str">
        <f>IF('Expenses w MYP'!$F64="","",IF('Cash Flow %s Yr2'!K92="","",'Cash Flow %s Yr2'!K92*'Expenses w MYP'!$F64))</f>
        <v/>
      </c>
      <c r="L92" s="62" t="str">
        <f>IF('Expenses w MYP'!$F64="","",IF('Cash Flow %s Yr2'!L92="","",'Cash Flow %s Yr2'!L92*'Expenses w MYP'!$F64))</f>
        <v/>
      </c>
      <c r="M92" s="62" t="str">
        <f>IF('Expenses w MYP'!$F64="","",IF('Cash Flow %s Yr2'!M92="","",'Cash Flow %s Yr2'!M92*'Expenses w MYP'!$F64))</f>
        <v/>
      </c>
      <c r="N92" s="62" t="str">
        <f>IF('Expenses w MYP'!$F64="","",IF('Cash Flow %s Yr2'!N92="","",'Cash Flow %s Yr2'!N92*'Expenses w MYP'!$F64))</f>
        <v/>
      </c>
      <c r="O92" s="62" t="str">
        <f>IF('Expenses w MYP'!$F64="","",IF('Cash Flow %s Yr2'!O92="","",'Cash Flow %s Yr2'!O92*'Expenses w MYP'!$F64))</f>
        <v/>
      </c>
      <c r="P92" s="113"/>
      <c r="Q92" s="113"/>
      <c r="R92" s="113"/>
      <c r="S92" s="97" t="str">
        <f>IF(SUM(D92:R92)&gt;0,SUM(D92:R92)/'Expenses w MYP'!$F64,"")</f>
        <v/>
      </c>
    </row>
    <row r="93" spans="1:19" x14ac:dyDescent="0.75">
      <c r="A93" s="35"/>
      <c r="B93" s="121" t="str">
        <f>'Expenses w MYP'!C65</f>
        <v>4381</v>
      </c>
      <c r="C93" s="121" t="str">
        <f>'Expenses w MYP'!D65</f>
        <v>Materials for Plant &amp; Equipment</v>
      </c>
      <c r="D93" s="62" t="str">
        <f>IF('Expenses w MYP'!$F65="","",IF('Cash Flow %s Yr2'!D93="","",'Cash Flow %s Yr2'!D93*'Expenses w MYP'!$F65))</f>
        <v/>
      </c>
      <c r="E93" s="62" t="str">
        <f>IF('Expenses w MYP'!$F65="","",IF('Cash Flow %s Yr2'!E93="","",'Cash Flow %s Yr2'!E93*'Expenses w MYP'!$F65))</f>
        <v/>
      </c>
      <c r="F93" s="62" t="str">
        <f>IF('Expenses w MYP'!$F65="","",IF('Cash Flow %s Yr2'!F93="","",'Cash Flow %s Yr2'!F93*'Expenses w MYP'!$F65))</f>
        <v/>
      </c>
      <c r="G93" s="62" t="str">
        <f>IF('Expenses w MYP'!$F65="","",IF('Cash Flow %s Yr2'!G93="","",'Cash Flow %s Yr2'!G93*'Expenses w MYP'!$F65))</f>
        <v/>
      </c>
      <c r="H93" s="62" t="str">
        <f>IF('Expenses w MYP'!$F65="","",IF('Cash Flow %s Yr2'!H93="","",'Cash Flow %s Yr2'!H93*'Expenses w MYP'!$F65))</f>
        <v/>
      </c>
      <c r="I93" s="62" t="str">
        <f>IF('Expenses w MYP'!$F65="","",IF('Cash Flow %s Yr2'!I93="","",'Cash Flow %s Yr2'!I93*'Expenses w MYP'!$F65))</f>
        <v/>
      </c>
      <c r="J93" s="62" t="str">
        <f>IF('Expenses w MYP'!$F65="","",IF('Cash Flow %s Yr2'!J93="","",'Cash Flow %s Yr2'!J93*'Expenses w MYP'!$F65))</f>
        <v/>
      </c>
      <c r="K93" s="62" t="str">
        <f>IF('Expenses w MYP'!$F65="","",IF('Cash Flow %s Yr2'!K93="","",'Cash Flow %s Yr2'!K93*'Expenses w MYP'!$F65))</f>
        <v/>
      </c>
      <c r="L93" s="62" t="str">
        <f>IF('Expenses w MYP'!$F65="","",IF('Cash Flow %s Yr2'!L93="","",'Cash Flow %s Yr2'!L93*'Expenses w MYP'!$F65))</f>
        <v/>
      </c>
      <c r="M93" s="62" t="str">
        <f>IF('Expenses w MYP'!$F65="","",IF('Cash Flow %s Yr2'!M93="","",'Cash Flow %s Yr2'!M93*'Expenses w MYP'!$F65))</f>
        <v/>
      </c>
      <c r="N93" s="62" t="str">
        <f>IF('Expenses w MYP'!$F65="","",IF('Cash Flow %s Yr2'!N93="","",'Cash Flow %s Yr2'!N93*'Expenses w MYP'!$F65))</f>
        <v/>
      </c>
      <c r="O93" s="62" t="str">
        <f>IF('Expenses w MYP'!$F65="","",IF('Cash Flow %s Yr2'!O93="","",'Cash Flow %s Yr2'!O93*'Expenses w MYP'!$F65))</f>
        <v/>
      </c>
      <c r="P93" s="113"/>
      <c r="Q93" s="113"/>
      <c r="R93" s="113"/>
      <c r="S93" s="97" t="str">
        <f>IF(SUM(D93:R93)&gt;0,SUM(D93:R93)/'Expenses w MYP'!$F65,"")</f>
        <v/>
      </c>
    </row>
    <row r="94" spans="1:19" x14ac:dyDescent="0.75">
      <c r="A94" s="35"/>
      <c r="B94" s="121" t="str">
        <f>'Expenses w MYP'!C66</f>
        <v>4400</v>
      </c>
      <c r="C94" s="121" t="str">
        <f>'Expenses w MYP'!D66</f>
        <v>Noncapitalized Equipment</v>
      </c>
      <c r="D94" s="62" t="str">
        <f>IF('Expenses w MYP'!$F66="","",IF('Cash Flow %s Yr2'!D94="","",'Cash Flow %s Yr2'!D94*'Expenses w MYP'!$F66))</f>
        <v/>
      </c>
      <c r="E94" s="62" t="str">
        <f>IF('Expenses w MYP'!$F66="","",IF('Cash Flow %s Yr2'!E94="","",'Cash Flow %s Yr2'!E94*'Expenses w MYP'!$F66))</f>
        <v/>
      </c>
      <c r="F94" s="62" t="str">
        <f>IF('Expenses w MYP'!$F66="","",IF('Cash Flow %s Yr2'!F94="","",'Cash Flow %s Yr2'!F94*'Expenses w MYP'!$F66))</f>
        <v/>
      </c>
      <c r="G94" s="62" t="str">
        <f>IF('Expenses w MYP'!$F66="","",IF('Cash Flow %s Yr2'!G94="","",'Cash Flow %s Yr2'!G94*'Expenses w MYP'!$F66))</f>
        <v/>
      </c>
      <c r="H94" s="62" t="str">
        <f>IF('Expenses w MYP'!$F66="","",IF('Cash Flow %s Yr2'!H94="","",'Cash Flow %s Yr2'!H94*'Expenses w MYP'!$F66))</f>
        <v/>
      </c>
      <c r="I94" s="62" t="str">
        <f>IF('Expenses w MYP'!$F66="","",IF('Cash Flow %s Yr2'!I94="","",'Cash Flow %s Yr2'!I94*'Expenses w MYP'!$F66))</f>
        <v/>
      </c>
      <c r="J94" s="62" t="str">
        <f>IF('Expenses w MYP'!$F66="","",IF('Cash Flow %s Yr2'!J94="","",'Cash Flow %s Yr2'!J94*'Expenses w MYP'!$F66))</f>
        <v/>
      </c>
      <c r="K94" s="62" t="str">
        <f>IF('Expenses w MYP'!$F66="","",IF('Cash Flow %s Yr2'!K94="","",'Cash Flow %s Yr2'!K94*'Expenses w MYP'!$F66))</f>
        <v/>
      </c>
      <c r="L94" s="62" t="str">
        <f>IF('Expenses w MYP'!$F66="","",IF('Cash Flow %s Yr2'!L94="","",'Cash Flow %s Yr2'!L94*'Expenses w MYP'!$F66))</f>
        <v/>
      </c>
      <c r="M94" s="62" t="str">
        <f>IF('Expenses w MYP'!$F66="","",IF('Cash Flow %s Yr2'!M94="","",'Cash Flow %s Yr2'!M94*'Expenses w MYP'!$F66))</f>
        <v/>
      </c>
      <c r="N94" s="62" t="str">
        <f>IF('Expenses w MYP'!$F66="","",IF('Cash Flow %s Yr2'!N94="","",'Cash Flow %s Yr2'!N94*'Expenses w MYP'!$F66))</f>
        <v/>
      </c>
      <c r="O94" s="62" t="str">
        <f>IF('Expenses w MYP'!$F66="","",IF('Cash Flow %s Yr2'!O94="","",'Cash Flow %s Yr2'!O94*'Expenses w MYP'!$F66))</f>
        <v/>
      </c>
      <c r="P94" s="113"/>
      <c r="Q94" s="113"/>
      <c r="R94" s="113"/>
      <c r="S94" s="97" t="str">
        <f>IF(SUM(D94:R94)&gt;0,SUM(D94:R94)/'Expenses w MYP'!$F66,"")</f>
        <v/>
      </c>
    </row>
    <row r="95" spans="1:19" hidden="1" outlineLevel="1" x14ac:dyDescent="0.75">
      <c r="A95" s="35"/>
      <c r="B95" s="121" t="str">
        <f>'Expenses w MYP'!C68</f>
        <v>4430</v>
      </c>
      <c r="C95" s="121" t="str">
        <f>'Expenses w MYP'!D68</f>
        <v>General Student Equipment</v>
      </c>
      <c r="D95" s="62" t="str">
        <f>IF('Expenses w MYP'!$F68="","",IF('Cash Flow %s Yr2'!D95="","",'Cash Flow %s Yr2'!D95*'Expenses w MYP'!$F68))</f>
        <v/>
      </c>
      <c r="E95" s="62" t="str">
        <f>IF('Expenses w MYP'!$F68="","",IF('Cash Flow %s Yr2'!E95="","",'Cash Flow %s Yr2'!E95*'Expenses w MYP'!$F68))</f>
        <v/>
      </c>
      <c r="F95" s="62" t="str">
        <f>IF('Expenses w MYP'!$F68="","",IF('Cash Flow %s Yr2'!F95="","",'Cash Flow %s Yr2'!F95*'Expenses w MYP'!$F68))</f>
        <v/>
      </c>
      <c r="G95" s="62" t="str">
        <f>IF('Expenses w MYP'!$F68="","",IF('Cash Flow %s Yr2'!G95="","",'Cash Flow %s Yr2'!G95*'Expenses w MYP'!$F68))</f>
        <v/>
      </c>
      <c r="H95" s="62" t="str">
        <f>IF('Expenses w MYP'!$F68="","",IF('Cash Flow %s Yr2'!H95="","",'Cash Flow %s Yr2'!H95*'Expenses w MYP'!$F68))</f>
        <v/>
      </c>
      <c r="I95" s="62" t="str">
        <f>IF('Expenses w MYP'!$F68="","",IF('Cash Flow %s Yr2'!I95="","",'Cash Flow %s Yr2'!I95*'Expenses w MYP'!$F68))</f>
        <v/>
      </c>
      <c r="J95" s="62" t="str">
        <f>IF('Expenses w MYP'!$F68="","",IF('Cash Flow %s Yr2'!J95="","",'Cash Flow %s Yr2'!J95*'Expenses w MYP'!$F68))</f>
        <v/>
      </c>
      <c r="K95" s="62" t="str">
        <f>IF('Expenses w MYP'!$F68="","",IF('Cash Flow %s Yr2'!K95="","",'Cash Flow %s Yr2'!K95*'Expenses w MYP'!$F68))</f>
        <v/>
      </c>
      <c r="L95" s="62" t="str">
        <f>IF('Expenses w MYP'!$F68="","",IF('Cash Flow %s Yr2'!L95="","",'Cash Flow %s Yr2'!L95*'Expenses w MYP'!$F68))</f>
        <v/>
      </c>
      <c r="M95" s="62" t="str">
        <f>IF('Expenses w MYP'!$F68="","",IF('Cash Flow %s Yr2'!M95="","",'Cash Flow %s Yr2'!M95*'Expenses w MYP'!$F68))</f>
        <v/>
      </c>
      <c r="N95" s="62" t="str">
        <f>IF('Expenses w MYP'!$F68="","",IF('Cash Flow %s Yr2'!N95="","",'Cash Flow %s Yr2'!N95*'Expenses w MYP'!$F68))</f>
        <v/>
      </c>
      <c r="O95" s="62" t="str">
        <f>IF('Expenses w MYP'!$F68="","",IF('Cash Flow %s Yr2'!O95="","",'Cash Flow %s Yr2'!O95*'Expenses w MYP'!$F68))</f>
        <v/>
      </c>
      <c r="P95" s="113"/>
      <c r="Q95" s="113"/>
      <c r="R95" s="113"/>
      <c r="S95" s="97"/>
    </row>
    <row r="96" spans="1:19" hidden="1" outlineLevel="1" x14ac:dyDescent="0.75">
      <c r="A96" s="35"/>
      <c r="B96" s="121" t="e">
        <f>'Expenses w MYP'!#REF!</f>
        <v>#REF!</v>
      </c>
      <c r="C96" s="121" t="e">
        <f>'Expenses w MYP'!#REF!</f>
        <v>#REF!</v>
      </c>
      <c r="D96" s="62" t="e">
        <f>IF('Expenses w MYP'!#REF!="","",IF('Cash Flow %s Yr2'!D96="","",'Cash Flow %s Yr2'!D96*'Expenses w MYP'!#REF!))</f>
        <v>#REF!</v>
      </c>
      <c r="E96" s="62" t="e">
        <f>IF('Expenses w MYP'!#REF!="","",IF('Cash Flow %s Yr2'!E96="","",'Cash Flow %s Yr2'!E96*'Expenses w MYP'!#REF!))</f>
        <v>#REF!</v>
      </c>
      <c r="F96" s="62" t="e">
        <f>IF('Expenses w MYP'!#REF!="","",IF('Cash Flow %s Yr2'!F96="","",'Cash Flow %s Yr2'!F96*'Expenses w MYP'!#REF!))</f>
        <v>#REF!</v>
      </c>
      <c r="G96" s="62" t="e">
        <f>IF('Expenses w MYP'!#REF!="","",IF('Cash Flow %s Yr2'!G96="","",'Cash Flow %s Yr2'!G96*'Expenses w MYP'!#REF!))</f>
        <v>#REF!</v>
      </c>
      <c r="H96" s="62" t="e">
        <f>IF('Expenses w MYP'!#REF!="","",IF('Cash Flow %s Yr2'!H96="","",'Cash Flow %s Yr2'!H96*'Expenses w MYP'!#REF!))</f>
        <v>#REF!</v>
      </c>
      <c r="I96" s="62" t="e">
        <f>IF('Expenses w MYP'!#REF!="","",IF('Cash Flow %s Yr2'!I96="","",'Cash Flow %s Yr2'!I96*'Expenses w MYP'!#REF!))</f>
        <v>#REF!</v>
      </c>
      <c r="J96" s="62" t="e">
        <f>IF('Expenses w MYP'!#REF!="","",IF('Cash Flow %s Yr2'!J96="","",'Cash Flow %s Yr2'!J96*'Expenses w MYP'!#REF!))</f>
        <v>#REF!</v>
      </c>
      <c r="K96" s="62" t="e">
        <f>IF('Expenses w MYP'!#REF!="","",IF('Cash Flow %s Yr2'!K96="","",'Cash Flow %s Yr2'!K96*'Expenses w MYP'!#REF!))</f>
        <v>#REF!</v>
      </c>
      <c r="L96" s="62" t="e">
        <f>IF('Expenses w MYP'!#REF!="","",IF('Cash Flow %s Yr2'!L96="","",'Cash Flow %s Yr2'!L96*'Expenses w MYP'!#REF!))</f>
        <v>#REF!</v>
      </c>
      <c r="M96" s="62" t="e">
        <f>IF('Expenses w MYP'!#REF!="","",IF('Cash Flow %s Yr2'!M96="","",'Cash Flow %s Yr2'!M96*'Expenses w MYP'!#REF!))</f>
        <v>#REF!</v>
      </c>
      <c r="N96" s="62" t="e">
        <f>IF('Expenses w MYP'!#REF!="","",IF('Cash Flow %s Yr2'!N96="","",'Cash Flow %s Yr2'!N96*'Expenses w MYP'!#REF!))</f>
        <v>#REF!</v>
      </c>
      <c r="O96" s="62" t="e">
        <f>IF('Expenses w MYP'!#REF!="","",IF('Cash Flow %s Yr2'!O96="","",'Cash Flow %s Yr2'!O96*'Expenses w MYP'!#REF!))</f>
        <v>#REF!</v>
      </c>
      <c r="P96" s="113"/>
      <c r="Q96" s="113"/>
      <c r="R96" s="113"/>
      <c r="S96" s="97"/>
    </row>
    <row r="97" spans="1:19" hidden="1" outlineLevel="1" x14ac:dyDescent="0.75">
      <c r="A97" s="35"/>
      <c r="B97" s="121" t="e">
        <f>'Expenses w MYP'!#REF!</f>
        <v>#REF!</v>
      </c>
      <c r="C97" s="121" t="e">
        <f>'Expenses w MYP'!#REF!</f>
        <v>#REF!</v>
      </c>
      <c r="D97" s="62" t="e">
        <f>IF('Expenses w MYP'!#REF!="","",IF('Cash Flow %s Yr2'!D97="","",'Cash Flow %s Yr2'!D97*'Expenses w MYP'!#REF!))</f>
        <v>#REF!</v>
      </c>
      <c r="E97" s="62" t="e">
        <f>IF('Expenses w MYP'!#REF!="","",IF('Cash Flow %s Yr2'!E97="","",'Cash Flow %s Yr2'!E97*'Expenses w MYP'!#REF!))</f>
        <v>#REF!</v>
      </c>
      <c r="F97" s="62" t="e">
        <f>IF('Expenses w MYP'!#REF!="","",IF('Cash Flow %s Yr2'!F97="","",'Cash Flow %s Yr2'!F97*'Expenses w MYP'!#REF!))</f>
        <v>#REF!</v>
      </c>
      <c r="G97" s="62" t="e">
        <f>IF('Expenses w MYP'!#REF!="","",IF('Cash Flow %s Yr2'!G97="","",'Cash Flow %s Yr2'!G97*'Expenses w MYP'!#REF!))</f>
        <v>#REF!</v>
      </c>
      <c r="H97" s="62" t="e">
        <f>IF('Expenses w MYP'!#REF!="","",IF('Cash Flow %s Yr2'!H97="","",'Cash Flow %s Yr2'!H97*'Expenses w MYP'!#REF!))</f>
        <v>#REF!</v>
      </c>
      <c r="I97" s="62" t="e">
        <f>IF('Expenses w MYP'!#REF!="","",IF('Cash Flow %s Yr2'!I97="","",'Cash Flow %s Yr2'!I97*'Expenses w MYP'!#REF!))</f>
        <v>#REF!</v>
      </c>
      <c r="J97" s="62" t="e">
        <f>IF('Expenses w MYP'!#REF!="","",IF('Cash Flow %s Yr2'!J97="","",'Cash Flow %s Yr2'!J97*'Expenses w MYP'!#REF!))</f>
        <v>#REF!</v>
      </c>
      <c r="K97" s="62" t="e">
        <f>IF('Expenses w MYP'!#REF!="","",IF('Cash Flow %s Yr2'!K97="","",'Cash Flow %s Yr2'!K97*'Expenses w MYP'!#REF!))</f>
        <v>#REF!</v>
      </c>
      <c r="L97" s="62" t="e">
        <f>IF('Expenses w MYP'!#REF!="","",IF('Cash Flow %s Yr2'!L97="","",'Cash Flow %s Yr2'!L97*'Expenses w MYP'!#REF!))</f>
        <v>#REF!</v>
      </c>
      <c r="M97" s="62" t="e">
        <f>IF('Expenses w MYP'!#REF!="","",IF('Cash Flow %s Yr2'!M97="","",'Cash Flow %s Yr2'!M97*'Expenses w MYP'!#REF!))</f>
        <v>#REF!</v>
      </c>
      <c r="N97" s="62" t="e">
        <f>IF('Expenses w MYP'!#REF!="","",IF('Cash Flow %s Yr2'!N97="","",'Cash Flow %s Yr2'!N97*'Expenses w MYP'!#REF!))</f>
        <v>#REF!</v>
      </c>
      <c r="O97" s="62" t="e">
        <f>IF('Expenses w MYP'!#REF!="","",IF('Cash Flow %s Yr2'!O97="","",'Cash Flow %s Yr2'!O97*'Expenses w MYP'!#REF!))</f>
        <v>#REF!</v>
      </c>
      <c r="P97" s="113"/>
      <c r="Q97" s="113"/>
      <c r="R97" s="113"/>
      <c r="S97" s="97"/>
    </row>
    <row r="98" spans="1:19" hidden="1" outlineLevel="1" x14ac:dyDescent="0.75">
      <c r="A98" s="35"/>
      <c r="B98" s="121" t="e">
        <f>'Expenses w MYP'!#REF!</f>
        <v>#REF!</v>
      </c>
      <c r="C98" s="121" t="e">
        <f>'Expenses w MYP'!#REF!</f>
        <v>#REF!</v>
      </c>
      <c r="D98" s="62" t="e">
        <f>IF('Expenses w MYP'!#REF!="","",IF('Cash Flow %s Yr2'!D98="","",'Cash Flow %s Yr2'!D98*'Expenses w MYP'!#REF!))</f>
        <v>#REF!</v>
      </c>
      <c r="E98" s="62" t="e">
        <f>IF('Expenses w MYP'!#REF!="","",IF('Cash Flow %s Yr2'!E98="","",'Cash Flow %s Yr2'!E98*'Expenses w MYP'!#REF!))</f>
        <v>#REF!</v>
      </c>
      <c r="F98" s="62" t="e">
        <f>IF('Expenses w MYP'!#REF!="","",IF('Cash Flow %s Yr2'!F98="","",'Cash Flow %s Yr2'!F98*'Expenses w MYP'!#REF!))</f>
        <v>#REF!</v>
      </c>
      <c r="G98" s="62" t="e">
        <f>IF('Expenses w MYP'!#REF!="","",IF('Cash Flow %s Yr2'!G98="","",'Cash Flow %s Yr2'!G98*'Expenses w MYP'!#REF!))</f>
        <v>#REF!</v>
      </c>
      <c r="H98" s="62" t="e">
        <f>IF('Expenses w MYP'!#REF!="","",IF('Cash Flow %s Yr2'!H98="","",'Cash Flow %s Yr2'!H98*'Expenses w MYP'!#REF!))</f>
        <v>#REF!</v>
      </c>
      <c r="I98" s="62" t="e">
        <f>IF('Expenses w MYP'!#REF!="","",IF('Cash Flow %s Yr2'!I98="","",'Cash Flow %s Yr2'!I98*'Expenses w MYP'!#REF!))</f>
        <v>#REF!</v>
      </c>
      <c r="J98" s="62" t="e">
        <f>IF('Expenses w MYP'!#REF!="","",IF('Cash Flow %s Yr2'!J98="","",'Cash Flow %s Yr2'!J98*'Expenses w MYP'!#REF!))</f>
        <v>#REF!</v>
      </c>
      <c r="K98" s="62" t="e">
        <f>IF('Expenses w MYP'!#REF!="","",IF('Cash Flow %s Yr2'!K98="","",'Cash Flow %s Yr2'!K98*'Expenses w MYP'!#REF!))</f>
        <v>#REF!</v>
      </c>
      <c r="L98" s="62" t="e">
        <f>IF('Expenses w MYP'!#REF!="","",IF('Cash Flow %s Yr2'!L98="","",'Cash Flow %s Yr2'!L98*'Expenses w MYP'!#REF!))</f>
        <v>#REF!</v>
      </c>
      <c r="M98" s="62" t="e">
        <f>IF('Expenses w MYP'!#REF!="","",IF('Cash Flow %s Yr2'!M98="","",'Cash Flow %s Yr2'!M98*'Expenses w MYP'!#REF!))</f>
        <v>#REF!</v>
      </c>
      <c r="N98" s="62" t="e">
        <f>IF('Expenses w MYP'!#REF!="","",IF('Cash Flow %s Yr2'!N98="","",'Cash Flow %s Yr2'!N98*'Expenses w MYP'!#REF!))</f>
        <v>#REF!</v>
      </c>
      <c r="O98" s="62" t="e">
        <f>IF('Expenses w MYP'!#REF!="","",IF('Cash Flow %s Yr2'!O98="","",'Cash Flow %s Yr2'!O98*'Expenses w MYP'!#REF!))</f>
        <v>#REF!</v>
      </c>
      <c r="P98" s="113"/>
      <c r="Q98" s="113"/>
      <c r="R98" s="113"/>
      <c r="S98" s="97"/>
    </row>
    <row r="99" spans="1:19" hidden="1" outlineLevel="1" x14ac:dyDescent="0.75">
      <c r="A99" s="35"/>
      <c r="B99" s="121" t="e">
        <f>'Expenses w MYP'!#REF!</f>
        <v>#REF!</v>
      </c>
      <c r="C99" s="121" t="e">
        <f>'Expenses w MYP'!#REF!</f>
        <v>#REF!</v>
      </c>
      <c r="D99" s="62" t="e">
        <f>IF('Expenses w MYP'!#REF!="","",IF('Cash Flow %s Yr2'!D99="","",'Cash Flow %s Yr2'!D99*'Expenses w MYP'!#REF!))</f>
        <v>#REF!</v>
      </c>
      <c r="E99" s="62" t="e">
        <f>IF('Expenses w MYP'!#REF!="","",IF('Cash Flow %s Yr2'!E99="","",'Cash Flow %s Yr2'!E99*'Expenses w MYP'!#REF!))</f>
        <v>#REF!</v>
      </c>
      <c r="F99" s="62" t="e">
        <f>IF('Expenses w MYP'!#REF!="","",IF('Cash Flow %s Yr2'!F99="","",'Cash Flow %s Yr2'!F99*'Expenses w MYP'!#REF!))</f>
        <v>#REF!</v>
      </c>
      <c r="G99" s="62" t="e">
        <f>IF('Expenses w MYP'!#REF!="","",IF('Cash Flow %s Yr2'!G99="","",'Cash Flow %s Yr2'!G99*'Expenses w MYP'!#REF!))</f>
        <v>#REF!</v>
      </c>
      <c r="H99" s="62" t="e">
        <f>IF('Expenses w MYP'!#REF!="","",IF('Cash Flow %s Yr2'!H99="","",'Cash Flow %s Yr2'!H99*'Expenses w MYP'!#REF!))</f>
        <v>#REF!</v>
      </c>
      <c r="I99" s="62" t="e">
        <f>IF('Expenses w MYP'!#REF!="","",IF('Cash Flow %s Yr2'!I99="","",'Cash Flow %s Yr2'!I99*'Expenses w MYP'!#REF!))</f>
        <v>#REF!</v>
      </c>
      <c r="J99" s="62" t="e">
        <f>IF('Expenses w MYP'!#REF!="","",IF('Cash Flow %s Yr2'!J99="","",'Cash Flow %s Yr2'!J99*'Expenses w MYP'!#REF!))</f>
        <v>#REF!</v>
      </c>
      <c r="K99" s="62" t="e">
        <f>IF('Expenses w MYP'!#REF!="","",IF('Cash Flow %s Yr2'!K99="","",'Cash Flow %s Yr2'!K99*'Expenses w MYP'!#REF!))</f>
        <v>#REF!</v>
      </c>
      <c r="L99" s="62" t="e">
        <f>IF('Expenses w MYP'!#REF!="","",IF('Cash Flow %s Yr2'!L99="","",'Cash Flow %s Yr2'!L99*'Expenses w MYP'!#REF!))</f>
        <v>#REF!</v>
      </c>
      <c r="M99" s="62" t="e">
        <f>IF('Expenses w MYP'!#REF!="","",IF('Cash Flow %s Yr2'!M99="","",'Cash Flow %s Yr2'!M99*'Expenses w MYP'!#REF!))</f>
        <v>#REF!</v>
      </c>
      <c r="N99" s="62" t="e">
        <f>IF('Expenses w MYP'!#REF!="","",IF('Cash Flow %s Yr2'!N99="","",'Cash Flow %s Yr2'!N99*'Expenses w MYP'!#REF!))</f>
        <v>#REF!</v>
      </c>
      <c r="O99" s="62" t="e">
        <f>IF('Expenses w MYP'!#REF!="","",IF('Cash Flow %s Yr2'!O99="","",'Cash Flow %s Yr2'!O99*'Expenses w MYP'!#REF!))</f>
        <v>#REF!</v>
      </c>
      <c r="P99" s="113"/>
      <c r="Q99" s="113"/>
      <c r="R99" s="113"/>
      <c r="S99" s="97"/>
    </row>
    <row r="100" spans="1:19" hidden="1" outlineLevel="1" x14ac:dyDescent="0.75">
      <c r="A100" s="35"/>
      <c r="B100" s="121" t="e">
        <f>'Expenses w MYP'!#REF!</f>
        <v>#REF!</v>
      </c>
      <c r="C100" s="121" t="e">
        <f>'Expenses w MYP'!#REF!</f>
        <v>#REF!</v>
      </c>
      <c r="D100" s="62" t="e">
        <f>IF('Expenses w MYP'!#REF!="","",IF('Cash Flow %s Yr2'!D100="","",'Cash Flow %s Yr2'!D100*'Expenses w MYP'!#REF!))</f>
        <v>#REF!</v>
      </c>
      <c r="E100" s="62" t="e">
        <f>IF('Expenses w MYP'!#REF!="","",IF('Cash Flow %s Yr2'!E100="","",'Cash Flow %s Yr2'!E100*'Expenses w MYP'!#REF!))</f>
        <v>#REF!</v>
      </c>
      <c r="F100" s="62" t="e">
        <f>IF('Expenses w MYP'!#REF!="","",IF('Cash Flow %s Yr2'!F100="","",'Cash Flow %s Yr2'!F100*'Expenses w MYP'!#REF!))</f>
        <v>#REF!</v>
      </c>
      <c r="G100" s="62" t="e">
        <f>IF('Expenses w MYP'!#REF!="","",IF('Cash Flow %s Yr2'!G100="","",'Cash Flow %s Yr2'!G100*'Expenses w MYP'!#REF!))</f>
        <v>#REF!</v>
      </c>
      <c r="H100" s="62" t="e">
        <f>IF('Expenses w MYP'!#REF!="","",IF('Cash Flow %s Yr2'!H100="","",'Cash Flow %s Yr2'!H100*'Expenses w MYP'!#REF!))</f>
        <v>#REF!</v>
      </c>
      <c r="I100" s="62" t="e">
        <f>IF('Expenses w MYP'!#REF!="","",IF('Cash Flow %s Yr2'!I100="","",'Cash Flow %s Yr2'!I100*'Expenses w MYP'!#REF!))</f>
        <v>#REF!</v>
      </c>
      <c r="J100" s="62" t="e">
        <f>IF('Expenses w MYP'!#REF!="","",IF('Cash Flow %s Yr2'!J100="","",'Cash Flow %s Yr2'!J100*'Expenses w MYP'!#REF!))</f>
        <v>#REF!</v>
      </c>
      <c r="K100" s="62" t="e">
        <f>IF('Expenses w MYP'!#REF!="","",IF('Cash Flow %s Yr2'!K100="","",'Cash Flow %s Yr2'!K100*'Expenses w MYP'!#REF!))</f>
        <v>#REF!</v>
      </c>
      <c r="L100" s="62" t="e">
        <f>IF('Expenses w MYP'!#REF!="","",IF('Cash Flow %s Yr2'!L100="","",'Cash Flow %s Yr2'!L100*'Expenses w MYP'!#REF!))</f>
        <v>#REF!</v>
      </c>
      <c r="M100" s="62" t="e">
        <f>IF('Expenses w MYP'!#REF!="","",IF('Cash Flow %s Yr2'!M100="","",'Cash Flow %s Yr2'!M100*'Expenses w MYP'!#REF!))</f>
        <v>#REF!</v>
      </c>
      <c r="N100" s="62" t="e">
        <f>IF('Expenses w MYP'!#REF!="","",IF('Cash Flow %s Yr2'!N100="","",'Cash Flow %s Yr2'!N100*'Expenses w MYP'!#REF!))</f>
        <v>#REF!</v>
      </c>
      <c r="O100" s="62" t="e">
        <f>IF('Expenses w MYP'!#REF!="","",IF('Cash Flow %s Yr2'!O100="","",'Cash Flow %s Yr2'!O100*'Expenses w MYP'!#REF!))</f>
        <v>#REF!</v>
      </c>
      <c r="P100" s="113"/>
      <c r="Q100" s="113"/>
      <c r="R100" s="113"/>
      <c r="S100" s="97"/>
    </row>
    <row r="101" spans="1:19" hidden="1" outlineLevel="1" x14ac:dyDescent="0.75">
      <c r="A101" s="35"/>
      <c r="B101" s="121" t="e">
        <f>'Expenses w MYP'!#REF!</f>
        <v>#REF!</v>
      </c>
      <c r="C101" s="121" t="e">
        <f>'Expenses w MYP'!#REF!</f>
        <v>#REF!</v>
      </c>
      <c r="D101" s="62" t="e">
        <f>IF('Expenses w MYP'!#REF!="","",IF('Cash Flow %s Yr2'!D101="","",'Cash Flow %s Yr2'!D101*'Expenses w MYP'!#REF!))</f>
        <v>#REF!</v>
      </c>
      <c r="E101" s="62" t="e">
        <f>IF('Expenses w MYP'!#REF!="","",IF('Cash Flow %s Yr2'!E101="","",'Cash Flow %s Yr2'!E101*'Expenses w MYP'!#REF!))</f>
        <v>#REF!</v>
      </c>
      <c r="F101" s="62" t="e">
        <f>IF('Expenses w MYP'!#REF!="","",IF('Cash Flow %s Yr2'!F101="","",'Cash Flow %s Yr2'!F101*'Expenses w MYP'!#REF!))</f>
        <v>#REF!</v>
      </c>
      <c r="G101" s="62" t="e">
        <f>IF('Expenses w MYP'!#REF!="","",IF('Cash Flow %s Yr2'!G101="","",'Cash Flow %s Yr2'!G101*'Expenses w MYP'!#REF!))</f>
        <v>#REF!</v>
      </c>
      <c r="H101" s="62" t="e">
        <f>IF('Expenses w MYP'!#REF!="","",IF('Cash Flow %s Yr2'!H101="","",'Cash Flow %s Yr2'!H101*'Expenses w MYP'!#REF!))</f>
        <v>#REF!</v>
      </c>
      <c r="I101" s="62" t="e">
        <f>IF('Expenses w MYP'!#REF!="","",IF('Cash Flow %s Yr2'!I101="","",'Cash Flow %s Yr2'!I101*'Expenses w MYP'!#REF!))</f>
        <v>#REF!</v>
      </c>
      <c r="J101" s="62" t="e">
        <f>IF('Expenses w MYP'!#REF!="","",IF('Cash Flow %s Yr2'!J101="","",'Cash Flow %s Yr2'!J101*'Expenses w MYP'!#REF!))</f>
        <v>#REF!</v>
      </c>
      <c r="K101" s="62" t="e">
        <f>IF('Expenses w MYP'!#REF!="","",IF('Cash Flow %s Yr2'!K101="","",'Cash Flow %s Yr2'!K101*'Expenses w MYP'!#REF!))</f>
        <v>#REF!</v>
      </c>
      <c r="L101" s="62" t="e">
        <f>IF('Expenses w MYP'!#REF!="","",IF('Cash Flow %s Yr2'!L101="","",'Cash Flow %s Yr2'!L101*'Expenses w MYP'!#REF!))</f>
        <v>#REF!</v>
      </c>
      <c r="M101" s="62" t="e">
        <f>IF('Expenses w MYP'!#REF!="","",IF('Cash Flow %s Yr2'!M101="","",'Cash Flow %s Yr2'!M101*'Expenses w MYP'!#REF!))</f>
        <v>#REF!</v>
      </c>
      <c r="N101" s="62" t="e">
        <f>IF('Expenses w MYP'!#REF!="","",IF('Cash Flow %s Yr2'!N101="","",'Cash Flow %s Yr2'!N101*'Expenses w MYP'!#REF!))</f>
        <v>#REF!</v>
      </c>
      <c r="O101" s="62" t="e">
        <f>IF('Expenses w MYP'!#REF!="","",IF('Cash Flow %s Yr2'!O101="","",'Cash Flow %s Yr2'!O101*'Expenses w MYP'!#REF!))</f>
        <v>#REF!</v>
      </c>
      <c r="P101" s="113"/>
      <c r="Q101" s="113"/>
      <c r="R101" s="113"/>
      <c r="S101" s="97"/>
    </row>
    <row r="102" spans="1:19" hidden="1" outlineLevel="1" x14ac:dyDescent="0.75">
      <c r="A102" s="35"/>
      <c r="B102" s="121" t="e">
        <f>'Expenses w MYP'!#REF!</f>
        <v>#REF!</v>
      </c>
      <c r="C102" s="121" t="e">
        <f>'Expenses w MYP'!#REF!</f>
        <v>#REF!</v>
      </c>
      <c r="D102" s="62" t="e">
        <f>IF('Expenses w MYP'!#REF!="","",IF('Cash Flow %s Yr2'!D102="","",'Cash Flow %s Yr2'!D102*'Expenses w MYP'!#REF!))</f>
        <v>#REF!</v>
      </c>
      <c r="E102" s="62" t="e">
        <f>IF('Expenses w MYP'!#REF!="","",IF('Cash Flow %s Yr2'!E102="","",'Cash Flow %s Yr2'!E102*'Expenses w MYP'!#REF!))</f>
        <v>#REF!</v>
      </c>
      <c r="F102" s="62" t="e">
        <f>IF('Expenses w MYP'!#REF!="","",IF('Cash Flow %s Yr2'!F102="","",'Cash Flow %s Yr2'!F102*'Expenses w MYP'!#REF!))</f>
        <v>#REF!</v>
      </c>
      <c r="G102" s="62" t="e">
        <f>IF('Expenses w MYP'!#REF!="","",IF('Cash Flow %s Yr2'!G102="","",'Cash Flow %s Yr2'!G102*'Expenses w MYP'!#REF!))</f>
        <v>#REF!</v>
      </c>
      <c r="H102" s="62" t="e">
        <f>IF('Expenses w MYP'!#REF!="","",IF('Cash Flow %s Yr2'!H102="","",'Cash Flow %s Yr2'!H102*'Expenses w MYP'!#REF!))</f>
        <v>#REF!</v>
      </c>
      <c r="I102" s="62" t="e">
        <f>IF('Expenses w MYP'!#REF!="","",IF('Cash Flow %s Yr2'!I102="","",'Cash Flow %s Yr2'!I102*'Expenses w MYP'!#REF!))</f>
        <v>#REF!</v>
      </c>
      <c r="J102" s="62" t="e">
        <f>IF('Expenses w MYP'!#REF!="","",IF('Cash Flow %s Yr2'!J102="","",'Cash Flow %s Yr2'!J102*'Expenses w MYP'!#REF!))</f>
        <v>#REF!</v>
      </c>
      <c r="K102" s="62" t="e">
        <f>IF('Expenses w MYP'!#REF!="","",IF('Cash Flow %s Yr2'!K102="","",'Cash Flow %s Yr2'!K102*'Expenses w MYP'!#REF!))</f>
        <v>#REF!</v>
      </c>
      <c r="L102" s="62" t="e">
        <f>IF('Expenses w MYP'!#REF!="","",IF('Cash Flow %s Yr2'!L102="","",'Cash Flow %s Yr2'!L102*'Expenses w MYP'!#REF!))</f>
        <v>#REF!</v>
      </c>
      <c r="M102" s="62" t="e">
        <f>IF('Expenses w MYP'!#REF!="","",IF('Cash Flow %s Yr2'!M102="","",'Cash Flow %s Yr2'!M102*'Expenses w MYP'!#REF!))</f>
        <v>#REF!</v>
      </c>
      <c r="N102" s="62" t="e">
        <f>IF('Expenses w MYP'!#REF!="","",IF('Cash Flow %s Yr2'!N102="","",'Cash Flow %s Yr2'!N102*'Expenses w MYP'!#REF!))</f>
        <v>#REF!</v>
      </c>
      <c r="O102" s="62" t="e">
        <f>IF('Expenses w MYP'!#REF!="","",IF('Cash Flow %s Yr2'!O102="","",'Cash Flow %s Yr2'!O102*'Expenses w MYP'!#REF!))</f>
        <v>#REF!</v>
      </c>
      <c r="P102" s="113"/>
      <c r="Q102" s="113"/>
      <c r="R102" s="113"/>
      <c r="S102" s="97"/>
    </row>
    <row r="103" spans="1:19" hidden="1" outlineLevel="1" x14ac:dyDescent="0.75">
      <c r="A103" s="35"/>
      <c r="B103" s="121" t="e">
        <f>'Expenses w MYP'!#REF!</f>
        <v>#REF!</v>
      </c>
      <c r="C103" s="121" t="e">
        <f>'Expenses w MYP'!#REF!</f>
        <v>#REF!</v>
      </c>
      <c r="D103" s="62" t="e">
        <f>IF('Expenses w MYP'!#REF!="","",IF('Cash Flow %s Yr2'!D103="","",'Cash Flow %s Yr2'!D103*'Expenses w MYP'!#REF!))</f>
        <v>#REF!</v>
      </c>
      <c r="E103" s="62" t="e">
        <f>IF('Expenses w MYP'!#REF!="","",IF('Cash Flow %s Yr2'!E103="","",'Cash Flow %s Yr2'!E103*'Expenses w MYP'!#REF!))</f>
        <v>#REF!</v>
      </c>
      <c r="F103" s="62" t="e">
        <f>IF('Expenses w MYP'!#REF!="","",IF('Cash Flow %s Yr2'!F103="","",'Cash Flow %s Yr2'!F103*'Expenses w MYP'!#REF!))</f>
        <v>#REF!</v>
      </c>
      <c r="G103" s="62" t="e">
        <f>IF('Expenses w MYP'!#REF!="","",IF('Cash Flow %s Yr2'!G103="","",'Cash Flow %s Yr2'!G103*'Expenses w MYP'!#REF!))</f>
        <v>#REF!</v>
      </c>
      <c r="H103" s="62" t="e">
        <f>IF('Expenses w MYP'!#REF!="","",IF('Cash Flow %s Yr2'!H103="","",'Cash Flow %s Yr2'!H103*'Expenses w MYP'!#REF!))</f>
        <v>#REF!</v>
      </c>
      <c r="I103" s="62" t="e">
        <f>IF('Expenses w MYP'!#REF!="","",IF('Cash Flow %s Yr2'!I103="","",'Cash Flow %s Yr2'!I103*'Expenses w MYP'!#REF!))</f>
        <v>#REF!</v>
      </c>
      <c r="J103" s="62" t="e">
        <f>IF('Expenses w MYP'!#REF!="","",IF('Cash Flow %s Yr2'!J103="","",'Cash Flow %s Yr2'!J103*'Expenses w MYP'!#REF!))</f>
        <v>#REF!</v>
      </c>
      <c r="K103" s="62" t="e">
        <f>IF('Expenses w MYP'!#REF!="","",IF('Cash Flow %s Yr2'!K103="","",'Cash Flow %s Yr2'!K103*'Expenses w MYP'!#REF!))</f>
        <v>#REF!</v>
      </c>
      <c r="L103" s="62" t="e">
        <f>IF('Expenses w MYP'!#REF!="","",IF('Cash Flow %s Yr2'!L103="","",'Cash Flow %s Yr2'!L103*'Expenses w MYP'!#REF!))</f>
        <v>#REF!</v>
      </c>
      <c r="M103" s="62" t="e">
        <f>IF('Expenses w MYP'!#REF!="","",IF('Cash Flow %s Yr2'!M103="","",'Cash Flow %s Yr2'!M103*'Expenses w MYP'!#REF!))</f>
        <v>#REF!</v>
      </c>
      <c r="N103" s="62" t="e">
        <f>IF('Expenses w MYP'!#REF!="","",IF('Cash Flow %s Yr2'!N103="","",'Cash Flow %s Yr2'!N103*'Expenses w MYP'!#REF!))</f>
        <v>#REF!</v>
      </c>
      <c r="O103" s="62" t="e">
        <f>IF('Expenses w MYP'!#REF!="","",IF('Cash Flow %s Yr2'!O103="","",'Cash Flow %s Yr2'!O103*'Expenses w MYP'!#REF!))</f>
        <v>#REF!</v>
      </c>
      <c r="P103" s="113"/>
      <c r="Q103" s="113"/>
      <c r="R103" s="113"/>
      <c r="S103" s="97"/>
    </row>
    <row r="104" spans="1:19" hidden="1" outlineLevel="1" x14ac:dyDescent="0.75">
      <c r="A104" s="35"/>
      <c r="B104" s="121" t="e">
        <f>'Expenses w MYP'!#REF!</f>
        <v>#REF!</v>
      </c>
      <c r="C104" s="121" t="e">
        <f>'Expenses w MYP'!#REF!</f>
        <v>#REF!</v>
      </c>
      <c r="D104" s="62" t="e">
        <f>IF('Expenses w MYP'!#REF!="","",IF('Cash Flow %s Yr2'!D104="","",'Cash Flow %s Yr2'!D104*'Expenses w MYP'!#REF!))</f>
        <v>#REF!</v>
      </c>
      <c r="E104" s="62" t="e">
        <f>IF('Expenses w MYP'!#REF!="","",IF('Cash Flow %s Yr2'!E104="","",'Cash Flow %s Yr2'!E104*'Expenses w MYP'!#REF!))</f>
        <v>#REF!</v>
      </c>
      <c r="F104" s="62" t="e">
        <f>IF('Expenses w MYP'!#REF!="","",IF('Cash Flow %s Yr2'!F104="","",'Cash Flow %s Yr2'!F104*'Expenses w MYP'!#REF!))</f>
        <v>#REF!</v>
      </c>
      <c r="G104" s="62" t="e">
        <f>IF('Expenses w MYP'!#REF!="","",IF('Cash Flow %s Yr2'!G104="","",'Cash Flow %s Yr2'!G104*'Expenses w MYP'!#REF!))</f>
        <v>#REF!</v>
      </c>
      <c r="H104" s="62" t="e">
        <f>IF('Expenses w MYP'!#REF!="","",IF('Cash Flow %s Yr2'!H104="","",'Cash Flow %s Yr2'!H104*'Expenses w MYP'!#REF!))</f>
        <v>#REF!</v>
      </c>
      <c r="I104" s="62" t="e">
        <f>IF('Expenses w MYP'!#REF!="","",IF('Cash Flow %s Yr2'!I104="","",'Cash Flow %s Yr2'!I104*'Expenses w MYP'!#REF!))</f>
        <v>#REF!</v>
      </c>
      <c r="J104" s="62" t="e">
        <f>IF('Expenses w MYP'!#REF!="","",IF('Cash Flow %s Yr2'!J104="","",'Cash Flow %s Yr2'!J104*'Expenses w MYP'!#REF!))</f>
        <v>#REF!</v>
      </c>
      <c r="K104" s="62" t="e">
        <f>IF('Expenses w MYP'!#REF!="","",IF('Cash Flow %s Yr2'!K104="","",'Cash Flow %s Yr2'!K104*'Expenses w MYP'!#REF!))</f>
        <v>#REF!</v>
      </c>
      <c r="L104" s="62" t="e">
        <f>IF('Expenses w MYP'!#REF!="","",IF('Cash Flow %s Yr2'!L104="","",'Cash Flow %s Yr2'!L104*'Expenses w MYP'!#REF!))</f>
        <v>#REF!</v>
      </c>
      <c r="M104" s="62" t="e">
        <f>IF('Expenses w MYP'!#REF!="","",IF('Cash Flow %s Yr2'!M104="","",'Cash Flow %s Yr2'!M104*'Expenses w MYP'!#REF!))</f>
        <v>#REF!</v>
      </c>
      <c r="N104" s="62" t="e">
        <f>IF('Expenses w MYP'!#REF!="","",IF('Cash Flow %s Yr2'!N104="","",'Cash Flow %s Yr2'!N104*'Expenses w MYP'!#REF!))</f>
        <v>#REF!</v>
      </c>
      <c r="O104" s="62" t="e">
        <f>IF('Expenses w MYP'!#REF!="","",IF('Cash Flow %s Yr2'!O104="","",'Cash Flow %s Yr2'!O104*'Expenses w MYP'!#REF!))</f>
        <v>#REF!</v>
      </c>
      <c r="P104" s="113"/>
      <c r="Q104" s="113"/>
      <c r="R104" s="113"/>
      <c r="S104" s="97"/>
    </row>
    <row r="105" spans="1:19" s="31" customFormat="1" collapsed="1" x14ac:dyDescent="0.75">
      <c r="A105" s="35"/>
      <c r="B105" s="121" t="str">
        <f>'Expenses w MYP'!C69</f>
        <v>4700</v>
      </c>
      <c r="C105" s="121" t="str">
        <f>'Expenses w MYP'!D69</f>
        <v>Food and Food Supplies</v>
      </c>
      <c r="D105" s="62" t="str">
        <f>IF('Expenses w MYP'!$F69="","",IF('Cash Flow %s Yr2'!D105="","",'Cash Flow %s Yr2'!D105*'Expenses w MYP'!$F69))</f>
        <v/>
      </c>
      <c r="E105" s="62" t="str">
        <f>IF('Expenses w MYP'!$F69="","",IF('Cash Flow %s Yr2'!E105="","",'Cash Flow %s Yr2'!E105*'Expenses w MYP'!$F69))</f>
        <v/>
      </c>
      <c r="F105" s="62" t="str">
        <f>IF('Expenses w MYP'!$F69="","",IF('Cash Flow %s Yr2'!F105="","",'Cash Flow %s Yr2'!F105*'Expenses w MYP'!$F69))</f>
        <v/>
      </c>
      <c r="G105" s="62" t="str">
        <f>IF('Expenses w MYP'!$F69="","",IF('Cash Flow %s Yr2'!G105="","",'Cash Flow %s Yr2'!G105*'Expenses w MYP'!$F69))</f>
        <v/>
      </c>
      <c r="H105" s="62" t="str">
        <f>IF('Expenses w MYP'!$F69="","",IF('Cash Flow %s Yr2'!H105="","",'Cash Flow %s Yr2'!H105*'Expenses w MYP'!$F69))</f>
        <v/>
      </c>
      <c r="I105" s="62" t="str">
        <f>IF('Expenses w MYP'!$F69="","",IF('Cash Flow %s Yr2'!I105="","",'Cash Flow %s Yr2'!I105*'Expenses w MYP'!$F69))</f>
        <v/>
      </c>
      <c r="J105" s="62" t="str">
        <f>IF('Expenses w MYP'!$F69="","",IF('Cash Flow %s Yr2'!J105="","",'Cash Flow %s Yr2'!J105*'Expenses w MYP'!$F69))</f>
        <v/>
      </c>
      <c r="K105" s="62" t="str">
        <f>IF('Expenses w MYP'!$F69="","",IF('Cash Flow %s Yr2'!K105="","",'Cash Flow %s Yr2'!K105*'Expenses w MYP'!$F69))</f>
        <v/>
      </c>
      <c r="L105" s="62" t="str">
        <f>IF('Expenses w MYP'!$F69="","",IF('Cash Flow %s Yr2'!L105="","",'Cash Flow %s Yr2'!L105*'Expenses w MYP'!$F69))</f>
        <v/>
      </c>
      <c r="M105" s="62" t="str">
        <f>IF('Expenses w MYP'!$F69="","",IF('Cash Flow %s Yr2'!M105="","",'Cash Flow %s Yr2'!M105*'Expenses w MYP'!$F69))</f>
        <v/>
      </c>
      <c r="N105" s="62" t="str">
        <f>IF('Expenses w MYP'!$F69="","",IF('Cash Flow %s Yr2'!N105="","",'Cash Flow %s Yr2'!N105*'Expenses w MYP'!$F69))</f>
        <v/>
      </c>
      <c r="O105" s="62" t="str">
        <f>IF('Expenses w MYP'!$F69="","",IF('Cash Flow %s Yr2'!O105="","",'Cash Flow %s Yr2'!O105*'Expenses w MYP'!$F69))</f>
        <v/>
      </c>
      <c r="P105" s="113"/>
      <c r="Q105" s="113"/>
      <c r="R105" s="113"/>
      <c r="S105" s="97" t="str">
        <f>IF(SUM(D105:R105)&gt;0,SUM(D105:R105)/'Expenses w MYP'!$F69,"")</f>
        <v/>
      </c>
    </row>
    <row r="106" spans="1:19" s="31" customFormat="1" x14ac:dyDescent="0.75">
      <c r="A106" s="35"/>
      <c r="B106" s="33" t="s">
        <v>558</v>
      </c>
      <c r="C106" s="34" t="s">
        <v>719</v>
      </c>
      <c r="D106" s="153" t="e">
        <f t="shared" ref="D106:R106" si="9">IF(SUM(D88:D105)&gt;0,SUM(D88:D105),"")</f>
        <v>#REF!</v>
      </c>
      <c r="E106" s="153" t="e">
        <f t="shared" si="9"/>
        <v>#REF!</v>
      </c>
      <c r="F106" s="153" t="e">
        <f t="shared" si="9"/>
        <v>#REF!</v>
      </c>
      <c r="G106" s="153" t="e">
        <f t="shared" si="9"/>
        <v>#REF!</v>
      </c>
      <c r="H106" s="153" t="e">
        <f t="shared" si="9"/>
        <v>#REF!</v>
      </c>
      <c r="I106" s="153" t="e">
        <f t="shared" si="9"/>
        <v>#REF!</v>
      </c>
      <c r="J106" s="153" t="e">
        <f t="shared" si="9"/>
        <v>#REF!</v>
      </c>
      <c r="K106" s="153" t="e">
        <f t="shared" si="9"/>
        <v>#REF!</v>
      </c>
      <c r="L106" s="153" t="e">
        <f t="shared" si="9"/>
        <v>#REF!</v>
      </c>
      <c r="M106" s="153" t="e">
        <f t="shared" si="9"/>
        <v>#REF!</v>
      </c>
      <c r="N106" s="153" t="e">
        <f t="shared" si="9"/>
        <v>#REF!</v>
      </c>
      <c r="O106" s="153" t="e">
        <f t="shared" si="9"/>
        <v>#REF!</v>
      </c>
      <c r="P106" s="153" t="str">
        <f t="shared" si="9"/>
        <v/>
      </c>
      <c r="Q106" s="153" t="str">
        <f t="shared" si="9"/>
        <v/>
      </c>
      <c r="R106" s="153" t="str">
        <f t="shared" si="9"/>
        <v/>
      </c>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121" t="str">
        <f>'Expenses w MYP'!C73</f>
        <v>5200</v>
      </c>
      <c r="C109" s="121" t="str">
        <f>'Expenses w MYP'!D73</f>
        <v>Travel and Conferences</v>
      </c>
      <c r="D109" s="62" t="str">
        <f>IF('Expenses w MYP'!$F73="","",IF('Cash Flow %s Yr2'!D109="","",'Cash Flow %s Yr2'!D109*'Expenses w MYP'!$F73))</f>
        <v/>
      </c>
      <c r="E109" s="62" t="str">
        <f>IF('Expenses w MYP'!$F73="","",IF('Cash Flow %s Yr2'!E109="","",'Cash Flow %s Yr2'!E109*'Expenses w MYP'!$F73))</f>
        <v/>
      </c>
      <c r="F109" s="62" t="str">
        <f>IF('Expenses w MYP'!$F73="","",IF('Cash Flow %s Yr2'!F109="","",'Cash Flow %s Yr2'!F109*'Expenses w MYP'!$F73))</f>
        <v/>
      </c>
      <c r="G109" s="62" t="str">
        <f>IF('Expenses w MYP'!$F73="","",IF('Cash Flow %s Yr2'!G109="","",'Cash Flow %s Yr2'!G109*'Expenses w MYP'!$F73))</f>
        <v/>
      </c>
      <c r="H109" s="62" t="str">
        <f>IF('Expenses w MYP'!$F73="","",IF('Cash Flow %s Yr2'!H109="","",'Cash Flow %s Yr2'!H109*'Expenses w MYP'!$F73))</f>
        <v/>
      </c>
      <c r="I109" s="62" t="str">
        <f>IF('Expenses w MYP'!$F73="","",IF('Cash Flow %s Yr2'!I109="","",'Cash Flow %s Yr2'!I109*'Expenses w MYP'!$F73))</f>
        <v/>
      </c>
      <c r="J109" s="62" t="str">
        <f>IF('Expenses w MYP'!$F73="","",IF('Cash Flow %s Yr2'!J109="","",'Cash Flow %s Yr2'!J109*'Expenses w MYP'!$F73))</f>
        <v/>
      </c>
      <c r="K109" s="62" t="str">
        <f>IF('Expenses w MYP'!$F73="","",IF('Cash Flow %s Yr2'!K109="","",'Cash Flow %s Yr2'!K109*'Expenses w MYP'!$F73))</f>
        <v/>
      </c>
      <c r="L109" s="62" t="str">
        <f>IF('Expenses w MYP'!$F73="","",IF('Cash Flow %s Yr2'!L109="","",'Cash Flow %s Yr2'!L109*'Expenses w MYP'!$F73))</f>
        <v/>
      </c>
      <c r="M109" s="62" t="str">
        <f>IF('Expenses w MYP'!$F73="","",IF('Cash Flow %s Yr2'!M109="","",'Cash Flow %s Yr2'!M109*'Expenses w MYP'!$F73))</f>
        <v/>
      </c>
      <c r="N109" s="62" t="str">
        <f>IF('Expenses w MYP'!$F73="","",IF('Cash Flow %s Yr2'!N109="","",'Cash Flow %s Yr2'!N109*'Expenses w MYP'!$F73))</f>
        <v/>
      </c>
      <c r="O109" s="62" t="str">
        <f>IF('Expenses w MYP'!$F73="","",IF('Cash Flow %s Yr2'!O109="","",'Cash Flow %s Yr2'!O109*'Expenses w MYP'!$F73))</f>
        <v/>
      </c>
      <c r="P109" s="113"/>
      <c r="Q109" s="113"/>
      <c r="R109" s="113"/>
      <c r="S109" s="97" t="str">
        <f>IF(SUM(D109:R109)&gt;0,SUM(D109:R109)/'Expenses w MYP'!$F73,"")</f>
        <v/>
      </c>
    </row>
    <row r="110" spans="1:19" s="31" customFormat="1" x14ac:dyDescent="0.75">
      <c r="A110" s="35"/>
      <c r="B110" s="121" t="str">
        <f>'Expenses w MYP'!C74</f>
        <v>5210</v>
      </c>
      <c r="C110" s="121" t="str">
        <f>'Expenses w MYP'!D74</f>
        <v>Training and Development Expense</v>
      </c>
      <c r="D110" s="62" t="str">
        <f>IF('Expenses w MYP'!$F74="","",IF('Cash Flow %s Yr2'!D110="","",'Cash Flow %s Yr2'!D110*'Expenses w MYP'!$F74))</f>
        <v/>
      </c>
      <c r="E110" s="62" t="str">
        <f>IF('Expenses w MYP'!$F74="","",IF('Cash Flow %s Yr2'!E110="","",'Cash Flow %s Yr2'!E110*'Expenses w MYP'!$F74))</f>
        <v/>
      </c>
      <c r="F110" s="62" t="str">
        <f>IF('Expenses w MYP'!$F74="","",IF('Cash Flow %s Yr2'!F110="","",'Cash Flow %s Yr2'!F110*'Expenses w MYP'!$F74))</f>
        <v/>
      </c>
      <c r="G110" s="62" t="str">
        <f>IF('Expenses w MYP'!$F74="","",IF('Cash Flow %s Yr2'!G110="","",'Cash Flow %s Yr2'!G110*'Expenses w MYP'!$F74))</f>
        <v/>
      </c>
      <c r="H110" s="62" t="str">
        <f>IF('Expenses w MYP'!$F74="","",IF('Cash Flow %s Yr2'!H110="","",'Cash Flow %s Yr2'!H110*'Expenses w MYP'!$F74))</f>
        <v/>
      </c>
      <c r="I110" s="62" t="str">
        <f>IF('Expenses w MYP'!$F74="","",IF('Cash Flow %s Yr2'!I110="","",'Cash Flow %s Yr2'!I110*'Expenses w MYP'!$F74))</f>
        <v/>
      </c>
      <c r="J110" s="62" t="str">
        <f>IF('Expenses w MYP'!$F74="","",IF('Cash Flow %s Yr2'!J110="","",'Cash Flow %s Yr2'!J110*'Expenses w MYP'!$F74))</f>
        <v/>
      </c>
      <c r="K110" s="62" t="str">
        <f>IF('Expenses w MYP'!$F74="","",IF('Cash Flow %s Yr2'!K110="","",'Cash Flow %s Yr2'!K110*'Expenses w MYP'!$F74))</f>
        <v/>
      </c>
      <c r="L110" s="62" t="str">
        <f>IF('Expenses w MYP'!$F74="","",IF('Cash Flow %s Yr2'!L110="","",'Cash Flow %s Yr2'!L110*'Expenses w MYP'!$F74))</f>
        <v/>
      </c>
      <c r="M110" s="62" t="str">
        <f>IF('Expenses w MYP'!$F74="","",IF('Cash Flow %s Yr2'!M110="","",'Cash Flow %s Yr2'!M110*'Expenses w MYP'!$F74))</f>
        <v/>
      </c>
      <c r="N110" s="62" t="str">
        <f>IF('Expenses w MYP'!$F74="","",IF('Cash Flow %s Yr2'!N110="","",'Cash Flow %s Yr2'!N110*'Expenses w MYP'!$F74))</f>
        <v/>
      </c>
      <c r="O110" s="62" t="str">
        <f>IF('Expenses w MYP'!$F74="","",IF('Cash Flow %s Yr2'!O110="","",'Cash Flow %s Yr2'!O110*'Expenses w MYP'!$F74))</f>
        <v/>
      </c>
      <c r="P110" s="113"/>
      <c r="Q110" s="113"/>
      <c r="R110" s="113"/>
      <c r="S110" s="97" t="str">
        <f>IF(SUM(D110:R110)&gt;0,SUM(D110:R110)/'Expenses w MYP'!$F74,"")</f>
        <v/>
      </c>
    </row>
    <row r="111" spans="1:19" s="31" customFormat="1" x14ac:dyDescent="0.75">
      <c r="A111" s="35"/>
      <c r="B111" s="121" t="str">
        <f>'Expenses w MYP'!C75</f>
        <v>5300</v>
      </c>
      <c r="C111" s="121" t="str">
        <f>'Expenses w MYP'!D75</f>
        <v>Dues and Memberships</v>
      </c>
      <c r="D111" s="62" t="str">
        <f>IF('Expenses w MYP'!$F75="","",IF('Cash Flow %s Yr2'!D111="","",'Cash Flow %s Yr2'!D111*'Expenses w MYP'!$F75))</f>
        <v/>
      </c>
      <c r="E111" s="62" t="str">
        <f>IF('Expenses w MYP'!$F75="","",IF('Cash Flow %s Yr2'!E111="","",'Cash Flow %s Yr2'!E111*'Expenses w MYP'!$F75))</f>
        <v/>
      </c>
      <c r="F111" s="62" t="str">
        <f>IF('Expenses w MYP'!$F75="","",IF('Cash Flow %s Yr2'!F111="","",'Cash Flow %s Yr2'!F111*'Expenses w MYP'!$F75))</f>
        <v/>
      </c>
      <c r="G111" s="62" t="str">
        <f>IF('Expenses w MYP'!$F75="","",IF('Cash Flow %s Yr2'!G111="","",'Cash Flow %s Yr2'!G111*'Expenses w MYP'!$F75))</f>
        <v/>
      </c>
      <c r="H111" s="62" t="str">
        <f>IF('Expenses w MYP'!$F75="","",IF('Cash Flow %s Yr2'!H111="","",'Cash Flow %s Yr2'!H111*'Expenses w MYP'!$F75))</f>
        <v/>
      </c>
      <c r="I111" s="62" t="str">
        <f>IF('Expenses w MYP'!$F75="","",IF('Cash Flow %s Yr2'!I111="","",'Cash Flow %s Yr2'!I111*'Expenses w MYP'!$F75))</f>
        <v/>
      </c>
      <c r="J111" s="62" t="str">
        <f>IF('Expenses w MYP'!$F75="","",IF('Cash Flow %s Yr2'!J111="","",'Cash Flow %s Yr2'!J111*'Expenses w MYP'!$F75))</f>
        <v/>
      </c>
      <c r="K111" s="62" t="str">
        <f>IF('Expenses w MYP'!$F75="","",IF('Cash Flow %s Yr2'!K111="","",'Cash Flow %s Yr2'!K111*'Expenses w MYP'!$F75))</f>
        <v/>
      </c>
      <c r="L111" s="62" t="str">
        <f>IF('Expenses w MYP'!$F75="","",IF('Cash Flow %s Yr2'!L111="","",'Cash Flow %s Yr2'!L111*'Expenses w MYP'!$F75))</f>
        <v/>
      </c>
      <c r="M111" s="62" t="str">
        <f>IF('Expenses w MYP'!$F75="","",IF('Cash Flow %s Yr2'!M111="","",'Cash Flow %s Yr2'!M111*'Expenses w MYP'!$F75))</f>
        <v/>
      </c>
      <c r="N111" s="62" t="str">
        <f>IF('Expenses w MYP'!$F75="","",IF('Cash Flow %s Yr2'!N111="","",'Cash Flow %s Yr2'!N111*'Expenses w MYP'!$F75))</f>
        <v/>
      </c>
      <c r="O111" s="62" t="str">
        <f>IF('Expenses w MYP'!$F75="","",IF('Cash Flow %s Yr2'!O111="","",'Cash Flow %s Yr2'!O111*'Expenses w MYP'!$F75))</f>
        <v/>
      </c>
      <c r="P111" s="113"/>
      <c r="Q111" s="113"/>
      <c r="R111" s="113"/>
      <c r="S111" s="97" t="str">
        <f>IF(SUM(D111:R111)&gt;0,SUM(D111:R111)/'Expenses w MYP'!$F75,"")</f>
        <v/>
      </c>
    </row>
    <row r="112" spans="1:19" s="31" customFormat="1" x14ac:dyDescent="0.75">
      <c r="A112" s="35"/>
      <c r="B112" s="121" t="str">
        <f>'Expenses w MYP'!C76</f>
        <v>5400</v>
      </c>
      <c r="C112" s="121" t="str">
        <f>'Expenses w MYP'!D76</f>
        <v>Insurance</v>
      </c>
      <c r="D112" s="62" t="str">
        <f>IF('Expenses w MYP'!$F76="","",IF('Cash Flow %s Yr2'!D112="","",'Cash Flow %s Yr2'!D112*'Expenses w MYP'!$F76))</f>
        <v/>
      </c>
      <c r="E112" s="62" t="str">
        <f>IF('Expenses w MYP'!$F76="","",IF('Cash Flow %s Yr2'!E112="","",'Cash Flow %s Yr2'!E112*'Expenses w MYP'!$F76))</f>
        <v/>
      </c>
      <c r="F112" s="62" t="str">
        <f>IF('Expenses w MYP'!$F76="","",IF('Cash Flow %s Yr2'!F112="","",'Cash Flow %s Yr2'!F112*'Expenses w MYP'!$F76))</f>
        <v/>
      </c>
      <c r="G112" s="62" t="str">
        <f>IF('Expenses w MYP'!$F76="","",IF('Cash Flow %s Yr2'!G112="","",'Cash Flow %s Yr2'!G112*'Expenses w MYP'!$F76))</f>
        <v/>
      </c>
      <c r="H112" s="62" t="str">
        <f>IF('Expenses w MYP'!$F76="","",IF('Cash Flow %s Yr2'!H112="","",'Cash Flow %s Yr2'!H112*'Expenses w MYP'!$F76))</f>
        <v/>
      </c>
      <c r="I112" s="62" t="str">
        <f>IF('Expenses w MYP'!$F76="","",IF('Cash Flow %s Yr2'!I112="","",'Cash Flow %s Yr2'!I112*'Expenses w MYP'!$F76))</f>
        <v/>
      </c>
      <c r="J112" s="62" t="str">
        <f>IF('Expenses w MYP'!$F76="","",IF('Cash Flow %s Yr2'!J112="","",'Cash Flow %s Yr2'!J112*'Expenses w MYP'!$F76))</f>
        <v/>
      </c>
      <c r="K112" s="62" t="str">
        <f>IF('Expenses w MYP'!$F76="","",IF('Cash Flow %s Yr2'!K112="","",'Cash Flow %s Yr2'!K112*'Expenses w MYP'!$F76))</f>
        <v/>
      </c>
      <c r="L112" s="62" t="str">
        <f>IF('Expenses w MYP'!$F76="","",IF('Cash Flow %s Yr2'!L112="","",'Cash Flow %s Yr2'!L112*'Expenses w MYP'!$F76))</f>
        <v/>
      </c>
      <c r="M112" s="62" t="str">
        <f>IF('Expenses w MYP'!$F76="","",IF('Cash Flow %s Yr2'!M112="","",'Cash Flow %s Yr2'!M112*'Expenses w MYP'!$F76))</f>
        <v/>
      </c>
      <c r="N112" s="62" t="str">
        <f>IF('Expenses w MYP'!$F76="","",IF('Cash Flow %s Yr2'!N112="","",'Cash Flow %s Yr2'!N112*'Expenses w MYP'!$F76))</f>
        <v/>
      </c>
      <c r="O112" s="62" t="str">
        <f>IF('Expenses w MYP'!$F76="","",IF('Cash Flow %s Yr2'!O112="","",'Cash Flow %s Yr2'!O112*'Expenses w MYP'!$F76))</f>
        <v/>
      </c>
      <c r="P112" s="113"/>
      <c r="Q112" s="113"/>
      <c r="R112" s="113"/>
      <c r="S112" s="97" t="str">
        <f>IF(SUM(D112:R112)&gt;0,SUM(D112:R112)/'Expenses w MYP'!$F76,"")</f>
        <v/>
      </c>
    </row>
    <row r="113" spans="1:19" s="31" customFormat="1" x14ac:dyDescent="0.75">
      <c r="A113" s="35"/>
      <c r="B113" s="121" t="str">
        <f>'Expenses w MYP'!C77</f>
        <v>5500</v>
      </c>
      <c r="C113" s="121" t="str">
        <f>'Expenses w MYP'!D77</f>
        <v>Operation and Housekeeping Services/Supplies</v>
      </c>
      <c r="D113" s="62" t="str">
        <f>IF('Expenses w MYP'!$F77="","",IF('Cash Flow %s Yr2'!D113="","",'Cash Flow %s Yr2'!D113*'Expenses w MYP'!$F77))</f>
        <v/>
      </c>
      <c r="E113" s="62" t="str">
        <f>IF('Expenses w MYP'!$F77="","",IF('Cash Flow %s Yr2'!E113="","",'Cash Flow %s Yr2'!E113*'Expenses w MYP'!$F77))</f>
        <v/>
      </c>
      <c r="F113" s="62" t="str">
        <f>IF('Expenses w MYP'!$F77="","",IF('Cash Flow %s Yr2'!F113="","",'Cash Flow %s Yr2'!F113*'Expenses w MYP'!$F77))</f>
        <v/>
      </c>
      <c r="G113" s="62" t="str">
        <f>IF('Expenses w MYP'!$F77="","",IF('Cash Flow %s Yr2'!G113="","",'Cash Flow %s Yr2'!G113*'Expenses w MYP'!$F77))</f>
        <v/>
      </c>
      <c r="H113" s="62" t="str">
        <f>IF('Expenses w MYP'!$F77="","",IF('Cash Flow %s Yr2'!H113="","",'Cash Flow %s Yr2'!H113*'Expenses w MYP'!$F77))</f>
        <v/>
      </c>
      <c r="I113" s="62" t="str">
        <f>IF('Expenses w MYP'!$F77="","",IF('Cash Flow %s Yr2'!I113="","",'Cash Flow %s Yr2'!I113*'Expenses w MYP'!$F77))</f>
        <v/>
      </c>
      <c r="J113" s="62" t="str">
        <f>IF('Expenses w MYP'!$F77="","",IF('Cash Flow %s Yr2'!J113="","",'Cash Flow %s Yr2'!J113*'Expenses w MYP'!$F77))</f>
        <v/>
      </c>
      <c r="K113" s="62" t="str">
        <f>IF('Expenses w MYP'!$F77="","",IF('Cash Flow %s Yr2'!K113="","",'Cash Flow %s Yr2'!K113*'Expenses w MYP'!$F77))</f>
        <v/>
      </c>
      <c r="L113" s="62" t="str">
        <f>IF('Expenses w MYP'!$F77="","",IF('Cash Flow %s Yr2'!L113="","",'Cash Flow %s Yr2'!L113*'Expenses w MYP'!$F77))</f>
        <v/>
      </c>
      <c r="M113" s="62" t="str">
        <f>IF('Expenses w MYP'!$F77="","",IF('Cash Flow %s Yr2'!M113="","",'Cash Flow %s Yr2'!M113*'Expenses w MYP'!$F77))</f>
        <v/>
      </c>
      <c r="N113" s="62" t="str">
        <f>IF('Expenses w MYP'!$F77="","",IF('Cash Flow %s Yr2'!N113="","",'Cash Flow %s Yr2'!N113*'Expenses w MYP'!$F77))</f>
        <v/>
      </c>
      <c r="O113" s="62" t="str">
        <f>IF('Expenses w MYP'!$F77="","",IF('Cash Flow %s Yr2'!O113="","",'Cash Flow %s Yr2'!O113*'Expenses w MYP'!$F77))</f>
        <v/>
      </c>
      <c r="P113" s="113"/>
      <c r="Q113" s="113"/>
      <c r="R113" s="113"/>
      <c r="S113" s="97" t="str">
        <f>IF(SUM(D113:R113)&gt;0,SUM(D113:R113)/'Expenses w MYP'!$F77,"")</f>
        <v/>
      </c>
    </row>
    <row r="114" spans="1:19" s="31" customFormat="1" x14ac:dyDescent="0.75">
      <c r="A114" s="35"/>
      <c r="B114" s="121" t="str">
        <f>'Expenses w MYP'!C78</f>
        <v>5501</v>
      </c>
      <c r="C114" s="121" t="str">
        <f>'Expenses w MYP'!D78</f>
        <v>Utilities</v>
      </c>
      <c r="D114" s="62" t="str">
        <f>IF('Expenses w MYP'!$F78="","",IF('Cash Flow %s Yr2'!D114="","",'Cash Flow %s Yr2'!D114*'Expenses w MYP'!$F78))</f>
        <v/>
      </c>
      <c r="E114" s="62" t="str">
        <f>IF('Expenses w MYP'!$F78="","",IF('Cash Flow %s Yr2'!E114="","",'Cash Flow %s Yr2'!E114*'Expenses w MYP'!$F78))</f>
        <v/>
      </c>
      <c r="F114" s="62" t="str">
        <f>IF('Expenses w MYP'!$F78="","",IF('Cash Flow %s Yr2'!F114="","",'Cash Flow %s Yr2'!F114*'Expenses w MYP'!$F78))</f>
        <v/>
      </c>
      <c r="G114" s="62" t="str">
        <f>IF('Expenses w MYP'!$F78="","",IF('Cash Flow %s Yr2'!G114="","",'Cash Flow %s Yr2'!G114*'Expenses w MYP'!$F78))</f>
        <v/>
      </c>
      <c r="H114" s="62" t="str">
        <f>IF('Expenses w MYP'!$F78="","",IF('Cash Flow %s Yr2'!H114="","",'Cash Flow %s Yr2'!H114*'Expenses w MYP'!$F78))</f>
        <v/>
      </c>
      <c r="I114" s="62" t="str">
        <f>IF('Expenses w MYP'!$F78="","",IF('Cash Flow %s Yr2'!I114="","",'Cash Flow %s Yr2'!I114*'Expenses w MYP'!$F78))</f>
        <v/>
      </c>
      <c r="J114" s="62" t="str">
        <f>IF('Expenses w MYP'!$F78="","",IF('Cash Flow %s Yr2'!J114="","",'Cash Flow %s Yr2'!J114*'Expenses w MYP'!$F78))</f>
        <v/>
      </c>
      <c r="K114" s="62" t="str">
        <f>IF('Expenses w MYP'!$F78="","",IF('Cash Flow %s Yr2'!K114="","",'Cash Flow %s Yr2'!K114*'Expenses w MYP'!$F78))</f>
        <v/>
      </c>
      <c r="L114" s="62" t="str">
        <f>IF('Expenses w MYP'!$F78="","",IF('Cash Flow %s Yr2'!L114="","",'Cash Flow %s Yr2'!L114*'Expenses w MYP'!$F78))</f>
        <v/>
      </c>
      <c r="M114" s="62" t="str">
        <f>IF('Expenses w MYP'!$F78="","",IF('Cash Flow %s Yr2'!M114="","",'Cash Flow %s Yr2'!M114*'Expenses w MYP'!$F78))</f>
        <v/>
      </c>
      <c r="N114" s="62" t="str">
        <f>IF('Expenses w MYP'!$F78="","",IF('Cash Flow %s Yr2'!N114="","",'Cash Flow %s Yr2'!N114*'Expenses w MYP'!$F78))</f>
        <v/>
      </c>
      <c r="O114" s="62" t="str">
        <f>IF('Expenses w MYP'!$F78="","",IF('Cash Flow %s Yr2'!O114="","",'Cash Flow %s Yr2'!O114*'Expenses w MYP'!$F78))</f>
        <v/>
      </c>
      <c r="P114" s="113"/>
      <c r="Q114" s="113"/>
      <c r="R114" s="113"/>
      <c r="S114" s="97" t="str">
        <f>IF(SUM(D114:R114)&gt;0,SUM(D114:R114)/'Expenses w MYP'!$F78,"")</f>
        <v/>
      </c>
    </row>
    <row r="115" spans="1:19" s="31" customFormat="1" x14ac:dyDescent="0.75">
      <c r="A115" s="35"/>
      <c r="B115" s="121" t="str">
        <f>'Expenses w MYP'!C79</f>
        <v>5505</v>
      </c>
      <c r="C115" s="121" t="str">
        <f>'Expenses w MYP'!D79</f>
        <v>Student Transportation / Field Trips</v>
      </c>
      <c r="D115" s="62" t="str">
        <f>IF('Expenses w MYP'!$F79="","",IF('Cash Flow %s Yr2'!D115="","",'Cash Flow %s Yr2'!D115*'Expenses w MYP'!$F79))</f>
        <v/>
      </c>
      <c r="E115" s="62" t="str">
        <f>IF('Expenses w MYP'!$F79="","",IF('Cash Flow %s Yr2'!E115="","",'Cash Flow %s Yr2'!E115*'Expenses w MYP'!$F79))</f>
        <v/>
      </c>
      <c r="F115" s="62" t="str">
        <f>IF('Expenses w MYP'!$F79="","",IF('Cash Flow %s Yr2'!F115="","",'Cash Flow %s Yr2'!F115*'Expenses w MYP'!$F79))</f>
        <v/>
      </c>
      <c r="G115" s="62" t="str">
        <f>IF('Expenses w MYP'!$F79="","",IF('Cash Flow %s Yr2'!G115="","",'Cash Flow %s Yr2'!G115*'Expenses w MYP'!$F79))</f>
        <v/>
      </c>
      <c r="H115" s="62" t="str">
        <f>IF('Expenses w MYP'!$F79="","",IF('Cash Flow %s Yr2'!H115="","",'Cash Flow %s Yr2'!H115*'Expenses w MYP'!$F79))</f>
        <v/>
      </c>
      <c r="I115" s="62" t="str">
        <f>IF('Expenses w MYP'!$F79="","",IF('Cash Flow %s Yr2'!I115="","",'Cash Flow %s Yr2'!I115*'Expenses w MYP'!$F79))</f>
        <v/>
      </c>
      <c r="J115" s="62" t="str">
        <f>IF('Expenses w MYP'!$F79="","",IF('Cash Flow %s Yr2'!J115="","",'Cash Flow %s Yr2'!J115*'Expenses w MYP'!$F79))</f>
        <v/>
      </c>
      <c r="K115" s="62" t="str">
        <f>IF('Expenses w MYP'!$F79="","",IF('Cash Flow %s Yr2'!K115="","",'Cash Flow %s Yr2'!K115*'Expenses w MYP'!$F79))</f>
        <v/>
      </c>
      <c r="L115" s="62" t="str">
        <f>IF('Expenses w MYP'!$F79="","",IF('Cash Flow %s Yr2'!L115="","",'Cash Flow %s Yr2'!L115*'Expenses w MYP'!$F79))</f>
        <v/>
      </c>
      <c r="M115" s="62" t="str">
        <f>IF('Expenses w MYP'!$F79="","",IF('Cash Flow %s Yr2'!M115="","",'Cash Flow %s Yr2'!M115*'Expenses w MYP'!$F79))</f>
        <v/>
      </c>
      <c r="N115" s="62" t="str">
        <f>IF('Expenses w MYP'!$F79="","",IF('Cash Flow %s Yr2'!N115="","",'Cash Flow %s Yr2'!N115*'Expenses w MYP'!$F79))</f>
        <v/>
      </c>
      <c r="O115" s="62" t="str">
        <f>IF('Expenses w MYP'!$F79="","",IF('Cash Flow %s Yr2'!O115="","",'Cash Flow %s Yr2'!O115*'Expenses w MYP'!$F79))</f>
        <v/>
      </c>
      <c r="P115" s="113"/>
      <c r="Q115" s="113"/>
      <c r="R115" s="113"/>
      <c r="S115" s="97" t="str">
        <f>IF(SUM(D115:R115)&gt;0,SUM(D115:R115)/'Expenses w MYP'!$F79,"")</f>
        <v/>
      </c>
    </row>
    <row r="116" spans="1:19" s="31" customFormat="1" x14ac:dyDescent="0.75">
      <c r="A116" s="35"/>
      <c r="B116" s="121" t="str">
        <f>'Expenses w MYP'!C80</f>
        <v>5600</v>
      </c>
      <c r="C116" s="121" t="str">
        <f>'Expenses w MYP'!D80</f>
        <v>Space Rental/Leases Expense</v>
      </c>
      <c r="D116" s="62" t="str">
        <f>IF('Expenses w MYP'!$F80="","",IF('Cash Flow %s Yr2'!D116="","",'Cash Flow %s Yr2'!D116*'Expenses w MYP'!$F80))</f>
        <v/>
      </c>
      <c r="E116" s="62" t="str">
        <f>IF('Expenses w MYP'!$F80="","",IF('Cash Flow %s Yr2'!E116="","",'Cash Flow %s Yr2'!E116*'Expenses w MYP'!$F80))</f>
        <v/>
      </c>
      <c r="F116" s="62" t="str">
        <f>IF('Expenses w MYP'!$F80="","",IF('Cash Flow %s Yr2'!F116="","",'Cash Flow %s Yr2'!F116*'Expenses w MYP'!$F80))</f>
        <v/>
      </c>
      <c r="G116" s="62" t="str">
        <f>IF('Expenses w MYP'!$F80="","",IF('Cash Flow %s Yr2'!G116="","",'Cash Flow %s Yr2'!G116*'Expenses w MYP'!$F80))</f>
        <v/>
      </c>
      <c r="H116" s="62" t="str">
        <f>IF('Expenses w MYP'!$F80="","",IF('Cash Flow %s Yr2'!H116="","",'Cash Flow %s Yr2'!H116*'Expenses w MYP'!$F80))</f>
        <v/>
      </c>
      <c r="I116" s="62" t="str">
        <f>IF('Expenses w MYP'!$F80="","",IF('Cash Flow %s Yr2'!I116="","",'Cash Flow %s Yr2'!I116*'Expenses w MYP'!$F80))</f>
        <v/>
      </c>
      <c r="J116" s="62" t="str">
        <f>IF('Expenses w MYP'!$F80="","",IF('Cash Flow %s Yr2'!J116="","",'Cash Flow %s Yr2'!J116*'Expenses w MYP'!$F80))</f>
        <v/>
      </c>
      <c r="K116" s="62" t="str">
        <f>IF('Expenses w MYP'!$F80="","",IF('Cash Flow %s Yr2'!K116="","",'Cash Flow %s Yr2'!K116*'Expenses w MYP'!$F80))</f>
        <v/>
      </c>
      <c r="L116" s="62" t="str">
        <f>IF('Expenses w MYP'!$F80="","",IF('Cash Flow %s Yr2'!L116="","",'Cash Flow %s Yr2'!L116*'Expenses w MYP'!$F80))</f>
        <v/>
      </c>
      <c r="M116" s="62" t="str">
        <f>IF('Expenses w MYP'!$F80="","",IF('Cash Flow %s Yr2'!M116="","",'Cash Flow %s Yr2'!M116*'Expenses w MYP'!$F80))</f>
        <v/>
      </c>
      <c r="N116" s="62" t="str">
        <f>IF('Expenses w MYP'!$F80="","",IF('Cash Flow %s Yr2'!N116="","",'Cash Flow %s Yr2'!N116*'Expenses w MYP'!$F80))</f>
        <v/>
      </c>
      <c r="O116" s="62" t="str">
        <f>IF('Expenses w MYP'!$F80="","",IF('Cash Flow %s Yr2'!O116="","",'Cash Flow %s Yr2'!O116*'Expenses w MYP'!$F80))</f>
        <v/>
      </c>
      <c r="P116" s="113"/>
      <c r="Q116" s="113"/>
      <c r="R116" s="113"/>
      <c r="S116" s="97" t="str">
        <f>IF(SUM(D116:R116)&gt;0,SUM(D116:R116)/'Expenses w MYP'!$F80,"")</f>
        <v/>
      </c>
    </row>
    <row r="117" spans="1:19" s="31" customFormat="1" x14ac:dyDescent="0.75">
      <c r="A117" s="35"/>
      <c r="B117" s="121" t="str">
        <f>'Expenses w MYP'!C81</f>
        <v>5601</v>
      </c>
      <c r="C117" s="121" t="str">
        <f>'Expenses w MYP'!D81</f>
        <v>Building Maintenance</v>
      </c>
      <c r="D117" s="62" t="str">
        <f>IF('Expenses w MYP'!$F81="","",IF('Cash Flow %s Yr2'!D117="","",'Cash Flow %s Yr2'!D117*'Expenses w MYP'!$F81))</f>
        <v/>
      </c>
      <c r="E117" s="62" t="str">
        <f>IF('Expenses w MYP'!$F81="","",IF('Cash Flow %s Yr2'!E117="","",'Cash Flow %s Yr2'!E117*'Expenses w MYP'!$F81))</f>
        <v/>
      </c>
      <c r="F117" s="62" t="str">
        <f>IF('Expenses w MYP'!$F81="","",IF('Cash Flow %s Yr2'!F117="","",'Cash Flow %s Yr2'!F117*'Expenses w MYP'!$F81))</f>
        <v/>
      </c>
      <c r="G117" s="62" t="str">
        <f>IF('Expenses w MYP'!$F81="","",IF('Cash Flow %s Yr2'!G117="","",'Cash Flow %s Yr2'!G117*'Expenses w MYP'!$F81))</f>
        <v/>
      </c>
      <c r="H117" s="62" t="str">
        <f>IF('Expenses w MYP'!$F81="","",IF('Cash Flow %s Yr2'!H117="","",'Cash Flow %s Yr2'!H117*'Expenses w MYP'!$F81))</f>
        <v/>
      </c>
      <c r="I117" s="62" t="str">
        <f>IF('Expenses w MYP'!$F81="","",IF('Cash Flow %s Yr2'!I117="","",'Cash Flow %s Yr2'!I117*'Expenses w MYP'!$F81))</f>
        <v/>
      </c>
      <c r="J117" s="62" t="str">
        <f>IF('Expenses w MYP'!$F81="","",IF('Cash Flow %s Yr2'!J117="","",'Cash Flow %s Yr2'!J117*'Expenses w MYP'!$F81))</f>
        <v/>
      </c>
      <c r="K117" s="62" t="str">
        <f>IF('Expenses w MYP'!$F81="","",IF('Cash Flow %s Yr2'!K117="","",'Cash Flow %s Yr2'!K117*'Expenses w MYP'!$F81))</f>
        <v/>
      </c>
      <c r="L117" s="62" t="str">
        <f>IF('Expenses w MYP'!$F81="","",IF('Cash Flow %s Yr2'!L117="","",'Cash Flow %s Yr2'!L117*'Expenses w MYP'!$F81))</f>
        <v/>
      </c>
      <c r="M117" s="62" t="str">
        <f>IF('Expenses w MYP'!$F81="","",IF('Cash Flow %s Yr2'!M117="","",'Cash Flow %s Yr2'!M117*'Expenses w MYP'!$F81))</f>
        <v/>
      </c>
      <c r="N117" s="62" t="str">
        <f>IF('Expenses w MYP'!$F81="","",IF('Cash Flow %s Yr2'!N117="","",'Cash Flow %s Yr2'!N117*'Expenses w MYP'!$F81))</f>
        <v/>
      </c>
      <c r="O117" s="62" t="str">
        <f>IF('Expenses w MYP'!$F81="","",IF('Cash Flow %s Yr2'!O117="","",'Cash Flow %s Yr2'!O117*'Expenses w MYP'!$F81))</f>
        <v/>
      </c>
      <c r="P117" s="113"/>
      <c r="Q117" s="113"/>
      <c r="R117" s="113"/>
      <c r="S117" s="97" t="str">
        <f>IF(SUM(D117:R117)&gt;0,SUM(D117:R117)/'Expenses w MYP'!$F81,"")</f>
        <v/>
      </c>
    </row>
    <row r="118" spans="1:19" s="31" customFormat="1" x14ac:dyDescent="0.75">
      <c r="A118" s="35"/>
      <c r="B118" s="121" t="str">
        <f>'Expenses w MYP'!C82</f>
        <v>5602</v>
      </c>
      <c r="C118" s="121" t="str">
        <f>'Expenses w MYP'!D82</f>
        <v>Other Space Rental</v>
      </c>
      <c r="D118" s="62" t="str">
        <f>IF('Expenses w MYP'!$F82="","",IF('Cash Flow %s Yr2'!D118="","",'Cash Flow %s Yr2'!D118*'Expenses w MYP'!$F82))</f>
        <v/>
      </c>
      <c r="E118" s="62" t="str">
        <f>IF('Expenses w MYP'!$F82="","",IF('Cash Flow %s Yr2'!E118="","",'Cash Flow %s Yr2'!E118*'Expenses w MYP'!$F82))</f>
        <v/>
      </c>
      <c r="F118" s="62" t="str">
        <f>IF('Expenses w MYP'!$F82="","",IF('Cash Flow %s Yr2'!F118="","",'Cash Flow %s Yr2'!F118*'Expenses w MYP'!$F82))</f>
        <v/>
      </c>
      <c r="G118" s="62" t="str">
        <f>IF('Expenses w MYP'!$F82="","",IF('Cash Flow %s Yr2'!G118="","",'Cash Flow %s Yr2'!G118*'Expenses w MYP'!$F82))</f>
        <v/>
      </c>
      <c r="H118" s="62" t="str">
        <f>IF('Expenses w MYP'!$F82="","",IF('Cash Flow %s Yr2'!H118="","",'Cash Flow %s Yr2'!H118*'Expenses w MYP'!$F82))</f>
        <v/>
      </c>
      <c r="I118" s="62" t="str">
        <f>IF('Expenses w MYP'!$F82="","",IF('Cash Flow %s Yr2'!I118="","",'Cash Flow %s Yr2'!I118*'Expenses w MYP'!$F82))</f>
        <v/>
      </c>
      <c r="J118" s="62" t="str">
        <f>IF('Expenses w MYP'!$F82="","",IF('Cash Flow %s Yr2'!J118="","",'Cash Flow %s Yr2'!J118*'Expenses w MYP'!$F82))</f>
        <v/>
      </c>
      <c r="K118" s="62" t="str">
        <f>IF('Expenses w MYP'!$F82="","",IF('Cash Flow %s Yr2'!K118="","",'Cash Flow %s Yr2'!K118*'Expenses w MYP'!$F82))</f>
        <v/>
      </c>
      <c r="L118" s="62" t="str">
        <f>IF('Expenses w MYP'!$F82="","",IF('Cash Flow %s Yr2'!L118="","",'Cash Flow %s Yr2'!L118*'Expenses w MYP'!$F82))</f>
        <v/>
      </c>
      <c r="M118" s="62" t="str">
        <f>IF('Expenses w MYP'!$F82="","",IF('Cash Flow %s Yr2'!M118="","",'Cash Flow %s Yr2'!M118*'Expenses w MYP'!$F82))</f>
        <v/>
      </c>
      <c r="N118" s="62" t="str">
        <f>IF('Expenses w MYP'!$F82="","",IF('Cash Flow %s Yr2'!N118="","",'Cash Flow %s Yr2'!N118*'Expenses w MYP'!$F82))</f>
        <v/>
      </c>
      <c r="O118" s="62" t="str">
        <f>IF('Expenses w MYP'!$F82="","",IF('Cash Flow %s Yr2'!O118="","",'Cash Flow %s Yr2'!O118*'Expenses w MYP'!$F82))</f>
        <v/>
      </c>
      <c r="P118" s="113"/>
      <c r="Q118" s="113"/>
      <c r="R118" s="113"/>
      <c r="S118" s="97" t="str">
        <f>IF(SUM(D118:R118)&gt;0,SUM(D118:R118)/'Expenses w MYP'!$F82,"")</f>
        <v/>
      </c>
    </row>
    <row r="119" spans="1:19" s="31" customFormat="1" x14ac:dyDescent="0.75">
      <c r="A119" s="35"/>
      <c r="B119" s="121" t="str">
        <f>'Expenses w MYP'!C83</f>
        <v>5603</v>
      </c>
      <c r="C119" s="121" t="str">
        <f>'Expenses w MYP'!D83</f>
        <v>Engagement Space Rental</v>
      </c>
      <c r="D119" s="62" t="str">
        <f>IF('Expenses w MYP'!$F83="","",IF('Cash Flow %s Yr2'!D119="","",'Cash Flow %s Yr2'!D119*'Expenses w MYP'!$F83))</f>
        <v/>
      </c>
      <c r="E119" s="62" t="str">
        <f>IF('Expenses w MYP'!$F83="","",IF('Cash Flow %s Yr2'!E119="","",'Cash Flow %s Yr2'!E119*'Expenses w MYP'!$F83))</f>
        <v/>
      </c>
      <c r="F119" s="62" t="str">
        <f>IF('Expenses w MYP'!$F83="","",IF('Cash Flow %s Yr2'!F119="","",'Cash Flow %s Yr2'!F119*'Expenses w MYP'!$F83))</f>
        <v/>
      </c>
      <c r="G119" s="62" t="str">
        <f>IF('Expenses w MYP'!$F83="","",IF('Cash Flow %s Yr2'!G119="","",'Cash Flow %s Yr2'!G119*'Expenses w MYP'!$F83))</f>
        <v/>
      </c>
      <c r="H119" s="62" t="str">
        <f>IF('Expenses w MYP'!$F83="","",IF('Cash Flow %s Yr2'!H119="","",'Cash Flow %s Yr2'!H119*'Expenses w MYP'!$F83))</f>
        <v/>
      </c>
      <c r="I119" s="62" t="str">
        <f>IF('Expenses w MYP'!$F83="","",IF('Cash Flow %s Yr2'!I119="","",'Cash Flow %s Yr2'!I119*'Expenses w MYP'!$F83))</f>
        <v/>
      </c>
      <c r="J119" s="62" t="str">
        <f>IF('Expenses w MYP'!$F83="","",IF('Cash Flow %s Yr2'!J119="","",'Cash Flow %s Yr2'!J119*'Expenses w MYP'!$F83))</f>
        <v/>
      </c>
      <c r="K119" s="62" t="str">
        <f>IF('Expenses w MYP'!$F83="","",IF('Cash Flow %s Yr2'!K119="","",'Cash Flow %s Yr2'!K119*'Expenses w MYP'!$F83))</f>
        <v/>
      </c>
      <c r="L119" s="62" t="str">
        <f>IF('Expenses w MYP'!$F83="","",IF('Cash Flow %s Yr2'!L119="","",'Cash Flow %s Yr2'!L119*'Expenses w MYP'!$F83))</f>
        <v/>
      </c>
      <c r="M119" s="62" t="str">
        <f>IF('Expenses w MYP'!$F83="","",IF('Cash Flow %s Yr2'!M119="","",'Cash Flow %s Yr2'!M119*'Expenses w MYP'!$F83))</f>
        <v/>
      </c>
      <c r="N119" s="62" t="str">
        <f>IF('Expenses w MYP'!$F83="","",IF('Cash Flow %s Yr2'!N119="","",'Cash Flow %s Yr2'!N119*'Expenses w MYP'!$F83))</f>
        <v/>
      </c>
      <c r="O119" s="62" t="str">
        <f>IF('Expenses w MYP'!$F83="","",IF('Cash Flow %s Yr2'!O119="","",'Cash Flow %s Yr2'!O119*'Expenses w MYP'!$F83))</f>
        <v/>
      </c>
      <c r="P119" s="113"/>
      <c r="Q119" s="113"/>
      <c r="R119" s="113"/>
      <c r="S119" s="97" t="str">
        <f>IF(SUM(D119:R119)&gt;0,SUM(D119:R119)/'Expenses w MYP'!$F83,"")</f>
        <v/>
      </c>
    </row>
    <row r="120" spans="1:19" s="31" customFormat="1" x14ac:dyDescent="0.75">
      <c r="A120" s="35"/>
      <c r="B120" s="121" t="str">
        <f>'Expenses w MYP'!C84</f>
        <v>5610</v>
      </c>
      <c r="C120" s="121" t="str">
        <f>'Expenses w MYP'!D84</f>
        <v>Equipment Repair</v>
      </c>
      <c r="D120" s="62" t="str">
        <f>IF('Expenses w MYP'!$F84="","",IF('Cash Flow %s Yr2'!D120="","",'Cash Flow %s Yr2'!D120*'Expenses w MYP'!$F84))</f>
        <v/>
      </c>
      <c r="E120" s="62" t="str">
        <f>IF('Expenses w MYP'!$F84="","",IF('Cash Flow %s Yr2'!E120="","",'Cash Flow %s Yr2'!E120*'Expenses w MYP'!$F84))</f>
        <v/>
      </c>
      <c r="F120" s="62" t="str">
        <f>IF('Expenses w MYP'!$F84="","",IF('Cash Flow %s Yr2'!F120="","",'Cash Flow %s Yr2'!F120*'Expenses w MYP'!$F84))</f>
        <v/>
      </c>
      <c r="G120" s="62" t="str">
        <f>IF('Expenses w MYP'!$F84="","",IF('Cash Flow %s Yr2'!G120="","",'Cash Flow %s Yr2'!G120*'Expenses w MYP'!$F84))</f>
        <v/>
      </c>
      <c r="H120" s="62" t="str">
        <f>IF('Expenses w MYP'!$F84="","",IF('Cash Flow %s Yr2'!H120="","",'Cash Flow %s Yr2'!H120*'Expenses w MYP'!$F84))</f>
        <v/>
      </c>
      <c r="I120" s="62" t="str">
        <f>IF('Expenses w MYP'!$F84="","",IF('Cash Flow %s Yr2'!I120="","",'Cash Flow %s Yr2'!I120*'Expenses w MYP'!$F84))</f>
        <v/>
      </c>
      <c r="J120" s="62" t="str">
        <f>IF('Expenses w MYP'!$F84="","",IF('Cash Flow %s Yr2'!J120="","",'Cash Flow %s Yr2'!J120*'Expenses w MYP'!$F84))</f>
        <v/>
      </c>
      <c r="K120" s="62" t="str">
        <f>IF('Expenses w MYP'!$F84="","",IF('Cash Flow %s Yr2'!K120="","",'Cash Flow %s Yr2'!K120*'Expenses w MYP'!$F84))</f>
        <v/>
      </c>
      <c r="L120" s="62" t="str">
        <f>IF('Expenses w MYP'!$F84="","",IF('Cash Flow %s Yr2'!L120="","",'Cash Flow %s Yr2'!L120*'Expenses w MYP'!$F84))</f>
        <v/>
      </c>
      <c r="M120" s="62" t="str">
        <f>IF('Expenses w MYP'!$F84="","",IF('Cash Flow %s Yr2'!M120="","",'Cash Flow %s Yr2'!M120*'Expenses w MYP'!$F84))</f>
        <v/>
      </c>
      <c r="N120" s="62" t="str">
        <f>IF('Expenses w MYP'!$F84="","",IF('Cash Flow %s Yr2'!N120="","",'Cash Flow %s Yr2'!N120*'Expenses w MYP'!$F84))</f>
        <v/>
      </c>
      <c r="O120" s="62" t="str">
        <f>IF('Expenses w MYP'!$F84="","",IF('Cash Flow %s Yr2'!O120="","",'Cash Flow %s Yr2'!O120*'Expenses w MYP'!$F84))</f>
        <v/>
      </c>
      <c r="P120" s="113"/>
      <c r="Q120" s="113"/>
      <c r="R120" s="113"/>
      <c r="S120" s="97" t="str">
        <f>IF(SUM(D120:R120)&gt;0,SUM(D120:R120)/'Expenses w MYP'!$F84,"")</f>
        <v/>
      </c>
    </row>
    <row r="121" spans="1:19" s="31" customFormat="1" x14ac:dyDescent="0.75">
      <c r="A121" s="35"/>
      <c r="B121" s="121" t="str">
        <f>'Expenses w MYP'!C85</f>
        <v>5800</v>
      </c>
      <c r="C121" s="121" t="str">
        <f>'Expenses w MYP'!D85</f>
        <v>Professional/Consulting Services and Operating Expenditures</v>
      </c>
      <c r="D121" s="62" t="str">
        <f>IF('Expenses w MYP'!$F85="","",IF('Cash Flow %s Yr2'!D121="","",'Cash Flow %s Yr2'!D121*'Expenses w MYP'!$F85))</f>
        <v/>
      </c>
      <c r="E121" s="62" t="str">
        <f>IF('Expenses w MYP'!$F85="","",IF('Cash Flow %s Yr2'!E121="","",'Cash Flow %s Yr2'!E121*'Expenses w MYP'!$F85))</f>
        <v/>
      </c>
      <c r="F121" s="62" t="str">
        <f>IF('Expenses w MYP'!$F85="","",IF('Cash Flow %s Yr2'!F121="","",'Cash Flow %s Yr2'!F121*'Expenses w MYP'!$F85))</f>
        <v/>
      </c>
      <c r="G121" s="62" t="str">
        <f>IF('Expenses w MYP'!$F85="","",IF('Cash Flow %s Yr2'!G121="","",'Cash Flow %s Yr2'!G121*'Expenses w MYP'!$F85))</f>
        <v/>
      </c>
      <c r="H121" s="62" t="str">
        <f>IF('Expenses w MYP'!$F85="","",IF('Cash Flow %s Yr2'!H121="","",'Cash Flow %s Yr2'!H121*'Expenses w MYP'!$F85))</f>
        <v/>
      </c>
      <c r="I121" s="62" t="str">
        <f>IF('Expenses w MYP'!$F85="","",IF('Cash Flow %s Yr2'!I121="","",'Cash Flow %s Yr2'!I121*'Expenses w MYP'!$F85))</f>
        <v/>
      </c>
      <c r="J121" s="62" t="str">
        <f>IF('Expenses w MYP'!$F85="","",IF('Cash Flow %s Yr2'!J121="","",'Cash Flow %s Yr2'!J121*'Expenses w MYP'!$F85))</f>
        <v/>
      </c>
      <c r="K121" s="62" t="str">
        <f>IF('Expenses w MYP'!$F85="","",IF('Cash Flow %s Yr2'!K121="","",'Cash Flow %s Yr2'!K121*'Expenses w MYP'!$F85))</f>
        <v/>
      </c>
      <c r="L121" s="62" t="str">
        <f>IF('Expenses w MYP'!$F85="","",IF('Cash Flow %s Yr2'!L121="","",'Cash Flow %s Yr2'!L121*'Expenses w MYP'!$F85))</f>
        <v/>
      </c>
      <c r="M121" s="62" t="str">
        <f>IF('Expenses w MYP'!$F85="","",IF('Cash Flow %s Yr2'!M121="","",'Cash Flow %s Yr2'!M121*'Expenses w MYP'!$F85))</f>
        <v/>
      </c>
      <c r="N121" s="62" t="str">
        <f>IF('Expenses w MYP'!$F85="","",IF('Cash Flow %s Yr2'!N121="","",'Cash Flow %s Yr2'!N121*'Expenses w MYP'!$F85))</f>
        <v/>
      </c>
      <c r="O121" s="62" t="str">
        <f>IF('Expenses w MYP'!$F85="","",IF('Cash Flow %s Yr2'!O121="","",'Cash Flow %s Yr2'!O121*'Expenses w MYP'!$F85))</f>
        <v/>
      </c>
      <c r="P121" s="113"/>
      <c r="Q121" s="113"/>
      <c r="R121" s="113"/>
      <c r="S121" s="97" t="str">
        <f>IF(SUM(D121:R121)&gt;0,SUM(D121:R121)/'Expenses w MYP'!$F85,"")</f>
        <v/>
      </c>
    </row>
    <row r="122" spans="1:19" s="31" customFormat="1" x14ac:dyDescent="0.75">
      <c r="A122" s="35"/>
      <c r="B122" s="121" t="str">
        <f>'Expenses w MYP'!C86</f>
        <v>5803</v>
      </c>
      <c r="C122" s="121" t="str">
        <f>'Expenses w MYP'!D86</f>
        <v>Banking and Payroll Service Fees</v>
      </c>
      <c r="D122" s="62" t="str">
        <f>IF('Expenses w MYP'!$F86="","",IF('Cash Flow %s Yr2'!D122="","",'Cash Flow %s Yr2'!D122*'Expenses w MYP'!$F86))</f>
        <v/>
      </c>
      <c r="E122" s="62" t="str">
        <f>IF('Expenses w MYP'!$F86="","",IF('Cash Flow %s Yr2'!E122="","",'Cash Flow %s Yr2'!E122*'Expenses w MYP'!$F86))</f>
        <v/>
      </c>
      <c r="F122" s="62" t="str">
        <f>IF('Expenses w MYP'!$F86="","",IF('Cash Flow %s Yr2'!F122="","",'Cash Flow %s Yr2'!F122*'Expenses w MYP'!$F86))</f>
        <v/>
      </c>
      <c r="G122" s="62" t="str">
        <f>IF('Expenses w MYP'!$F86="","",IF('Cash Flow %s Yr2'!G122="","",'Cash Flow %s Yr2'!G122*'Expenses w MYP'!$F86))</f>
        <v/>
      </c>
      <c r="H122" s="62" t="str">
        <f>IF('Expenses w MYP'!$F86="","",IF('Cash Flow %s Yr2'!H122="","",'Cash Flow %s Yr2'!H122*'Expenses w MYP'!$F86))</f>
        <v/>
      </c>
      <c r="I122" s="62" t="str">
        <f>IF('Expenses w MYP'!$F86="","",IF('Cash Flow %s Yr2'!I122="","",'Cash Flow %s Yr2'!I122*'Expenses w MYP'!$F86))</f>
        <v/>
      </c>
      <c r="J122" s="62" t="str">
        <f>IF('Expenses w MYP'!$F86="","",IF('Cash Flow %s Yr2'!J122="","",'Cash Flow %s Yr2'!J122*'Expenses w MYP'!$F86))</f>
        <v/>
      </c>
      <c r="K122" s="62" t="str">
        <f>IF('Expenses w MYP'!$F86="","",IF('Cash Flow %s Yr2'!K122="","",'Cash Flow %s Yr2'!K122*'Expenses w MYP'!$F86))</f>
        <v/>
      </c>
      <c r="L122" s="62" t="str">
        <f>IF('Expenses w MYP'!$F86="","",IF('Cash Flow %s Yr2'!L122="","",'Cash Flow %s Yr2'!L122*'Expenses w MYP'!$F86))</f>
        <v/>
      </c>
      <c r="M122" s="62" t="str">
        <f>IF('Expenses w MYP'!$F86="","",IF('Cash Flow %s Yr2'!M122="","",'Cash Flow %s Yr2'!M122*'Expenses w MYP'!$F86))</f>
        <v/>
      </c>
      <c r="N122" s="62" t="str">
        <f>IF('Expenses w MYP'!$F86="","",IF('Cash Flow %s Yr2'!N122="","",'Cash Flow %s Yr2'!N122*'Expenses w MYP'!$F86))</f>
        <v/>
      </c>
      <c r="O122" s="62" t="str">
        <f>IF('Expenses w MYP'!$F86="","",IF('Cash Flow %s Yr2'!O122="","",'Cash Flow %s Yr2'!O122*'Expenses w MYP'!$F86))</f>
        <v/>
      </c>
      <c r="P122" s="113"/>
      <c r="Q122" s="113"/>
      <c r="R122" s="113"/>
      <c r="S122" s="97" t="str">
        <f>IF(SUM(D122:R122)&gt;0,SUM(D122:R122)/'Expenses w MYP'!$F86,"")</f>
        <v/>
      </c>
    </row>
    <row r="123" spans="1:19" s="31" customFormat="1" x14ac:dyDescent="0.75">
      <c r="A123" s="35"/>
      <c r="B123" s="121" t="str">
        <f>'Expenses w MYP'!C87</f>
        <v>5805</v>
      </c>
      <c r="C123" s="121" t="str">
        <f>'Expenses w MYP'!D87</f>
        <v>Legal Fees</v>
      </c>
      <c r="D123" s="62" t="str">
        <f>IF('Expenses w MYP'!$F87="","",IF('Cash Flow %s Yr2'!D123="","",'Cash Flow %s Yr2'!D123*'Expenses w MYP'!$F87))</f>
        <v/>
      </c>
      <c r="E123" s="62" t="str">
        <f>IF('Expenses w MYP'!$F87="","",IF('Cash Flow %s Yr2'!E123="","",'Cash Flow %s Yr2'!E123*'Expenses w MYP'!$F87))</f>
        <v/>
      </c>
      <c r="F123" s="62" t="str">
        <f>IF('Expenses w MYP'!$F87="","",IF('Cash Flow %s Yr2'!F123="","",'Cash Flow %s Yr2'!F123*'Expenses w MYP'!$F87))</f>
        <v/>
      </c>
      <c r="G123" s="62" t="str">
        <f>IF('Expenses w MYP'!$F87="","",IF('Cash Flow %s Yr2'!G123="","",'Cash Flow %s Yr2'!G123*'Expenses w MYP'!$F87))</f>
        <v/>
      </c>
      <c r="H123" s="62" t="str">
        <f>IF('Expenses w MYP'!$F87="","",IF('Cash Flow %s Yr2'!H123="","",'Cash Flow %s Yr2'!H123*'Expenses w MYP'!$F87))</f>
        <v/>
      </c>
      <c r="I123" s="62" t="str">
        <f>IF('Expenses w MYP'!$F87="","",IF('Cash Flow %s Yr2'!I123="","",'Cash Flow %s Yr2'!I123*'Expenses w MYP'!$F87))</f>
        <v/>
      </c>
      <c r="J123" s="62" t="str">
        <f>IF('Expenses w MYP'!$F87="","",IF('Cash Flow %s Yr2'!J123="","",'Cash Flow %s Yr2'!J123*'Expenses w MYP'!$F87))</f>
        <v/>
      </c>
      <c r="K123" s="62" t="str">
        <f>IF('Expenses w MYP'!$F87="","",IF('Cash Flow %s Yr2'!K123="","",'Cash Flow %s Yr2'!K123*'Expenses w MYP'!$F87))</f>
        <v/>
      </c>
      <c r="L123" s="62" t="str">
        <f>IF('Expenses w MYP'!$F87="","",IF('Cash Flow %s Yr2'!L123="","",'Cash Flow %s Yr2'!L123*'Expenses w MYP'!$F87))</f>
        <v/>
      </c>
      <c r="M123" s="62" t="str">
        <f>IF('Expenses w MYP'!$F87="","",IF('Cash Flow %s Yr2'!M123="","",'Cash Flow %s Yr2'!M123*'Expenses w MYP'!$F87))</f>
        <v/>
      </c>
      <c r="N123" s="62" t="str">
        <f>IF('Expenses w MYP'!$F87="","",IF('Cash Flow %s Yr2'!N123="","",'Cash Flow %s Yr2'!N123*'Expenses w MYP'!$F87))</f>
        <v/>
      </c>
      <c r="O123" s="62" t="str">
        <f>IF('Expenses w MYP'!$F87="","",IF('Cash Flow %s Yr2'!O123="","",'Cash Flow %s Yr2'!O123*'Expenses w MYP'!$F87))</f>
        <v/>
      </c>
      <c r="P123" s="113"/>
      <c r="Q123" s="113"/>
      <c r="R123" s="113"/>
      <c r="S123" s="97" t="str">
        <f>IF(SUM(D123:R123)&gt;0,SUM(D123:R123)/'Expenses w MYP'!$F87,"")</f>
        <v/>
      </c>
    </row>
    <row r="124" spans="1:19" s="31" customFormat="1" x14ac:dyDescent="0.75">
      <c r="A124" s="35"/>
      <c r="B124" s="121" t="str">
        <f>'Expenses w MYP'!C88</f>
        <v>5806</v>
      </c>
      <c r="C124" s="121" t="str">
        <f>'Expenses w MYP'!D88</f>
        <v>Audit Services</v>
      </c>
      <c r="D124" s="62" t="str">
        <f>IF('Expenses w MYP'!$F88="","",IF('Cash Flow %s Yr2'!D124="","",'Cash Flow %s Yr2'!D124*'Expenses w MYP'!$F88))</f>
        <v/>
      </c>
      <c r="E124" s="62" t="str">
        <f>IF('Expenses w MYP'!$F88="","",IF('Cash Flow %s Yr2'!E124="","",'Cash Flow %s Yr2'!E124*'Expenses w MYP'!$F88))</f>
        <v/>
      </c>
      <c r="F124" s="62" t="str">
        <f>IF('Expenses w MYP'!$F88="","",IF('Cash Flow %s Yr2'!F124="","",'Cash Flow %s Yr2'!F124*'Expenses w MYP'!$F88))</f>
        <v/>
      </c>
      <c r="G124" s="62" t="str">
        <f>IF('Expenses w MYP'!$F88="","",IF('Cash Flow %s Yr2'!G124="","",'Cash Flow %s Yr2'!G124*'Expenses w MYP'!$F88))</f>
        <v/>
      </c>
      <c r="H124" s="62" t="str">
        <f>IF('Expenses w MYP'!$F88="","",IF('Cash Flow %s Yr2'!H124="","",'Cash Flow %s Yr2'!H124*'Expenses w MYP'!$F88))</f>
        <v/>
      </c>
      <c r="I124" s="62" t="str">
        <f>IF('Expenses w MYP'!$F88="","",IF('Cash Flow %s Yr2'!I124="","",'Cash Flow %s Yr2'!I124*'Expenses w MYP'!$F88))</f>
        <v/>
      </c>
      <c r="J124" s="62" t="str">
        <f>IF('Expenses w MYP'!$F88="","",IF('Cash Flow %s Yr2'!J124="","",'Cash Flow %s Yr2'!J124*'Expenses w MYP'!$F88))</f>
        <v/>
      </c>
      <c r="K124" s="62" t="str">
        <f>IF('Expenses w MYP'!$F88="","",IF('Cash Flow %s Yr2'!K124="","",'Cash Flow %s Yr2'!K124*'Expenses w MYP'!$F88))</f>
        <v/>
      </c>
      <c r="L124" s="62" t="str">
        <f>IF('Expenses w MYP'!$F88="","",IF('Cash Flow %s Yr2'!L124="","",'Cash Flow %s Yr2'!L124*'Expenses w MYP'!$F88))</f>
        <v/>
      </c>
      <c r="M124" s="62" t="str">
        <f>IF('Expenses w MYP'!$F88="","",IF('Cash Flow %s Yr2'!M124="","",'Cash Flow %s Yr2'!M124*'Expenses w MYP'!$F88))</f>
        <v/>
      </c>
      <c r="N124" s="62" t="str">
        <f>IF('Expenses w MYP'!$F88="","",IF('Cash Flow %s Yr2'!N124="","",'Cash Flow %s Yr2'!N124*'Expenses w MYP'!$F88))</f>
        <v/>
      </c>
      <c r="O124" s="62" t="str">
        <f>IF('Expenses w MYP'!$F88="","",IF('Cash Flow %s Yr2'!O124="","",'Cash Flow %s Yr2'!O124*'Expenses w MYP'!$F88))</f>
        <v/>
      </c>
      <c r="P124" s="113"/>
      <c r="Q124" s="113"/>
      <c r="R124" s="113"/>
      <c r="S124" s="97" t="str">
        <f>IF(SUM(D124:R124)&gt;0,SUM(D124:R124)/'Expenses w MYP'!$F88,"")</f>
        <v/>
      </c>
    </row>
    <row r="125" spans="1:19" s="31" customFormat="1" x14ac:dyDescent="0.75">
      <c r="A125" s="35"/>
      <c r="B125" s="121" t="str">
        <f>'Expenses w MYP'!C91</f>
        <v>5810</v>
      </c>
      <c r="C125" s="121" t="str">
        <f>'Expenses w MYP'!D91</f>
        <v>Educational Consultants</v>
      </c>
      <c r="D125" s="62" t="str">
        <f>IF('Expenses w MYP'!$F91="","",IF('Cash Flow %s Yr2'!D125="","",'Cash Flow %s Yr2'!D125*'Expenses w MYP'!$F91))</f>
        <v/>
      </c>
      <c r="E125" s="62" t="str">
        <f>IF('Expenses w MYP'!$F91="","",IF('Cash Flow %s Yr2'!E125="","",'Cash Flow %s Yr2'!E125*'Expenses w MYP'!$F91))</f>
        <v/>
      </c>
      <c r="F125" s="62" t="str">
        <f>IF('Expenses w MYP'!$F91="","",IF('Cash Flow %s Yr2'!F125="","",'Cash Flow %s Yr2'!F125*'Expenses w MYP'!$F91))</f>
        <v/>
      </c>
      <c r="G125" s="62" t="str">
        <f>IF('Expenses w MYP'!$F91="","",IF('Cash Flow %s Yr2'!G125="","",'Cash Flow %s Yr2'!G125*'Expenses w MYP'!$F91))</f>
        <v/>
      </c>
      <c r="H125" s="62" t="str">
        <f>IF('Expenses w MYP'!$F91="","",IF('Cash Flow %s Yr2'!H125="","",'Cash Flow %s Yr2'!H125*'Expenses w MYP'!$F91))</f>
        <v/>
      </c>
      <c r="I125" s="62" t="str">
        <f>IF('Expenses w MYP'!$F91="","",IF('Cash Flow %s Yr2'!I125="","",'Cash Flow %s Yr2'!I125*'Expenses w MYP'!$F91))</f>
        <v/>
      </c>
      <c r="J125" s="62" t="str">
        <f>IF('Expenses w MYP'!$F91="","",IF('Cash Flow %s Yr2'!J125="","",'Cash Flow %s Yr2'!J125*'Expenses w MYP'!$F91))</f>
        <v/>
      </c>
      <c r="K125" s="62" t="str">
        <f>IF('Expenses w MYP'!$F91="","",IF('Cash Flow %s Yr2'!K125="","",'Cash Flow %s Yr2'!K125*'Expenses w MYP'!$F91))</f>
        <v/>
      </c>
      <c r="L125" s="62" t="str">
        <f>IF('Expenses w MYP'!$F91="","",IF('Cash Flow %s Yr2'!L125="","",'Cash Flow %s Yr2'!L125*'Expenses w MYP'!$F91))</f>
        <v/>
      </c>
      <c r="M125" s="62" t="str">
        <f>IF('Expenses w MYP'!$F91="","",IF('Cash Flow %s Yr2'!M125="","",'Cash Flow %s Yr2'!M125*'Expenses w MYP'!$F91))</f>
        <v/>
      </c>
      <c r="N125" s="62" t="str">
        <f>IF('Expenses w MYP'!$F91="","",IF('Cash Flow %s Yr2'!N125="","",'Cash Flow %s Yr2'!N125*'Expenses w MYP'!$F91))</f>
        <v/>
      </c>
      <c r="O125" s="62" t="str">
        <f>IF('Expenses w MYP'!$F91="","",IF('Cash Flow %s Yr2'!O125="","",'Cash Flow %s Yr2'!O125*'Expenses w MYP'!$F91))</f>
        <v/>
      </c>
      <c r="P125" s="113"/>
      <c r="Q125" s="113"/>
      <c r="R125" s="113"/>
      <c r="S125" s="97" t="str">
        <f>IF(SUM(D125:R125)&gt;0,SUM(D125:R125)/'Expenses w MYP'!$F91,"")</f>
        <v/>
      </c>
    </row>
    <row r="126" spans="1:19" s="31" customFormat="1" x14ac:dyDescent="0.75">
      <c r="A126" s="35"/>
      <c r="B126" s="121" t="str">
        <f>'Expenses w MYP'!C92</f>
        <v>5811</v>
      </c>
      <c r="C126" s="121" t="str">
        <f>'Expenses w MYP'!D92</f>
        <v>Student Transportation / Field Trips</v>
      </c>
      <c r="D126" s="62" t="str">
        <f>IF('Expenses w MYP'!$F92="","",IF('Cash Flow %s Yr2'!D126="","",'Cash Flow %s Yr2'!D126*'Expenses w MYP'!$F92))</f>
        <v/>
      </c>
      <c r="E126" s="62" t="str">
        <f>IF('Expenses w MYP'!$F92="","",IF('Cash Flow %s Yr2'!E126="","",'Cash Flow %s Yr2'!E126*'Expenses w MYP'!$F92))</f>
        <v/>
      </c>
      <c r="F126" s="62" t="str">
        <f>IF('Expenses w MYP'!$F92="","",IF('Cash Flow %s Yr2'!F126="","",'Cash Flow %s Yr2'!F126*'Expenses w MYP'!$F92))</f>
        <v/>
      </c>
      <c r="G126" s="62" t="str">
        <f>IF('Expenses w MYP'!$F92="","",IF('Cash Flow %s Yr2'!G126="","",'Cash Flow %s Yr2'!G126*'Expenses w MYP'!$F92))</f>
        <v/>
      </c>
      <c r="H126" s="62" t="str">
        <f>IF('Expenses w MYP'!$F92="","",IF('Cash Flow %s Yr2'!H126="","",'Cash Flow %s Yr2'!H126*'Expenses w MYP'!$F92))</f>
        <v/>
      </c>
      <c r="I126" s="62" t="str">
        <f>IF('Expenses w MYP'!$F92="","",IF('Cash Flow %s Yr2'!I126="","",'Cash Flow %s Yr2'!I126*'Expenses w MYP'!$F92))</f>
        <v/>
      </c>
      <c r="J126" s="62" t="str">
        <f>IF('Expenses w MYP'!$F92="","",IF('Cash Flow %s Yr2'!J126="","",'Cash Flow %s Yr2'!J126*'Expenses w MYP'!$F92))</f>
        <v/>
      </c>
      <c r="K126" s="62" t="str">
        <f>IF('Expenses w MYP'!$F92="","",IF('Cash Flow %s Yr2'!K126="","",'Cash Flow %s Yr2'!K126*'Expenses w MYP'!$F92))</f>
        <v/>
      </c>
      <c r="L126" s="62" t="str">
        <f>IF('Expenses w MYP'!$F92="","",IF('Cash Flow %s Yr2'!L126="","",'Cash Flow %s Yr2'!L126*'Expenses w MYP'!$F92))</f>
        <v/>
      </c>
      <c r="M126" s="62" t="str">
        <f>IF('Expenses w MYP'!$F92="","",IF('Cash Flow %s Yr2'!M126="","",'Cash Flow %s Yr2'!M126*'Expenses w MYP'!$F92))</f>
        <v/>
      </c>
      <c r="N126" s="62" t="str">
        <f>IF('Expenses w MYP'!$F92="","",IF('Cash Flow %s Yr2'!N126="","",'Cash Flow %s Yr2'!N126*'Expenses w MYP'!$F92))</f>
        <v/>
      </c>
      <c r="O126" s="62" t="str">
        <f>IF('Expenses w MYP'!$F92="","",IF('Cash Flow %s Yr2'!O126="","",'Cash Flow %s Yr2'!O126*'Expenses w MYP'!$F92))</f>
        <v/>
      </c>
      <c r="P126" s="113"/>
      <c r="Q126" s="113"/>
      <c r="R126" s="113"/>
      <c r="S126" s="97" t="str">
        <f>IF(SUM(D126:R126)&gt;0,SUM(D126:R126)/'Expenses w MYP'!$F92,"")</f>
        <v/>
      </c>
    </row>
    <row r="127" spans="1:19" s="31" customFormat="1" x14ac:dyDescent="0.75">
      <c r="A127" s="35"/>
      <c r="B127" s="121" t="str">
        <f>'Expenses w MYP'!C94</f>
        <v>5815</v>
      </c>
      <c r="C127" s="121" t="str">
        <f>'Expenses w MYP'!D94</f>
        <v>Advertising / Recruiting</v>
      </c>
      <c r="D127" s="62" t="str">
        <f>IF('Expenses w MYP'!$F94="","",IF('Cash Flow %s Yr2'!D127="","",'Cash Flow %s Yr2'!D127*'Expenses w MYP'!$F94))</f>
        <v/>
      </c>
      <c r="E127" s="62" t="str">
        <f>IF('Expenses w MYP'!$F94="","",IF('Cash Flow %s Yr2'!E127="","",'Cash Flow %s Yr2'!E127*'Expenses w MYP'!$F94))</f>
        <v/>
      </c>
      <c r="F127" s="62" t="str">
        <f>IF('Expenses w MYP'!$F94="","",IF('Cash Flow %s Yr2'!F127="","",'Cash Flow %s Yr2'!F127*'Expenses w MYP'!$F94))</f>
        <v/>
      </c>
      <c r="G127" s="62" t="str">
        <f>IF('Expenses w MYP'!$F94="","",IF('Cash Flow %s Yr2'!G127="","",'Cash Flow %s Yr2'!G127*'Expenses w MYP'!$F94))</f>
        <v/>
      </c>
      <c r="H127" s="62" t="str">
        <f>IF('Expenses w MYP'!$F94="","",IF('Cash Flow %s Yr2'!H127="","",'Cash Flow %s Yr2'!H127*'Expenses w MYP'!$F94))</f>
        <v/>
      </c>
      <c r="I127" s="62" t="str">
        <f>IF('Expenses w MYP'!$F94="","",IF('Cash Flow %s Yr2'!I127="","",'Cash Flow %s Yr2'!I127*'Expenses w MYP'!$F94))</f>
        <v/>
      </c>
      <c r="J127" s="62" t="str">
        <f>IF('Expenses w MYP'!$F94="","",IF('Cash Flow %s Yr2'!J127="","",'Cash Flow %s Yr2'!J127*'Expenses w MYP'!$F94))</f>
        <v/>
      </c>
      <c r="K127" s="62" t="str">
        <f>IF('Expenses w MYP'!$F94="","",IF('Cash Flow %s Yr2'!K127="","",'Cash Flow %s Yr2'!K127*'Expenses w MYP'!$F94))</f>
        <v/>
      </c>
      <c r="L127" s="62" t="str">
        <f>IF('Expenses w MYP'!$F94="","",IF('Cash Flow %s Yr2'!L127="","",'Cash Flow %s Yr2'!L127*'Expenses w MYP'!$F94))</f>
        <v/>
      </c>
      <c r="M127" s="62" t="str">
        <f>IF('Expenses w MYP'!$F94="","",IF('Cash Flow %s Yr2'!M127="","",'Cash Flow %s Yr2'!M127*'Expenses w MYP'!$F94))</f>
        <v/>
      </c>
      <c r="N127" s="62" t="str">
        <f>IF('Expenses w MYP'!$F94="","",IF('Cash Flow %s Yr2'!N127="","",'Cash Flow %s Yr2'!N127*'Expenses w MYP'!$F94))</f>
        <v/>
      </c>
      <c r="O127" s="62" t="str">
        <f>IF('Expenses w MYP'!$F94="","",IF('Cash Flow %s Yr2'!O127="","",'Cash Flow %s Yr2'!O127*'Expenses w MYP'!$F94))</f>
        <v/>
      </c>
      <c r="P127" s="113"/>
      <c r="Q127" s="113"/>
      <c r="R127" s="113"/>
      <c r="S127" s="97" t="str">
        <f>IF(SUM(D127:R127)&gt;0,SUM(D127:R127)/'Expenses w MYP'!$F94,"")</f>
        <v/>
      </c>
    </row>
    <row r="128" spans="1:19" s="31" customFormat="1" x14ac:dyDescent="0.75">
      <c r="A128" s="35"/>
      <c r="B128" s="121" t="str">
        <f>'Expenses w MYP'!C95</f>
        <v>5820</v>
      </c>
      <c r="C128" s="121" t="str">
        <f>'Expenses w MYP'!D95</f>
        <v>Fundraising Expense</v>
      </c>
      <c r="D128" s="62" t="str">
        <f>IF('Expenses w MYP'!$F95="","",IF('Cash Flow %s Yr2'!D128="","",'Cash Flow %s Yr2'!D128*'Expenses w MYP'!$F95))</f>
        <v/>
      </c>
      <c r="E128" s="62" t="str">
        <f>IF('Expenses w MYP'!$F95="","",IF('Cash Flow %s Yr2'!E128="","",'Cash Flow %s Yr2'!E128*'Expenses w MYP'!$F95))</f>
        <v/>
      </c>
      <c r="F128" s="62" t="str">
        <f>IF('Expenses w MYP'!$F95="","",IF('Cash Flow %s Yr2'!F128="","",'Cash Flow %s Yr2'!F128*'Expenses w MYP'!$F95))</f>
        <v/>
      </c>
      <c r="G128" s="62" t="str">
        <f>IF('Expenses w MYP'!$F95="","",IF('Cash Flow %s Yr2'!G128="","",'Cash Flow %s Yr2'!G128*'Expenses w MYP'!$F95))</f>
        <v/>
      </c>
      <c r="H128" s="62" t="str">
        <f>IF('Expenses w MYP'!$F95="","",IF('Cash Flow %s Yr2'!H128="","",'Cash Flow %s Yr2'!H128*'Expenses w MYP'!$F95))</f>
        <v/>
      </c>
      <c r="I128" s="62" t="str">
        <f>IF('Expenses w MYP'!$F95="","",IF('Cash Flow %s Yr2'!I128="","",'Cash Flow %s Yr2'!I128*'Expenses w MYP'!$F95))</f>
        <v/>
      </c>
      <c r="J128" s="62" t="str">
        <f>IF('Expenses w MYP'!$F95="","",IF('Cash Flow %s Yr2'!J128="","",'Cash Flow %s Yr2'!J128*'Expenses w MYP'!$F95))</f>
        <v/>
      </c>
      <c r="K128" s="62" t="str">
        <f>IF('Expenses w MYP'!$F95="","",IF('Cash Flow %s Yr2'!K128="","",'Cash Flow %s Yr2'!K128*'Expenses w MYP'!$F95))</f>
        <v/>
      </c>
      <c r="L128" s="62" t="str">
        <f>IF('Expenses w MYP'!$F95="","",IF('Cash Flow %s Yr2'!L128="","",'Cash Flow %s Yr2'!L128*'Expenses w MYP'!$F95))</f>
        <v/>
      </c>
      <c r="M128" s="62" t="str">
        <f>IF('Expenses w MYP'!$F95="","",IF('Cash Flow %s Yr2'!M128="","",'Cash Flow %s Yr2'!M128*'Expenses w MYP'!$F95))</f>
        <v/>
      </c>
      <c r="N128" s="62" t="str">
        <f>IF('Expenses w MYP'!$F95="","",IF('Cash Flow %s Yr2'!N128="","",'Cash Flow %s Yr2'!N128*'Expenses w MYP'!$F95))</f>
        <v/>
      </c>
      <c r="O128" s="62" t="str">
        <f>IF('Expenses w MYP'!$F95="","",IF('Cash Flow %s Yr2'!O128="","",'Cash Flow %s Yr2'!O128*'Expenses w MYP'!$F95))</f>
        <v/>
      </c>
      <c r="P128" s="113"/>
      <c r="Q128" s="113"/>
      <c r="R128" s="113"/>
      <c r="S128" s="97" t="str">
        <f>IF(SUM(D128:R128)&gt;0,SUM(D128:R128)/'Expenses w MYP'!$F95,"")</f>
        <v/>
      </c>
    </row>
    <row r="129" spans="1:19" s="31" customFormat="1" x14ac:dyDescent="0.75">
      <c r="A129" s="35"/>
      <c r="B129" s="121" t="str">
        <f>'Expenses w MYP'!C97</f>
        <v>5873</v>
      </c>
      <c r="C129" s="121" t="str">
        <f>'Expenses w MYP'!D97</f>
        <v>Financial Services</v>
      </c>
      <c r="D129" s="62" t="str">
        <f>IF('Expenses w MYP'!$F97="","",IF('Cash Flow %s Yr2'!D129="","",'Cash Flow %s Yr2'!D129*'Expenses w MYP'!$F97))</f>
        <v/>
      </c>
      <c r="E129" s="62" t="str">
        <f>IF('Expenses w MYP'!$F97="","",IF('Cash Flow %s Yr2'!E129="","",'Cash Flow %s Yr2'!E129*'Expenses w MYP'!$F97))</f>
        <v/>
      </c>
      <c r="F129" s="62" t="str">
        <f>IF('Expenses w MYP'!$F97="","",IF('Cash Flow %s Yr2'!F129="","",'Cash Flow %s Yr2'!F129*'Expenses w MYP'!$F97))</f>
        <v/>
      </c>
      <c r="G129" s="62" t="str">
        <f>IF('Expenses w MYP'!$F97="","",IF('Cash Flow %s Yr2'!G129="","",'Cash Flow %s Yr2'!G129*'Expenses w MYP'!$F97))</f>
        <v/>
      </c>
      <c r="H129" s="62" t="str">
        <f>IF('Expenses w MYP'!$F97="","",IF('Cash Flow %s Yr2'!H129="","",'Cash Flow %s Yr2'!H129*'Expenses w MYP'!$F97))</f>
        <v/>
      </c>
      <c r="I129" s="62" t="str">
        <f>IF('Expenses w MYP'!$F97="","",IF('Cash Flow %s Yr2'!I129="","",'Cash Flow %s Yr2'!I129*'Expenses w MYP'!$F97))</f>
        <v/>
      </c>
      <c r="J129" s="62" t="str">
        <f>IF('Expenses w MYP'!$F97="","",IF('Cash Flow %s Yr2'!J129="","",'Cash Flow %s Yr2'!J129*'Expenses w MYP'!$F97))</f>
        <v/>
      </c>
      <c r="K129" s="62" t="str">
        <f>IF('Expenses w MYP'!$F97="","",IF('Cash Flow %s Yr2'!K129="","",'Cash Flow %s Yr2'!K129*'Expenses w MYP'!$F97))</f>
        <v/>
      </c>
      <c r="L129" s="62" t="str">
        <f>IF('Expenses w MYP'!$F97="","",IF('Cash Flow %s Yr2'!L129="","",'Cash Flow %s Yr2'!L129*'Expenses w MYP'!$F97))</f>
        <v/>
      </c>
      <c r="M129" s="62" t="str">
        <f>IF('Expenses w MYP'!$F97="","",IF('Cash Flow %s Yr2'!M129="","",'Cash Flow %s Yr2'!M129*'Expenses w MYP'!$F97))</f>
        <v/>
      </c>
      <c r="N129" s="62" t="str">
        <f>IF('Expenses w MYP'!$F97="","",IF('Cash Flow %s Yr2'!N129="","",'Cash Flow %s Yr2'!N129*'Expenses w MYP'!$F97))</f>
        <v/>
      </c>
      <c r="O129" s="62" t="str">
        <f>IF('Expenses w MYP'!$F97="","",IF('Cash Flow %s Yr2'!O129="","",'Cash Flow %s Yr2'!O129*'Expenses w MYP'!$F97))</f>
        <v/>
      </c>
      <c r="P129" s="113"/>
      <c r="Q129" s="113"/>
      <c r="R129" s="113"/>
      <c r="S129" s="97" t="str">
        <f>IF(SUM(D129:R129)&gt;0,SUM(D129:R129)/'Expenses w MYP'!$F97,"")</f>
        <v/>
      </c>
    </row>
    <row r="130" spans="1:19" s="31" customFormat="1" x14ac:dyDescent="0.75">
      <c r="A130" s="35"/>
      <c r="B130" s="121" t="str">
        <f>'Expenses w MYP'!C98</f>
        <v>5874</v>
      </c>
      <c r="C130" s="121" t="str">
        <f>'Expenses w MYP'!D98</f>
        <v>Personnel Services</v>
      </c>
      <c r="D130" s="62" t="str">
        <f>IF('Expenses w MYP'!$F98="","",IF('Cash Flow %s Yr2'!D130="","",'Cash Flow %s Yr2'!D130*'Expenses w MYP'!$F98))</f>
        <v/>
      </c>
      <c r="E130" s="62" t="str">
        <f>IF('Expenses w MYP'!$F98="","",IF('Cash Flow %s Yr2'!E130="","",'Cash Flow %s Yr2'!E130*'Expenses w MYP'!$F98))</f>
        <v/>
      </c>
      <c r="F130" s="62" t="str">
        <f>IF('Expenses w MYP'!$F98="","",IF('Cash Flow %s Yr2'!F130="","",'Cash Flow %s Yr2'!F130*'Expenses w MYP'!$F98))</f>
        <v/>
      </c>
      <c r="G130" s="62" t="str">
        <f>IF('Expenses w MYP'!$F98="","",IF('Cash Flow %s Yr2'!G130="","",'Cash Flow %s Yr2'!G130*'Expenses w MYP'!$F98))</f>
        <v/>
      </c>
      <c r="H130" s="62" t="str">
        <f>IF('Expenses w MYP'!$F98="","",IF('Cash Flow %s Yr2'!H130="","",'Cash Flow %s Yr2'!H130*'Expenses w MYP'!$F98))</f>
        <v/>
      </c>
      <c r="I130" s="62" t="str">
        <f>IF('Expenses w MYP'!$F98="","",IF('Cash Flow %s Yr2'!I130="","",'Cash Flow %s Yr2'!I130*'Expenses w MYP'!$F98))</f>
        <v/>
      </c>
      <c r="J130" s="62" t="str">
        <f>IF('Expenses w MYP'!$F98="","",IF('Cash Flow %s Yr2'!J130="","",'Cash Flow %s Yr2'!J130*'Expenses w MYP'!$F98))</f>
        <v/>
      </c>
      <c r="K130" s="62" t="str">
        <f>IF('Expenses w MYP'!$F98="","",IF('Cash Flow %s Yr2'!K130="","",'Cash Flow %s Yr2'!K130*'Expenses w MYP'!$F98))</f>
        <v/>
      </c>
      <c r="L130" s="62" t="str">
        <f>IF('Expenses w MYP'!$F98="","",IF('Cash Flow %s Yr2'!L130="","",'Cash Flow %s Yr2'!L130*'Expenses w MYP'!$F98))</f>
        <v/>
      </c>
      <c r="M130" s="62" t="str">
        <f>IF('Expenses w MYP'!$F98="","",IF('Cash Flow %s Yr2'!M130="","",'Cash Flow %s Yr2'!M130*'Expenses w MYP'!$F98))</f>
        <v/>
      </c>
      <c r="N130" s="62" t="str">
        <f>IF('Expenses w MYP'!$F98="","",IF('Cash Flow %s Yr2'!N130="","",'Cash Flow %s Yr2'!N130*'Expenses w MYP'!$F98))</f>
        <v/>
      </c>
      <c r="O130" s="62" t="str">
        <f>IF('Expenses w MYP'!$F98="","",IF('Cash Flow %s Yr2'!O130="","",'Cash Flow %s Yr2'!O130*'Expenses w MYP'!$F98))</f>
        <v/>
      </c>
      <c r="P130" s="113"/>
      <c r="Q130" s="113"/>
      <c r="R130" s="113"/>
      <c r="S130" s="97" t="str">
        <f>IF(SUM(D130:R130)&gt;0,SUM(D130:R130)/'Expenses w MYP'!$F98,"")</f>
        <v/>
      </c>
    </row>
    <row r="131" spans="1:19" s="31" customFormat="1" hidden="1" outlineLevel="1" x14ac:dyDescent="0.75">
      <c r="A131" s="35"/>
      <c r="B131" s="121" t="str">
        <f>'Expenses w MYP'!C99</f>
        <v>5875</v>
      </c>
      <c r="C131" s="121" t="str">
        <f>'Expenses w MYP'!D99</f>
        <v>District Oversight Fee</v>
      </c>
      <c r="D131" s="62" t="str">
        <f>IF('Expenses w MYP'!$F99="","",IF('Cash Flow %s Yr2'!D131="","",'Cash Flow %s Yr2'!D131*'Expenses w MYP'!$F99))</f>
        <v/>
      </c>
      <c r="E131" s="62" t="str">
        <f>IF('Expenses w MYP'!$F99="","",IF('Cash Flow %s Yr2'!E131="","",'Cash Flow %s Yr2'!E131*'Expenses w MYP'!$F99))</f>
        <v/>
      </c>
      <c r="F131" s="62" t="str">
        <f>IF('Expenses w MYP'!$F99="","",IF('Cash Flow %s Yr2'!F131="","",'Cash Flow %s Yr2'!F131*'Expenses w MYP'!$F99))</f>
        <v/>
      </c>
      <c r="G131" s="62" t="str">
        <f>IF('Expenses w MYP'!$F99="","",IF('Cash Flow %s Yr2'!G131="","",'Cash Flow %s Yr2'!G131*'Expenses w MYP'!$F99))</f>
        <v/>
      </c>
      <c r="H131" s="62" t="str">
        <f>IF('Expenses w MYP'!$F99="","",IF('Cash Flow %s Yr2'!H131="","",'Cash Flow %s Yr2'!H131*'Expenses w MYP'!$F99))</f>
        <v/>
      </c>
      <c r="I131" s="62" t="str">
        <f>IF('Expenses w MYP'!$F99="","",IF('Cash Flow %s Yr2'!I131="","",'Cash Flow %s Yr2'!I131*'Expenses w MYP'!$F99))</f>
        <v/>
      </c>
      <c r="J131" s="62" t="str">
        <f>IF('Expenses w MYP'!$F99="","",IF('Cash Flow %s Yr2'!J131="","",'Cash Flow %s Yr2'!J131*'Expenses w MYP'!$F99))</f>
        <v/>
      </c>
      <c r="K131" s="62" t="str">
        <f>IF('Expenses w MYP'!$F99="","",IF('Cash Flow %s Yr2'!K131="","",'Cash Flow %s Yr2'!K131*'Expenses w MYP'!$F99))</f>
        <v/>
      </c>
      <c r="L131" s="62" t="str">
        <f>IF('Expenses w MYP'!$F99="","",IF('Cash Flow %s Yr2'!L131="","",'Cash Flow %s Yr2'!L131*'Expenses w MYP'!$F99))</f>
        <v/>
      </c>
      <c r="M131" s="62" t="str">
        <f>IF('Expenses w MYP'!$F99="","",IF('Cash Flow %s Yr2'!M131="","",'Cash Flow %s Yr2'!M131*'Expenses w MYP'!$F99))</f>
        <v/>
      </c>
      <c r="N131" s="62" t="str">
        <f>IF('Expenses w MYP'!$F99="","",IF('Cash Flow %s Yr2'!N131="","",'Cash Flow %s Yr2'!N131*'Expenses w MYP'!$F99))</f>
        <v/>
      </c>
      <c r="O131" s="62" t="str">
        <f>IF('Expenses w MYP'!$F99="","",IF('Cash Flow %s Yr2'!O131="","",'Cash Flow %s Yr2'!O131*'Expenses w MYP'!$F99))</f>
        <v/>
      </c>
      <c r="P131" s="113"/>
      <c r="Q131" s="113"/>
      <c r="R131" s="113"/>
      <c r="S131" s="97"/>
    </row>
    <row r="132" spans="1:19" s="31" customFormat="1" hidden="1" outlineLevel="1" x14ac:dyDescent="0.75">
      <c r="A132" s="35"/>
      <c r="B132" s="121" t="str">
        <f>'Expenses w MYP'!C100</f>
        <v>5877</v>
      </c>
      <c r="C132" s="121" t="str">
        <f>'Expenses w MYP'!D100</f>
        <v>IT Services</v>
      </c>
      <c r="D132" s="62" t="str">
        <f>IF('Expenses w MYP'!$F100="","",IF('Cash Flow %s Yr2'!D132="","",'Cash Flow %s Yr2'!D132*'Expenses w MYP'!$F100))</f>
        <v/>
      </c>
      <c r="E132" s="62" t="str">
        <f>IF('Expenses w MYP'!$F100="","",IF('Cash Flow %s Yr2'!E132="","",'Cash Flow %s Yr2'!E132*'Expenses w MYP'!$F100))</f>
        <v/>
      </c>
      <c r="F132" s="62" t="str">
        <f>IF('Expenses w MYP'!$F100="","",IF('Cash Flow %s Yr2'!F132="","",'Cash Flow %s Yr2'!F132*'Expenses w MYP'!$F100))</f>
        <v/>
      </c>
      <c r="G132" s="62" t="str">
        <f>IF('Expenses w MYP'!$F100="","",IF('Cash Flow %s Yr2'!G132="","",'Cash Flow %s Yr2'!G132*'Expenses w MYP'!$F100))</f>
        <v/>
      </c>
      <c r="H132" s="62" t="str">
        <f>IF('Expenses w MYP'!$F100="","",IF('Cash Flow %s Yr2'!H132="","",'Cash Flow %s Yr2'!H132*'Expenses w MYP'!$F100))</f>
        <v/>
      </c>
      <c r="I132" s="62" t="str">
        <f>IF('Expenses w MYP'!$F100="","",IF('Cash Flow %s Yr2'!I132="","",'Cash Flow %s Yr2'!I132*'Expenses w MYP'!$F100))</f>
        <v/>
      </c>
      <c r="J132" s="62" t="str">
        <f>IF('Expenses w MYP'!$F100="","",IF('Cash Flow %s Yr2'!J132="","",'Cash Flow %s Yr2'!J132*'Expenses w MYP'!$F100))</f>
        <v/>
      </c>
      <c r="K132" s="62" t="str">
        <f>IF('Expenses w MYP'!$F100="","",IF('Cash Flow %s Yr2'!K132="","",'Cash Flow %s Yr2'!K132*'Expenses w MYP'!$F100))</f>
        <v/>
      </c>
      <c r="L132" s="62" t="str">
        <f>IF('Expenses w MYP'!$F100="","",IF('Cash Flow %s Yr2'!L132="","",'Cash Flow %s Yr2'!L132*'Expenses w MYP'!$F100))</f>
        <v/>
      </c>
      <c r="M132" s="62" t="str">
        <f>IF('Expenses w MYP'!$F100="","",IF('Cash Flow %s Yr2'!M132="","",'Cash Flow %s Yr2'!M132*'Expenses w MYP'!$F100))</f>
        <v/>
      </c>
      <c r="N132" s="62" t="str">
        <f>IF('Expenses w MYP'!$F100="","",IF('Cash Flow %s Yr2'!N132="","",'Cash Flow %s Yr2'!N132*'Expenses w MYP'!$F100))</f>
        <v/>
      </c>
      <c r="O132" s="62" t="str">
        <f>IF('Expenses w MYP'!$F100="","",IF('Cash Flow %s Yr2'!O132="","",'Cash Flow %s Yr2'!O132*'Expenses w MYP'!$F100))</f>
        <v/>
      </c>
      <c r="P132" s="113"/>
      <c r="Q132" s="113"/>
      <c r="R132" s="113"/>
      <c r="S132" s="97"/>
    </row>
    <row r="133" spans="1:19" s="31" customFormat="1" hidden="1" outlineLevel="1" x14ac:dyDescent="0.75">
      <c r="A133" s="35"/>
      <c r="B133" s="121" t="str">
        <f>'Expenses w MYP'!C101</f>
        <v>5890</v>
      </c>
      <c r="C133" s="121" t="str">
        <f>'Expenses w MYP'!D101</f>
        <v>Interest Expense / Misc. Fees</v>
      </c>
      <c r="D133" s="62" t="str">
        <f>IF('Expenses w MYP'!$F101="","",IF('Cash Flow %s Yr2'!D133="","",'Cash Flow %s Yr2'!D133*'Expenses w MYP'!$F101))</f>
        <v/>
      </c>
      <c r="E133" s="62" t="str">
        <f>IF('Expenses w MYP'!$F101="","",IF('Cash Flow %s Yr2'!E133="","",'Cash Flow %s Yr2'!E133*'Expenses w MYP'!$F101))</f>
        <v/>
      </c>
      <c r="F133" s="62" t="str">
        <f>IF('Expenses w MYP'!$F101="","",IF('Cash Flow %s Yr2'!F133="","",'Cash Flow %s Yr2'!F133*'Expenses w MYP'!$F101))</f>
        <v/>
      </c>
      <c r="G133" s="62" t="str">
        <f>IF('Expenses w MYP'!$F101="","",IF('Cash Flow %s Yr2'!G133="","",'Cash Flow %s Yr2'!G133*'Expenses w MYP'!$F101))</f>
        <v/>
      </c>
      <c r="H133" s="62" t="str">
        <f>IF('Expenses w MYP'!$F101="","",IF('Cash Flow %s Yr2'!H133="","",'Cash Flow %s Yr2'!H133*'Expenses w MYP'!$F101))</f>
        <v/>
      </c>
      <c r="I133" s="62" t="str">
        <f>IF('Expenses w MYP'!$F101="","",IF('Cash Flow %s Yr2'!I133="","",'Cash Flow %s Yr2'!I133*'Expenses w MYP'!$F101))</f>
        <v/>
      </c>
      <c r="J133" s="62" t="str">
        <f>IF('Expenses w MYP'!$F101="","",IF('Cash Flow %s Yr2'!J133="","",'Cash Flow %s Yr2'!J133*'Expenses w MYP'!$F101))</f>
        <v/>
      </c>
      <c r="K133" s="62" t="str">
        <f>IF('Expenses w MYP'!$F101="","",IF('Cash Flow %s Yr2'!K133="","",'Cash Flow %s Yr2'!K133*'Expenses w MYP'!$F101))</f>
        <v/>
      </c>
      <c r="L133" s="62" t="str">
        <f>IF('Expenses w MYP'!$F101="","",IF('Cash Flow %s Yr2'!L133="","",'Cash Flow %s Yr2'!L133*'Expenses w MYP'!$F101))</f>
        <v/>
      </c>
      <c r="M133" s="62" t="str">
        <f>IF('Expenses w MYP'!$F101="","",IF('Cash Flow %s Yr2'!M133="","",'Cash Flow %s Yr2'!M133*'Expenses w MYP'!$F101))</f>
        <v/>
      </c>
      <c r="N133" s="62" t="str">
        <f>IF('Expenses w MYP'!$F101="","",IF('Cash Flow %s Yr2'!N133="","",'Cash Flow %s Yr2'!N133*'Expenses w MYP'!$F101))</f>
        <v/>
      </c>
      <c r="O133" s="62" t="str">
        <f>IF('Expenses w MYP'!$F101="","",IF('Cash Flow %s Yr2'!O133="","",'Cash Flow %s Yr2'!O133*'Expenses w MYP'!$F101))</f>
        <v/>
      </c>
      <c r="P133" s="113"/>
      <c r="Q133" s="113"/>
      <c r="R133" s="113"/>
      <c r="S133" s="97"/>
    </row>
    <row r="134" spans="1:19" s="31" customFormat="1" hidden="1" outlineLevel="1" x14ac:dyDescent="0.75">
      <c r="A134" s="35"/>
      <c r="B134" s="121" t="str">
        <f>'Expenses w MYP'!C102</f>
        <v>5891</v>
      </c>
      <c r="C134" s="121" t="str">
        <f>'Expenses w MYP'!D102</f>
        <v>CSC Borrowing Fees</v>
      </c>
      <c r="D134" s="62" t="str">
        <f>IF('Expenses w MYP'!$F102="","",IF('Cash Flow %s Yr2'!D134="","",'Cash Flow %s Yr2'!D134*'Expenses w MYP'!$F102))</f>
        <v/>
      </c>
      <c r="E134" s="62" t="str">
        <f>IF('Expenses w MYP'!$F102="","",IF('Cash Flow %s Yr2'!E134="","",'Cash Flow %s Yr2'!E134*'Expenses w MYP'!$F102))</f>
        <v/>
      </c>
      <c r="F134" s="62" t="str">
        <f>IF('Expenses w MYP'!$F102="","",IF('Cash Flow %s Yr2'!F134="","",'Cash Flow %s Yr2'!F134*'Expenses w MYP'!$F102))</f>
        <v/>
      </c>
      <c r="G134" s="62" t="str">
        <f>IF('Expenses w MYP'!$F102="","",IF('Cash Flow %s Yr2'!G134="","",'Cash Flow %s Yr2'!G134*'Expenses w MYP'!$F102))</f>
        <v/>
      </c>
      <c r="H134" s="62" t="str">
        <f>IF('Expenses w MYP'!$F102="","",IF('Cash Flow %s Yr2'!H134="","",'Cash Flow %s Yr2'!H134*'Expenses w MYP'!$F102))</f>
        <v/>
      </c>
      <c r="I134" s="62" t="str">
        <f>IF('Expenses w MYP'!$F102="","",IF('Cash Flow %s Yr2'!I134="","",'Cash Flow %s Yr2'!I134*'Expenses w MYP'!$F102))</f>
        <v/>
      </c>
      <c r="J134" s="62" t="str">
        <f>IF('Expenses w MYP'!$F102="","",IF('Cash Flow %s Yr2'!J134="","",'Cash Flow %s Yr2'!J134*'Expenses w MYP'!$F102))</f>
        <v/>
      </c>
      <c r="K134" s="62" t="str">
        <f>IF('Expenses w MYP'!$F102="","",IF('Cash Flow %s Yr2'!K134="","",'Cash Flow %s Yr2'!K134*'Expenses w MYP'!$F102))</f>
        <v/>
      </c>
      <c r="L134" s="62" t="str">
        <f>IF('Expenses w MYP'!$F102="","",IF('Cash Flow %s Yr2'!L134="","",'Cash Flow %s Yr2'!L134*'Expenses w MYP'!$F102))</f>
        <v/>
      </c>
      <c r="M134" s="62" t="str">
        <f>IF('Expenses w MYP'!$F102="","",IF('Cash Flow %s Yr2'!M134="","",'Cash Flow %s Yr2'!M134*'Expenses w MYP'!$F102))</f>
        <v/>
      </c>
      <c r="N134" s="62" t="str">
        <f>IF('Expenses w MYP'!$F102="","",IF('Cash Flow %s Yr2'!N134="","",'Cash Flow %s Yr2'!N134*'Expenses w MYP'!$F102))</f>
        <v/>
      </c>
      <c r="O134" s="62" t="str">
        <f>IF('Expenses w MYP'!$F102="","",IF('Cash Flow %s Yr2'!O134="","",'Cash Flow %s Yr2'!O134*'Expenses w MYP'!$F102))</f>
        <v/>
      </c>
      <c r="P134" s="113"/>
      <c r="Q134" s="113"/>
      <c r="R134" s="113"/>
      <c r="S134" s="97"/>
    </row>
    <row r="135" spans="1:19" s="31" customFormat="1" hidden="1" outlineLevel="1" x14ac:dyDescent="0.75">
      <c r="A135" s="35"/>
      <c r="B135" s="121" t="str">
        <f>'Expenses w MYP'!C103</f>
        <v>5900</v>
      </c>
      <c r="C135" s="121" t="str">
        <f>'Expenses w MYP'!D103</f>
        <v>Communications</v>
      </c>
      <c r="D135" s="62" t="str">
        <f>IF('Expenses w MYP'!$F103="","",IF('Cash Flow %s Yr2'!D135="","",'Cash Flow %s Yr2'!D135*'Expenses w MYP'!$F103))</f>
        <v/>
      </c>
      <c r="E135" s="62" t="str">
        <f>IF('Expenses w MYP'!$F103="","",IF('Cash Flow %s Yr2'!E135="","",'Cash Flow %s Yr2'!E135*'Expenses w MYP'!$F103))</f>
        <v/>
      </c>
      <c r="F135" s="62" t="str">
        <f>IF('Expenses w MYP'!$F103="","",IF('Cash Flow %s Yr2'!F135="","",'Cash Flow %s Yr2'!F135*'Expenses w MYP'!$F103))</f>
        <v/>
      </c>
      <c r="G135" s="62" t="str">
        <f>IF('Expenses w MYP'!$F103="","",IF('Cash Flow %s Yr2'!G135="","",'Cash Flow %s Yr2'!G135*'Expenses w MYP'!$F103))</f>
        <v/>
      </c>
      <c r="H135" s="62" t="str">
        <f>IF('Expenses w MYP'!$F103="","",IF('Cash Flow %s Yr2'!H135="","",'Cash Flow %s Yr2'!H135*'Expenses w MYP'!$F103))</f>
        <v/>
      </c>
      <c r="I135" s="62" t="str">
        <f>IF('Expenses w MYP'!$F103="","",IF('Cash Flow %s Yr2'!I135="","",'Cash Flow %s Yr2'!I135*'Expenses w MYP'!$F103))</f>
        <v/>
      </c>
      <c r="J135" s="62" t="str">
        <f>IF('Expenses w MYP'!$F103="","",IF('Cash Flow %s Yr2'!J135="","",'Cash Flow %s Yr2'!J135*'Expenses w MYP'!$F103))</f>
        <v/>
      </c>
      <c r="K135" s="62" t="str">
        <f>IF('Expenses w MYP'!$F103="","",IF('Cash Flow %s Yr2'!K135="","",'Cash Flow %s Yr2'!K135*'Expenses w MYP'!$F103))</f>
        <v/>
      </c>
      <c r="L135" s="62" t="str">
        <f>IF('Expenses w MYP'!$F103="","",IF('Cash Flow %s Yr2'!L135="","",'Cash Flow %s Yr2'!L135*'Expenses w MYP'!$F103))</f>
        <v/>
      </c>
      <c r="M135" s="62" t="str">
        <f>IF('Expenses w MYP'!$F103="","",IF('Cash Flow %s Yr2'!M135="","",'Cash Flow %s Yr2'!M135*'Expenses w MYP'!$F103))</f>
        <v/>
      </c>
      <c r="N135" s="62" t="str">
        <f>IF('Expenses w MYP'!$F103="","",IF('Cash Flow %s Yr2'!N135="","",'Cash Flow %s Yr2'!N135*'Expenses w MYP'!$F103))</f>
        <v/>
      </c>
      <c r="O135" s="62" t="str">
        <f>IF('Expenses w MYP'!$F103="","",IF('Cash Flow %s Yr2'!O135="","",'Cash Flow %s Yr2'!O135*'Expenses w MYP'!$F103))</f>
        <v/>
      </c>
      <c r="P135" s="113"/>
      <c r="Q135" s="113"/>
      <c r="R135" s="113"/>
      <c r="S135" s="97"/>
    </row>
    <row r="136" spans="1:19" s="31" customFormat="1" hidden="1" outlineLevel="1" x14ac:dyDescent="0.75">
      <c r="A136" s="35"/>
      <c r="B136" s="121">
        <f>'Expenses w MYP'!C104</f>
        <v>0</v>
      </c>
      <c r="C136" s="121">
        <f>'Expenses w MYP'!D104</f>
        <v>0</v>
      </c>
      <c r="D136" s="62" t="str">
        <f>IF('Expenses w MYP'!$F104="","",IF('Cash Flow %s Yr2'!D136="","",'Cash Flow %s Yr2'!D136*'Expenses w MYP'!$F104))</f>
        <v/>
      </c>
      <c r="E136" s="62" t="str">
        <f>IF('Expenses w MYP'!$F104="","",IF('Cash Flow %s Yr2'!E136="","",'Cash Flow %s Yr2'!E136*'Expenses w MYP'!$F104))</f>
        <v/>
      </c>
      <c r="F136" s="62" t="str">
        <f>IF('Expenses w MYP'!$F104="","",IF('Cash Flow %s Yr2'!F136="","",'Cash Flow %s Yr2'!F136*'Expenses w MYP'!$F104))</f>
        <v/>
      </c>
      <c r="G136" s="62" t="str">
        <f>IF('Expenses w MYP'!$F104="","",IF('Cash Flow %s Yr2'!G136="","",'Cash Flow %s Yr2'!G136*'Expenses w MYP'!$F104))</f>
        <v/>
      </c>
      <c r="H136" s="62" t="str">
        <f>IF('Expenses w MYP'!$F104="","",IF('Cash Flow %s Yr2'!H136="","",'Cash Flow %s Yr2'!H136*'Expenses w MYP'!$F104))</f>
        <v/>
      </c>
      <c r="I136" s="62" t="str">
        <f>IF('Expenses w MYP'!$F104="","",IF('Cash Flow %s Yr2'!I136="","",'Cash Flow %s Yr2'!I136*'Expenses w MYP'!$F104))</f>
        <v/>
      </c>
      <c r="J136" s="62" t="str">
        <f>IF('Expenses w MYP'!$F104="","",IF('Cash Flow %s Yr2'!J136="","",'Cash Flow %s Yr2'!J136*'Expenses w MYP'!$F104))</f>
        <v/>
      </c>
      <c r="K136" s="62" t="str">
        <f>IF('Expenses w MYP'!$F104="","",IF('Cash Flow %s Yr2'!K136="","",'Cash Flow %s Yr2'!K136*'Expenses w MYP'!$F104))</f>
        <v/>
      </c>
      <c r="L136" s="62" t="str">
        <f>IF('Expenses w MYP'!$F104="","",IF('Cash Flow %s Yr2'!L136="","",'Cash Flow %s Yr2'!L136*'Expenses w MYP'!$F104))</f>
        <v/>
      </c>
      <c r="M136" s="62" t="str">
        <f>IF('Expenses w MYP'!$F104="","",IF('Cash Flow %s Yr2'!M136="","",'Cash Flow %s Yr2'!M136*'Expenses w MYP'!$F104))</f>
        <v/>
      </c>
      <c r="N136" s="62" t="str">
        <f>IF('Expenses w MYP'!$F104="","",IF('Cash Flow %s Yr2'!N136="","",'Cash Flow %s Yr2'!N136*'Expenses w MYP'!$F104))</f>
        <v/>
      </c>
      <c r="O136" s="62" t="str">
        <f>IF('Expenses w MYP'!$F104="","",IF('Cash Flow %s Yr2'!O136="","",'Cash Flow %s Yr2'!O136*'Expenses w MYP'!$F104))</f>
        <v/>
      </c>
      <c r="P136" s="113"/>
      <c r="Q136" s="113"/>
      <c r="R136" s="113"/>
      <c r="S136" s="97"/>
    </row>
    <row r="137" spans="1:19" s="31" customFormat="1" hidden="1" outlineLevel="1" x14ac:dyDescent="0.75">
      <c r="A137" s="35"/>
      <c r="B137" s="121">
        <f>'Expenses w MYP'!C105</f>
        <v>0</v>
      </c>
      <c r="C137" s="121">
        <f>'Expenses w MYP'!D105</f>
        <v>0</v>
      </c>
      <c r="D137" s="62" t="str">
        <f>IF('Expenses w MYP'!$F105="","",IF('Cash Flow %s Yr2'!D137="","",'Cash Flow %s Yr2'!D137*'Expenses w MYP'!$F105))</f>
        <v/>
      </c>
      <c r="E137" s="62" t="str">
        <f>IF('Expenses w MYP'!$F105="","",IF('Cash Flow %s Yr2'!E137="","",'Cash Flow %s Yr2'!E137*'Expenses w MYP'!$F105))</f>
        <v/>
      </c>
      <c r="F137" s="62" t="str">
        <f>IF('Expenses w MYP'!$F105="","",IF('Cash Flow %s Yr2'!F137="","",'Cash Flow %s Yr2'!F137*'Expenses w MYP'!$F105))</f>
        <v/>
      </c>
      <c r="G137" s="62" t="str">
        <f>IF('Expenses w MYP'!$F105="","",IF('Cash Flow %s Yr2'!G137="","",'Cash Flow %s Yr2'!G137*'Expenses w MYP'!$F105))</f>
        <v/>
      </c>
      <c r="H137" s="62" t="str">
        <f>IF('Expenses w MYP'!$F105="","",IF('Cash Flow %s Yr2'!H137="","",'Cash Flow %s Yr2'!H137*'Expenses w MYP'!$F105))</f>
        <v/>
      </c>
      <c r="I137" s="62" t="str">
        <f>IF('Expenses w MYP'!$F105="","",IF('Cash Flow %s Yr2'!I137="","",'Cash Flow %s Yr2'!I137*'Expenses w MYP'!$F105))</f>
        <v/>
      </c>
      <c r="J137" s="62" t="str">
        <f>IF('Expenses w MYP'!$F105="","",IF('Cash Flow %s Yr2'!J137="","",'Cash Flow %s Yr2'!J137*'Expenses w MYP'!$F105))</f>
        <v/>
      </c>
      <c r="K137" s="62" t="str">
        <f>IF('Expenses w MYP'!$F105="","",IF('Cash Flow %s Yr2'!K137="","",'Cash Flow %s Yr2'!K137*'Expenses w MYP'!$F105))</f>
        <v/>
      </c>
      <c r="L137" s="62" t="str">
        <f>IF('Expenses w MYP'!$F105="","",IF('Cash Flow %s Yr2'!L137="","",'Cash Flow %s Yr2'!L137*'Expenses w MYP'!$F105))</f>
        <v/>
      </c>
      <c r="M137" s="62" t="str">
        <f>IF('Expenses w MYP'!$F105="","",IF('Cash Flow %s Yr2'!M137="","",'Cash Flow %s Yr2'!M137*'Expenses w MYP'!$F105))</f>
        <v/>
      </c>
      <c r="N137" s="62" t="str">
        <f>IF('Expenses w MYP'!$F105="","",IF('Cash Flow %s Yr2'!N137="","",'Cash Flow %s Yr2'!N137*'Expenses w MYP'!$F105))</f>
        <v/>
      </c>
      <c r="O137" s="62" t="str">
        <f>IF('Expenses w MYP'!$F105="","",IF('Cash Flow %s Yr2'!O137="","",'Cash Flow %s Yr2'!O137*'Expenses w MYP'!$F105))</f>
        <v/>
      </c>
      <c r="P137" s="113"/>
      <c r="Q137" s="113"/>
      <c r="R137" s="113"/>
      <c r="S137" s="97"/>
    </row>
    <row r="138" spans="1:19" s="31" customFormat="1" hidden="1" outlineLevel="1" x14ac:dyDescent="0.75">
      <c r="A138" s="35"/>
      <c r="B138" s="121">
        <f>'Expenses w MYP'!C106</f>
        <v>0</v>
      </c>
      <c r="C138" s="121">
        <f>'Expenses w MYP'!D106</f>
        <v>0</v>
      </c>
      <c r="D138" s="62" t="str">
        <f>IF('Expenses w MYP'!$F106="","",IF('Cash Flow %s Yr2'!D138="","",'Cash Flow %s Yr2'!D138*'Expenses w MYP'!$F106))</f>
        <v/>
      </c>
      <c r="E138" s="62" t="str">
        <f>IF('Expenses w MYP'!$F106="","",IF('Cash Flow %s Yr2'!E138="","",'Cash Flow %s Yr2'!E138*'Expenses w MYP'!$F106))</f>
        <v/>
      </c>
      <c r="F138" s="62" t="str">
        <f>IF('Expenses w MYP'!$F106="","",IF('Cash Flow %s Yr2'!F138="","",'Cash Flow %s Yr2'!F138*'Expenses w MYP'!$F106))</f>
        <v/>
      </c>
      <c r="G138" s="62" t="str">
        <f>IF('Expenses w MYP'!$F106="","",IF('Cash Flow %s Yr2'!G138="","",'Cash Flow %s Yr2'!G138*'Expenses w MYP'!$F106))</f>
        <v/>
      </c>
      <c r="H138" s="62" t="str">
        <f>IF('Expenses w MYP'!$F106="","",IF('Cash Flow %s Yr2'!H138="","",'Cash Flow %s Yr2'!H138*'Expenses w MYP'!$F106))</f>
        <v/>
      </c>
      <c r="I138" s="62" t="str">
        <f>IF('Expenses w MYP'!$F106="","",IF('Cash Flow %s Yr2'!I138="","",'Cash Flow %s Yr2'!I138*'Expenses w MYP'!$F106))</f>
        <v/>
      </c>
      <c r="J138" s="62" t="str">
        <f>IF('Expenses w MYP'!$F106="","",IF('Cash Flow %s Yr2'!J138="","",'Cash Flow %s Yr2'!J138*'Expenses w MYP'!$F106))</f>
        <v/>
      </c>
      <c r="K138" s="62" t="str">
        <f>IF('Expenses w MYP'!$F106="","",IF('Cash Flow %s Yr2'!K138="","",'Cash Flow %s Yr2'!K138*'Expenses w MYP'!$F106))</f>
        <v/>
      </c>
      <c r="L138" s="62" t="str">
        <f>IF('Expenses w MYP'!$F106="","",IF('Cash Flow %s Yr2'!L138="","",'Cash Flow %s Yr2'!L138*'Expenses w MYP'!$F106))</f>
        <v/>
      </c>
      <c r="M138" s="62" t="str">
        <f>IF('Expenses w MYP'!$F106="","",IF('Cash Flow %s Yr2'!M138="","",'Cash Flow %s Yr2'!M138*'Expenses w MYP'!$F106))</f>
        <v/>
      </c>
      <c r="N138" s="62" t="str">
        <f>IF('Expenses w MYP'!$F106="","",IF('Cash Flow %s Yr2'!N138="","",'Cash Flow %s Yr2'!N138*'Expenses w MYP'!$F106))</f>
        <v/>
      </c>
      <c r="O138" s="62" t="str">
        <f>IF('Expenses w MYP'!$F106="","",IF('Cash Flow %s Yr2'!O138="","",'Cash Flow %s Yr2'!O138*'Expenses w MYP'!$F106))</f>
        <v/>
      </c>
      <c r="P138" s="113"/>
      <c r="Q138" s="113"/>
      <c r="R138" s="113"/>
      <c r="S138" s="97"/>
    </row>
    <row r="139" spans="1:19" s="31" customFormat="1" hidden="1" outlineLevel="1" x14ac:dyDescent="0.75">
      <c r="A139" s="35"/>
      <c r="B139" s="121">
        <f>'Expenses w MYP'!C107</f>
        <v>0</v>
      </c>
      <c r="C139" s="121">
        <f>'Expenses w MYP'!D107</f>
        <v>0</v>
      </c>
      <c r="D139" s="62" t="str">
        <f>IF('Expenses w MYP'!$F107="","",IF('Cash Flow %s Yr2'!D139="","",'Cash Flow %s Yr2'!D139*'Expenses w MYP'!$F107))</f>
        <v/>
      </c>
      <c r="E139" s="62" t="str">
        <f>IF('Expenses w MYP'!$F107="","",IF('Cash Flow %s Yr2'!E139="","",'Cash Flow %s Yr2'!E139*'Expenses w MYP'!$F107))</f>
        <v/>
      </c>
      <c r="F139" s="62" t="str">
        <f>IF('Expenses w MYP'!$F107="","",IF('Cash Flow %s Yr2'!F139="","",'Cash Flow %s Yr2'!F139*'Expenses w MYP'!$F107))</f>
        <v/>
      </c>
      <c r="G139" s="62" t="str">
        <f>IF('Expenses w MYP'!$F107="","",IF('Cash Flow %s Yr2'!G139="","",'Cash Flow %s Yr2'!G139*'Expenses w MYP'!$F107))</f>
        <v/>
      </c>
      <c r="H139" s="62" t="str">
        <f>IF('Expenses w MYP'!$F107="","",IF('Cash Flow %s Yr2'!H139="","",'Cash Flow %s Yr2'!H139*'Expenses w MYP'!$F107))</f>
        <v/>
      </c>
      <c r="I139" s="62" t="str">
        <f>IF('Expenses w MYP'!$F107="","",IF('Cash Flow %s Yr2'!I139="","",'Cash Flow %s Yr2'!I139*'Expenses w MYP'!$F107))</f>
        <v/>
      </c>
      <c r="J139" s="62" t="str">
        <f>IF('Expenses w MYP'!$F107="","",IF('Cash Flow %s Yr2'!J139="","",'Cash Flow %s Yr2'!J139*'Expenses w MYP'!$F107))</f>
        <v/>
      </c>
      <c r="K139" s="62" t="str">
        <f>IF('Expenses w MYP'!$F107="","",IF('Cash Flow %s Yr2'!K139="","",'Cash Flow %s Yr2'!K139*'Expenses w MYP'!$F107))</f>
        <v/>
      </c>
      <c r="L139" s="62" t="str">
        <f>IF('Expenses w MYP'!$F107="","",IF('Cash Flow %s Yr2'!L139="","",'Cash Flow %s Yr2'!L139*'Expenses w MYP'!$F107))</f>
        <v/>
      </c>
      <c r="M139" s="62" t="str">
        <f>IF('Expenses w MYP'!$F107="","",IF('Cash Flow %s Yr2'!M139="","",'Cash Flow %s Yr2'!M139*'Expenses w MYP'!$F107))</f>
        <v/>
      </c>
      <c r="N139" s="62" t="str">
        <f>IF('Expenses w MYP'!$F107="","",IF('Cash Flow %s Yr2'!N139="","",'Cash Flow %s Yr2'!N139*'Expenses w MYP'!$F107))</f>
        <v/>
      </c>
      <c r="O139" s="62" t="str">
        <f>IF('Expenses w MYP'!$F107="","",IF('Cash Flow %s Yr2'!O139="","",'Cash Flow %s Yr2'!O139*'Expenses w MYP'!$F107))</f>
        <v/>
      </c>
      <c r="P139" s="113"/>
      <c r="Q139" s="113"/>
      <c r="R139" s="113"/>
      <c r="S139" s="97"/>
    </row>
    <row r="140" spans="1:19" s="31" customFormat="1" hidden="1" outlineLevel="1" x14ac:dyDescent="0.75">
      <c r="A140" s="35"/>
      <c r="B140" s="121">
        <f>'Expenses w MYP'!C108</f>
        <v>0</v>
      </c>
      <c r="C140" s="121">
        <f>'Expenses w MYP'!D108</f>
        <v>0</v>
      </c>
      <c r="D140" s="62" t="str">
        <f>IF('Expenses w MYP'!$F108="","",IF('Cash Flow %s Yr2'!D140="","",'Cash Flow %s Yr2'!D140*'Expenses w MYP'!$F108))</f>
        <v/>
      </c>
      <c r="E140" s="62" t="str">
        <f>IF('Expenses w MYP'!$F108="","",IF('Cash Flow %s Yr2'!E140="","",'Cash Flow %s Yr2'!E140*'Expenses w MYP'!$F108))</f>
        <v/>
      </c>
      <c r="F140" s="62" t="str">
        <f>IF('Expenses w MYP'!$F108="","",IF('Cash Flow %s Yr2'!F140="","",'Cash Flow %s Yr2'!F140*'Expenses w MYP'!$F108))</f>
        <v/>
      </c>
      <c r="G140" s="62" t="str">
        <f>IF('Expenses w MYP'!$F108="","",IF('Cash Flow %s Yr2'!G140="","",'Cash Flow %s Yr2'!G140*'Expenses w MYP'!$F108))</f>
        <v/>
      </c>
      <c r="H140" s="62" t="str">
        <f>IF('Expenses w MYP'!$F108="","",IF('Cash Flow %s Yr2'!H140="","",'Cash Flow %s Yr2'!H140*'Expenses w MYP'!$F108))</f>
        <v/>
      </c>
      <c r="I140" s="62" t="str">
        <f>IF('Expenses w MYP'!$F108="","",IF('Cash Flow %s Yr2'!I140="","",'Cash Flow %s Yr2'!I140*'Expenses w MYP'!$F108))</f>
        <v/>
      </c>
      <c r="J140" s="62" t="str">
        <f>IF('Expenses w MYP'!$F108="","",IF('Cash Flow %s Yr2'!J140="","",'Cash Flow %s Yr2'!J140*'Expenses w MYP'!$F108))</f>
        <v/>
      </c>
      <c r="K140" s="62" t="str">
        <f>IF('Expenses w MYP'!$F108="","",IF('Cash Flow %s Yr2'!K140="","",'Cash Flow %s Yr2'!K140*'Expenses w MYP'!$F108))</f>
        <v/>
      </c>
      <c r="L140" s="62" t="str">
        <f>IF('Expenses w MYP'!$F108="","",IF('Cash Flow %s Yr2'!L140="","",'Cash Flow %s Yr2'!L140*'Expenses w MYP'!$F108))</f>
        <v/>
      </c>
      <c r="M140" s="62" t="str">
        <f>IF('Expenses w MYP'!$F108="","",IF('Cash Flow %s Yr2'!M140="","",'Cash Flow %s Yr2'!M140*'Expenses w MYP'!$F108))</f>
        <v/>
      </c>
      <c r="N140" s="62" t="str">
        <f>IF('Expenses w MYP'!$F108="","",IF('Cash Flow %s Yr2'!N140="","",'Cash Flow %s Yr2'!N140*'Expenses w MYP'!$F108))</f>
        <v/>
      </c>
      <c r="O140" s="62" t="str">
        <f>IF('Expenses w MYP'!$F108="","",IF('Cash Flow %s Yr2'!O140="","",'Cash Flow %s Yr2'!O140*'Expenses w MYP'!$F108))</f>
        <v/>
      </c>
      <c r="P140" s="113"/>
      <c r="Q140" s="113"/>
      <c r="R140" s="113"/>
      <c r="S140" s="97" t="str">
        <f>IF(SUM(D140:R140)&gt;0,SUM(D140:R140)/'Expenses w MYP'!$F108,"")</f>
        <v/>
      </c>
    </row>
    <row r="141" spans="1:19" s="31" customFormat="1" collapsed="1" x14ac:dyDescent="0.75">
      <c r="A141" s="35"/>
      <c r="B141" s="121" t="str">
        <f>'Expenses w MYP'!C109</f>
        <v>5901</v>
      </c>
      <c r="C141" s="121" t="str">
        <f>'Expenses w MYP'!D109</f>
        <v>Scholar Internet Reimbursement</v>
      </c>
      <c r="D141" s="62" t="str">
        <f>IF('Expenses w MYP'!$F109="","",IF('Cash Flow %s Yr2'!D141="","",'Cash Flow %s Yr2'!D141*'Expenses w MYP'!$F109))</f>
        <v/>
      </c>
      <c r="E141" s="62" t="str">
        <f>IF('Expenses w MYP'!$F109="","",IF('Cash Flow %s Yr2'!E141="","",'Cash Flow %s Yr2'!E141*'Expenses w MYP'!$F109))</f>
        <v/>
      </c>
      <c r="F141" s="62" t="str">
        <f>IF('Expenses w MYP'!$F109="","",IF('Cash Flow %s Yr2'!F141="","",'Cash Flow %s Yr2'!F141*'Expenses w MYP'!$F109))</f>
        <v/>
      </c>
      <c r="G141" s="62" t="str">
        <f>IF('Expenses w MYP'!$F109="","",IF('Cash Flow %s Yr2'!G141="","",'Cash Flow %s Yr2'!G141*'Expenses w MYP'!$F109))</f>
        <v/>
      </c>
      <c r="H141" s="62" t="str">
        <f>IF('Expenses w MYP'!$F109="","",IF('Cash Flow %s Yr2'!H141="","",'Cash Flow %s Yr2'!H141*'Expenses w MYP'!$F109))</f>
        <v/>
      </c>
      <c r="I141" s="62" t="str">
        <f>IF('Expenses w MYP'!$F109="","",IF('Cash Flow %s Yr2'!I141="","",'Cash Flow %s Yr2'!I141*'Expenses w MYP'!$F109))</f>
        <v/>
      </c>
      <c r="J141" s="62" t="str">
        <f>IF('Expenses w MYP'!$F109="","",IF('Cash Flow %s Yr2'!J141="","",'Cash Flow %s Yr2'!J141*'Expenses w MYP'!$F109))</f>
        <v/>
      </c>
      <c r="K141" s="62" t="str">
        <f>IF('Expenses w MYP'!$F109="","",IF('Cash Flow %s Yr2'!K141="","",'Cash Flow %s Yr2'!K141*'Expenses w MYP'!$F109))</f>
        <v/>
      </c>
      <c r="L141" s="62" t="str">
        <f>IF('Expenses w MYP'!$F109="","",IF('Cash Flow %s Yr2'!L141="","",'Cash Flow %s Yr2'!L141*'Expenses w MYP'!$F109))</f>
        <v/>
      </c>
      <c r="M141" s="62" t="str">
        <f>IF('Expenses w MYP'!$F109="","",IF('Cash Flow %s Yr2'!M141="","",'Cash Flow %s Yr2'!M141*'Expenses w MYP'!$F109))</f>
        <v/>
      </c>
      <c r="N141" s="62" t="str">
        <f>IF('Expenses w MYP'!$F109="","",IF('Cash Flow %s Yr2'!N141="","",'Cash Flow %s Yr2'!N141*'Expenses w MYP'!$F109))</f>
        <v/>
      </c>
      <c r="O141" s="62" t="str">
        <f>IF('Expenses w MYP'!$F109="","",IF('Cash Flow %s Yr2'!O141="","",'Cash Flow %s Yr2'!O141*'Expenses w MYP'!$F109))</f>
        <v/>
      </c>
      <c r="P141" s="113"/>
      <c r="Q141" s="113"/>
      <c r="R141" s="113"/>
      <c r="S141" s="97" t="str">
        <f>IF(SUM(D141:R141)&gt;0,SUM(D141:R141)/'Expenses w MYP'!$F109,"")</f>
        <v/>
      </c>
    </row>
    <row r="142" spans="1:19" s="31" customFormat="1" x14ac:dyDescent="0.75">
      <c r="A142" s="35"/>
      <c r="B142" s="33" t="s">
        <v>559</v>
      </c>
      <c r="C142" s="34" t="s">
        <v>719</v>
      </c>
      <c r="D142" s="153" t="str">
        <f>IF(SUM(D108:D141)&gt;0,SUM(D108:D141),"")</f>
        <v/>
      </c>
      <c r="E142" s="153" t="str">
        <f t="shared" ref="E142:R142" si="10">IF(SUM(E108:E141)&gt;0,SUM(E108:E141),"")</f>
        <v/>
      </c>
      <c r="F142" s="153" t="str">
        <f t="shared" si="10"/>
        <v/>
      </c>
      <c r="G142" s="153" t="str">
        <f t="shared" si="10"/>
        <v/>
      </c>
      <c r="H142" s="153" t="str">
        <f t="shared" si="10"/>
        <v/>
      </c>
      <c r="I142" s="153" t="str">
        <f t="shared" si="10"/>
        <v/>
      </c>
      <c r="J142" s="153" t="str">
        <f t="shared" si="10"/>
        <v/>
      </c>
      <c r="K142" s="153" t="str">
        <f t="shared" si="10"/>
        <v/>
      </c>
      <c r="L142" s="153" t="str">
        <f t="shared" si="10"/>
        <v/>
      </c>
      <c r="M142" s="153" t="str">
        <f t="shared" si="10"/>
        <v/>
      </c>
      <c r="N142" s="153" t="str">
        <f t="shared" si="10"/>
        <v/>
      </c>
      <c r="O142" s="153" t="str">
        <f t="shared" si="10"/>
        <v/>
      </c>
      <c r="P142" s="153" t="str">
        <f t="shared" si="10"/>
        <v/>
      </c>
      <c r="Q142" s="153" t="str">
        <f t="shared" si="10"/>
        <v/>
      </c>
      <c r="R142" s="153" t="str">
        <f t="shared" si="10"/>
        <v/>
      </c>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19" s="31" customFormat="1" x14ac:dyDescent="0.75">
      <c r="A145" s="35"/>
      <c r="B145" s="121" t="str">
        <f>'Expenses w MYP'!C113</f>
        <v>6900</v>
      </c>
      <c r="C145" s="121" t="str">
        <f>'Expenses w MYP'!D113</f>
        <v xml:space="preserve">Depreciation Expense                                                            </v>
      </c>
      <c r="D145" s="62">
        <f>IF('Expenses w MYP'!$F113="","",IF('Cash Flow %s Yr2'!D145="","",'Cash Flow %s Yr2'!D145*'Expenses w MYP'!$F113))</f>
        <v>0</v>
      </c>
      <c r="E145" s="62">
        <f>IF('Expenses w MYP'!$F113="","",IF('Cash Flow %s Yr2'!E145="","",'Cash Flow %s Yr2'!E145*'Expenses w MYP'!$F113))</f>
        <v>0</v>
      </c>
      <c r="F145" s="62">
        <f>IF('Expenses w MYP'!$F113="","",IF('Cash Flow %s Yr2'!F145="","",'Cash Flow %s Yr2'!F145*'Expenses w MYP'!$F113))</f>
        <v>0</v>
      </c>
      <c r="G145" s="62">
        <f>IF('Expenses w MYP'!$F113="","",IF('Cash Flow %s Yr2'!G145="","",'Cash Flow %s Yr2'!G145*'Expenses w MYP'!$F113))</f>
        <v>0</v>
      </c>
      <c r="H145" s="62">
        <f>IF('Expenses w MYP'!$F113="","",IF('Cash Flow %s Yr2'!H145="","",'Cash Flow %s Yr2'!H145*'Expenses w MYP'!$F113))</f>
        <v>0</v>
      </c>
      <c r="I145" s="62">
        <f>IF('Expenses w MYP'!$F113="","",IF('Cash Flow %s Yr2'!I145="","",'Cash Flow %s Yr2'!I145*'Expenses w MYP'!$F113))</f>
        <v>0</v>
      </c>
      <c r="J145" s="62">
        <f>IF('Expenses w MYP'!$F113="","",IF('Cash Flow %s Yr2'!J145="","",'Cash Flow %s Yr2'!J145*'Expenses w MYP'!$F113))</f>
        <v>0</v>
      </c>
      <c r="K145" s="62">
        <f>IF('Expenses w MYP'!$F113="","",IF('Cash Flow %s Yr2'!K145="","",'Cash Flow %s Yr2'!K145*'Expenses w MYP'!$F113))</f>
        <v>0</v>
      </c>
      <c r="L145" s="62">
        <f>IF('Expenses w MYP'!$F113="","",IF('Cash Flow %s Yr2'!L145="","",'Cash Flow %s Yr2'!L145*'Expenses w MYP'!$F113))</f>
        <v>0</v>
      </c>
      <c r="M145" s="62">
        <f>IF('Expenses w MYP'!$F113="","",IF('Cash Flow %s Yr2'!M145="","",'Cash Flow %s Yr2'!M145*'Expenses w MYP'!$F113))</f>
        <v>0</v>
      </c>
      <c r="N145" s="62">
        <f>IF('Expenses w MYP'!$F113="","",IF('Cash Flow %s Yr2'!N145="","",'Cash Flow %s Yr2'!N145*'Expenses w MYP'!$F113))</f>
        <v>0</v>
      </c>
      <c r="O145" s="62">
        <f>IF('Expenses w MYP'!$F113="","",IF('Cash Flow %s Yr2'!O145="","",'Cash Flow %s Yr2'!O145*'Expenses w MYP'!$F113))</f>
        <v>0</v>
      </c>
      <c r="P145" s="113"/>
      <c r="Q145" s="113"/>
      <c r="R145" s="113"/>
      <c r="S145" s="97" t="str">
        <f>IF(SUM(D145:R145)&gt;0,SUM(D145:R145)/'Expenses w MYP'!$F113,"")</f>
        <v/>
      </c>
    </row>
    <row r="146" spans="1:19" s="31" customFormat="1" x14ac:dyDescent="0.75">
      <c r="A146" s="35"/>
      <c r="B146" s="33" t="s">
        <v>560</v>
      </c>
      <c r="C146" s="34" t="s">
        <v>719</v>
      </c>
      <c r="D146" s="153" t="str">
        <f t="shared" ref="D146:R146" si="11">IF(SUM(D144:D145)&gt;0,SUM(D144:D145),"")</f>
        <v/>
      </c>
      <c r="E146" s="153" t="str">
        <f t="shared" si="11"/>
        <v/>
      </c>
      <c r="F146" s="153" t="str">
        <f t="shared" si="11"/>
        <v/>
      </c>
      <c r="G146" s="153" t="str">
        <f t="shared" si="11"/>
        <v/>
      </c>
      <c r="H146" s="153" t="str">
        <f t="shared" si="11"/>
        <v/>
      </c>
      <c r="I146" s="153" t="str">
        <f t="shared" si="11"/>
        <v/>
      </c>
      <c r="J146" s="153" t="str">
        <f t="shared" si="11"/>
        <v/>
      </c>
      <c r="K146" s="153" t="str">
        <f t="shared" si="11"/>
        <v/>
      </c>
      <c r="L146" s="153" t="str">
        <f t="shared" si="11"/>
        <v/>
      </c>
      <c r="M146" s="153" t="str">
        <f t="shared" si="11"/>
        <v/>
      </c>
      <c r="N146" s="153" t="str">
        <f t="shared" si="11"/>
        <v/>
      </c>
      <c r="O146" s="153" t="str">
        <f t="shared" si="11"/>
        <v/>
      </c>
      <c r="P146" s="153" t="str">
        <f t="shared" si="11"/>
        <v/>
      </c>
      <c r="Q146" s="153" t="str">
        <f t="shared" si="11"/>
        <v/>
      </c>
      <c r="R146" s="153" t="str">
        <f t="shared" si="11"/>
        <v/>
      </c>
      <c r="S146" s="94"/>
    </row>
    <row r="147" spans="1:19" s="31" customFormat="1" x14ac:dyDescent="0.75">
      <c r="A147" s="35"/>
      <c r="B147" s="3"/>
      <c r="C147" s="2"/>
      <c r="D147" s="91"/>
      <c r="E147" s="91"/>
      <c r="F147" s="91"/>
      <c r="G147" s="84"/>
      <c r="H147" s="84"/>
      <c r="I147" s="84"/>
      <c r="J147" s="84"/>
      <c r="K147" s="84"/>
      <c r="L147" s="84"/>
      <c r="M147" s="84"/>
      <c r="N147" s="84"/>
      <c r="O147" s="84"/>
      <c r="P147" s="84"/>
      <c r="Q147" s="84"/>
      <c r="R147" s="84"/>
    </row>
    <row r="148" spans="1:19" s="31" customFormat="1" x14ac:dyDescent="0.75">
      <c r="B148" s="34" t="s">
        <v>722</v>
      </c>
      <c r="C148" s="2"/>
      <c r="D148" s="91"/>
      <c r="E148" s="91"/>
      <c r="F148" s="91"/>
      <c r="G148" s="84"/>
      <c r="H148" s="84"/>
      <c r="I148" s="84"/>
      <c r="J148" s="84"/>
      <c r="K148" s="84"/>
      <c r="L148" s="84"/>
      <c r="M148" s="84"/>
      <c r="N148" s="84"/>
      <c r="O148" s="84"/>
      <c r="P148" s="84"/>
      <c r="Q148" s="84"/>
      <c r="R148" s="84"/>
    </row>
    <row r="149" spans="1:19" s="31" customFormat="1" x14ac:dyDescent="0.75">
      <c r="A149" s="35"/>
      <c r="B149" s="121" t="str">
        <f>'Expenses w MYP'!C117</f>
        <v>7010</v>
      </c>
      <c r="C149" s="121" t="str">
        <f>'Expenses w MYP'!D117</f>
        <v>Special Education Encroachment</v>
      </c>
      <c r="D149" s="62" t="str">
        <f>IF('Expenses w MYP'!$F117="","",IF('Cash Flow %s Yr2'!D149="","",'Cash Flow %s Yr2'!D149*'Expenses w MYP'!$F117))</f>
        <v/>
      </c>
      <c r="E149" s="62" t="str">
        <f>IF('Expenses w MYP'!$F117="","",IF('Cash Flow %s Yr2'!E149="","",'Cash Flow %s Yr2'!E149*'Expenses w MYP'!$F117))</f>
        <v/>
      </c>
      <c r="F149" s="62" t="str">
        <f>IF('Expenses w MYP'!$F117="","",IF('Cash Flow %s Yr2'!F149="","",'Cash Flow %s Yr2'!F149*'Expenses w MYP'!$F117))</f>
        <v/>
      </c>
      <c r="G149" s="62" t="str">
        <f>IF('Expenses w MYP'!$F117="","",IF('Cash Flow %s Yr2'!G149="","",'Cash Flow %s Yr2'!G149*'Expenses w MYP'!$F117))</f>
        <v/>
      </c>
      <c r="H149" s="62" t="str">
        <f>IF('Expenses w MYP'!$F117="","",IF('Cash Flow %s Yr2'!H149="","",'Cash Flow %s Yr2'!H149*'Expenses w MYP'!$F117))</f>
        <v/>
      </c>
      <c r="I149" s="62" t="str">
        <f>IF('Expenses w MYP'!$F117="","",IF('Cash Flow %s Yr2'!I149="","",'Cash Flow %s Yr2'!I149*'Expenses w MYP'!$F117))</f>
        <v/>
      </c>
      <c r="J149" s="62" t="str">
        <f>IF('Expenses w MYP'!$F117="","",IF('Cash Flow %s Yr2'!J149="","",'Cash Flow %s Yr2'!J149*'Expenses w MYP'!$F117))</f>
        <v/>
      </c>
      <c r="K149" s="62" t="str">
        <f>IF('Expenses w MYP'!$F117="","",IF('Cash Flow %s Yr2'!K149="","",'Cash Flow %s Yr2'!K149*'Expenses w MYP'!$F117))</f>
        <v/>
      </c>
      <c r="L149" s="62" t="str">
        <f>IF('Expenses w MYP'!$F117="","",IF('Cash Flow %s Yr2'!L149="","",'Cash Flow %s Yr2'!L149*'Expenses w MYP'!$F117))</f>
        <v/>
      </c>
      <c r="M149" s="62" t="str">
        <f>IF('Expenses w MYP'!$F117="","",IF('Cash Flow %s Yr2'!M149="","",'Cash Flow %s Yr2'!M149*'Expenses w MYP'!$F117))</f>
        <v/>
      </c>
      <c r="N149" s="62" t="str">
        <f>IF('Expenses w MYP'!$F117="","",IF('Cash Flow %s Yr2'!N149="","",'Cash Flow %s Yr2'!N149*'Expenses w MYP'!$F117))</f>
        <v/>
      </c>
      <c r="O149" s="62" t="str">
        <f>IF('Expenses w MYP'!$F117="","",IF('Cash Flow %s Yr2'!O149="","",'Cash Flow %s Yr2'!O149*'Expenses w MYP'!$F117))</f>
        <v/>
      </c>
      <c r="P149" s="113"/>
      <c r="Q149" s="113"/>
      <c r="R149" s="113"/>
      <c r="S149" s="97" t="str">
        <f>IF(SUM(D149:R149)&gt;0,SUM(D149:R149)/'Expenses w MYP'!$F117,"")</f>
        <v/>
      </c>
    </row>
    <row r="150" spans="1:19" s="31" customFormat="1" x14ac:dyDescent="0.75">
      <c r="A150" s="35"/>
      <c r="B150" s="121" t="str">
        <f>'Expenses w MYP'!C118</f>
        <v>7438</v>
      </c>
      <c r="C150" s="121" t="str">
        <f>'Expenses w MYP'!D118</f>
        <v>Debt Service - Interest</v>
      </c>
      <c r="D150" s="62" t="str">
        <f>IF('Expenses w MYP'!$F118="","",IF('Cash Flow %s Yr2'!D150="","",'Cash Flow %s Yr2'!D150*'Expenses w MYP'!$F118))</f>
        <v/>
      </c>
      <c r="E150" s="62" t="str">
        <f>IF('Expenses w MYP'!$F118="","",IF('Cash Flow %s Yr2'!E150="","",'Cash Flow %s Yr2'!E150*'Expenses w MYP'!$F118))</f>
        <v/>
      </c>
      <c r="F150" s="62" t="str">
        <f>IF('Expenses w MYP'!$F118="","",IF('Cash Flow %s Yr2'!F150="","",'Cash Flow %s Yr2'!F150*'Expenses w MYP'!$F118))</f>
        <v/>
      </c>
      <c r="G150" s="62" t="str">
        <f>IF('Expenses w MYP'!$F118="","",IF('Cash Flow %s Yr2'!G150="","",'Cash Flow %s Yr2'!G150*'Expenses w MYP'!$F118))</f>
        <v/>
      </c>
      <c r="H150" s="62" t="str">
        <f>IF('Expenses w MYP'!$F118="","",IF('Cash Flow %s Yr2'!H150="","",'Cash Flow %s Yr2'!H150*'Expenses w MYP'!$F118))</f>
        <v/>
      </c>
      <c r="I150" s="62" t="str">
        <f>IF('Expenses w MYP'!$F118="","",IF('Cash Flow %s Yr2'!I150="","",'Cash Flow %s Yr2'!I150*'Expenses w MYP'!$F118))</f>
        <v/>
      </c>
      <c r="J150" s="62" t="str">
        <f>IF('Expenses w MYP'!$F118="","",IF('Cash Flow %s Yr2'!J150="","",'Cash Flow %s Yr2'!J150*'Expenses w MYP'!$F118))</f>
        <v/>
      </c>
      <c r="K150" s="62" t="str">
        <f>IF('Expenses w MYP'!$F118="","",IF('Cash Flow %s Yr2'!K150="","",'Cash Flow %s Yr2'!K150*'Expenses w MYP'!$F118))</f>
        <v/>
      </c>
      <c r="L150" s="62" t="str">
        <f>IF('Expenses w MYP'!$F118="","",IF('Cash Flow %s Yr2'!L150="","",'Cash Flow %s Yr2'!L150*'Expenses w MYP'!$F118))</f>
        <v/>
      </c>
      <c r="M150" s="62" t="str">
        <f>IF('Expenses w MYP'!$F118="","",IF('Cash Flow %s Yr2'!M150="","",'Cash Flow %s Yr2'!M150*'Expenses w MYP'!$F118))</f>
        <v/>
      </c>
      <c r="N150" s="62" t="str">
        <f>IF('Expenses w MYP'!$F118="","",IF('Cash Flow %s Yr2'!N150="","",'Cash Flow %s Yr2'!N150*'Expenses w MYP'!$F118))</f>
        <v/>
      </c>
      <c r="O150" s="62" t="str">
        <f>IF('Expenses w MYP'!$F118="","",IF('Cash Flow %s Yr2'!O150="","",'Cash Flow %s Yr2'!O150*'Expenses w MYP'!$F118))</f>
        <v/>
      </c>
      <c r="P150" s="113"/>
      <c r="Q150" s="113"/>
      <c r="R150" s="113"/>
      <c r="S150" s="97" t="str">
        <f>IF(SUM(D150:R150)&gt;0,SUM(D150:R150)/'Expenses w MYP'!$F118,"")</f>
        <v/>
      </c>
    </row>
    <row r="151" spans="1:19" s="31" customFormat="1" x14ac:dyDescent="0.75">
      <c r="A151" s="35"/>
      <c r="B151" s="33" t="s">
        <v>683</v>
      </c>
      <c r="C151" s="34" t="s">
        <v>723</v>
      </c>
      <c r="D151" s="167" t="str">
        <f t="shared" ref="D151:R151" si="12">IF(SUM(D148:D150)&gt;0,SUM(D148:D150),"")</f>
        <v/>
      </c>
      <c r="E151" s="167" t="str">
        <f t="shared" si="12"/>
        <v/>
      </c>
      <c r="F151" s="167" t="str">
        <f t="shared" si="12"/>
        <v/>
      </c>
      <c r="G151" s="167" t="str">
        <f t="shared" si="12"/>
        <v/>
      </c>
      <c r="H151" s="167" t="str">
        <f t="shared" si="12"/>
        <v/>
      </c>
      <c r="I151" s="167" t="str">
        <f t="shared" si="12"/>
        <v/>
      </c>
      <c r="J151" s="167" t="str">
        <f t="shared" si="12"/>
        <v/>
      </c>
      <c r="K151" s="167" t="str">
        <f t="shared" si="12"/>
        <v/>
      </c>
      <c r="L151" s="167" t="str">
        <f t="shared" si="12"/>
        <v/>
      </c>
      <c r="M151" s="167" t="str">
        <f t="shared" si="12"/>
        <v/>
      </c>
      <c r="N151" s="167" t="str">
        <f t="shared" si="12"/>
        <v/>
      </c>
      <c r="O151" s="167" t="str">
        <f t="shared" si="12"/>
        <v/>
      </c>
      <c r="P151" s="167" t="str">
        <f t="shared" si="12"/>
        <v/>
      </c>
      <c r="Q151" s="167" t="str">
        <f t="shared" si="12"/>
        <v/>
      </c>
      <c r="R151" s="167" t="str">
        <f t="shared" si="12"/>
        <v/>
      </c>
    </row>
    <row r="152" spans="1:19" s="31" customFormat="1" x14ac:dyDescent="0.75">
      <c r="A152" s="34" t="s">
        <v>730</v>
      </c>
      <c r="B152" s="3"/>
      <c r="C152" s="2"/>
      <c r="D152" s="153" t="e">
        <f t="shared" ref="D152:R152" si="13">IF(SUM(D151,D146,D142,D106,D86,D74,D61)&gt;0,SUM(D151,D146,D142,D106,D86,D74,D61),0)</f>
        <v>#REF!</v>
      </c>
      <c r="E152" s="153" t="e">
        <f t="shared" si="13"/>
        <v>#REF!</v>
      </c>
      <c r="F152" s="153" t="e">
        <f t="shared" si="13"/>
        <v>#REF!</v>
      </c>
      <c r="G152" s="153" t="e">
        <f t="shared" si="13"/>
        <v>#REF!</v>
      </c>
      <c r="H152" s="153" t="e">
        <f t="shared" si="13"/>
        <v>#REF!</v>
      </c>
      <c r="I152" s="153" t="e">
        <f t="shared" si="13"/>
        <v>#REF!</v>
      </c>
      <c r="J152" s="153" t="e">
        <f t="shared" si="13"/>
        <v>#REF!</v>
      </c>
      <c r="K152" s="153" t="e">
        <f t="shared" si="13"/>
        <v>#REF!</v>
      </c>
      <c r="L152" s="153" t="e">
        <f t="shared" si="13"/>
        <v>#REF!</v>
      </c>
      <c r="M152" s="153" t="e">
        <f t="shared" si="13"/>
        <v>#REF!</v>
      </c>
      <c r="N152" s="153" t="e">
        <f t="shared" si="13"/>
        <v>#REF!</v>
      </c>
      <c r="O152" s="153" t="e">
        <f t="shared" si="13"/>
        <v>#REF!</v>
      </c>
      <c r="P152" s="153">
        <f t="shared" si="13"/>
        <v>0</v>
      </c>
      <c r="Q152" s="153">
        <f t="shared" si="13"/>
        <v>0</v>
      </c>
      <c r="R152" s="153">
        <f t="shared" si="13"/>
        <v>0</v>
      </c>
      <c r="S152" s="97" t="e">
        <f>IF(SUM(D152:R152)&gt;0,SUM(D152:R152)/'Expenses w MYP'!$E124,"")</f>
        <v>#REF!</v>
      </c>
    </row>
    <row r="153" spans="1:19" s="31" customFormat="1" x14ac:dyDescent="0.75">
      <c r="A153" s="34"/>
      <c r="B153" s="3"/>
      <c r="C153" s="2"/>
      <c r="D153" s="45"/>
      <c r="E153" s="45"/>
      <c r="F153" s="45"/>
      <c r="G153" s="45"/>
      <c r="H153" s="45"/>
      <c r="I153" s="45"/>
      <c r="J153" s="45"/>
      <c r="K153" s="45"/>
      <c r="L153" s="45"/>
      <c r="M153" s="45"/>
      <c r="N153" s="45"/>
      <c r="O153" s="45"/>
      <c r="P153" s="84"/>
      <c r="Q153" s="84"/>
      <c r="R153" s="84"/>
    </row>
    <row r="154" spans="1:19" s="31" customFormat="1" x14ac:dyDescent="0.75">
      <c r="A154" s="35"/>
      <c r="B154" s="34" t="s">
        <v>818</v>
      </c>
      <c r="C154" s="2"/>
      <c r="D154" s="91"/>
      <c r="E154" s="91"/>
      <c r="F154" s="91"/>
      <c r="G154" s="84"/>
      <c r="H154" s="84"/>
      <c r="I154" s="84"/>
      <c r="J154" s="84"/>
      <c r="K154" s="84"/>
      <c r="L154" s="84"/>
      <c r="M154" s="84"/>
      <c r="N154" s="84"/>
      <c r="O154" s="84"/>
      <c r="P154" s="84"/>
      <c r="Q154" s="84"/>
      <c r="R154" s="84"/>
    </row>
    <row r="155" spans="1:19" s="31" customFormat="1" x14ac:dyDescent="0.75">
      <c r="A155" s="35"/>
      <c r="B155" s="64"/>
      <c r="C155" s="64" t="str">
        <f>'Cash Flow %s Yr2'!C154</f>
        <v>Cash balance at previous year end</v>
      </c>
      <c r="D155" s="62" t="e">
        <f>'Cash Flow $s Yr1'!O165</f>
        <v>#REF!</v>
      </c>
      <c r="E155" s="62"/>
      <c r="F155" s="62"/>
      <c r="G155" s="62"/>
      <c r="H155" s="62"/>
      <c r="I155" s="62"/>
      <c r="J155" s="62"/>
      <c r="K155" s="62"/>
      <c r="L155" s="62"/>
      <c r="M155" s="62"/>
      <c r="N155" s="62"/>
      <c r="O155" s="62"/>
      <c r="P155" s="90"/>
      <c r="Q155" s="90"/>
      <c r="R155" s="90"/>
    </row>
    <row r="156" spans="1:19" s="31" customFormat="1" x14ac:dyDescent="0.75">
      <c r="A156" s="35"/>
      <c r="B156" s="64"/>
      <c r="C156" s="117" t="str">
        <f>'Cash Flow %s Yr2'!C155</f>
        <v>Accounts Receivable</v>
      </c>
      <c r="D156" s="62">
        <f>'Cash Flow %s Yr2'!D155*'Cash Flow $s Yr1'!$O156</f>
        <v>0</v>
      </c>
      <c r="E156" s="62">
        <f>'Cash Flow %s Yr2'!E155*'Cash Flow $s Yr1'!$O156</f>
        <v>0</v>
      </c>
      <c r="F156" s="62">
        <f>'Cash Flow %s Yr2'!F155*'Cash Flow $s Yr1'!$O156</f>
        <v>0</v>
      </c>
      <c r="G156" s="62">
        <f>'Cash Flow %s Yr2'!G155*'Cash Flow $s Yr1'!$O156</f>
        <v>0</v>
      </c>
      <c r="H156" s="62">
        <f>'Cash Flow %s Yr2'!H155*'Cash Flow $s Yr1'!$O156</f>
        <v>0</v>
      </c>
      <c r="I156" s="62">
        <f>'Cash Flow %s Yr2'!I155*'Cash Flow $s Yr1'!$O156</f>
        <v>0</v>
      </c>
      <c r="J156" s="62">
        <f>'Cash Flow %s Yr2'!J155*'Cash Flow $s Yr1'!$O156</f>
        <v>0</v>
      </c>
      <c r="K156" s="62">
        <f>'Cash Flow %s Yr2'!K155*'Cash Flow $s Yr1'!$O156</f>
        <v>0</v>
      </c>
      <c r="L156" s="62">
        <f>'Cash Flow %s Yr2'!L155*'Cash Flow $s Yr1'!$O156</f>
        <v>0</v>
      </c>
      <c r="M156" s="62">
        <f>'Cash Flow %s Yr2'!M155*'Cash Flow $s Yr1'!$O156</f>
        <v>0</v>
      </c>
      <c r="N156" s="62">
        <f>'Cash Flow %s Yr2'!N155*'Cash Flow $s Yr1'!$O156</f>
        <v>0</v>
      </c>
      <c r="O156" s="62">
        <f>'Cash Flow %s Yr2'!O155*'Cash Flow $s Yr1'!$O156</f>
        <v>0</v>
      </c>
      <c r="P156" s="152">
        <f>P49</f>
        <v>0</v>
      </c>
      <c r="Q156" s="152">
        <f>Q49</f>
        <v>0</v>
      </c>
      <c r="R156" s="152">
        <f>R49</f>
        <v>0</v>
      </c>
    </row>
    <row r="157" spans="1:19" s="31" customFormat="1" x14ac:dyDescent="0.75">
      <c r="A157" s="35"/>
      <c r="B157" s="64"/>
      <c r="C157" s="117" t="str">
        <f>'Cash Flow %s Yr2'!C156</f>
        <v>Accounts Payable</v>
      </c>
      <c r="D157" s="62">
        <f>'Cash Flow %s Yr2'!D156*'Cash Flow $s Yr1'!$O157</f>
        <v>0</v>
      </c>
      <c r="E157" s="62">
        <f>'Cash Flow %s Yr2'!E156*'Cash Flow $s Yr1'!$O157</f>
        <v>0</v>
      </c>
      <c r="F157" s="62">
        <f>'Cash Flow %s Yr2'!F156*'Cash Flow $s Yr1'!$O157</f>
        <v>0</v>
      </c>
      <c r="G157" s="62">
        <f>'Cash Flow %s Yr2'!G156*'Cash Flow $s Yr1'!$O157</f>
        <v>0</v>
      </c>
      <c r="H157" s="62">
        <f>'Cash Flow %s Yr2'!H156*'Cash Flow $s Yr1'!$O157</f>
        <v>0</v>
      </c>
      <c r="I157" s="62">
        <f>'Cash Flow %s Yr2'!I156*'Cash Flow $s Yr1'!$O157</f>
        <v>0</v>
      </c>
      <c r="J157" s="62">
        <f>'Cash Flow %s Yr2'!J156*'Cash Flow $s Yr1'!$O157</f>
        <v>0</v>
      </c>
      <c r="K157" s="62">
        <f>'Cash Flow %s Yr2'!K156*'Cash Flow $s Yr1'!$O157</f>
        <v>0</v>
      </c>
      <c r="L157" s="62">
        <f>'Cash Flow %s Yr2'!L156*'Cash Flow $s Yr1'!$O157</f>
        <v>0</v>
      </c>
      <c r="M157" s="62">
        <f>'Cash Flow %s Yr2'!M156*'Cash Flow $s Yr1'!$O157</f>
        <v>0</v>
      </c>
      <c r="N157" s="62">
        <f>'Cash Flow %s Yr2'!N156*'Cash Flow $s Yr1'!$O157</f>
        <v>0</v>
      </c>
      <c r="O157" s="62">
        <f>'Cash Flow %s Yr2'!O156*'Cash Flow $s Yr1'!$O157</f>
        <v>0</v>
      </c>
      <c r="P157" s="152">
        <f>-P152</f>
        <v>0</v>
      </c>
      <c r="Q157" s="152">
        <f>-Q152</f>
        <v>0</v>
      </c>
      <c r="R157" s="152">
        <f>-R152</f>
        <v>0</v>
      </c>
    </row>
    <row r="158" spans="1:19" s="31" customFormat="1" x14ac:dyDescent="0.75">
      <c r="A158" s="35"/>
      <c r="B158" s="64"/>
      <c r="C158" s="117" t="str">
        <f>'Cash Flow %s Yr2'!C157</f>
        <v>Loan Principal Payable</v>
      </c>
      <c r="D158" s="62"/>
      <c r="E158" s="62"/>
      <c r="F158" s="62"/>
      <c r="G158" s="62"/>
      <c r="H158" s="62"/>
      <c r="I158" s="62"/>
      <c r="J158" s="62"/>
      <c r="K158" s="62"/>
      <c r="L158" s="62"/>
      <c r="M158" s="62"/>
      <c r="N158" s="62"/>
      <c r="O158" s="62"/>
      <c r="P158" s="90"/>
      <c r="Q158" s="90"/>
      <c r="R158" s="90"/>
    </row>
    <row r="159" spans="1:19" s="31" customFormat="1" x14ac:dyDescent="0.75">
      <c r="A159" s="35"/>
      <c r="B159" s="3"/>
      <c r="C159" s="34" t="s">
        <v>719</v>
      </c>
      <c r="D159" s="79" t="e">
        <f>D155+D156+D157+D158</f>
        <v>#REF!</v>
      </c>
      <c r="E159" s="79">
        <f t="shared" ref="E159:O159" si="14">E155+E156+E157+E158</f>
        <v>0</v>
      </c>
      <c r="F159" s="79">
        <f t="shared" si="14"/>
        <v>0</v>
      </c>
      <c r="G159" s="79">
        <f t="shared" si="14"/>
        <v>0</v>
      </c>
      <c r="H159" s="79">
        <f t="shared" si="14"/>
        <v>0</v>
      </c>
      <c r="I159" s="79">
        <f t="shared" si="14"/>
        <v>0</v>
      </c>
      <c r="J159" s="79">
        <f t="shared" si="14"/>
        <v>0</v>
      </c>
      <c r="K159" s="79">
        <f t="shared" si="14"/>
        <v>0</v>
      </c>
      <c r="L159" s="79">
        <f t="shared" si="14"/>
        <v>0</v>
      </c>
      <c r="M159" s="79">
        <f t="shared" si="14"/>
        <v>0</v>
      </c>
      <c r="N159" s="79">
        <f t="shared" si="14"/>
        <v>0</v>
      </c>
      <c r="O159" s="79">
        <f t="shared" si="14"/>
        <v>0</v>
      </c>
      <c r="P159" s="84"/>
      <c r="Q159" s="84"/>
      <c r="R159" s="84"/>
    </row>
    <row r="160" spans="1:19" s="39" customFormat="1" ht="16.5" thickBot="1" x14ac:dyDescent="0.9">
      <c r="A160" s="35"/>
      <c r="C160" s="1"/>
      <c r="D160" s="84"/>
      <c r="E160" s="84"/>
      <c r="F160" s="84"/>
      <c r="G160" s="84"/>
      <c r="H160" s="84"/>
      <c r="I160" s="84"/>
      <c r="J160" s="84"/>
      <c r="K160" s="84"/>
      <c r="L160" s="84"/>
      <c r="M160" s="84"/>
      <c r="N160" s="84"/>
      <c r="O160" s="84"/>
      <c r="P160" s="84"/>
      <c r="Q160" s="84"/>
      <c r="R160" s="84"/>
    </row>
    <row r="161" spans="1:18" s="39" customFormat="1" ht="16.5" thickBot="1" x14ac:dyDescent="0.9">
      <c r="A161" s="71" t="s">
        <v>825</v>
      </c>
      <c r="B161" s="114"/>
      <c r="C161" s="72"/>
      <c r="D161" s="131" t="e">
        <f t="shared" ref="D161:O161" si="15">D49-D152</f>
        <v>#REF!</v>
      </c>
      <c r="E161" s="131" t="e">
        <f t="shared" si="15"/>
        <v>#REF!</v>
      </c>
      <c r="F161" s="131" t="e">
        <f t="shared" si="15"/>
        <v>#REF!</v>
      </c>
      <c r="G161" s="131" t="e">
        <f t="shared" si="15"/>
        <v>#REF!</v>
      </c>
      <c r="H161" s="131" t="e">
        <f t="shared" si="15"/>
        <v>#REF!</v>
      </c>
      <c r="I161" s="131" t="e">
        <f t="shared" si="15"/>
        <v>#REF!</v>
      </c>
      <c r="J161" s="131" t="e">
        <f t="shared" si="15"/>
        <v>#REF!</v>
      </c>
      <c r="K161" s="131" t="e">
        <f t="shared" si="15"/>
        <v>#REF!</v>
      </c>
      <c r="L161" s="131" t="e">
        <f t="shared" si="15"/>
        <v>#REF!</v>
      </c>
      <c r="M161" s="131" t="e">
        <f t="shared" si="15"/>
        <v>#REF!</v>
      </c>
      <c r="N161" s="131" t="e">
        <f t="shared" si="15"/>
        <v>#REF!</v>
      </c>
      <c r="O161" s="132" t="e">
        <f t="shared" si="15"/>
        <v>#REF!</v>
      </c>
      <c r="P161" s="84"/>
      <c r="Q161" s="84"/>
      <c r="R161" s="84"/>
    </row>
    <row r="162" spans="1:18" s="39" customFormat="1" ht="16.5" thickBot="1" x14ac:dyDescent="0.9">
      <c r="A162" s="35"/>
      <c r="C162" s="1"/>
      <c r="D162" s="133"/>
      <c r="E162" s="133"/>
      <c r="F162" s="133"/>
      <c r="G162" s="133"/>
      <c r="H162" s="133"/>
      <c r="I162" s="133"/>
      <c r="J162" s="133"/>
      <c r="K162" s="133"/>
      <c r="L162" s="133"/>
      <c r="M162" s="133"/>
      <c r="N162" s="133"/>
      <c r="O162" s="133"/>
      <c r="P162" s="84"/>
      <c r="Q162" s="84"/>
      <c r="R162" s="84"/>
    </row>
    <row r="163" spans="1:18" s="39" customFormat="1" ht="16.5" thickBot="1" x14ac:dyDescent="0.9">
      <c r="A163" s="71" t="s">
        <v>816</v>
      </c>
      <c r="B163" s="114"/>
      <c r="C163" s="72"/>
      <c r="D163" s="131" t="e">
        <f>D159+D161</f>
        <v>#REF!</v>
      </c>
      <c r="E163" s="131" t="e">
        <f t="shared" ref="E163:O163" si="16">E159+E161</f>
        <v>#REF!</v>
      </c>
      <c r="F163" s="131" t="e">
        <f t="shared" si="16"/>
        <v>#REF!</v>
      </c>
      <c r="G163" s="131" t="e">
        <f t="shared" si="16"/>
        <v>#REF!</v>
      </c>
      <c r="H163" s="131" t="e">
        <f t="shared" si="16"/>
        <v>#REF!</v>
      </c>
      <c r="I163" s="131" t="e">
        <f t="shared" si="16"/>
        <v>#REF!</v>
      </c>
      <c r="J163" s="131" t="e">
        <f t="shared" si="16"/>
        <v>#REF!</v>
      </c>
      <c r="K163" s="131" t="e">
        <f t="shared" si="16"/>
        <v>#REF!</v>
      </c>
      <c r="L163" s="131" t="e">
        <f t="shared" si="16"/>
        <v>#REF!</v>
      </c>
      <c r="M163" s="131" t="e">
        <f t="shared" si="16"/>
        <v>#REF!</v>
      </c>
      <c r="N163" s="131" t="e">
        <f t="shared" si="16"/>
        <v>#REF!</v>
      </c>
      <c r="O163" s="132" t="e">
        <f t="shared" si="16"/>
        <v>#REF!</v>
      </c>
      <c r="P163" s="84"/>
      <c r="Q163" s="84"/>
      <c r="R163" s="84"/>
    </row>
    <row r="164" spans="1:18" s="39" customFormat="1" ht="16.5" thickBot="1" x14ac:dyDescent="0.9">
      <c r="A164" s="35"/>
      <c r="C164" s="1"/>
      <c r="D164" s="84"/>
      <c r="E164" s="84"/>
      <c r="F164" s="84"/>
      <c r="G164" s="84"/>
      <c r="H164" s="84"/>
      <c r="I164" s="84"/>
      <c r="J164" s="84"/>
      <c r="K164" s="84"/>
      <c r="L164" s="84"/>
      <c r="M164" s="84"/>
      <c r="N164" s="84"/>
      <c r="O164" s="84"/>
      <c r="P164" s="84"/>
      <c r="Q164" s="84"/>
      <c r="R164" s="84"/>
    </row>
    <row r="165" spans="1:18" s="39" customFormat="1" ht="16.5" thickBot="1" x14ac:dyDescent="0.9">
      <c r="A165" s="71" t="s">
        <v>826</v>
      </c>
      <c r="B165" s="114"/>
      <c r="C165" s="72"/>
      <c r="D165" s="131" t="e">
        <f>D163</f>
        <v>#REF!</v>
      </c>
      <c r="E165" s="131" t="e">
        <f>D165+E163</f>
        <v>#REF!</v>
      </c>
      <c r="F165" s="131" t="e">
        <f t="shared" ref="F165:O165" si="17">E165+F163</f>
        <v>#REF!</v>
      </c>
      <c r="G165" s="131" t="e">
        <f t="shared" si="17"/>
        <v>#REF!</v>
      </c>
      <c r="H165" s="131" t="e">
        <f t="shared" si="17"/>
        <v>#REF!</v>
      </c>
      <c r="I165" s="131" t="e">
        <f t="shared" si="17"/>
        <v>#REF!</v>
      </c>
      <c r="J165" s="131" t="e">
        <f t="shared" si="17"/>
        <v>#REF!</v>
      </c>
      <c r="K165" s="131" t="e">
        <f t="shared" si="17"/>
        <v>#REF!</v>
      </c>
      <c r="L165" s="131" t="e">
        <f t="shared" si="17"/>
        <v>#REF!</v>
      </c>
      <c r="M165" s="131" t="e">
        <f t="shared" si="17"/>
        <v>#REF!</v>
      </c>
      <c r="N165" s="131" t="e">
        <f t="shared" si="17"/>
        <v>#REF!</v>
      </c>
      <c r="O165" s="132" t="e">
        <f t="shared" si="17"/>
        <v>#REF!</v>
      </c>
      <c r="P165" s="84"/>
      <c r="Q165" s="84"/>
      <c r="R165" s="84"/>
    </row>
    <row r="166" spans="1:18" s="39" customFormat="1" x14ac:dyDescent="0.75">
      <c r="A166" s="35"/>
      <c r="C166" s="1"/>
      <c r="D166" s="84"/>
      <c r="E166" s="84"/>
      <c r="F166" s="84"/>
      <c r="G166" s="84"/>
      <c r="H166" s="84"/>
      <c r="I166" s="84"/>
      <c r="J166" s="84"/>
      <c r="K166" s="84"/>
      <c r="L166" s="84"/>
      <c r="M166" s="84"/>
      <c r="N166" s="84"/>
      <c r="O166" s="84"/>
      <c r="P166" s="84"/>
      <c r="Q166" s="84"/>
      <c r="R166" s="84"/>
    </row>
    <row r="167" spans="1:18" s="39" customFormat="1" x14ac:dyDescent="0.75">
      <c r="A167" s="35"/>
      <c r="C167" s="1"/>
      <c r="D167" s="84"/>
      <c r="E167" s="84"/>
      <c r="F167" s="84"/>
      <c r="G167" s="84"/>
      <c r="H167" s="84"/>
      <c r="I167" s="84"/>
      <c r="J167" s="84"/>
      <c r="K167" s="84"/>
      <c r="L167" s="84"/>
      <c r="M167" s="84"/>
      <c r="N167" s="84"/>
      <c r="O167" s="84"/>
      <c r="P167" s="84"/>
      <c r="Q167" s="84"/>
      <c r="R167" s="84"/>
    </row>
    <row r="168" spans="1:18" s="39" customFormat="1" x14ac:dyDescent="0.75">
      <c r="A168" s="35"/>
      <c r="C168" s="1"/>
      <c r="D168" s="84"/>
      <c r="E168" s="84"/>
      <c r="F168" s="84"/>
      <c r="G168" s="84"/>
      <c r="H168" s="84"/>
      <c r="I168" s="84"/>
      <c r="J168" s="84"/>
      <c r="K168" s="84"/>
      <c r="L168" s="84"/>
      <c r="M168" s="84"/>
      <c r="N168" s="84"/>
      <c r="O168" s="84"/>
      <c r="P168" s="84"/>
      <c r="Q168" s="84"/>
      <c r="R168" s="84"/>
    </row>
  </sheetData>
  <pageMargins left="0.25" right="0.25" top="0.5" bottom="0.5" header="0.25" footer="0.25"/>
  <pageSetup scale="53" fitToHeight="3" orientation="landscape" r:id="rId1"/>
  <headerFooter alignWithMargins="0">
    <oddHeader>&amp;A</oddHeader>
    <oddFooter>Page &amp;P</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6" tint="-0.249977111117893"/>
    <pageSetUpPr fitToPage="1"/>
  </sheetPr>
  <dimension ref="A1:S168"/>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12.453125" style="84" customWidth="1"/>
    <col min="19" max="19" width="10.31640625" style="1" bestFit="1" customWidth="1"/>
    <col min="20"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row>
    <row r="2" spans="1:19" ht="17.75" x14ac:dyDescent="0.75">
      <c r="A2" s="21" t="s">
        <v>814</v>
      </c>
    </row>
    <row r="3" spans="1:19" ht="17.75" x14ac:dyDescent="0.75">
      <c r="A3" s="21" t="str">
        <f>'Student Info w MYP'!F6</f>
        <v>Yolo</v>
      </c>
    </row>
    <row r="5" spans="1:19" ht="17.75" x14ac:dyDescent="0.75">
      <c r="A5" s="29"/>
      <c r="B5" s="40"/>
      <c r="C5" s="29"/>
      <c r="D5" s="96" t="e">
        <f>'Student Info w MYP'!E63/'Student Info w MYP'!F63</f>
        <v>#VALUE!</v>
      </c>
      <c r="F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109" t="s">
        <v>815</v>
      </c>
      <c r="D8" s="96"/>
      <c r="F8" s="85"/>
      <c r="G8" s="85"/>
      <c r="H8" s="85"/>
      <c r="I8" s="31"/>
      <c r="J8" s="31"/>
      <c r="K8" s="85"/>
      <c r="L8" s="85"/>
      <c r="M8" s="85"/>
      <c r="N8" s="85"/>
      <c r="O8" s="85"/>
      <c r="P8" s="85"/>
      <c r="Q8" s="85"/>
      <c r="R8" s="85"/>
    </row>
    <row r="9" spans="1:19" ht="17.75" hidden="1" x14ac:dyDescent="0.75">
      <c r="A9" s="29"/>
      <c r="B9" s="40"/>
      <c r="D9" s="87"/>
      <c r="E9" s="100"/>
      <c r="F9" s="100"/>
      <c r="G9" s="100"/>
      <c r="H9" s="100"/>
      <c r="I9" s="100"/>
      <c r="J9" s="100"/>
      <c r="K9" s="100"/>
      <c r="L9" s="101"/>
      <c r="M9" s="100"/>
      <c r="N9" s="100"/>
      <c r="O9" s="101"/>
      <c r="P9" s="100"/>
      <c r="Q9" s="98"/>
      <c r="R9" s="98"/>
      <c r="S9" s="97"/>
    </row>
    <row r="10" spans="1:19" ht="17.75" hidden="1" x14ac:dyDescent="0.75">
      <c r="A10" s="29"/>
      <c r="B10" s="40"/>
      <c r="D10" s="87"/>
      <c r="E10" s="102"/>
      <c r="F10" s="102"/>
      <c r="G10" s="100"/>
      <c r="H10" s="102"/>
      <c r="I10" s="102"/>
      <c r="J10" s="100"/>
      <c r="K10" s="102"/>
      <c r="L10" s="101"/>
      <c r="M10" s="103"/>
      <c r="N10" s="103"/>
      <c r="O10" s="103"/>
      <c r="P10" s="104"/>
      <c r="Q10" s="87"/>
      <c r="R10" s="98"/>
      <c r="S10" s="97"/>
    </row>
    <row r="11" spans="1:19" s="31" customFormat="1" ht="17.75" x14ac:dyDescent="0.75">
      <c r="B11" s="68" t="s">
        <v>778</v>
      </c>
      <c r="C11" s="47"/>
      <c r="D11" s="86"/>
      <c r="E11" s="86"/>
      <c r="F11" s="86"/>
      <c r="G11" s="86"/>
      <c r="H11" s="86"/>
      <c r="I11" s="86"/>
      <c r="J11" s="86"/>
      <c r="K11" s="86"/>
      <c r="L11" s="86"/>
      <c r="M11" s="86"/>
      <c r="N11" s="86"/>
      <c r="O11" s="86"/>
      <c r="P11" s="86"/>
      <c r="Q11" s="86"/>
      <c r="R11" s="86"/>
    </row>
    <row r="12" spans="1:19" s="31" customFormat="1" x14ac:dyDescent="0.75">
      <c r="A12" s="48"/>
      <c r="B12" s="63" t="str">
        <f>'Revenue w MYP'!C8</f>
        <v>8011</v>
      </c>
      <c r="C12" s="63" t="str">
        <f>'Revenue w MYP'!D8</f>
        <v>LCFF; state aid portion</v>
      </c>
      <c r="D12" s="62" t="e">
        <f>IF('Revenue w MYP'!$G8="","",IF('Cash Flow %s Yr3'!D12="","",'Cash Flow %s Yr3'!D12*'Revenue w MYP'!$G8)*$D$5)</f>
        <v>#VALUE!</v>
      </c>
      <c r="E12" s="62" t="e">
        <f>IF('Revenue w MYP'!$G8="","",IF('Cash Flow %s Yr3'!E12="","",'Cash Flow %s Yr3'!E12*'Revenue w MYP'!$G8)*$D$5)</f>
        <v>#VALUE!</v>
      </c>
      <c r="F12" s="62" t="e">
        <f>IF('Revenue w MYP'!$G8="","",IF('Cash Flow %s Yr3'!F12="","",'Cash Flow %s Yr3'!F12*'Revenue w MYP'!$G8)*$D$5)</f>
        <v>#VALUE!</v>
      </c>
      <c r="G12" s="62" t="e">
        <f>IF('Revenue w MYP'!$G8="","",IF('Cash Flow %s Yr3'!G12="","",'Cash Flow %s Yr3'!G12*'Revenue w MYP'!$G8)*$D$5)</f>
        <v>#VALUE!</v>
      </c>
      <c r="H12" s="62" t="e">
        <f>IF('Revenue w MYP'!$G8="","",IF('Cash Flow %s Yr3'!H12="","",'Cash Flow %s Yr3'!H12*'Revenue w MYP'!$G8)*$D$5)</f>
        <v>#VALUE!</v>
      </c>
      <c r="I12" s="62" t="e">
        <f>IF('Revenue w MYP'!$G8="","",IF('Cash Flow %s Yr3'!I12="","",'Cash Flow %s Yr3'!I12*'Revenue w MYP'!$G8)*$D$5)</f>
        <v>#VALUE!</v>
      </c>
      <c r="J12" s="62" t="e">
        <f>IF('Revenue w MYP'!$G8="","",IF('Cash Flow %s Yr3'!J12="","",'Cash Flow %s Yr3'!J12*'Revenue w MYP'!$G8)*$D$5)</f>
        <v>#VALUE!</v>
      </c>
      <c r="K12" s="62" t="e">
        <f>IF('Revenue w MYP'!$G8="","",IF('Cash Flow %s Yr3'!K12="","",'Cash Flow %s Yr3'!K12*'Revenue w MYP'!$G8)*$D$5)</f>
        <v>#VALUE!</v>
      </c>
      <c r="L12" s="62" t="e">
        <f>IF('Revenue w MYP'!$G8="","",IF('Cash Flow %s Yr3'!L12="","",'Cash Flow %s Yr3'!L12*'Revenue w MYP'!$G8)*(1/$D$5))</f>
        <v>#VALUE!</v>
      </c>
      <c r="M12" s="62" t="e">
        <f>IF('Revenue w MYP'!$G8="","",IF('Cash Flow %s Yr3'!M12="","",'Cash Flow %s Yr3'!M12*'Revenue w MYP'!$G8)*(1/$D$5))</f>
        <v>#VALUE!</v>
      </c>
      <c r="N12" s="62" t="e">
        <f>IF('Revenue w MYP'!$G8="","",IF('Cash Flow %s Yr3'!N12="","",'Cash Flow %s Yr3'!N12*'Revenue w MYP'!$G8)*(1/$D$5))</f>
        <v>#VALUE!</v>
      </c>
      <c r="O12" s="62" t="e">
        <f>IF('Revenue w MYP'!$G8="","",IF('Cash Flow %s Yr3'!O12="","",'Cash Flow %s Yr3'!O12*'Revenue w MYP'!$G8)*(1/$D$5))</f>
        <v>#VALUE!</v>
      </c>
      <c r="P12" s="62" t="e">
        <f>IF('Revenue w MYP'!$G8="","",IF('Cash Flow %s Yr3'!P12="","",'Revenue w MYP'!G8-SUM('Cash Flow $s Yr3'!D12:O12)))</f>
        <v>#VALUE!</v>
      </c>
      <c r="Q12" s="62"/>
      <c r="R12" s="62"/>
      <c r="S12" s="97" t="e">
        <f>IF(SUM(D12:R12)&gt;0,SUM(D12:R12)/'Revenue w MYP'!$G8,"")</f>
        <v>#VALUE!</v>
      </c>
    </row>
    <row r="13" spans="1:19" s="31" customFormat="1" x14ac:dyDescent="0.75">
      <c r="A13" s="48"/>
      <c r="B13" s="63" t="str">
        <f>'Revenue w MYP'!C9</f>
        <v>8012</v>
      </c>
      <c r="C13" s="63" t="str">
        <f>'Revenue w MYP'!D9</f>
        <v>LCFF; EPA portion</v>
      </c>
      <c r="D13" s="62" t="e">
        <f>IF('Revenue w MYP'!$G9="","",IF('Cash Flow %s Yr3'!D13="","",'Cash Flow %s Yr3'!D13*'Revenue w MYP'!$G9)*$D$5)</f>
        <v>#VALUE!</v>
      </c>
      <c r="E13" s="62" t="e">
        <f>IF('Revenue w MYP'!$G9="","",IF('Cash Flow %s Yr3'!E13="","",'Cash Flow %s Yr3'!E13*'Revenue w MYP'!$G9)*$D$5)</f>
        <v>#VALUE!</v>
      </c>
      <c r="F13" s="62" t="e">
        <f>IF('Revenue w MYP'!$G9="","",IF('Cash Flow %s Yr3'!F13="","",'Cash Flow %s Yr3'!F13*'Revenue w MYP'!$G9)*$D$5)</f>
        <v>#VALUE!</v>
      </c>
      <c r="G13" s="62" t="e">
        <f>IF('Revenue w MYP'!$G9="","",IF('Cash Flow %s Yr3'!G13="","",'Cash Flow %s Yr3'!G13*'Revenue w MYP'!$G9)*$D$5)</f>
        <v>#VALUE!</v>
      </c>
      <c r="H13" s="62" t="e">
        <f>IF('Revenue w MYP'!$G9="","",IF('Cash Flow %s Yr3'!H13="","",'Cash Flow %s Yr3'!H13*'Revenue w MYP'!$G9)*$D$5)</f>
        <v>#VALUE!</v>
      </c>
      <c r="I13" s="62" t="e">
        <f>IF('Revenue w MYP'!$G9="","",IF('Cash Flow %s Yr3'!I13="","",'Cash Flow %s Yr3'!I13*'Revenue w MYP'!$G9)*$D$5)</f>
        <v>#VALUE!</v>
      </c>
      <c r="J13" s="62" t="e">
        <f>IF('Revenue w MYP'!$G9="","",IF('Cash Flow %s Yr3'!J13="","",'Cash Flow %s Yr3'!J13*'Revenue w MYP'!$G9)*$D$5)</f>
        <v>#VALUE!</v>
      </c>
      <c r="K13" s="62" t="e">
        <f>IF('Revenue w MYP'!$G9="","",IF('Cash Flow %s Yr3'!K13="","",'Cash Flow %s Yr3'!K13*'Revenue w MYP'!$G9)*$D$5)</f>
        <v>#VALUE!</v>
      </c>
      <c r="L13" s="62" t="e">
        <f>IF('Revenue w MYP'!$G9="","",IF('Cash Flow %s Yr3'!L13="","",'Cash Flow %s Yr3'!L13*'Revenue w MYP'!$G9)*(1/$D$5))</f>
        <v>#VALUE!</v>
      </c>
      <c r="M13" s="62" t="e">
        <f>IF('Revenue w MYP'!$G9="","",IF('Cash Flow %s Yr3'!M13="","",'Cash Flow %s Yr3'!M13*'Revenue w MYP'!$G9)*(1/$D$5))</f>
        <v>#VALUE!</v>
      </c>
      <c r="N13" s="62" t="e">
        <f>IF('Revenue w MYP'!$G9="","",IF('Cash Flow %s Yr3'!N13="","",'Cash Flow %s Yr3'!N13*'Revenue w MYP'!$G9)*(1/$D$5))</f>
        <v>#VALUE!</v>
      </c>
      <c r="O13" s="62" t="e">
        <f>IF('Revenue w MYP'!$G9="","",IF('Cash Flow %s Yr3'!O13="","",'Cash Flow %s Yr3'!O13*'Revenue w MYP'!$G9)*(1/$D$5))</f>
        <v>#VALUE!</v>
      </c>
      <c r="P13" s="62" t="e">
        <f>IF('Revenue w MYP'!$G9="","",IF('Cash Flow %s Yr3'!P13="","",'Revenue w MYP'!G9-SUM('Cash Flow $s Yr3'!D13:O13)))</f>
        <v>#VALUE!</v>
      </c>
      <c r="Q13" s="62"/>
      <c r="R13" s="62"/>
      <c r="S13" s="97" t="e">
        <f>IF(SUM(D13:R13)&gt;0,SUM(D13:R13)/'Revenue w MYP'!$G9,"")</f>
        <v>#VALUE!</v>
      </c>
    </row>
    <row r="14" spans="1:19" s="31" customFormat="1" x14ac:dyDescent="0.75">
      <c r="A14" s="48"/>
      <c r="B14" s="63" t="str">
        <f>'Revenue w MYP'!C10</f>
        <v>8096</v>
      </c>
      <c r="C14" s="63" t="str">
        <f>'Revenue w MYP'!D10</f>
        <v>In-Lieu of Property Taxes, all grades</v>
      </c>
      <c r="D14" s="62" t="e">
        <f>IF('Revenue w MYP'!$G10="","",IF('Cash Flow %s Yr3'!D14="","",'Cash Flow %s Yr3'!D14*'Revenue w MYP'!$G10)*$D$5)</f>
        <v>#VALUE!</v>
      </c>
      <c r="E14" s="62" t="e">
        <f>IF('Revenue w MYP'!$G10="","",IF('Cash Flow %s Yr3'!E14="","",'Cash Flow %s Yr3'!E14*'Revenue w MYP'!$G10)*$D$5)</f>
        <v>#VALUE!</v>
      </c>
      <c r="F14" s="62" t="e">
        <f>IF('Revenue w MYP'!$G10="","",IF('Cash Flow %s Yr3'!F14="","",'Cash Flow %s Yr3'!F14*'Revenue w MYP'!$G10)*$D$5)</f>
        <v>#VALUE!</v>
      </c>
      <c r="G14" s="62" t="e">
        <f>IF('Revenue w MYP'!$G10="","",IF('Cash Flow %s Yr3'!G14="","",'Cash Flow %s Yr3'!G14*'Revenue w MYP'!$G10)*$D$5)</f>
        <v>#VALUE!</v>
      </c>
      <c r="H14" s="62" t="e">
        <f>IF('Revenue w MYP'!$G10="","",IF('Cash Flow %s Yr3'!H14="","",'Cash Flow %s Yr3'!H14*'Revenue w MYP'!$G10)*$D$5)</f>
        <v>#VALUE!</v>
      </c>
      <c r="I14" s="62" t="e">
        <f>IF('Revenue w MYP'!$G10="","",IF('Cash Flow %s Yr3'!I14="","",'Cash Flow %s Yr3'!I14*'Revenue w MYP'!$G10)*$D$5)</f>
        <v>#VALUE!</v>
      </c>
      <c r="J14" s="62" t="e">
        <f>IF('Revenue w MYP'!$G10="","",IF('Cash Flow %s Yr3'!J14="","",'Cash Flow %s Yr3'!J14*'Revenue w MYP'!$G10)*$D$5)</f>
        <v>#VALUE!</v>
      </c>
      <c r="K14" s="62" t="e">
        <f>IF('Revenue w MYP'!$G10="","",IF('Cash Flow %s Yr3'!K14="","",'Cash Flow %s Yr3'!K14*'Revenue w MYP'!$G10)*$D$5)</f>
        <v>#VALUE!</v>
      </c>
      <c r="L14" s="62" t="e">
        <f>IF('Revenue w MYP'!$G10="","",IF('Cash Flow %s Yr3'!L14="","",'Cash Flow %s Yr3'!L14*'Revenue w MYP'!$G10)*(1/$D$5))</f>
        <v>#VALUE!</v>
      </c>
      <c r="M14" s="62" t="e">
        <f>IF('Revenue w MYP'!$G10="","",IF('Cash Flow %s Yr3'!M14="","",'Cash Flow %s Yr3'!M14*'Revenue w MYP'!$G10)*(1/$D$5))</f>
        <v>#VALUE!</v>
      </c>
      <c r="N14" s="62" t="e">
        <f>IF('Revenue w MYP'!$G10="","",IF('Cash Flow %s Yr3'!N14="","",'Cash Flow %s Yr3'!N14*'Revenue w MYP'!$G10)*(1/$D$5))</f>
        <v>#VALUE!</v>
      </c>
      <c r="O14" s="62" t="e">
        <f>IF('Revenue w MYP'!$G10="","",IF('Cash Flow %s Yr3'!O14="","",'Cash Flow %s Yr3'!O14*'Revenue w MYP'!$G10)*(1/$D$5))</f>
        <v>#VALUE!</v>
      </c>
      <c r="P14" s="62" t="e">
        <f>IF('Revenue w MYP'!$G10="","",IF('Cash Flow %s Yr3'!P14="","",'Revenue w MYP'!G10-SUM('Cash Flow $s Yr3'!D14:O14)))</f>
        <v>#VALUE!</v>
      </c>
      <c r="Q14" s="62"/>
      <c r="R14" s="62"/>
      <c r="S14" s="97" t="e">
        <f>IF(SUM(D14:R14)&gt;0,SUM(D14:R14)/'Revenue w MYP'!$G10,"")</f>
        <v>#VALUE!</v>
      </c>
    </row>
    <row r="15" spans="1:19" s="31" customFormat="1" x14ac:dyDescent="0.75">
      <c r="A15" s="48"/>
      <c r="B15" s="63" t="str">
        <f>'Revenue w MYP'!C11</f>
        <v>8019</v>
      </c>
      <c r="C15" s="63" t="str">
        <f>'Revenue w MYP'!D11</f>
        <v>Prior Year Income / Adjustments</v>
      </c>
      <c r="D15" s="62">
        <f>'Cash Flow $s Yr2'!P156</f>
        <v>0</v>
      </c>
      <c r="E15" s="62">
        <f>'Cash Flow $s Yr2'!Q156</f>
        <v>0</v>
      </c>
      <c r="F15" s="62">
        <f>'Cash Flow $s Yr2'!R156</f>
        <v>0</v>
      </c>
      <c r="G15" s="62" t="str">
        <f>IF('Revenue w MYP'!$G11="","",IF('Cash Flow %s Yr3'!G15="","",'Cash Flow %s Yr3'!G15*'Revenue w MYP'!$G11))</f>
        <v/>
      </c>
      <c r="H15" s="62" t="str">
        <f>IF('Revenue w MYP'!$G11="","",IF('Cash Flow %s Yr3'!H15="","",'Cash Flow %s Yr3'!H15*'Revenue w MYP'!$G11))</f>
        <v/>
      </c>
      <c r="I15" s="62" t="str">
        <f>IF('Revenue w MYP'!$G11="","",IF('Cash Flow %s Yr3'!I15="","",'Cash Flow %s Yr3'!I15*'Revenue w MYP'!$G11))</f>
        <v/>
      </c>
      <c r="J15" s="62" t="str">
        <f>IF('Revenue w MYP'!$G11="","",IF('Cash Flow %s Yr3'!J15="","",'Cash Flow %s Yr3'!J15*'Revenue w MYP'!$G11))</f>
        <v/>
      </c>
      <c r="K15" s="62" t="str">
        <f>IF('Revenue w MYP'!$G11="","",IF('Cash Flow %s Yr3'!K15="","",'Cash Flow %s Yr3'!K15*'Revenue w MYP'!$G11))</f>
        <v/>
      </c>
      <c r="L15" s="62" t="str">
        <f>IF('Revenue w MYP'!$G11="","",IF('Cash Flow %s Yr3'!L15="","",'Cash Flow %s Yr3'!L15*'Revenue w MYP'!$G11))</f>
        <v/>
      </c>
      <c r="M15" s="62" t="str">
        <f>IF('Revenue w MYP'!$G11="","",IF('Cash Flow %s Yr3'!M15="","",'Cash Flow %s Yr3'!M15*'Revenue w MYP'!$G11))</f>
        <v/>
      </c>
      <c r="N15" s="62" t="str">
        <f>IF('Revenue w MYP'!$G11="","",IF('Cash Flow %s Yr3'!N15="","",'Cash Flow %s Yr3'!N15*'Revenue w MYP'!$G11))</f>
        <v/>
      </c>
      <c r="O15" s="62" t="str">
        <f>IF('Revenue w MYP'!$G11="","",IF('Cash Flow %s Yr3'!O15="","",'Cash Flow %s Yr3'!O15*'Revenue w MYP'!$G11))</f>
        <v/>
      </c>
      <c r="P15" s="62" t="str">
        <f>IF('Revenue w MYP'!$G11="","",IF('Cash Flow %s Yr3'!P15="","",'Cash Flow %s Yr3'!P15*'Revenue w MYP'!$G11))</f>
        <v/>
      </c>
      <c r="Q15" s="62" t="str">
        <f>IF('Revenue w MYP'!$G11="","",IF('Cash Flow %s Yr3'!Q15="","",'Cash Flow %s Yr3'!Q15*'Revenue w MYP'!$G11))</f>
        <v/>
      </c>
      <c r="R15" s="62" t="str">
        <f>IF('Revenue w MYP'!$G11="","",IF('Cash Flow %s Yr3'!R15="","",'Cash Flow %s Yr3'!R15*'Revenue w MYP'!$G11))</f>
        <v/>
      </c>
      <c r="S15" s="97" t="str">
        <f>IF(SUM(D15:R15)&gt;0,SUM(D15:R15)/'Revenue w MYP'!$G11,"")</f>
        <v/>
      </c>
    </row>
    <row r="16" spans="1:19" s="31" customFormat="1" x14ac:dyDescent="0.75">
      <c r="A16" s="48"/>
      <c r="B16" s="63" t="str">
        <f>'Revenue w MYP'!C12</f>
        <v>8520</v>
      </c>
      <c r="C16" s="63" t="str">
        <f>'Revenue w MYP'!D12</f>
        <v>State Child Nutrition program</v>
      </c>
      <c r="D16" s="62" t="str">
        <f>IF('Revenue w MYP'!$G12="","",IF('Cash Flow %s Yr3'!D16="","",'Cash Flow %s Yr3'!D16*'Revenue w MYP'!$G12))</f>
        <v/>
      </c>
      <c r="E16" s="62" t="str">
        <f>IF('Revenue w MYP'!$G12="","",IF('Cash Flow %s Yr3'!E16="","",'Cash Flow %s Yr3'!E16*'Revenue w MYP'!$G12))</f>
        <v/>
      </c>
      <c r="F16" s="62" t="str">
        <f>IF('Revenue w MYP'!$G12="","",IF('Cash Flow %s Yr3'!F16="","",'Cash Flow %s Yr3'!F16*'Revenue w MYP'!$G12))</f>
        <v/>
      </c>
      <c r="G16" s="62" t="str">
        <f>IF('Revenue w MYP'!$G12="","",IF('Cash Flow %s Yr3'!G16="","",'Cash Flow %s Yr3'!G16*'Revenue w MYP'!$G12))</f>
        <v/>
      </c>
      <c r="H16" s="62" t="str">
        <f>IF('Revenue w MYP'!$G12="","",IF('Cash Flow %s Yr3'!H16="","",'Cash Flow %s Yr3'!H16*'Revenue w MYP'!$G12))</f>
        <v/>
      </c>
      <c r="I16" s="62" t="str">
        <f>IF('Revenue w MYP'!$G12="","",IF('Cash Flow %s Yr3'!I16="","",'Cash Flow %s Yr3'!I16*'Revenue w MYP'!$G12))</f>
        <v/>
      </c>
      <c r="J16" s="62" t="str">
        <f>IF('Revenue w MYP'!$G12="","",IF('Cash Flow %s Yr3'!J16="","",'Cash Flow %s Yr3'!J16*'Revenue w MYP'!$G12))</f>
        <v/>
      </c>
      <c r="K16" s="62" t="str">
        <f>IF('Revenue w MYP'!$G12="","",IF('Cash Flow %s Yr3'!K16="","",'Cash Flow %s Yr3'!K16*'Revenue w MYP'!$G12))</f>
        <v/>
      </c>
      <c r="L16" s="62" t="str">
        <f>IF('Revenue w MYP'!$G12="","",IF('Cash Flow %s Yr3'!L16="","",'Cash Flow %s Yr3'!L16*'Revenue w MYP'!$G12))</f>
        <v/>
      </c>
      <c r="M16" s="62" t="str">
        <f>IF('Revenue w MYP'!$G12="","",IF('Cash Flow %s Yr3'!M16="","",'Cash Flow %s Yr3'!M16*'Revenue w MYP'!$G12))</f>
        <v/>
      </c>
      <c r="N16" s="62" t="str">
        <f>IF('Revenue w MYP'!$G12="","",IF('Cash Flow %s Yr3'!N16="","",'Cash Flow %s Yr3'!N16*'Revenue w MYP'!$G12))</f>
        <v/>
      </c>
      <c r="O16" s="62" t="str">
        <f>IF('Revenue w MYP'!$G12="","",IF('Cash Flow %s Yr3'!O16="","",'Cash Flow %s Yr3'!O16*'Revenue w MYP'!$G12))</f>
        <v/>
      </c>
      <c r="P16" s="62" t="str">
        <f>IF('Revenue w MYP'!$G12="","",IF('Cash Flow %s Yr3'!P16="","",'Cash Flow %s Yr3'!P16*'Revenue w MYP'!$G12))</f>
        <v/>
      </c>
      <c r="Q16" s="62" t="str">
        <f>IF('Revenue w MYP'!$G12="","",IF('Cash Flow %s Yr3'!Q16="","",'Cash Flow %s Yr3'!Q16*'Revenue w MYP'!$G12))</f>
        <v/>
      </c>
      <c r="R16" s="62" t="str">
        <f>IF('Revenue w MYP'!$G12="","",IF('Cash Flow %s Yr3'!R16="","",'Cash Flow %s Yr3'!R16*'Revenue w MYP'!$G12))</f>
        <v/>
      </c>
      <c r="S16" s="97" t="str">
        <f>IF(SUM(D16:R16)&gt;0,SUM(D16:R16)/'Revenue w MYP'!$G12,"")</f>
        <v/>
      </c>
    </row>
    <row r="17" spans="1:19" s="31" customFormat="1" x14ac:dyDescent="0.75">
      <c r="A17" s="48"/>
      <c r="B17" s="63" t="str">
        <f>'Revenue w MYP'!C14</f>
        <v>8560</v>
      </c>
      <c r="C17" s="63" t="str">
        <f>'Revenue w MYP'!D14</f>
        <v>Restricted Lottery</v>
      </c>
      <c r="D17" s="62" t="str">
        <f>IF('Revenue w MYP'!$G14="","",IF('Cash Flow %s Yr3'!D17="","",'Cash Flow %s Yr3'!D17*'Revenue w MYP'!$G14))</f>
        <v/>
      </c>
      <c r="E17" s="62" t="str">
        <f>IF('Revenue w MYP'!$G14="","",IF('Cash Flow %s Yr3'!E17="","",'Cash Flow %s Yr3'!E17*'Revenue w MYP'!$G14))</f>
        <v/>
      </c>
      <c r="F17" s="62">
        <f>IF('Revenue w MYP'!$G14="","",IF('Cash Flow %s Yr3'!F17="","",'Cash Flow %s Yr3'!F17*'Revenue w MYP'!$G14))</f>
        <v>0</v>
      </c>
      <c r="G17" s="62" t="str">
        <f>IF('Revenue w MYP'!$G14="","",IF('Cash Flow %s Yr3'!G17="","",'Cash Flow %s Yr3'!G17*'Revenue w MYP'!$G14))</f>
        <v/>
      </c>
      <c r="H17" s="62" t="str">
        <f>IF('Revenue w MYP'!$G14="","",IF('Cash Flow %s Yr3'!H17="","",'Cash Flow %s Yr3'!H17*'Revenue w MYP'!$G14))</f>
        <v/>
      </c>
      <c r="I17" s="62">
        <f>IF('Revenue w MYP'!$G14="","",IF('Cash Flow %s Yr3'!I17="","",'Cash Flow %s Yr3'!I17*'Revenue w MYP'!$G14))</f>
        <v>0</v>
      </c>
      <c r="J17" s="62" t="str">
        <f>IF('Revenue w MYP'!$G14="","",IF('Cash Flow %s Yr3'!J17="","",'Cash Flow %s Yr3'!J17*'Revenue w MYP'!$G14))</f>
        <v/>
      </c>
      <c r="K17" s="62" t="str">
        <f>IF('Revenue w MYP'!$G14="","",IF('Cash Flow %s Yr3'!K17="","",'Cash Flow %s Yr3'!K17*'Revenue w MYP'!$G14))</f>
        <v/>
      </c>
      <c r="L17" s="62">
        <f>IF('Revenue w MYP'!$G14="","",IF('Cash Flow %s Yr3'!L17="","",'Cash Flow %s Yr3'!L17*'Revenue w MYP'!$G14))</f>
        <v>0</v>
      </c>
      <c r="M17" s="62" t="str">
        <f>IF('Revenue w MYP'!$G14="","",IF('Cash Flow %s Yr3'!M17="","",'Cash Flow %s Yr3'!M17*'Revenue w MYP'!$G14))</f>
        <v/>
      </c>
      <c r="N17" s="62" t="str">
        <f>IF('Revenue w MYP'!$G14="","",IF('Cash Flow %s Yr3'!N17="","",'Cash Flow %s Yr3'!N17*'Revenue w MYP'!$G14))</f>
        <v/>
      </c>
      <c r="O17" s="62">
        <f>IF('Revenue w MYP'!$G14="","",IF('Cash Flow %s Yr3'!O17="","",'Cash Flow %s Yr3'!O17*'Revenue w MYP'!$G14))</f>
        <v>0</v>
      </c>
      <c r="P17" s="62" t="str">
        <f>IF('Revenue w MYP'!$G14="","",IF('Cash Flow %s Yr3'!P17="","",'Cash Flow %s Yr3'!P17*'Revenue w MYP'!$G14))</f>
        <v/>
      </c>
      <c r="Q17" s="62" t="str">
        <f>IF('Revenue w MYP'!$G14="","",IF('Cash Flow %s Yr3'!Q17="","",'Cash Flow %s Yr3'!Q17*'Revenue w MYP'!$G14))</f>
        <v/>
      </c>
      <c r="R17" s="62">
        <f>IF('Revenue w MYP'!$G14="","",IF('Cash Flow %s Yr3'!R17="","",'Cash Flow %s Yr3'!R17*'Revenue w MYP'!$G14))</f>
        <v>0</v>
      </c>
      <c r="S17" s="97" t="str">
        <f>IF(SUM(D17:R17)&gt;0,SUM(D17:R17)/'Revenue w MYP'!$G14,"")</f>
        <v/>
      </c>
    </row>
    <row r="18" spans="1:19" s="31" customFormat="1" x14ac:dyDescent="0.75">
      <c r="A18" s="47"/>
      <c r="B18" s="63" t="str">
        <f>'Revenue w MYP'!C15</f>
        <v>8550</v>
      </c>
      <c r="C18" s="63" t="str">
        <f>'Revenue w MYP'!D15</f>
        <v>Mandate Block Grant</v>
      </c>
      <c r="D18" s="62">
        <f>IF('Revenue w MYP'!$G15="","",IF('Cash Flow %s Yr3'!D18="","",'Cash Flow %s Yr3'!D18*'Revenue w MYP'!$G15))</f>
        <v>0</v>
      </c>
      <c r="E18" s="62">
        <f>IF('Revenue w MYP'!$G15="","",IF('Cash Flow %s Yr3'!E18="","",'Cash Flow %s Yr3'!E18*'Revenue w MYP'!$G15))</f>
        <v>0</v>
      </c>
      <c r="F18" s="62">
        <f>IF('Revenue w MYP'!$G15="","",IF('Cash Flow %s Yr3'!F18="","",'Cash Flow %s Yr3'!F18*'Revenue w MYP'!$G15))</f>
        <v>0</v>
      </c>
      <c r="G18" s="62">
        <f>IF('Revenue w MYP'!$G15="","",IF('Cash Flow %s Yr3'!G18="","",'Cash Flow %s Yr3'!G18*'Revenue w MYP'!$G15))</f>
        <v>1703.591956</v>
      </c>
      <c r="H18" s="62">
        <f>IF('Revenue w MYP'!$G15="","",IF('Cash Flow %s Yr3'!H18="","",'Cash Flow %s Yr3'!H18*'Revenue w MYP'!$G15))</f>
        <v>1703.591956</v>
      </c>
      <c r="I18" s="62">
        <f>IF('Revenue w MYP'!$G15="","",IF('Cash Flow %s Yr3'!I18="","",'Cash Flow %s Yr3'!I18*'Revenue w MYP'!$G15))</f>
        <v>1703.591956</v>
      </c>
      <c r="J18" s="62">
        <f>IF('Revenue w MYP'!$G15="","",IF('Cash Flow %s Yr3'!J18="","",'Cash Flow %s Yr3'!J18*'Revenue w MYP'!$G15))</f>
        <v>1703.591956</v>
      </c>
      <c r="K18" s="62">
        <f>IF('Revenue w MYP'!$G15="","",IF('Cash Flow %s Yr3'!K18="","",'Cash Flow %s Yr3'!K18*'Revenue w MYP'!$G15))</f>
        <v>1703.591956</v>
      </c>
      <c r="L18" s="62">
        <f>IF('Revenue w MYP'!$G15="","",IF('Cash Flow %s Yr3'!L18="","",'Cash Flow %s Yr3'!L18*'Revenue w MYP'!$G15))</f>
        <v>1703.591956</v>
      </c>
      <c r="M18" s="62">
        <f>IF('Revenue w MYP'!$G15="","",IF('Cash Flow %s Yr3'!M18="","",'Cash Flow %s Yr3'!M18*'Revenue w MYP'!$G15))</f>
        <v>1703.591956</v>
      </c>
      <c r="N18" s="62">
        <f>IF('Revenue w MYP'!$G15="","",IF('Cash Flow %s Yr3'!N18="","",'Cash Flow %s Yr3'!N18*'Revenue w MYP'!$G15))</f>
        <v>1703.591956</v>
      </c>
      <c r="O18" s="62">
        <f>IF('Revenue w MYP'!$G15="","",IF('Cash Flow %s Yr3'!O18="","",'Cash Flow %s Yr3'!O18*'Revenue w MYP'!$G15))</f>
        <v>1703.591956</v>
      </c>
      <c r="P18" s="62">
        <f>IF('Revenue w MYP'!$G15="","",IF('Cash Flow %s Yr3'!P18="","",'Cash Flow %s Yr3'!P18*'Revenue w MYP'!$G15))</f>
        <v>1703.591956</v>
      </c>
      <c r="Q18" s="62">
        <f>IF('Revenue w MYP'!$G15="","",IF('Cash Flow %s Yr3'!Q18="","",'Cash Flow %s Yr3'!Q18*'Revenue w MYP'!$G15))</f>
        <v>0</v>
      </c>
      <c r="R18" s="62">
        <f>IF('Revenue w MYP'!$G15="","",IF('Cash Flow %s Yr3'!R18="","",'Cash Flow %s Yr3'!R18*'Revenue w MYP'!$G15))</f>
        <v>0</v>
      </c>
      <c r="S18" s="97">
        <f>IF(SUM(D18:R18)&gt;0,SUM(D18:R18)/'Revenue w MYP'!$G15,"")</f>
        <v>1</v>
      </c>
    </row>
    <row r="19" spans="1:19" s="31" customFormat="1" x14ac:dyDescent="0.75">
      <c r="A19" s="48"/>
      <c r="B19" s="63" t="str">
        <f>'Revenue w MYP'!C17</f>
        <v>8590</v>
      </c>
      <c r="C19" s="63" t="str">
        <f>'Revenue w MYP'!D17</f>
        <v>CSEPDBG</v>
      </c>
      <c r="D19" s="62" t="str">
        <f>IF('Revenue w MYP'!$G17="","",IF('Cash Flow %s Yr3'!D19="","",'Cash Flow %s Yr3'!D19*'Revenue w MYP'!$G17))</f>
        <v/>
      </c>
      <c r="E19" s="62" t="str">
        <f>IF('Revenue w MYP'!$G17="","",IF('Cash Flow %s Yr3'!E19="","",'Cash Flow %s Yr3'!E19*'Revenue w MYP'!$G17))</f>
        <v/>
      </c>
      <c r="F19" s="62" t="str">
        <f>IF('Revenue w MYP'!$G17="","",IF('Cash Flow %s Yr3'!F19="","",'Cash Flow %s Yr3'!F19*'Revenue w MYP'!$G17))</f>
        <v/>
      </c>
      <c r="G19" s="62" t="str">
        <f>IF('Revenue w MYP'!$G17="","",IF('Cash Flow %s Yr3'!G19="","",'Cash Flow %s Yr3'!G19*'Revenue w MYP'!$G17))</f>
        <v/>
      </c>
      <c r="H19" s="62" t="str">
        <f>IF('Revenue w MYP'!$G17="","",IF('Cash Flow %s Yr3'!H19="","",'Cash Flow %s Yr3'!H19*'Revenue w MYP'!$G17))</f>
        <v/>
      </c>
      <c r="I19" s="62" t="str">
        <f>IF('Revenue w MYP'!$G17="","",IF('Cash Flow %s Yr3'!I19="","",'Cash Flow %s Yr3'!I19*'Revenue w MYP'!$G17))</f>
        <v/>
      </c>
      <c r="J19" s="62" t="str">
        <f>IF('Revenue w MYP'!$G17="","",IF('Cash Flow %s Yr3'!J19="","",'Cash Flow %s Yr3'!J19*'Revenue w MYP'!$G17))</f>
        <v/>
      </c>
      <c r="K19" s="62" t="str">
        <f>IF('Revenue w MYP'!$G17="","",IF('Cash Flow %s Yr3'!K19="","",'Cash Flow %s Yr3'!K19*'Revenue w MYP'!$G17))</f>
        <v/>
      </c>
      <c r="L19" s="62" t="str">
        <f>IF('Revenue w MYP'!$G17="","",IF('Cash Flow %s Yr3'!L19="","",'Cash Flow %s Yr3'!L19*'Revenue w MYP'!$G17))</f>
        <v/>
      </c>
      <c r="M19" s="62" t="str">
        <f>IF('Revenue w MYP'!$G17="","",IF('Cash Flow %s Yr3'!M19="","",'Cash Flow %s Yr3'!M19*'Revenue w MYP'!$G17))</f>
        <v/>
      </c>
      <c r="N19" s="62" t="str">
        <f>IF('Revenue w MYP'!$G17="","",IF('Cash Flow %s Yr3'!N19="","",'Cash Flow %s Yr3'!N19*'Revenue w MYP'!$G17))</f>
        <v/>
      </c>
      <c r="O19" s="62" t="str">
        <f>IF('Revenue w MYP'!$G17="","",IF('Cash Flow %s Yr3'!O19="","",'Cash Flow %s Yr3'!O19*'Revenue w MYP'!$G17))</f>
        <v/>
      </c>
      <c r="P19" s="62" t="str">
        <f>IF('Revenue w MYP'!$G17="","",IF('Cash Flow %s Yr3'!P19="","",'Cash Flow %s Yr3'!P19*'Revenue w MYP'!$G17))</f>
        <v/>
      </c>
      <c r="Q19" s="62" t="str">
        <f>IF('Revenue w MYP'!$G17="","",IF('Cash Flow %s Yr3'!Q19="","",'Cash Flow %s Yr3'!Q19*'Revenue w MYP'!$G17))</f>
        <v/>
      </c>
      <c r="R19" s="62" t="str">
        <f>IF('Revenue w MYP'!$G17="","",IF('Cash Flow %s Yr3'!R19="","",'Cash Flow %s Yr3'!R19*'Revenue w MYP'!$G17))</f>
        <v/>
      </c>
      <c r="S19" s="97" t="str">
        <f>IF(SUM(D19:R19)&gt;0,SUM(D19:R19)/'Revenue w MYP'!$G17,"")</f>
        <v/>
      </c>
    </row>
    <row r="20" spans="1:19" s="31" customFormat="1" ht="17.75" x14ac:dyDescent="0.75">
      <c r="A20" s="29"/>
      <c r="B20" s="63" t="str">
        <f>'Revenue w MYP'!C18</f>
        <v>8550</v>
      </c>
      <c r="C20" s="63" t="str">
        <f>'Revenue w MYP'!D18</f>
        <v>One Time Mandate Block Grant</v>
      </c>
      <c r="D20" s="62" t="str">
        <f>IF('Revenue w MYP'!$G18="","",IF('Cash Flow %s Yr3'!D20="","",'Cash Flow %s Yr3'!D20*'Revenue w MYP'!$G18))</f>
        <v/>
      </c>
      <c r="E20" s="62" t="str">
        <f>IF('Revenue w MYP'!$G18="","",IF('Cash Flow %s Yr3'!E20="","",'Cash Flow %s Yr3'!E20*'Revenue w MYP'!$G18))</f>
        <v/>
      </c>
      <c r="F20" s="62" t="str">
        <f>IF('Revenue w MYP'!$G18="","",IF('Cash Flow %s Yr3'!F20="","",'Cash Flow %s Yr3'!F20*'Revenue w MYP'!$G18))</f>
        <v/>
      </c>
      <c r="G20" s="62" t="str">
        <f>IF('Revenue w MYP'!$G18="","",IF('Cash Flow %s Yr3'!G20="","",'Cash Flow %s Yr3'!G20*'Revenue w MYP'!$G18))</f>
        <v/>
      </c>
      <c r="H20" s="62" t="str">
        <f>IF('Revenue w MYP'!$G18="","",IF('Cash Flow %s Yr3'!H20="","",'Cash Flow %s Yr3'!H20*'Revenue w MYP'!$G18))</f>
        <v/>
      </c>
      <c r="I20" s="62" t="str">
        <f>IF('Revenue w MYP'!$G18="","",IF('Cash Flow %s Yr3'!I20="","",'Cash Flow %s Yr3'!I20*'Revenue w MYP'!$G18))</f>
        <v/>
      </c>
      <c r="J20" s="62" t="str">
        <f>IF('Revenue w MYP'!$G18="","",IF('Cash Flow %s Yr3'!J20="","",'Cash Flow %s Yr3'!J20*'Revenue w MYP'!$G18))</f>
        <v/>
      </c>
      <c r="K20" s="62" t="str">
        <f>IF('Revenue w MYP'!$G18="","",IF('Cash Flow %s Yr3'!K20="","",'Cash Flow %s Yr3'!K20*'Revenue w MYP'!$G18))</f>
        <v/>
      </c>
      <c r="L20" s="62" t="str">
        <f>IF('Revenue w MYP'!$G18="","",IF('Cash Flow %s Yr3'!L20="","",'Cash Flow %s Yr3'!L20*'Revenue w MYP'!$G18))</f>
        <v/>
      </c>
      <c r="M20" s="62" t="str">
        <f>IF('Revenue w MYP'!$G18="","",IF('Cash Flow %s Yr3'!M20="","",'Cash Flow %s Yr3'!M20*'Revenue w MYP'!$G18))</f>
        <v/>
      </c>
      <c r="N20" s="62" t="str">
        <f>IF('Revenue w MYP'!$G18="","",IF('Cash Flow %s Yr3'!N20="","",'Cash Flow %s Yr3'!N20*'Revenue w MYP'!$G18))</f>
        <v/>
      </c>
      <c r="O20" s="62" t="str">
        <f>IF('Revenue w MYP'!$G18="","",IF('Cash Flow %s Yr3'!O20="","",'Cash Flow %s Yr3'!O20*'Revenue w MYP'!$G18))</f>
        <v/>
      </c>
      <c r="P20" s="62" t="str">
        <f>IF('Revenue w MYP'!$G18="","",IF('Cash Flow %s Yr3'!P20="","",'Cash Flow %s Yr3'!P20*'Revenue w MYP'!$G18))</f>
        <v/>
      </c>
      <c r="Q20" s="62" t="str">
        <f>IF('Revenue w MYP'!$G18="","",IF('Cash Flow %s Yr3'!Q20="","",'Cash Flow %s Yr3'!Q20*'Revenue w MYP'!$G18))</f>
        <v/>
      </c>
      <c r="R20" s="62" t="str">
        <f>IF('Revenue w MYP'!$G18="","",IF('Cash Flow %s Yr3'!R20="","",'Cash Flow %s Yr3'!R20*'Revenue w MYP'!$G18))</f>
        <v/>
      </c>
      <c r="S20" s="97" t="str">
        <f>IF(SUM(D20:R20)&gt;0,SUM(D20:R20)/'Revenue w MYP'!$G18,"")</f>
        <v/>
      </c>
    </row>
    <row r="21" spans="1:19" s="31" customFormat="1" ht="17.75" x14ac:dyDescent="0.75">
      <c r="A21" s="29"/>
      <c r="B21" s="63" t="str">
        <f>'Revenue w MYP'!C19</f>
        <v>8599</v>
      </c>
      <c r="C21" s="63" t="str">
        <f>'Revenue w MYP'!D19</f>
        <v>Prior Year State Income</v>
      </c>
      <c r="D21" s="62">
        <f>IF('Revenue w MYP'!$G19="","",IF('Cash Flow %s Yr3'!D21="","",'Cash Flow %s Yr3'!D21*'Revenue w MYP'!$G19))</f>
        <v>0</v>
      </c>
      <c r="E21" s="62">
        <f>IF('Revenue w MYP'!$G19="","",IF('Cash Flow %s Yr3'!E21="","",'Cash Flow %s Yr3'!E21*'Revenue w MYP'!$G19))</f>
        <v>0</v>
      </c>
      <c r="F21" s="62">
        <f>IF('Revenue w MYP'!$G19="","",IF('Cash Flow %s Yr3'!F21="","",'Cash Flow %s Yr3'!F21*'Revenue w MYP'!$G19))</f>
        <v>0</v>
      </c>
      <c r="G21" s="62">
        <f>IF('Revenue w MYP'!$G19="","",IF('Cash Flow %s Yr3'!G21="","",'Cash Flow %s Yr3'!G21*'Revenue w MYP'!$G19))</f>
        <v>0</v>
      </c>
      <c r="H21" s="62">
        <f>IF('Revenue w MYP'!$G19="","",IF('Cash Flow %s Yr3'!H21="","",'Cash Flow %s Yr3'!H21*'Revenue w MYP'!$G19))</f>
        <v>0</v>
      </c>
      <c r="I21" s="62">
        <f>IF('Revenue w MYP'!$G19="","",IF('Cash Flow %s Yr3'!I21="","",'Cash Flow %s Yr3'!I21*'Revenue w MYP'!$G19))</f>
        <v>0</v>
      </c>
      <c r="J21" s="62">
        <f>IF('Revenue w MYP'!$G19="","",IF('Cash Flow %s Yr3'!J21="","",'Cash Flow %s Yr3'!J21*'Revenue w MYP'!$G19))</f>
        <v>0</v>
      </c>
      <c r="K21" s="62">
        <f>IF('Revenue w MYP'!$G19="","",IF('Cash Flow %s Yr3'!K21="","",'Cash Flow %s Yr3'!K21*'Revenue w MYP'!$G19))</f>
        <v>0</v>
      </c>
      <c r="L21" s="62">
        <f>IF('Revenue w MYP'!$G19="","",IF('Cash Flow %s Yr3'!L21="","",'Cash Flow %s Yr3'!L21*'Revenue w MYP'!$G19))</f>
        <v>0</v>
      </c>
      <c r="M21" s="62">
        <f>IF('Revenue w MYP'!$G19="","",IF('Cash Flow %s Yr3'!M21="","",'Cash Flow %s Yr3'!M21*'Revenue w MYP'!$G19))</f>
        <v>0</v>
      </c>
      <c r="N21" s="62">
        <f>IF('Revenue w MYP'!$G19="","",IF('Cash Flow %s Yr3'!N21="","",'Cash Flow %s Yr3'!N21*'Revenue w MYP'!$G19))</f>
        <v>0</v>
      </c>
      <c r="O21" s="62">
        <f>IF('Revenue w MYP'!$G19="","",IF('Cash Flow %s Yr3'!O21="","",'Cash Flow %s Yr3'!O21*'Revenue w MYP'!$G19))</f>
        <v>0</v>
      </c>
      <c r="P21" s="62">
        <f>IF('Revenue w MYP'!$G19="","",IF('Cash Flow %s Yr3'!P21="","",'Cash Flow %s Yr3'!P21*'Revenue w MYP'!$G19))</f>
        <v>0</v>
      </c>
      <c r="Q21" s="62">
        <f>IF('Revenue w MYP'!$G19="","",IF('Cash Flow %s Yr3'!Q21="","",'Cash Flow %s Yr3'!Q21*'Revenue w MYP'!$G19))</f>
        <v>0</v>
      </c>
      <c r="R21" s="62">
        <f>IF('Revenue w MYP'!$G19="","",IF('Cash Flow %s Yr3'!R21="","",'Cash Flow %s Yr3'!R21*'Revenue w MYP'!$G19))</f>
        <v>0</v>
      </c>
      <c r="S21" s="97" t="str">
        <f>IF(SUM(D21:R21)&gt;0,SUM(D21:R21)/'Revenue w MYP'!$G19,"")</f>
        <v/>
      </c>
    </row>
    <row r="22" spans="1:19" s="31" customFormat="1" ht="17.75" x14ac:dyDescent="0.75">
      <c r="A22" s="29"/>
      <c r="B22" s="70"/>
      <c r="C22" s="34" t="s">
        <v>719</v>
      </c>
      <c r="D22" s="153" t="e">
        <f t="shared" ref="D22:R22" si="0">SUM(D12:D21)</f>
        <v>#VALUE!</v>
      </c>
      <c r="E22" s="153" t="e">
        <f t="shared" si="0"/>
        <v>#VALUE!</v>
      </c>
      <c r="F22" s="153" t="e">
        <f t="shared" si="0"/>
        <v>#VALUE!</v>
      </c>
      <c r="G22" s="153" t="e">
        <f t="shared" si="0"/>
        <v>#VALUE!</v>
      </c>
      <c r="H22" s="153" t="e">
        <f t="shared" si="0"/>
        <v>#VALUE!</v>
      </c>
      <c r="I22" s="153" t="e">
        <f t="shared" si="0"/>
        <v>#VALUE!</v>
      </c>
      <c r="J22" s="153" t="e">
        <f t="shared" si="0"/>
        <v>#VALUE!</v>
      </c>
      <c r="K22" s="153" t="e">
        <f t="shared" si="0"/>
        <v>#VALUE!</v>
      </c>
      <c r="L22" s="153" t="e">
        <f t="shared" si="0"/>
        <v>#VALUE!</v>
      </c>
      <c r="M22" s="153" t="e">
        <f t="shared" si="0"/>
        <v>#VALUE!</v>
      </c>
      <c r="N22" s="153" t="e">
        <f t="shared" si="0"/>
        <v>#VALUE!</v>
      </c>
      <c r="O22" s="153" t="e">
        <f t="shared" si="0"/>
        <v>#VALUE!</v>
      </c>
      <c r="P22" s="153" t="e">
        <f t="shared" si="0"/>
        <v>#VALUE!</v>
      </c>
      <c r="Q22" s="153">
        <f t="shared" si="0"/>
        <v>0</v>
      </c>
      <c r="R22" s="153">
        <f t="shared" si="0"/>
        <v>0</v>
      </c>
      <c r="S22" s="97"/>
    </row>
    <row r="23" spans="1:19" s="31" customFormat="1" ht="17.75" x14ac:dyDescent="0.75">
      <c r="A23" s="29"/>
      <c r="B23" s="69"/>
      <c r="C23" s="48"/>
      <c r="D23" s="110"/>
      <c r="E23" s="110"/>
      <c r="F23" s="110"/>
      <c r="G23" s="110"/>
      <c r="H23" s="110"/>
      <c r="I23" s="110"/>
      <c r="J23" s="110"/>
      <c r="K23" s="110"/>
      <c r="L23" s="110"/>
      <c r="M23" s="110"/>
      <c r="N23" s="110"/>
      <c r="O23" s="110"/>
      <c r="P23" s="110"/>
      <c r="Q23" s="110"/>
      <c r="R23" s="110"/>
    </row>
    <row r="24" spans="1:19" s="31" customFormat="1" ht="17.75" x14ac:dyDescent="0.75">
      <c r="B24" s="29" t="s">
        <v>782</v>
      </c>
      <c r="C24" s="48"/>
      <c r="D24" s="110"/>
      <c r="E24" s="110"/>
      <c r="F24" s="110"/>
      <c r="G24" s="110"/>
      <c r="H24" s="110"/>
      <c r="I24" s="110"/>
      <c r="J24" s="110"/>
      <c r="K24" s="110"/>
      <c r="L24" s="110"/>
      <c r="M24" s="110"/>
      <c r="N24" s="110"/>
      <c r="O24" s="110"/>
      <c r="P24" s="110"/>
      <c r="Q24" s="110"/>
      <c r="R24" s="110"/>
    </row>
    <row r="25" spans="1:19" s="31" customFormat="1" ht="17.75" x14ac:dyDescent="0.75">
      <c r="A25" s="29"/>
      <c r="B25" s="63" t="str">
        <f>'Revenue w MYP'!C23</f>
        <v>8181</v>
      </c>
      <c r="C25" s="63" t="str">
        <f>'Revenue w MYP'!D23</f>
        <v>Special Education, federal</v>
      </c>
      <c r="D25" s="62">
        <f>IF('Revenue w MYP'!$G23="","",IF('Cash Flow %s Yr3'!D25="","",'Cash Flow %s Yr3'!D25*'Revenue w MYP'!$G23))</f>
        <v>0</v>
      </c>
      <c r="E25" s="62">
        <f>IF('Revenue w MYP'!$G23="","",IF('Cash Flow %s Yr3'!E25="","",'Cash Flow %s Yr3'!E25*'Revenue w MYP'!$G23))</f>
        <v>0</v>
      </c>
      <c r="F25" s="62">
        <f>IF('Revenue w MYP'!$G23="","",IF('Cash Flow %s Yr3'!F25="","",'Cash Flow %s Yr3'!F25*'Revenue w MYP'!$G23))</f>
        <v>0</v>
      </c>
      <c r="G25" s="62">
        <f>IF('Revenue w MYP'!$G23="","",IF('Cash Flow %s Yr3'!G25="","",'Cash Flow %s Yr3'!G25*'Revenue w MYP'!$G23))</f>
        <v>16091.342544816001</v>
      </c>
      <c r="H25" s="62">
        <f>IF('Revenue w MYP'!$G23="","",IF('Cash Flow %s Yr3'!H25="","",'Cash Flow %s Yr3'!H25*'Revenue w MYP'!$G23))</f>
        <v>16091.342544816001</v>
      </c>
      <c r="I25" s="62">
        <f>IF('Revenue w MYP'!$G23="","",IF('Cash Flow %s Yr3'!I25="","",'Cash Flow %s Yr3'!I25*'Revenue w MYP'!$G23))</f>
        <v>16091.342544816001</v>
      </c>
      <c r="J25" s="62">
        <f>IF('Revenue w MYP'!$G23="","",IF('Cash Flow %s Yr3'!J25="","",'Cash Flow %s Yr3'!J25*'Revenue w MYP'!$G23))</f>
        <v>16091.342544816001</v>
      </c>
      <c r="K25" s="62">
        <f>IF('Revenue w MYP'!$G23="","",IF('Cash Flow %s Yr3'!K25="","",'Cash Flow %s Yr3'!K25*'Revenue w MYP'!$G23))</f>
        <v>16091.342544816001</v>
      </c>
      <c r="L25" s="62">
        <f>IF('Revenue w MYP'!$G23="","",IF('Cash Flow %s Yr3'!L25="","",'Cash Flow %s Yr3'!L25*'Revenue w MYP'!$G23))</f>
        <v>16091.342544816001</v>
      </c>
      <c r="M25" s="62">
        <f>IF('Revenue w MYP'!$G23="","",IF('Cash Flow %s Yr3'!M25="","",'Cash Flow %s Yr3'!M25*'Revenue w MYP'!$G23))</f>
        <v>16091.342544816001</v>
      </c>
      <c r="N25" s="62">
        <f>IF('Revenue w MYP'!$G23="","",IF('Cash Flow %s Yr3'!N25="","",'Cash Flow %s Yr3'!N25*'Revenue w MYP'!$G23))</f>
        <v>16091.342544816001</v>
      </c>
      <c r="O25" s="62">
        <f>IF('Revenue w MYP'!$G23="","",IF('Cash Flow %s Yr3'!O25="","",'Cash Flow %s Yr3'!O25*'Revenue w MYP'!$G23))</f>
        <v>16091.342544816001</v>
      </c>
      <c r="P25" s="62">
        <f>IF('Revenue w MYP'!$G23="","",IF('Cash Flow %s Yr3'!P25="","",'Cash Flow %s Yr3'!P25*'Revenue w MYP'!$G23))</f>
        <v>16091.342544816001</v>
      </c>
      <c r="Q25" s="62">
        <f>IF('Revenue w MYP'!$G23="","",IF('Cash Flow %s Yr3'!Q25="","",'Cash Flow %s Yr3'!Q25*'Revenue w MYP'!$G23))</f>
        <v>0</v>
      </c>
      <c r="R25" s="62">
        <f>IF('Revenue w MYP'!$G23="","",IF('Cash Flow %s Yr3'!R25="","",'Cash Flow %s Yr3'!R25*'Revenue w MYP'!$G23))</f>
        <v>0</v>
      </c>
      <c r="S25" s="97">
        <f>IF(SUM(D25:R25)&gt;0,SUM(D25:R25)/'Revenue w MYP'!$G23,"")</f>
        <v>1</v>
      </c>
    </row>
    <row r="26" spans="1:19" s="31" customFormat="1" ht="17.75" x14ac:dyDescent="0.75">
      <c r="A26" s="29"/>
      <c r="B26" s="63" t="str">
        <f>'Revenue w MYP'!C24</f>
        <v>8220</v>
      </c>
      <c r="C26" s="63" t="str">
        <f>'Revenue w MYP'!D24</f>
        <v>Federal Child Nutrition Programs</v>
      </c>
      <c r="D26" s="62" t="str">
        <f>IF('Revenue w MYP'!$G24="","",IF('Cash Flow %s Yr3'!D26="","",'Cash Flow %s Yr3'!D26*'Revenue w MYP'!$G24))</f>
        <v/>
      </c>
      <c r="E26" s="62" t="str">
        <f>IF('Revenue w MYP'!$G24="","",IF('Cash Flow %s Yr3'!E26="","",'Cash Flow %s Yr3'!E26*'Revenue w MYP'!$G24))</f>
        <v/>
      </c>
      <c r="F26" s="62" t="str">
        <f>IF('Revenue w MYP'!$G24="","",IF('Cash Flow %s Yr3'!F26="","",'Cash Flow %s Yr3'!F26*'Revenue w MYP'!$G24))</f>
        <v/>
      </c>
      <c r="G26" s="62" t="str">
        <f>IF('Revenue w MYP'!$G24="","",IF('Cash Flow %s Yr3'!G26="","",'Cash Flow %s Yr3'!G26*'Revenue w MYP'!$G24))</f>
        <v/>
      </c>
      <c r="H26" s="62" t="str">
        <f>IF('Revenue w MYP'!$G24="","",IF('Cash Flow %s Yr3'!H26="","",'Cash Flow %s Yr3'!H26*'Revenue w MYP'!$G24))</f>
        <v/>
      </c>
      <c r="I26" s="62" t="str">
        <f>IF('Revenue w MYP'!$G24="","",IF('Cash Flow %s Yr3'!I26="","",'Cash Flow %s Yr3'!I26*'Revenue w MYP'!$G24))</f>
        <v/>
      </c>
      <c r="J26" s="62" t="str">
        <f>IF('Revenue w MYP'!$G24="","",IF('Cash Flow %s Yr3'!J26="","",'Cash Flow %s Yr3'!J26*'Revenue w MYP'!$G24))</f>
        <v/>
      </c>
      <c r="K26" s="62" t="str">
        <f>IF('Revenue w MYP'!$G24="","",IF('Cash Flow %s Yr3'!K26="","",'Cash Flow %s Yr3'!K26*'Revenue w MYP'!$G24))</f>
        <v/>
      </c>
      <c r="L26" s="62" t="str">
        <f>IF('Revenue w MYP'!$G24="","",IF('Cash Flow %s Yr3'!L26="","",'Cash Flow %s Yr3'!L26*'Revenue w MYP'!$G24))</f>
        <v/>
      </c>
      <c r="M26" s="62" t="str">
        <f>IF('Revenue w MYP'!$G24="","",IF('Cash Flow %s Yr3'!M26="","",'Cash Flow %s Yr3'!M26*'Revenue w MYP'!$G24))</f>
        <v/>
      </c>
      <c r="N26" s="62" t="str">
        <f>IF('Revenue w MYP'!$G24="","",IF('Cash Flow %s Yr3'!N26="","",'Cash Flow %s Yr3'!N26*'Revenue w MYP'!$G24))</f>
        <v/>
      </c>
      <c r="O26" s="62" t="str">
        <f>IF('Revenue w MYP'!$G24="","",IF('Cash Flow %s Yr3'!O26="","",'Cash Flow %s Yr3'!O26*'Revenue w MYP'!$G24))</f>
        <v/>
      </c>
      <c r="P26" s="62" t="str">
        <f>IF('Revenue w MYP'!$G24="","",IF('Cash Flow %s Yr3'!P26="","",'Cash Flow %s Yr3'!P26*'Revenue w MYP'!$G24))</f>
        <v/>
      </c>
      <c r="Q26" s="62" t="str">
        <f>IF('Revenue w MYP'!$G24="","",IF('Cash Flow %s Yr3'!Q26="","",'Cash Flow %s Yr3'!Q26*'Revenue w MYP'!$G24))</f>
        <v/>
      </c>
      <c r="R26" s="62" t="str">
        <f>IF('Revenue w MYP'!$G24="","",IF('Cash Flow %s Yr3'!R26="","",'Cash Flow %s Yr3'!R26*'Revenue w MYP'!$G24))</f>
        <v/>
      </c>
      <c r="S26" s="97" t="str">
        <f>IF(SUM(D26:R26)&gt;0,SUM(D26:R26)/'Revenue w MYP'!$G24,"")</f>
        <v/>
      </c>
    </row>
    <row r="27" spans="1:19" s="31" customFormat="1" ht="17.75" x14ac:dyDescent="0.75">
      <c r="A27" s="29"/>
      <c r="B27" s="63" t="str">
        <f>'Revenue w MYP'!C25</f>
        <v>8290</v>
      </c>
      <c r="C27" s="63" t="str">
        <f>'Revenue w MYP'!D25</f>
        <v>All Other Federal Revenue, inc Facilities Incentive Grants program</v>
      </c>
      <c r="D27" s="62">
        <f>IF('Revenue w MYP'!$G25="","",IF('Cash Flow %s Yr3'!D27="","",'Cash Flow %s Yr3'!D27*'Revenue w MYP'!$G25))</f>
        <v>0</v>
      </c>
      <c r="E27" s="62">
        <f>IF('Revenue w MYP'!$G25="","",IF('Cash Flow %s Yr3'!E27="","",'Cash Flow %s Yr3'!E27*'Revenue w MYP'!$G25))</f>
        <v>0</v>
      </c>
      <c r="F27" s="62">
        <f>IF('Revenue w MYP'!$G25="","",IF('Cash Flow %s Yr3'!F27="","",'Cash Flow %s Yr3'!F27*'Revenue w MYP'!$G25))</f>
        <v>0</v>
      </c>
      <c r="G27" s="62">
        <f>IF('Revenue w MYP'!$G25="","",IF('Cash Flow %s Yr3'!G27="","",'Cash Flow %s Yr3'!G27*'Revenue w MYP'!$G25))</f>
        <v>0</v>
      </c>
      <c r="H27" s="62">
        <f>IF('Revenue w MYP'!$G25="","",IF('Cash Flow %s Yr3'!H27="","",'Cash Flow %s Yr3'!H27*'Revenue w MYP'!$G25))</f>
        <v>0</v>
      </c>
      <c r="I27" s="62">
        <f>IF('Revenue w MYP'!$G25="","",IF('Cash Flow %s Yr3'!I27="","",'Cash Flow %s Yr3'!I27*'Revenue w MYP'!$G25))</f>
        <v>0</v>
      </c>
      <c r="J27" s="62">
        <f>IF('Revenue w MYP'!$G25="","",IF('Cash Flow %s Yr3'!J27="","",'Cash Flow %s Yr3'!J27*'Revenue w MYP'!$G25))</f>
        <v>38229.75</v>
      </c>
      <c r="K27" s="62">
        <f>IF('Revenue w MYP'!$G25="","",IF('Cash Flow %s Yr3'!K27="","",'Cash Flow %s Yr3'!K27*'Revenue w MYP'!$G25))</f>
        <v>0</v>
      </c>
      <c r="L27" s="62">
        <f>IF('Revenue w MYP'!$G25="","",IF('Cash Flow %s Yr3'!L27="","",'Cash Flow %s Yr3'!L27*'Revenue w MYP'!$G25))</f>
        <v>0</v>
      </c>
      <c r="M27" s="62">
        <f>IF('Revenue w MYP'!$G25="","",IF('Cash Flow %s Yr3'!M27="","",'Cash Flow %s Yr3'!M27*'Revenue w MYP'!$G25))</f>
        <v>76459.5</v>
      </c>
      <c r="N27" s="62">
        <f>IF('Revenue w MYP'!$G25="","",IF('Cash Flow %s Yr3'!N27="","",'Cash Flow %s Yr3'!N27*'Revenue w MYP'!$G25))</f>
        <v>0</v>
      </c>
      <c r="O27" s="62">
        <f>IF('Revenue w MYP'!$G25="","",IF('Cash Flow %s Yr3'!O27="","",'Cash Flow %s Yr3'!O27*'Revenue w MYP'!$G25))</f>
        <v>38229.75</v>
      </c>
      <c r="P27" s="62">
        <f>IF('Revenue w MYP'!$G25="","",IF('Cash Flow %s Yr3'!P27="","",'Cash Flow %s Yr3'!P27*'Revenue w MYP'!$G25))</f>
        <v>0</v>
      </c>
      <c r="Q27" s="62">
        <f>IF('Revenue w MYP'!$G25="","",IF('Cash Flow %s Yr3'!Q27="","",'Cash Flow %s Yr3'!Q27*'Revenue w MYP'!$G25))</f>
        <v>0</v>
      </c>
      <c r="R27" s="62">
        <f>IF('Revenue w MYP'!$G25="","",IF('Cash Flow %s Yr3'!R27="","",'Cash Flow %s Yr3'!R27*'Revenue w MYP'!$G25))</f>
        <v>0</v>
      </c>
      <c r="S27" s="97">
        <f>IF(SUM(D27:R27)&gt;0,SUM(D27:R27)/'Revenue w MYP'!$G25,"")</f>
        <v>1</v>
      </c>
    </row>
    <row r="28" spans="1:19" s="31" customFormat="1" ht="17.75" x14ac:dyDescent="0.75">
      <c r="A28" s="29"/>
      <c r="B28" s="63" t="str">
        <f>'Revenue w MYP'!C26</f>
        <v>8291</v>
      </c>
      <c r="C28" s="63" t="str">
        <f>'Revenue w MYP'!D26</f>
        <v>Title I</v>
      </c>
      <c r="D28" s="62">
        <f>IF('Revenue w MYP'!$G26="","",IF('Cash Flow %s Yr3'!D28="","",'Cash Flow %s Yr3'!D28*'Revenue w MYP'!$G26))</f>
        <v>0</v>
      </c>
      <c r="E28" s="62">
        <f>IF('Revenue w MYP'!$G26="","",IF('Cash Flow %s Yr3'!E28="","",'Cash Flow %s Yr3'!E28*'Revenue w MYP'!$G26))</f>
        <v>0</v>
      </c>
      <c r="F28" s="62">
        <f>IF('Revenue w MYP'!$G26="","",IF('Cash Flow %s Yr3'!F28="","",'Cash Flow %s Yr3'!F28*'Revenue w MYP'!$G26))</f>
        <v>0</v>
      </c>
      <c r="G28" s="62">
        <f>IF('Revenue w MYP'!$G26="","",IF('Cash Flow %s Yr3'!G28="","",'Cash Flow %s Yr3'!G28*'Revenue w MYP'!$G26))</f>
        <v>0</v>
      </c>
      <c r="H28" s="62">
        <f>IF('Revenue w MYP'!$G26="","",IF('Cash Flow %s Yr3'!H28="","",'Cash Flow %s Yr3'!H28*'Revenue w MYP'!$G26))</f>
        <v>0</v>
      </c>
      <c r="I28" s="62">
        <f>IF('Revenue w MYP'!$G26="","",IF('Cash Flow %s Yr3'!I28="","",'Cash Flow %s Yr3'!I28*'Revenue w MYP'!$G26))</f>
        <v>0</v>
      </c>
      <c r="J28" s="62">
        <f>IF('Revenue w MYP'!$G26="","",IF('Cash Flow %s Yr3'!J28="","",'Cash Flow %s Yr3'!J28*'Revenue w MYP'!$G26))</f>
        <v>17978</v>
      </c>
      <c r="K28" s="62">
        <f>IF('Revenue w MYP'!$G26="","",IF('Cash Flow %s Yr3'!K28="","",'Cash Flow %s Yr3'!K28*'Revenue w MYP'!$G26))</f>
        <v>0</v>
      </c>
      <c r="L28" s="62">
        <f>IF('Revenue w MYP'!$G26="","",IF('Cash Flow %s Yr3'!L28="","",'Cash Flow %s Yr3'!L28*'Revenue w MYP'!$G26))</f>
        <v>0</v>
      </c>
      <c r="M28" s="62">
        <f>IF('Revenue w MYP'!$G26="","",IF('Cash Flow %s Yr3'!M28="","",'Cash Flow %s Yr3'!M28*'Revenue w MYP'!$G26))</f>
        <v>35956</v>
      </c>
      <c r="N28" s="62">
        <f>IF('Revenue w MYP'!$G26="","",IF('Cash Flow %s Yr3'!N28="","",'Cash Flow %s Yr3'!N28*'Revenue w MYP'!$G26))</f>
        <v>0</v>
      </c>
      <c r="O28" s="62">
        <f>IF('Revenue w MYP'!$G26="","",IF('Cash Flow %s Yr3'!O28="","",'Cash Flow %s Yr3'!O28*'Revenue w MYP'!$G26))</f>
        <v>17978</v>
      </c>
      <c r="P28" s="62">
        <f>IF('Revenue w MYP'!$G26="","",IF('Cash Flow %s Yr3'!P28="","",'Cash Flow %s Yr3'!P28*'Revenue w MYP'!$G26))</f>
        <v>0</v>
      </c>
      <c r="Q28" s="62">
        <f>IF('Revenue w MYP'!$G26="","",IF('Cash Flow %s Yr3'!Q28="","",'Cash Flow %s Yr3'!Q28*'Revenue w MYP'!$G26))</f>
        <v>0</v>
      </c>
      <c r="R28" s="62">
        <f>IF('Revenue w MYP'!$G26="","",IF('Cash Flow %s Yr3'!R28="","",'Cash Flow %s Yr3'!R28*'Revenue w MYP'!$G26))</f>
        <v>0</v>
      </c>
      <c r="S28" s="97">
        <f>IF(SUM(D28:R28)&gt;0,SUM(D28:R28)/'Revenue w MYP'!$G26,"")</f>
        <v>1</v>
      </c>
    </row>
    <row r="29" spans="1:19" s="31" customFormat="1" ht="17.75" x14ac:dyDescent="0.75">
      <c r="A29" s="29"/>
      <c r="B29" s="63" t="str">
        <f>'Revenue w MYP'!C27</f>
        <v>8292</v>
      </c>
      <c r="C29" s="63" t="str">
        <f>'Revenue w MYP'!D27</f>
        <v>Title II</v>
      </c>
      <c r="D29" s="62">
        <f>IF('Revenue w MYP'!$G27="","",IF('Cash Flow %s Yr3'!D29="","",'Cash Flow %s Yr3'!D29*'Revenue w MYP'!$G27))</f>
        <v>0</v>
      </c>
      <c r="E29" s="62">
        <f>IF('Revenue w MYP'!$G27="","",IF('Cash Flow %s Yr3'!E29="","",'Cash Flow %s Yr3'!E29*'Revenue w MYP'!$G27))</f>
        <v>0</v>
      </c>
      <c r="F29" s="62">
        <f>IF('Revenue w MYP'!$G27="","",IF('Cash Flow %s Yr3'!F29="","",'Cash Flow %s Yr3'!F29*'Revenue w MYP'!$G27))</f>
        <v>0</v>
      </c>
      <c r="G29" s="62">
        <f>IF('Revenue w MYP'!$G27="","",IF('Cash Flow %s Yr3'!G29="","",'Cash Flow %s Yr3'!G29*'Revenue w MYP'!$G27))</f>
        <v>0</v>
      </c>
      <c r="H29" s="62">
        <f>IF('Revenue w MYP'!$G27="","",IF('Cash Flow %s Yr3'!H29="","",'Cash Flow %s Yr3'!H29*'Revenue w MYP'!$G27))</f>
        <v>0</v>
      </c>
      <c r="I29" s="62">
        <f>IF('Revenue w MYP'!$G27="","",IF('Cash Flow %s Yr3'!I29="","",'Cash Flow %s Yr3'!I29*'Revenue w MYP'!$G27))</f>
        <v>0</v>
      </c>
      <c r="J29" s="62">
        <f>IF('Revenue w MYP'!$G27="","",IF('Cash Flow %s Yr3'!J29="","",'Cash Flow %s Yr3'!J29*'Revenue w MYP'!$G27))</f>
        <v>3601</v>
      </c>
      <c r="K29" s="62">
        <f>IF('Revenue w MYP'!$G27="","",IF('Cash Flow %s Yr3'!K29="","",'Cash Flow %s Yr3'!K29*'Revenue w MYP'!$G27))</f>
        <v>0</v>
      </c>
      <c r="L29" s="62">
        <f>IF('Revenue w MYP'!$G27="","",IF('Cash Flow %s Yr3'!L29="","",'Cash Flow %s Yr3'!L29*'Revenue w MYP'!$G27))</f>
        <v>0</v>
      </c>
      <c r="M29" s="62">
        <f>IF('Revenue w MYP'!$G27="","",IF('Cash Flow %s Yr3'!M29="","",'Cash Flow %s Yr3'!M29*'Revenue w MYP'!$G27))</f>
        <v>7202</v>
      </c>
      <c r="N29" s="62">
        <f>IF('Revenue w MYP'!$G27="","",IF('Cash Flow %s Yr3'!N29="","",'Cash Flow %s Yr3'!N29*'Revenue w MYP'!$G27))</f>
        <v>0</v>
      </c>
      <c r="O29" s="62">
        <f>IF('Revenue w MYP'!$G27="","",IF('Cash Flow %s Yr3'!O29="","",'Cash Flow %s Yr3'!O29*'Revenue w MYP'!$G27))</f>
        <v>3601</v>
      </c>
      <c r="P29" s="62">
        <f>IF('Revenue w MYP'!$G27="","",IF('Cash Flow %s Yr3'!P29="","",'Cash Flow %s Yr3'!P29*'Revenue w MYP'!$G27))</f>
        <v>0</v>
      </c>
      <c r="Q29" s="62">
        <f>IF('Revenue w MYP'!$G27="","",IF('Cash Flow %s Yr3'!Q29="","",'Cash Flow %s Yr3'!Q29*'Revenue w MYP'!$G27))</f>
        <v>0</v>
      </c>
      <c r="R29" s="62">
        <f>IF('Revenue w MYP'!$G27="","",IF('Cash Flow %s Yr3'!R29="","",'Cash Flow %s Yr3'!R29*'Revenue w MYP'!$G27))</f>
        <v>0</v>
      </c>
      <c r="S29" s="97">
        <f>IF(SUM(D29:R29)&gt;0,SUM(D29:R29)/'Revenue w MYP'!$G27,"")</f>
        <v>1</v>
      </c>
    </row>
    <row r="30" spans="1:19" s="31" customFormat="1" ht="17.75" x14ac:dyDescent="0.75">
      <c r="A30" s="29"/>
      <c r="B30" s="63" t="str">
        <f>'Revenue w MYP'!C28</f>
        <v>8293</v>
      </c>
      <c r="C30" s="63" t="str">
        <f>'Revenue w MYP'!D28</f>
        <v>Title III</v>
      </c>
      <c r="D30" s="62" t="str">
        <f>IF('Revenue w MYP'!$G28="","",IF('Cash Flow %s Yr3'!D30="","",'Cash Flow %s Yr3'!D30*'Revenue w MYP'!$G28))</f>
        <v/>
      </c>
      <c r="E30" s="62" t="str">
        <f>IF('Revenue w MYP'!$G28="","",IF('Cash Flow %s Yr3'!E30="","",'Cash Flow %s Yr3'!E30*'Revenue w MYP'!$G28))</f>
        <v/>
      </c>
      <c r="F30" s="62" t="str">
        <f>IF('Revenue w MYP'!$G28="","",IF('Cash Flow %s Yr3'!F30="","",'Cash Flow %s Yr3'!F30*'Revenue w MYP'!$G28))</f>
        <v/>
      </c>
      <c r="G30" s="62" t="str">
        <f>IF('Revenue w MYP'!$G28="","",IF('Cash Flow %s Yr3'!G30="","",'Cash Flow %s Yr3'!G30*'Revenue w MYP'!$G28))</f>
        <v/>
      </c>
      <c r="H30" s="62" t="str">
        <f>IF('Revenue w MYP'!$G28="","",IF('Cash Flow %s Yr3'!H30="","",'Cash Flow %s Yr3'!H30*'Revenue w MYP'!$G28))</f>
        <v/>
      </c>
      <c r="I30" s="62" t="str">
        <f>IF('Revenue w MYP'!$G28="","",IF('Cash Flow %s Yr3'!I30="","",'Cash Flow %s Yr3'!I30*'Revenue w MYP'!$G28))</f>
        <v/>
      </c>
      <c r="J30" s="62" t="str">
        <f>IF('Revenue w MYP'!$G28="","",IF('Cash Flow %s Yr3'!J30="","",'Cash Flow %s Yr3'!J30*'Revenue w MYP'!$G28))</f>
        <v/>
      </c>
      <c r="K30" s="62" t="str">
        <f>IF('Revenue w MYP'!$G28="","",IF('Cash Flow %s Yr3'!K30="","",'Cash Flow %s Yr3'!K30*'Revenue w MYP'!$G28))</f>
        <v/>
      </c>
      <c r="L30" s="62" t="str">
        <f>IF('Revenue w MYP'!$G28="","",IF('Cash Flow %s Yr3'!L30="","",'Cash Flow %s Yr3'!L30*'Revenue w MYP'!$G28))</f>
        <v/>
      </c>
      <c r="M30" s="62" t="str">
        <f>IF('Revenue w MYP'!$G28="","",IF('Cash Flow %s Yr3'!M30="","",'Cash Flow %s Yr3'!M30*'Revenue w MYP'!$G28))</f>
        <v/>
      </c>
      <c r="N30" s="62" t="str">
        <f>IF('Revenue w MYP'!$G28="","",IF('Cash Flow %s Yr3'!N30="","",'Cash Flow %s Yr3'!N30*'Revenue w MYP'!$G28))</f>
        <v/>
      </c>
      <c r="O30" s="62" t="str">
        <f>IF('Revenue w MYP'!$G28="","",IF('Cash Flow %s Yr3'!O30="","",'Cash Flow %s Yr3'!O30*'Revenue w MYP'!$G28))</f>
        <v/>
      </c>
      <c r="P30" s="62" t="str">
        <f>IF('Revenue w MYP'!$G28="","",IF('Cash Flow %s Yr3'!P30="","",'Cash Flow %s Yr3'!P30*'Revenue w MYP'!$G28))</f>
        <v/>
      </c>
      <c r="Q30" s="62" t="str">
        <f>IF('Revenue w MYP'!$G28="","",IF('Cash Flow %s Yr3'!Q30="","",'Cash Flow %s Yr3'!Q30*'Revenue w MYP'!$G28))</f>
        <v/>
      </c>
      <c r="R30" s="62" t="str">
        <f>IF('Revenue w MYP'!$G28="","",IF('Cash Flow %s Yr3'!R30="","",'Cash Flow %s Yr3'!R30*'Revenue w MYP'!$G28))</f>
        <v/>
      </c>
      <c r="S30" s="97" t="str">
        <f>IF(SUM(D30:R30)&gt;0,SUM(D30:R30)/'Revenue w MYP'!$G28,"")</f>
        <v/>
      </c>
    </row>
    <row r="31" spans="1:19" s="31" customFormat="1" ht="17.75" x14ac:dyDescent="0.75">
      <c r="A31" s="29"/>
      <c r="B31" s="63" t="str">
        <f>'Revenue w MYP'!C30</f>
        <v>8295</v>
      </c>
      <c r="C31" s="63" t="str">
        <f>'Revenue w MYP'!D30</f>
        <v>Title V</v>
      </c>
      <c r="D31" s="62" t="str">
        <f>IF('Revenue w MYP'!$G30="","",IF('Cash Flow %s Yr3'!D31="","",'Cash Flow %s Yr3'!D31*'Revenue w MYP'!$G30))</f>
        <v/>
      </c>
      <c r="E31" s="62" t="str">
        <f>IF('Revenue w MYP'!$G30="","",IF('Cash Flow %s Yr3'!E31="","",'Cash Flow %s Yr3'!E31*'Revenue w MYP'!$G30))</f>
        <v/>
      </c>
      <c r="F31" s="62" t="str">
        <f>IF('Revenue w MYP'!$G30="","",IF('Cash Flow %s Yr3'!F31="","",'Cash Flow %s Yr3'!F31*'Revenue w MYP'!$G30))</f>
        <v/>
      </c>
      <c r="G31" s="62" t="str">
        <f>IF('Revenue w MYP'!$G30="","",IF('Cash Flow %s Yr3'!G31="","",'Cash Flow %s Yr3'!G31*'Revenue w MYP'!$G30))</f>
        <v/>
      </c>
      <c r="H31" s="62" t="str">
        <f>IF('Revenue w MYP'!$G30="","",IF('Cash Flow %s Yr3'!H31="","",'Cash Flow %s Yr3'!H31*'Revenue w MYP'!$G30))</f>
        <v/>
      </c>
      <c r="I31" s="62" t="str">
        <f>IF('Revenue w MYP'!$G30="","",IF('Cash Flow %s Yr3'!I31="","",'Cash Flow %s Yr3'!I31*'Revenue w MYP'!$G30))</f>
        <v/>
      </c>
      <c r="J31" s="62" t="str">
        <f>IF('Revenue w MYP'!$G30="","",IF('Cash Flow %s Yr3'!J31="","",'Cash Flow %s Yr3'!J31*'Revenue w MYP'!$G30))</f>
        <v/>
      </c>
      <c r="K31" s="62" t="str">
        <f>IF('Revenue w MYP'!$G30="","",IF('Cash Flow %s Yr3'!K31="","",'Cash Flow %s Yr3'!K31*'Revenue w MYP'!$G30))</f>
        <v/>
      </c>
      <c r="L31" s="62" t="str">
        <f>IF('Revenue w MYP'!$G30="","",IF('Cash Flow %s Yr3'!L31="","",'Cash Flow %s Yr3'!L31*'Revenue w MYP'!$G30))</f>
        <v/>
      </c>
      <c r="M31" s="62" t="str">
        <f>IF('Revenue w MYP'!$G30="","",IF('Cash Flow %s Yr3'!M31="","",'Cash Flow %s Yr3'!M31*'Revenue w MYP'!$G30))</f>
        <v/>
      </c>
      <c r="N31" s="62" t="str">
        <f>IF('Revenue w MYP'!$G30="","",IF('Cash Flow %s Yr3'!N31="","",'Cash Flow %s Yr3'!N31*'Revenue w MYP'!$G30))</f>
        <v/>
      </c>
      <c r="O31" s="62" t="str">
        <f>IF('Revenue w MYP'!$G30="","",IF('Cash Flow %s Yr3'!O31="","",'Cash Flow %s Yr3'!O31*'Revenue w MYP'!$G30))</f>
        <v/>
      </c>
      <c r="P31" s="62" t="str">
        <f>IF('Revenue w MYP'!$G30="","",IF('Cash Flow %s Yr3'!P31="","",'Cash Flow %s Yr3'!P31*'Revenue w MYP'!$G30))</f>
        <v/>
      </c>
      <c r="Q31" s="62" t="str">
        <f>IF('Revenue w MYP'!$G30="","",IF('Cash Flow %s Yr3'!Q31="","",'Cash Flow %s Yr3'!Q31*'Revenue w MYP'!$G30))</f>
        <v/>
      </c>
      <c r="R31" s="62" t="str">
        <f>IF('Revenue w MYP'!$G30="","",IF('Cash Flow %s Yr3'!R31="","",'Cash Flow %s Yr3'!R31*'Revenue w MYP'!$G30))</f>
        <v/>
      </c>
      <c r="S31" s="97" t="str">
        <f>IF(SUM(D31:R31)&gt;0,SUM(D31:R31)/'Revenue w MYP'!$G30,"")</f>
        <v/>
      </c>
    </row>
    <row r="32" spans="1:19" s="31" customFormat="1" ht="17.75" x14ac:dyDescent="0.75">
      <c r="A32" s="29"/>
      <c r="B32" s="63" t="str">
        <f>'Revenue w MYP'!C31</f>
        <v>8299</v>
      </c>
      <c r="C32" s="63" t="str">
        <f>'Revenue w MYP'!D31</f>
        <v>Prior Year Federal Revenue</v>
      </c>
      <c r="D32" s="62" t="str">
        <f>IF('Revenue w MYP'!$G31="","",IF('Cash Flow %s Yr3'!D32="","",'Cash Flow %s Yr3'!D32*'Revenue w MYP'!$G31))</f>
        <v/>
      </c>
      <c r="E32" s="62" t="str">
        <f>IF('Revenue w MYP'!$G31="","",IF('Cash Flow %s Yr3'!E32="","",'Cash Flow %s Yr3'!E32*'Revenue w MYP'!$G31))</f>
        <v/>
      </c>
      <c r="F32" s="62" t="str">
        <f>IF('Revenue w MYP'!$G31="","",IF('Cash Flow %s Yr3'!F32="","",'Cash Flow %s Yr3'!F32*'Revenue w MYP'!$G31))</f>
        <v/>
      </c>
      <c r="G32" s="62" t="str">
        <f>IF('Revenue w MYP'!$G31="","",IF('Cash Flow %s Yr3'!G32="","",'Cash Flow %s Yr3'!G32*'Revenue w MYP'!$G31))</f>
        <v/>
      </c>
      <c r="H32" s="62" t="str">
        <f>IF('Revenue w MYP'!$G31="","",IF('Cash Flow %s Yr3'!H32="","",'Cash Flow %s Yr3'!H32*'Revenue w MYP'!$G31))</f>
        <v/>
      </c>
      <c r="I32" s="62" t="str">
        <f>IF('Revenue w MYP'!$G31="","",IF('Cash Flow %s Yr3'!I32="","",'Cash Flow %s Yr3'!I32*'Revenue w MYP'!$G31))</f>
        <v/>
      </c>
      <c r="J32" s="62" t="str">
        <f>IF('Revenue w MYP'!$G31="","",IF('Cash Flow %s Yr3'!J32="","",'Cash Flow %s Yr3'!J32*'Revenue w MYP'!$G31))</f>
        <v/>
      </c>
      <c r="K32" s="62" t="str">
        <f>IF('Revenue w MYP'!$G31="","",IF('Cash Flow %s Yr3'!K32="","",'Cash Flow %s Yr3'!K32*'Revenue w MYP'!$G31))</f>
        <v/>
      </c>
      <c r="L32" s="62" t="str">
        <f>IF('Revenue w MYP'!$G31="","",IF('Cash Flow %s Yr3'!L32="","",'Cash Flow %s Yr3'!L32*'Revenue w MYP'!$G31))</f>
        <v/>
      </c>
      <c r="M32" s="62" t="str">
        <f>IF('Revenue w MYP'!$G31="","",IF('Cash Flow %s Yr3'!M32="","",'Cash Flow %s Yr3'!M32*'Revenue w MYP'!$G31))</f>
        <v/>
      </c>
      <c r="N32" s="62" t="str">
        <f>IF('Revenue w MYP'!$G31="","",IF('Cash Flow %s Yr3'!N32="","",'Cash Flow %s Yr3'!N32*'Revenue w MYP'!$G31))</f>
        <v/>
      </c>
      <c r="O32" s="62" t="str">
        <f>IF('Revenue w MYP'!$G31="","",IF('Cash Flow %s Yr3'!O32="","",'Cash Flow %s Yr3'!O32*'Revenue w MYP'!$G31))</f>
        <v/>
      </c>
      <c r="P32" s="62" t="str">
        <f>IF('Revenue w MYP'!$G31="","",IF('Cash Flow %s Yr3'!P32="","",'Cash Flow %s Yr3'!P32*'Revenue w MYP'!$G31))</f>
        <v/>
      </c>
      <c r="Q32" s="62" t="str">
        <f>IF('Revenue w MYP'!$G31="","",IF('Cash Flow %s Yr3'!Q32="","",'Cash Flow %s Yr3'!Q32*'Revenue w MYP'!$G31))</f>
        <v/>
      </c>
      <c r="R32" s="62" t="str">
        <f>IF('Revenue w MYP'!$G31="","",IF('Cash Flow %s Yr3'!R32="","",'Cash Flow %s Yr3'!R32*'Revenue w MYP'!$G31))</f>
        <v/>
      </c>
      <c r="S32" s="97" t="str">
        <f>IF(SUM(D32:R32)&gt;0,SUM(D32:R32)/'Revenue w MYP'!$G31,"")</f>
        <v/>
      </c>
    </row>
    <row r="33" spans="1:19" s="31" customFormat="1" ht="17.75" x14ac:dyDescent="0.75">
      <c r="A33" s="29"/>
      <c r="B33" s="70"/>
      <c r="C33" s="34" t="s">
        <v>719</v>
      </c>
      <c r="D33" s="153">
        <f>SUM(D25:D32)</f>
        <v>0</v>
      </c>
      <c r="E33" s="153">
        <f t="shared" ref="E33:R33" si="1">SUM(E25:E32)</f>
        <v>0</v>
      </c>
      <c r="F33" s="153">
        <f t="shared" si="1"/>
        <v>0</v>
      </c>
      <c r="G33" s="153">
        <f t="shared" si="1"/>
        <v>16091.342544816001</v>
      </c>
      <c r="H33" s="153">
        <f t="shared" si="1"/>
        <v>16091.342544816001</v>
      </c>
      <c r="I33" s="153">
        <f t="shared" si="1"/>
        <v>16091.342544816001</v>
      </c>
      <c r="J33" s="153">
        <f t="shared" si="1"/>
        <v>75900.092544815998</v>
      </c>
      <c r="K33" s="153">
        <f t="shared" si="1"/>
        <v>16091.342544816001</v>
      </c>
      <c r="L33" s="153">
        <f t="shared" si="1"/>
        <v>16091.342544816001</v>
      </c>
      <c r="M33" s="153">
        <f t="shared" si="1"/>
        <v>135708.842544816</v>
      </c>
      <c r="N33" s="153">
        <f t="shared" si="1"/>
        <v>16091.342544816001</v>
      </c>
      <c r="O33" s="153">
        <f t="shared" si="1"/>
        <v>75900.092544815998</v>
      </c>
      <c r="P33" s="153">
        <f t="shared" si="1"/>
        <v>16091.342544816001</v>
      </c>
      <c r="Q33" s="153">
        <f t="shared" si="1"/>
        <v>0</v>
      </c>
      <c r="R33" s="153">
        <f t="shared" si="1"/>
        <v>0</v>
      </c>
      <c r="S33" s="94"/>
    </row>
    <row r="34" spans="1:19" s="31" customFormat="1" ht="17.75" x14ac:dyDescent="0.75">
      <c r="A34" s="29"/>
      <c r="B34" s="69"/>
      <c r="C34" s="48"/>
      <c r="D34" s="110"/>
      <c r="E34" s="110"/>
      <c r="F34" s="110"/>
      <c r="G34" s="110"/>
      <c r="H34" s="110"/>
      <c r="I34" s="110"/>
      <c r="J34" s="110"/>
      <c r="K34" s="110"/>
      <c r="L34" s="110"/>
      <c r="M34" s="110"/>
      <c r="N34" s="110"/>
      <c r="O34" s="110"/>
      <c r="P34" s="110"/>
      <c r="Q34" s="110"/>
      <c r="R34" s="110"/>
    </row>
    <row r="35" spans="1:19" s="31" customFormat="1" ht="17.75" x14ac:dyDescent="0.75">
      <c r="B35" s="29" t="s">
        <v>790</v>
      </c>
      <c r="C35" s="48"/>
      <c r="D35" s="110"/>
      <c r="E35" s="110"/>
      <c r="F35" s="110"/>
      <c r="G35" s="110"/>
      <c r="H35" s="110"/>
      <c r="I35" s="110"/>
      <c r="J35" s="110"/>
      <c r="K35" s="110"/>
      <c r="L35" s="110"/>
      <c r="M35" s="110"/>
      <c r="N35" s="110"/>
      <c r="O35" s="110"/>
      <c r="P35" s="110"/>
      <c r="Q35" s="110"/>
      <c r="R35" s="110"/>
    </row>
    <row r="36" spans="1:19" s="31" customFormat="1" ht="17.75" x14ac:dyDescent="0.75">
      <c r="A36" s="29"/>
      <c r="B36" s="63" t="str">
        <f>'Revenue w MYP'!C35</f>
        <v>8660</v>
      </c>
      <c r="C36" s="63" t="str">
        <f>'Revenue w MYP'!D35</f>
        <v>Interest</v>
      </c>
      <c r="D36" s="62">
        <f>IF('Revenue w MYP'!$G35="","",IF('Cash Flow %s Yr3'!D36="","",'Cash Flow %s Yr3'!D36*'Revenue w MYP'!$G35))</f>
        <v>8.3000000000000007</v>
      </c>
      <c r="E36" s="62">
        <f>IF('Revenue w MYP'!$G35="","",IF('Cash Flow %s Yr3'!E36="","",'Cash Flow %s Yr3'!E36*'Revenue w MYP'!$G35))</f>
        <v>8.3000000000000007</v>
      </c>
      <c r="F36" s="62">
        <f>IF('Revenue w MYP'!$G35="","",IF('Cash Flow %s Yr3'!F36="","",'Cash Flow %s Yr3'!F36*'Revenue w MYP'!$G35))</f>
        <v>8.3000000000000007</v>
      </c>
      <c r="G36" s="62">
        <f>IF('Revenue w MYP'!$G35="","",IF('Cash Flow %s Yr3'!G36="","",'Cash Flow %s Yr3'!G36*'Revenue w MYP'!$G35))</f>
        <v>8.3000000000000007</v>
      </c>
      <c r="H36" s="62">
        <f>IF('Revenue w MYP'!$G35="","",IF('Cash Flow %s Yr3'!H36="","",'Cash Flow %s Yr3'!H36*'Revenue w MYP'!$G35))</f>
        <v>8.3000000000000007</v>
      </c>
      <c r="I36" s="62">
        <f>IF('Revenue w MYP'!$G35="","",IF('Cash Flow %s Yr3'!I36="","",'Cash Flow %s Yr3'!I36*'Revenue w MYP'!$G35))</f>
        <v>8.3000000000000007</v>
      </c>
      <c r="J36" s="62">
        <f>IF('Revenue w MYP'!$G35="","",IF('Cash Flow %s Yr3'!J36="","",'Cash Flow %s Yr3'!J36*'Revenue w MYP'!$G35))</f>
        <v>8.3000000000000007</v>
      </c>
      <c r="K36" s="62">
        <f>IF('Revenue w MYP'!$G35="","",IF('Cash Flow %s Yr3'!K36="","",'Cash Flow %s Yr3'!K36*'Revenue w MYP'!$G35))</f>
        <v>8.3000000000000007</v>
      </c>
      <c r="L36" s="62">
        <f>IF('Revenue w MYP'!$G35="","",IF('Cash Flow %s Yr3'!L36="","",'Cash Flow %s Yr3'!L36*'Revenue w MYP'!$G35))</f>
        <v>8.4</v>
      </c>
      <c r="M36" s="62">
        <f>IF('Revenue w MYP'!$G35="","",IF('Cash Flow %s Yr3'!M36="","",'Cash Flow %s Yr3'!M36*'Revenue w MYP'!$G35))</f>
        <v>8.4</v>
      </c>
      <c r="N36" s="62">
        <f>IF('Revenue w MYP'!$G35="","",IF('Cash Flow %s Yr3'!N36="","",'Cash Flow %s Yr3'!N36*'Revenue w MYP'!$G35))</f>
        <v>8.4</v>
      </c>
      <c r="O36" s="62">
        <f>IF('Revenue w MYP'!$G35="","",IF('Cash Flow %s Yr3'!O36="","",'Cash Flow %s Yr3'!O36*'Revenue w MYP'!$G35))</f>
        <v>8.4</v>
      </c>
      <c r="P36" s="62">
        <f>IF('Revenue w MYP'!$G35="","",IF('Cash Flow %s Yr3'!P36="","",'Cash Flow %s Yr3'!P36*'Revenue w MYP'!$G35))</f>
        <v>0</v>
      </c>
      <c r="Q36" s="62">
        <f>IF('Revenue w MYP'!$G35="","",IF('Cash Flow %s Yr3'!Q36="","",'Cash Flow %s Yr3'!Q36*'Revenue w MYP'!$G35))</f>
        <v>0</v>
      </c>
      <c r="R36" s="62">
        <f>IF('Revenue w MYP'!$G35="","",IF('Cash Flow %s Yr3'!R36="","",'Cash Flow %s Yr3'!R36*'Revenue w MYP'!$G35))</f>
        <v>0</v>
      </c>
      <c r="S36" s="97">
        <f>IF(SUM(D36:R36)&gt;0,SUM(D36:R36)/'Revenue w MYP'!$G35,"")</f>
        <v>1.0000000000000002</v>
      </c>
    </row>
    <row r="37" spans="1:19" s="31" customFormat="1" ht="17.75" x14ac:dyDescent="0.75">
      <c r="A37" s="29"/>
      <c r="B37" s="63" t="str">
        <f>'Revenue w MYP'!C36</f>
        <v>8682</v>
      </c>
      <c r="C37" s="63" t="str">
        <f>'Revenue w MYP'!D36</f>
        <v>Foundation Grants / Donations</v>
      </c>
      <c r="D37" s="62">
        <f>IF('Revenue w MYP'!$G36="","",IF('Cash Flow %s Yr3'!D37="","",'Cash Flow %s Yr3'!D37*'Revenue w MYP'!$G36))</f>
        <v>0</v>
      </c>
      <c r="E37" s="62">
        <f>IF('Revenue w MYP'!$G36="","",IF('Cash Flow %s Yr3'!E37="","",'Cash Flow %s Yr3'!E37*'Revenue w MYP'!$G36))</f>
        <v>0</v>
      </c>
      <c r="F37" s="62">
        <f>IF('Revenue w MYP'!$G36="","",IF('Cash Flow %s Yr3'!F37="","",'Cash Flow %s Yr3'!F37*'Revenue w MYP'!$G36))</f>
        <v>107.78100000000001</v>
      </c>
      <c r="G37" s="62">
        <f>IF('Revenue w MYP'!$G36="","",IF('Cash Flow %s Yr3'!G37="","",'Cash Flow %s Yr3'!G37*'Revenue w MYP'!$G36))</f>
        <v>107.78100000000001</v>
      </c>
      <c r="H37" s="62">
        <f>IF('Revenue w MYP'!$G36="","",IF('Cash Flow %s Yr3'!H37="","",'Cash Flow %s Yr3'!H37*'Revenue w MYP'!$G36))</f>
        <v>107.78100000000001</v>
      </c>
      <c r="I37" s="62">
        <f>IF('Revenue w MYP'!$G36="","",IF('Cash Flow %s Yr3'!I37="","",'Cash Flow %s Yr3'!I37*'Revenue w MYP'!$G36))</f>
        <v>107.78100000000001</v>
      </c>
      <c r="J37" s="62">
        <f>IF('Revenue w MYP'!$G36="","",IF('Cash Flow %s Yr3'!J37="","",'Cash Flow %s Yr3'!J37*'Revenue w MYP'!$G36))</f>
        <v>107.78100000000001</v>
      </c>
      <c r="K37" s="62">
        <f>IF('Revenue w MYP'!$G36="","",IF('Cash Flow %s Yr3'!K37="","",'Cash Flow %s Yr3'!K37*'Revenue w MYP'!$G36))</f>
        <v>107.78100000000001</v>
      </c>
      <c r="L37" s="62">
        <f>IF('Revenue w MYP'!$G36="","",IF('Cash Flow %s Yr3'!L37="","",'Cash Flow %s Yr3'!L37*'Revenue w MYP'!$G36))</f>
        <v>107.78100000000001</v>
      </c>
      <c r="M37" s="62">
        <f>IF('Revenue w MYP'!$G36="","",IF('Cash Flow %s Yr3'!M37="","",'Cash Flow %s Yr3'!M37*'Revenue w MYP'!$G36))</f>
        <v>107.78100000000001</v>
      </c>
      <c r="N37" s="62">
        <f>IF('Revenue w MYP'!$G36="","",IF('Cash Flow %s Yr3'!N37="","",'Cash Flow %s Yr3'!N37*'Revenue w MYP'!$G36))</f>
        <v>107.78100000000001</v>
      </c>
      <c r="O37" s="62">
        <f>IF('Revenue w MYP'!$G36="","",IF('Cash Flow %s Yr3'!O37="","",'Cash Flow %s Yr3'!O37*'Revenue w MYP'!$G36))</f>
        <v>107.78100000000001</v>
      </c>
      <c r="P37" s="62">
        <f>IF('Revenue w MYP'!$G36="","",IF('Cash Flow %s Yr3'!P37="","",'Cash Flow %s Yr3'!P37*'Revenue w MYP'!$G36))</f>
        <v>0</v>
      </c>
      <c r="Q37" s="62">
        <f>IF('Revenue w MYP'!$G36="","",IF('Cash Flow %s Yr3'!Q37="","",'Cash Flow %s Yr3'!Q37*'Revenue w MYP'!$G36))</f>
        <v>0</v>
      </c>
      <c r="R37" s="62">
        <f>IF('Revenue w MYP'!$G36="","",IF('Cash Flow %s Yr3'!R37="","",'Cash Flow %s Yr3'!R37*'Revenue w MYP'!$G36))</f>
        <v>0</v>
      </c>
      <c r="S37" s="97">
        <f>IF(SUM(D37:R37)&gt;0,SUM(D37:R37)/'Revenue w MYP'!$G36,"")</f>
        <v>0.99999999999999978</v>
      </c>
    </row>
    <row r="38" spans="1:19" s="31" customFormat="1" ht="17.75" x14ac:dyDescent="0.75">
      <c r="A38" s="29"/>
      <c r="B38" s="63" t="str">
        <f>'Revenue w MYP'!C37</f>
        <v>8683</v>
      </c>
      <c r="C38" s="63" t="str">
        <f>'Revenue w MYP'!D37</f>
        <v>All Other Local Revenue</v>
      </c>
      <c r="D38" s="62">
        <f>IF('Revenue w MYP'!$G37="","",IF('Cash Flow %s Yr3'!D38="","",'Cash Flow %s Yr3'!D38*'Revenue w MYP'!$G37))</f>
        <v>0</v>
      </c>
      <c r="E38" s="62">
        <f>IF('Revenue w MYP'!$G37="","",IF('Cash Flow %s Yr3'!E38="","",'Cash Flow %s Yr3'!E38*'Revenue w MYP'!$G37))</f>
        <v>0</v>
      </c>
      <c r="F38" s="62">
        <f>IF('Revenue w MYP'!$G37="","",IF('Cash Flow %s Yr3'!F38="","",'Cash Flow %s Yr3'!F38*'Revenue w MYP'!$G37))</f>
        <v>0</v>
      </c>
      <c r="G38" s="62">
        <f>IF('Revenue w MYP'!$G37="","",IF('Cash Flow %s Yr3'!G38="","",'Cash Flow %s Yr3'!G38*'Revenue w MYP'!$G37))</f>
        <v>0</v>
      </c>
      <c r="H38" s="62">
        <f>IF('Revenue w MYP'!$G37="","",IF('Cash Flow %s Yr3'!H38="","",'Cash Flow %s Yr3'!H38*'Revenue w MYP'!$G37))</f>
        <v>0</v>
      </c>
      <c r="I38" s="62">
        <f>IF('Revenue w MYP'!$G37="","",IF('Cash Flow %s Yr3'!I38="","",'Cash Flow %s Yr3'!I38*'Revenue w MYP'!$G37))</f>
        <v>0</v>
      </c>
      <c r="J38" s="62">
        <f>IF('Revenue w MYP'!$G37="","",IF('Cash Flow %s Yr3'!J38="","",'Cash Flow %s Yr3'!J38*'Revenue w MYP'!$G37))</f>
        <v>0</v>
      </c>
      <c r="K38" s="62">
        <f>IF('Revenue w MYP'!$G37="","",IF('Cash Flow %s Yr3'!K38="","",'Cash Flow %s Yr3'!K38*'Revenue w MYP'!$G37))</f>
        <v>0</v>
      </c>
      <c r="L38" s="62">
        <f>IF('Revenue w MYP'!$G37="","",IF('Cash Flow %s Yr3'!L38="","",'Cash Flow %s Yr3'!L38*'Revenue w MYP'!$G37))</f>
        <v>0</v>
      </c>
      <c r="M38" s="62">
        <f>IF('Revenue w MYP'!$G37="","",IF('Cash Flow %s Yr3'!M38="","",'Cash Flow %s Yr3'!M38*'Revenue w MYP'!$G37))</f>
        <v>0</v>
      </c>
      <c r="N38" s="62">
        <f>IF('Revenue w MYP'!$G37="","",IF('Cash Flow %s Yr3'!N38="","",'Cash Flow %s Yr3'!N38*'Revenue w MYP'!$G37))</f>
        <v>0</v>
      </c>
      <c r="O38" s="62">
        <f>IF('Revenue w MYP'!$G37="","",IF('Cash Flow %s Yr3'!O38="","",'Cash Flow %s Yr3'!O38*'Revenue w MYP'!$G37))</f>
        <v>0</v>
      </c>
      <c r="P38" s="62">
        <f>IF('Revenue w MYP'!$G37="","",IF('Cash Flow %s Yr3'!P38="","",'Cash Flow %s Yr3'!P38*'Revenue w MYP'!$G37))</f>
        <v>0</v>
      </c>
      <c r="Q38" s="62">
        <f>IF('Revenue w MYP'!$G37="","",IF('Cash Flow %s Yr3'!Q38="","",'Cash Flow %s Yr3'!Q38*'Revenue w MYP'!$G37))</f>
        <v>0</v>
      </c>
      <c r="R38" s="62">
        <f>IF('Revenue w MYP'!$G37="","",IF('Cash Flow %s Yr3'!R38="","",'Cash Flow %s Yr3'!R38*'Revenue w MYP'!$G37))</f>
        <v>0</v>
      </c>
      <c r="S38" s="97" t="str">
        <f>IF(SUM(D38:R38)&gt;0,SUM(D38:R38)/'Revenue w MYP'!$G37,"")</f>
        <v/>
      </c>
    </row>
    <row r="39" spans="1:19" s="31" customFormat="1" x14ac:dyDescent="0.75">
      <c r="A39" s="47"/>
      <c r="B39" s="63" t="str">
        <f>'Revenue w MYP'!C38</f>
        <v>8684</v>
      </c>
      <c r="C39" s="63" t="str">
        <f>'Revenue w MYP'!D38</f>
        <v>Student Body (ASB) Fundraising Revenue</v>
      </c>
      <c r="D39" s="62">
        <f>IF('Revenue w MYP'!$G38="","",IF('Cash Flow %s Yr3'!D39="","",'Cash Flow %s Yr3'!D39*'Revenue w MYP'!$G38))</f>
        <v>0</v>
      </c>
      <c r="E39" s="62">
        <f>IF('Revenue w MYP'!$G38="","",IF('Cash Flow %s Yr3'!E39="","",'Cash Flow %s Yr3'!E39*'Revenue w MYP'!$G38))</f>
        <v>0</v>
      </c>
      <c r="F39" s="62">
        <f>IF('Revenue w MYP'!$G38="","",IF('Cash Flow %s Yr3'!F39="","",'Cash Flow %s Yr3'!F39*'Revenue w MYP'!$G38))</f>
        <v>0</v>
      </c>
      <c r="G39" s="62">
        <f>IF('Revenue w MYP'!$G38="","",IF('Cash Flow %s Yr3'!G39="","",'Cash Flow %s Yr3'!G39*'Revenue w MYP'!$G38))</f>
        <v>0</v>
      </c>
      <c r="H39" s="62">
        <f>IF('Revenue w MYP'!$G38="","",IF('Cash Flow %s Yr3'!H39="","",'Cash Flow %s Yr3'!H39*'Revenue w MYP'!$G38))</f>
        <v>0</v>
      </c>
      <c r="I39" s="62">
        <f>IF('Revenue w MYP'!$G38="","",IF('Cash Flow %s Yr3'!I39="","",'Cash Flow %s Yr3'!I39*'Revenue w MYP'!$G38))</f>
        <v>0</v>
      </c>
      <c r="J39" s="62">
        <f>IF('Revenue w MYP'!$G38="","",IF('Cash Flow %s Yr3'!J39="","",'Cash Flow %s Yr3'!J39*'Revenue w MYP'!$G38))</f>
        <v>0</v>
      </c>
      <c r="K39" s="62">
        <f>IF('Revenue w MYP'!$G38="","",IF('Cash Flow %s Yr3'!K39="","",'Cash Flow %s Yr3'!K39*'Revenue w MYP'!$G38))</f>
        <v>0</v>
      </c>
      <c r="L39" s="62">
        <f>IF('Revenue w MYP'!$G38="","",IF('Cash Flow %s Yr3'!L39="","",'Cash Flow %s Yr3'!L39*'Revenue w MYP'!$G38))</f>
        <v>0</v>
      </c>
      <c r="M39" s="62">
        <f>IF('Revenue w MYP'!$G38="","",IF('Cash Flow %s Yr3'!M39="","",'Cash Flow %s Yr3'!M39*'Revenue w MYP'!$G38))</f>
        <v>0</v>
      </c>
      <c r="N39" s="62">
        <f>IF('Revenue w MYP'!$G38="","",IF('Cash Flow %s Yr3'!N39="","",'Cash Flow %s Yr3'!N39*'Revenue w MYP'!$G38))</f>
        <v>0</v>
      </c>
      <c r="O39" s="62">
        <f>IF('Revenue w MYP'!$G38="","",IF('Cash Flow %s Yr3'!O39="","",'Cash Flow %s Yr3'!O39*'Revenue w MYP'!$G38))</f>
        <v>0</v>
      </c>
      <c r="P39" s="62">
        <f>IF('Revenue w MYP'!$G38="","",IF('Cash Flow %s Yr3'!P39="","",'Cash Flow %s Yr3'!P39*'Revenue w MYP'!$G38))</f>
        <v>0</v>
      </c>
      <c r="Q39" s="62">
        <f>IF('Revenue w MYP'!$G38="","",IF('Cash Flow %s Yr3'!Q39="","",'Cash Flow %s Yr3'!Q39*'Revenue w MYP'!$G38))</f>
        <v>0</v>
      </c>
      <c r="R39" s="62">
        <f>IF('Revenue w MYP'!$G38="","",IF('Cash Flow %s Yr3'!R39="","",'Cash Flow %s Yr3'!R39*'Revenue w MYP'!$G38))</f>
        <v>0</v>
      </c>
      <c r="S39" s="97" t="str">
        <f>IF(SUM(D39:R39)&gt;0,SUM(D39:R39)/'Revenue w MYP'!$G38,"")</f>
        <v/>
      </c>
    </row>
    <row r="40" spans="1:19" s="31" customFormat="1" x14ac:dyDescent="0.75">
      <c r="A40" s="48"/>
      <c r="B40" s="63" t="str">
        <f>'Revenue w MYP'!C39</f>
        <v>8685</v>
      </c>
      <c r="C40" s="63" t="str">
        <f>'Revenue w MYP'!D39</f>
        <v>School Site Fundraising</v>
      </c>
      <c r="D40" s="62">
        <f>IF('Revenue w MYP'!$G39="","",IF('Cash Flow %s Yr3'!D40="","",'Cash Flow %s Yr3'!D40*'Revenue w MYP'!$G39))</f>
        <v>0</v>
      </c>
      <c r="E40" s="62">
        <f>IF('Revenue w MYP'!$G39="","",IF('Cash Flow %s Yr3'!E40="","",'Cash Flow %s Yr3'!E40*'Revenue w MYP'!$G39))</f>
        <v>0</v>
      </c>
      <c r="F40" s="62">
        <f>IF('Revenue w MYP'!$G39="","",IF('Cash Flow %s Yr3'!F40="","",'Cash Flow %s Yr3'!F40*'Revenue w MYP'!$G39))</f>
        <v>0</v>
      </c>
      <c r="G40" s="62">
        <f>IF('Revenue w MYP'!$G39="","",IF('Cash Flow %s Yr3'!G40="","",'Cash Flow %s Yr3'!G40*'Revenue w MYP'!$G39))</f>
        <v>0</v>
      </c>
      <c r="H40" s="62">
        <f>IF('Revenue w MYP'!$G39="","",IF('Cash Flow %s Yr3'!H40="","",'Cash Flow %s Yr3'!H40*'Revenue w MYP'!$G39))</f>
        <v>0</v>
      </c>
      <c r="I40" s="62">
        <f>IF('Revenue w MYP'!$G39="","",IF('Cash Flow %s Yr3'!I40="","",'Cash Flow %s Yr3'!I40*'Revenue w MYP'!$G39))</f>
        <v>0</v>
      </c>
      <c r="J40" s="62">
        <f>IF('Revenue w MYP'!$G39="","",IF('Cash Flow %s Yr3'!J40="","",'Cash Flow %s Yr3'!J40*'Revenue w MYP'!$G39))</f>
        <v>0</v>
      </c>
      <c r="K40" s="62">
        <f>IF('Revenue w MYP'!$G39="","",IF('Cash Flow %s Yr3'!K40="","",'Cash Flow %s Yr3'!K40*'Revenue w MYP'!$G39))</f>
        <v>0</v>
      </c>
      <c r="L40" s="62">
        <f>IF('Revenue w MYP'!$G39="","",IF('Cash Flow %s Yr3'!L40="","",'Cash Flow %s Yr3'!L40*'Revenue w MYP'!$G39))</f>
        <v>0</v>
      </c>
      <c r="M40" s="62">
        <f>IF('Revenue w MYP'!$G39="","",IF('Cash Flow %s Yr3'!M40="","",'Cash Flow %s Yr3'!M40*'Revenue w MYP'!$G39))</f>
        <v>0</v>
      </c>
      <c r="N40" s="62">
        <f>IF('Revenue w MYP'!$G39="","",IF('Cash Flow %s Yr3'!N40="","",'Cash Flow %s Yr3'!N40*'Revenue w MYP'!$G39))</f>
        <v>0</v>
      </c>
      <c r="O40" s="62">
        <f>IF('Revenue w MYP'!$G39="","",IF('Cash Flow %s Yr3'!O40="","",'Cash Flow %s Yr3'!O40*'Revenue w MYP'!$G39))</f>
        <v>0</v>
      </c>
      <c r="P40" s="62">
        <f>IF('Revenue w MYP'!$G39="","",IF('Cash Flow %s Yr3'!P40="","",'Cash Flow %s Yr3'!P40*'Revenue w MYP'!$G39))</f>
        <v>0</v>
      </c>
      <c r="Q40" s="62">
        <f>IF('Revenue w MYP'!$G39="","",IF('Cash Flow %s Yr3'!Q40="","",'Cash Flow %s Yr3'!Q40*'Revenue w MYP'!$G39))</f>
        <v>0</v>
      </c>
      <c r="R40" s="62">
        <f>IF('Revenue w MYP'!$G39="","",IF('Cash Flow %s Yr3'!R40="","",'Cash Flow %s Yr3'!R40*'Revenue w MYP'!$G39))</f>
        <v>0</v>
      </c>
      <c r="S40" s="97" t="str">
        <f>IF(SUM(D40:R40)&gt;0,SUM(D40:R40)/'Revenue w MYP'!$G39,"")</f>
        <v/>
      </c>
    </row>
    <row r="41" spans="1:19" s="31" customFormat="1" ht="17.75" x14ac:dyDescent="0.75">
      <c r="A41" s="29"/>
      <c r="B41" s="63" t="str">
        <f>'Revenue w MYP'!C40</f>
        <v>8698</v>
      </c>
      <c r="C41" s="63" t="str">
        <f>'Revenue w MYP'!D40</f>
        <v>E-Rate</v>
      </c>
      <c r="D41" s="62">
        <f>IF('Revenue w MYP'!$G40="","",IF('Cash Flow %s Yr3'!D41="","",'Cash Flow %s Yr3'!D41*'Revenue w MYP'!$G40))</f>
        <v>0</v>
      </c>
      <c r="E41" s="62">
        <f>IF('Revenue w MYP'!$G40="","",IF('Cash Flow %s Yr3'!E41="","",'Cash Flow %s Yr3'!E41*'Revenue w MYP'!$G40))</f>
        <v>0</v>
      </c>
      <c r="F41" s="62">
        <f>IF('Revenue w MYP'!$G40="","",IF('Cash Flow %s Yr3'!F41="","",'Cash Flow %s Yr3'!F41*'Revenue w MYP'!$G40))</f>
        <v>0</v>
      </c>
      <c r="G41" s="62">
        <f>IF('Revenue w MYP'!$G40="","",IF('Cash Flow %s Yr3'!G41="","",'Cash Flow %s Yr3'!G41*'Revenue w MYP'!$G40))</f>
        <v>0</v>
      </c>
      <c r="H41" s="62">
        <f>IF('Revenue w MYP'!$G40="","",IF('Cash Flow %s Yr3'!H41="","",'Cash Flow %s Yr3'!H41*'Revenue w MYP'!$G40))</f>
        <v>0</v>
      </c>
      <c r="I41" s="62">
        <f>IF('Revenue w MYP'!$G40="","",IF('Cash Flow %s Yr3'!I41="","",'Cash Flow %s Yr3'!I41*'Revenue w MYP'!$G40))</f>
        <v>0</v>
      </c>
      <c r="J41" s="62">
        <f>IF('Revenue w MYP'!$G40="","",IF('Cash Flow %s Yr3'!J41="","",'Cash Flow %s Yr3'!J41*'Revenue w MYP'!$G40))</f>
        <v>0</v>
      </c>
      <c r="K41" s="62">
        <f>IF('Revenue w MYP'!$G40="","",IF('Cash Flow %s Yr3'!K41="","",'Cash Flow %s Yr3'!K41*'Revenue w MYP'!$G40))</f>
        <v>0</v>
      </c>
      <c r="L41" s="62">
        <f>IF('Revenue w MYP'!$G40="","",IF('Cash Flow %s Yr3'!L41="","",'Cash Flow %s Yr3'!L41*'Revenue w MYP'!$G40))</f>
        <v>0</v>
      </c>
      <c r="M41" s="62">
        <f>IF('Revenue w MYP'!$G40="","",IF('Cash Flow %s Yr3'!M41="","",'Cash Flow %s Yr3'!M41*'Revenue w MYP'!$G40))</f>
        <v>0</v>
      </c>
      <c r="N41" s="62">
        <f>IF('Revenue w MYP'!$G40="","",IF('Cash Flow %s Yr3'!N41="","",'Cash Flow %s Yr3'!N41*'Revenue w MYP'!$G40))</f>
        <v>0</v>
      </c>
      <c r="O41" s="62">
        <f>IF('Revenue w MYP'!$G40="","",IF('Cash Flow %s Yr3'!O41="","",'Cash Flow %s Yr3'!O41*'Revenue w MYP'!$G40))</f>
        <v>0</v>
      </c>
      <c r="P41" s="62">
        <f>IF('Revenue w MYP'!$G40="","",IF('Cash Flow %s Yr3'!P41="","",'Cash Flow %s Yr3'!P41*'Revenue w MYP'!$G40))</f>
        <v>0</v>
      </c>
      <c r="Q41" s="62">
        <f>IF('Revenue w MYP'!$G40="","",IF('Cash Flow %s Yr3'!Q41="","",'Cash Flow %s Yr3'!Q41*'Revenue w MYP'!$G40))</f>
        <v>0</v>
      </c>
      <c r="R41" s="62">
        <f>IF('Revenue w MYP'!$G40="","",IF('Cash Flow %s Yr3'!R41="","",'Cash Flow %s Yr3'!R41*'Revenue w MYP'!$G40))</f>
        <v>0</v>
      </c>
      <c r="S41" s="97" t="str">
        <f>IF(SUM(D41:R41)&gt;0,SUM(D41:R41)/'Revenue w MYP'!$G40,"")</f>
        <v/>
      </c>
    </row>
    <row r="42" spans="1:19" s="31" customFormat="1" ht="17.75" x14ac:dyDescent="0.75">
      <c r="A42" s="29"/>
      <c r="B42" s="63" t="str">
        <f>'Revenue w MYP'!C41</f>
        <v>8699</v>
      </c>
      <c r="C42" s="63" t="str">
        <f>'Revenue w MYP'!D41</f>
        <v>All Other Local Revenue</v>
      </c>
      <c r="D42" s="62">
        <f>IF('Revenue w MYP'!$G41="","",IF('Cash Flow %s Yr3'!D42="","",'Cash Flow %s Yr3'!D42*'Revenue w MYP'!$G41))</f>
        <v>0</v>
      </c>
      <c r="E42" s="62">
        <f>IF('Revenue w MYP'!$G41="","",IF('Cash Flow %s Yr3'!E42="","",'Cash Flow %s Yr3'!E42*'Revenue w MYP'!$G41))</f>
        <v>0</v>
      </c>
      <c r="F42" s="62">
        <f>IF('Revenue w MYP'!$G41="","",IF('Cash Flow %s Yr3'!F42="","",'Cash Flow %s Yr3'!F42*'Revenue w MYP'!$G41))</f>
        <v>1453.8489999999999</v>
      </c>
      <c r="G42" s="62">
        <f>IF('Revenue w MYP'!$G41="","",IF('Cash Flow %s Yr3'!G42="","",'Cash Flow %s Yr3'!G42*'Revenue w MYP'!$G41))</f>
        <v>1453.8489999999999</v>
      </c>
      <c r="H42" s="62">
        <f>IF('Revenue w MYP'!$G41="","",IF('Cash Flow %s Yr3'!H42="","",'Cash Flow %s Yr3'!H42*'Revenue w MYP'!$G41))</f>
        <v>1453.8489999999999</v>
      </c>
      <c r="I42" s="62">
        <f>IF('Revenue w MYP'!$G41="","",IF('Cash Flow %s Yr3'!I42="","",'Cash Flow %s Yr3'!I42*'Revenue w MYP'!$G41))</f>
        <v>1453.8489999999999</v>
      </c>
      <c r="J42" s="62">
        <f>IF('Revenue w MYP'!$G41="","",IF('Cash Flow %s Yr3'!J42="","",'Cash Flow %s Yr3'!J42*'Revenue w MYP'!$G41))</f>
        <v>1453.8489999999999</v>
      </c>
      <c r="K42" s="62">
        <f>IF('Revenue w MYP'!$G41="","",IF('Cash Flow %s Yr3'!K42="","",'Cash Flow %s Yr3'!K42*'Revenue w MYP'!$G41))</f>
        <v>1453.8489999999999</v>
      </c>
      <c r="L42" s="62">
        <f>IF('Revenue w MYP'!$G41="","",IF('Cash Flow %s Yr3'!L42="","",'Cash Flow %s Yr3'!L42*'Revenue w MYP'!$G41))</f>
        <v>1453.8489999999999</v>
      </c>
      <c r="M42" s="62">
        <f>IF('Revenue w MYP'!$G41="","",IF('Cash Flow %s Yr3'!M42="","",'Cash Flow %s Yr3'!M42*'Revenue w MYP'!$G41))</f>
        <v>1453.8489999999999</v>
      </c>
      <c r="N42" s="62">
        <f>IF('Revenue w MYP'!$G41="","",IF('Cash Flow %s Yr3'!N42="","",'Cash Flow %s Yr3'!N42*'Revenue w MYP'!$G41))</f>
        <v>1453.8489999999999</v>
      </c>
      <c r="O42" s="62">
        <f>IF('Revenue w MYP'!$G41="","",IF('Cash Flow %s Yr3'!O42="","",'Cash Flow %s Yr3'!O42*'Revenue w MYP'!$G41))</f>
        <v>1453.8489999999999</v>
      </c>
      <c r="P42" s="62">
        <f>IF('Revenue w MYP'!$G41="","",IF('Cash Flow %s Yr3'!P42="","",'Cash Flow %s Yr3'!P42*'Revenue w MYP'!$G41))</f>
        <v>0</v>
      </c>
      <c r="Q42" s="62">
        <f>IF('Revenue w MYP'!$G41="","",IF('Cash Flow %s Yr3'!Q42="","",'Cash Flow %s Yr3'!Q42*'Revenue w MYP'!$G41))</f>
        <v>0</v>
      </c>
      <c r="R42" s="62">
        <f>IF('Revenue w MYP'!$G41="","",IF('Cash Flow %s Yr3'!R42="","",'Cash Flow %s Yr3'!R42*'Revenue w MYP'!$G41))</f>
        <v>0</v>
      </c>
      <c r="S42" s="97">
        <f>IF(SUM(D42:R42)&gt;0,SUM(D42:R42)/'Revenue w MYP'!$G41,"")</f>
        <v>1.0000000000000002</v>
      </c>
    </row>
    <row r="43" spans="1:19" s="31" customFormat="1" ht="17.75" x14ac:dyDescent="0.75">
      <c r="A43" s="29"/>
      <c r="B43" s="63" t="str">
        <f>'Revenue w MYP'!C42</f>
        <v>8785</v>
      </c>
      <c r="C43" s="63" t="str">
        <f>'Revenue w MYP'!D42</f>
        <v>CMO Management fee</v>
      </c>
      <c r="D43" s="62">
        <f>IF('Revenue w MYP'!$G42="","",IF('Cash Flow %s Yr3'!D43="","",'Cash Flow %s Yr3'!D43*'Revenue w MYP'!$G42))</f>
        <v>0</v>
      </c>
      <c r="E43" s="62">
        <f>IF('Revenue w MYP'!$G42="","",IF('Cash Flow %s Yr3'!E43="","",'Cash Flow %s Yr3'!E43*'Revenue w MYP'!$G42))</f>
        <v>0</v>
      </c>
      <c r="F43" s="62">
        <f>IF('Revenue w MYP'!$G42="","",IF('Cash Flow %s Yr3'!F43="","",'Cash Flow %s Yr3'!F43*'Revenue w MYP'!$G42))</f>
        <v>0</v>
      </c>
      <c r="G43" s="62">
        <f>IF('Revenue w MYP'!$G42="","",IF('Cash Flow %s Yr3'!G43="","",'Cash Flow %s Yr3'!G43*'Revenue w MYP'!$G42))</f>
        <v>0</v>
      </c>
      <c r="H43" s="62">
        <f>IF('Revenue w MYP'!$G42="","",IF('Cash Flow %s Yr3'!H43="","",'Cash Flow %s Yr3'!H43*'Revenue w MYP'!$G42))</f>
        <v>0</v>
      </c>
      <c r="I43" s="62">
        <f>IF('Revenue w MYP'!$G42="","",IF('Cash Flow %s Yr3'!I43="","",'Cash Flow %s Yr3'!I43*'Revenue w MYP'!$G42))</f>
        <v>0</v>
      </c>
      <c r="J43" s="62">
        <f>IF('Revenue w MYP'!$G42="","",IF('Cash Flow %s Yr3'!J43="","",'Cash Flow %s Yr3'!J43*'Revenue w MYP'!$G42))</f>
        <v>0</v>
      </c>
      <c r="K43" s="62">
        <f>IF('Revenue w MYP'!$G42="","",IF('Cash Flow %s Yr3'!K43="","",'Cash Flow %s Yr3'!K43*'Revenue w MYP'!$G42))</f>
        <v>0</v>
      </c>
      <c r="L43" s="62">
        <f>IF('Revenue w MYP'!$G42="","",IF('Cash Flow %s Yr3'!L43="","",'Cash Flow %s Yr3'!L43*'Revenue w MYP'!$G42))</f>
        <v>0</v>
      </c>
      <c r="M43" s="62">
        <f>IF('Revenue w MYP'!$G42="","",IF('Cash Flow %s Yr3'!M43="","",'Cash Flow %s Yr3'!M43*'Revenue w MYP'!$G42))</f>
        <v>0</v>
      </c>
      <c r="N43" s="62">
        <f>IF('Revenue w MYP'!$G42="","",IF('Cash Flow %s Yr3'!N43="","",'Cash Flow %s Yr3'!N43*'Revenue w MYP'!$G42))</f>
        <v>0</v>
      </c>
      <c r="O43" s="62">
        <f>IF('Revenue w MYP'!$G42="","",IF('Cash Flow %s Yr3'!O43="","",'Cash Flow %s Yr3'!O43*'Revenue w MYP'!$G42))</f>
        <v>0</v>
      </c>
      <c r="P43" s="62">
        <f>IF('Revenue w MYP'!$G42="","",IF('Cash Flow %s Yr3'!P43="","",'Cash Flow %s Yr3'!P43*'Revenue w MYP'!$G42))</f>
        <v>0</v>
      </c>
      <c r="Q43" s="62">
        <f>IF('Revenue w MYP'!$G42="","",IF('Cash Flow %s Yr3'!Q43="","",'Cash Flow %s Yr3'!Q43*'Revenue w MYP'!$G42))</f>
        <v>0</v>
      </c>
      <c r="R43" s="62">
        <f>IF('Revenue w MYP'!$G42="","",IF('Cash Flow %s Yr3'!R43="","",'Cash Flow %s Yr3'!R43*'Revenue w MYP'!$G42))</f>
        <v>0</v>
      </c>
      <c r="S43" s="97" t="str">
        <f>IF(SUM(D43:R43)&gt;0,SUM(D43:R43)/'Revenue w MYP'!$G42,"")</f>
        <v/>
      </c>
    </row>
    <row r="44" spans="1:19" s="31" customFormat="1" ht="17.75" x14ac:dyDescent="0.75">
      <c r="A44" s="29"/>
      <c r="B44" s="63" t="str">
        <f>'Revenue w MYP'!C43</f>
        <v>8792</v>
      </c>
      <c r="C44" s="63" t="str">
        <f>'Revenue w MYP'!D43</f>
        <v>SPED State / Other Transfers from County</v>
      </c>
      <c r="D44" s="62">
        <f>IF('Revenue w MYP'!$G43="","",IF('Cash Flow %s Yr3'!D44="","",'Cash Flow %s Yr3'!D44*'Revenue w MYP'!$G43))</f>
        <v>0</v>
      </c>
      <c r="E44" s="62">
        <f>IF('Revenue w MYP'!$G43="","",IF('Cash Flow %s Yr3'!E44="","",'Cash Flow %s Yr3'!E44*'Revenue w MYP'!$G43))</f>
        <v>0</v>
      </c>
      <c r="F44" s="62">
        <f>IF('Revenue w MYP'!$G43="","",IF('Cash Flow %s Yr3'!F44="","",'Cash Flow %s Yr3'!F44*'Revenue w MYP'!$G43))</f>
        <v>65757.357613696004</v>
      </c>
      <c r="G44" s="62">
        <f>IF('Revenue w MYP'!$G43="","",IF('Cash Flow %s Yr3'!G44="","",'Cash Flow %s Yr3'!G44*'Revenue w MYP'!$G43))</f>
        <v>65757.357613696004</v>
      </c>
      <c r="H44" s="62">
        <f>IF('Revenue w MYP'!$G43="","",IF('Cash Flow %s Yr3'!H44="","",'Cash Flow %s Yr3'!H44*'Revenue w MYP'!$G43))</f>
        <v>65757.357613696004</v>
      </c>
      <c r="I44" s="62">
        <f>IF('Revenue w MYP'!$G43="","",IF('Cash Flow %s Yr3'!I44="","",'Cash Flow %s Yr3'!I44*'Revenue w MYP'!$G43))</f>
        <v>65757.357613696004</v>
      </c>
      <c r="J44" s="62">
        <f>IF('Revenue w MYP'!$G43="","",IF('Cash Flow %s Yr3'!J44="","",'Cash Flow %s Yr3'!J44*'Revenue w MYP'!$G43))</f>
        <v>65757.357613696004</v>
      </c>
      <c r="K44" s="62">
        <f>IF('Revenue w MYP'!$G43="","",IF('Cash Flow %s Yr3'!K44="","",'Cash Flow %s Yr3'!K44*'Revenue w MYP'!$G43))</f>
        <v>65757.357613696004</v>
      </c>
      <c r="L44" s="62">
        <f>IF('Revenue w MYP'!$G43="","",IF('Cash Flow %s Yr3'!L44="","",'Cash Flow %s Yr3'!L44*'Revenue w MYP'!$G43))</f>
        <v>65757.357613696004</v>
      </c>
      <c r="M44" s="62">
        <f>IF('Revenue w MYP'!$G43="","",IF('Cash Flow %s Yr3'!M44="","",'Cash Flow %s Yr3'!M44*'Revenue w MYP'!$G43))</f>
        <v>65757.357613696004</v>
      </c>
      <c r="N44" s="62">
        <f>IF('Revenue w MYP'!$G43="","",IF('Cash Flow %s Yr3'!N44="","",'Cash Flow %s Yr3'!N44*'Revenue w MYP'!$G43))</f>
        <v>65757.357613696004</v>
      </c>
      <c r="O44" s="62">
        <f>IF('Revenue w MYP'!$G43="","",IF('Cash Flow %s Yr3'!O44="","",'Cash Flow %s Yr3'!O44*'Revenue w MYP'!$G43))</f>
        <v>65757.357613696004</v>
      </c>
      <c r="P44" s="62">
        <f>IF('Revenue w MYP'!$G43="","",IF('Cash Flow %s Yr3'!P44="","",'Cash Flow %s Yr3'!P44*'Revenue w MYP'!$G43))</f>
        <v>0</v>
      </c>
      <c r="Q44" s="62">
        <f>IF('Revenue w MYP'!$G43="","",IF('Cash Flow %s Yr3'!Q44="","",'Cash Flow %s Yr3'!Q44*'Revenue w MYP'!$G43))</f>
        <v>0</v>
      </c>
      <c r="R44" s="62">
        <f>IF('Revenue w MYP'!$G43="","",IF('Cash Flow %s Yr3'!R44="","",'Cash Flow %s Yr3'!R44*'Revenue w MYP'!$G43))</f>
        <v>0</v>
      </c>
      <c r="S44" s="97">
        <f>IF(SUM(D44:R44)&gt;0,SUM(D44:R44)/'Revenue w MYP'!$G43,"")</f>
        <v>1.0000000000000002</v>
      </c>
    </row>
    <row r="45" spans="1:19" s="31" customFormat="1" ht="17.75" x14ac:dyDescent="0.75">
      <c r="A45" s="29"/>
      <c r="B45" s="63" t="str">
        <f>'Revenue w MYP'!C44</f>
        <v>8639</v>
      </c>
      <c r="C45" s="63" t="str">
        <f>'Revenue w MYP'!D44</f>
        <v>Student Lunch Revenue</v>
      </c>
      <c r="D45" s="62">
        <f>IF('Revenue w MYP'!$G44="","",IF('Cash Flow %s Yr3'!D47="","",'Cash Flow %s Yr3'!D47*'Revenue w MYP'!$G44))</f>
        <v>0</v>
      </c>
      <c r="E45" s="62">
        <f>IF('Revenue w MYP'!$G44="","",IF('Cash Flow %s Yr3'!E47="","",'Cash Flow %s Yr3'!E47*'Revenue w MYP'!$G44))</f>
        <v>0</v>
      </c>
      <c r="F45" s="62">
        <f>IF('Revenue w MYP'!$G44="","",IF('Cash Flow %s Yr3'!F47="","",'Cash Flow %s Yr3'!F47*'Revenue w MYP'!$G44))</f>
        <v>0</v>
      </c>
      <c r="G45" s="62">
        <f>IF('Revenue w MYP'!$G44="","",IF('Cash Flow %s Yr3'!G47="","",'Cash Flow %s Yr3'!G47*'Revenue w MYP'!$G44))</f>
        <v>0</v>
      </c>
      <c r="H45" s="62">
        <f>IF('Revenue w MYP'!$G44="","",IF('Cash Flow %s Yr3'!H47="","",'Cash Flow %s Yr3'!H47*'Revenue w MYP'!$G44))</f>
        <v>0</v>
      </c>
      <c r="I45" s="62">
        <f>IF('Revenue w MYP'!$G44="","",IF('Cash Flow %s Yr3'!I47="","",'Cash Flow %s Yr3'!I47*'Revenue w MYP'!$G44))</f>
        <v>0</v>
      </c>
      <c r="J45" s="62">
        <f>IF('Revenue w MYP'!$G44="","",IF('Cash Flow %s Yr3'!J47="","",'Cash Flow %s Yr3'!J47*'Revenue w MYP'!$G44))</f>
        <v>0</v>
      </c>
      <c r="K45" s="62">
        <f>IF('Revenue w MYP'!$G44="","",IF('Cash Flow %s Yr3'!K47="","",'Cash Flow %s Yr3'!K47*'Revenue w MYP'!$G44))</f>
        <v>0</v>
      </c>
      <c r="L45" s="62">
        <f>IF('Revenue w MYP'!$G44="","",IF('Cash Flow %s Yr3'!L47="","",'Cash Flow %s Yr3'!L47*'Revenue w MYP'!$G44))</f>
        <v>0</v>
      </c>
      <c r="M45" s="62">
        <f>IF('Revenue w MYP'!$G44="","",IF('Cash Flow %s Yr3'!M47="","",'Cash Flow %s Yr3'!M47*'Revenue w MYP'!$G44))</f>
        <v>0</v>
      </c>
      <c r="N45" s="62">
        <f>IF('Revenue w MYP'!$G44="","",IF('Cash Flow %s Yr3'!N47="","",'Cash Flow %s Yr3'!N47*'Revenue w MYP'!$G44))</f>
        <v>0</v>
      </c>
      <c r="O45" s="62">
        <f>IF('Revenue w MYP'!$G44="","",IF('Cash Flow %s Yr3'!O47="","",'Cash Flow %s Yr3'!O47*'Revenue w MYP'!$G44))</f>
        <v>0</v>
      </c>
      <c r="P45" s="62">
        <f>IF('Revenue w MYP'!$G44="","",IF('Cash Flow %s Yr3'!P47="","",'Cash Flow %s Yr3'!P47*'Revenue w MYP'!$G44))</f>
        <v>0</v>
      </c>
      <c r="Q45" s="62">
        <f>IF('Revenue w MYP'!$G44="","",IF('Cash Flow %s Yr3'!Q47="","",'Cash Flow %s Yr3'!Q47*'Revenue w MYP'!$G44))</f>
        <v>0</v>
      </c>
      <c r="R45" s="62">
        <f>IF('Revenue w MYP'!$G44="","",IF('Cash Flow %s Yr3'!R47="","",'Cash Flow %s Yr3'!R47*'Revenue w MYP'!$G44))</f>
        <v>0</v>
      </c>
      <c r="S45" s="97" t="str">
        <f>IF(SUM(D45:R45)&gt;0,SUM(D45:R45)/'Revenue w MYP'!$G44,"")</f>
        <v/>
      </c>
    </row>
    <row r="46" spans="1:19" s="31" customFormat="1" ht="17.75" x14ac:dyDescent="0.75">
      <c r="A46" s="29"/>
      <c r="B46" s="63" t="str">
        <f>'Revenue w MYP'!C45</f>
        <v>8986</v>
      </c>
      <c r="C46" s="63" t="str">
        <f>'Revenue w MYP'!D45</f>
        <v>Rental Income</v>
      </c>
      <c r="D46" s="62" t="str">
        <f>IF('Revenue w MYP'!$G45="","",IF('Cash Flow %s Yr3'!D48="","",'Cash Flow %s Yr3'!D48*'Revenue w MYP'!$G45))</f>
        <v/>
      </c>
      <c r="E46" s="62" t="str">
        <f>IF('Revenue w MYP'!$G45="","",IF('Cash Flow %s Yr3'!E48="","",'Cash Flow %s Yr3'!E48*'Revenue w MYP'!$G45))</f>
        <v/>
      </c>
      <c r="F46" s="62" t="str">
        <f>IF('Revenue w MYP'!$G45="","",IF('Cash Flow %s Yr3'!F48="","",'Cash Flow %s Yr3'!F48*'Revenue w MYP'!$G45))</f>
        <v/>
      </c>
      <c r="G46" s="62" t="str">
        <f>IF('Revenue w MYP'!$G45="","",IF('Cash Flow %s Yr3'!G48="","",'Cash Flow %s Yr3'!G48*'Revenue w MYP'!$G45))</f>
        <v/>
      </c>
      <c r="H46" s="62" t="str">
        <f>IF('Revenue w MYP'!$G45="","",IF('Cash Flow %s Yr3'!H48="","",'Cash Flow %s Yr3'!H48*'Revenue w MYP'!$G45))</f>
        <v/>
      </c>
      <c r="I46" s="62" t="str">
        <f>IF('Revenue w MYP'!$G45="","",IF('Cash Flow %s Yr3'!I48="","",'Cash Flow %s Yr3'!I48*'Revenue w MYP'!$G45))</f>
        <v/>
      </c>
      <c r="J46" s="62" t="str">
        <f>IF('Revenue w MYP'!$G45="","",IF('Cash Flow %s Yr3'!J48="","",'Cash Flow %s Yr3'!J48*'Revenue w MYP'!$G45))</f>
        <v/>
      </c>
      <c r="K46" s="62" t="str">
        <f>IF('Revenue w MYP'!$G45="","",IF('Cash Flow %s Yr3'!K48="","",'Cash Flow %s Yr3'!K48*'Revenue w MYP'!$G45))</f>
        <v/>
      </c>
      <c r="L46" s="62" t="str">
        <f>IF('Revenue w MYP'!$G45="","",IF('Cash Flow %s Yr3'!L48="","",'Cash Flow %s Yr3'!L48*'Revenue w MYP'!$G45))</f>
        <v/>
      </c>
      <c r="M46" s="62" t="str">
        <f>IF('Revenue w MYP'!$G45="","",IF('Cash Flow %s Yr3'!M48="","",'Cash Flow %s Yr3'!M48*'Revenue w MYP'!$G45))</f>
        <v/>
      </c>
      <c r="N46" s="62" t="str">
        <f>IF('Revenue w MYP'!$G45="","",IF('Cash Flow %s Yr3'!N48="","",'Cash Flow %s Yr3'!N48*'Revenue w MYP'!$G45))</f>
        <v/>
      </c>
      <c r="O46" s="62" t="str">
        <f>IF('Revenue w MYP'!$G45="","",IF('Cash Flow %s Yr3'!O48="","",'Cash Flow %s Yr3'!O48*'Revenue w MYP'!$G45))</f>
        <v/>
      </c>
      <c r="P46" s="62" t="str">
        <f>IF('Revenue w MYP'!$G45="","",IF('Cash Flow %s Yr3'!P48="","",'Cash Flow %s Yr3'!P48*'Revenue w MYP'!$G45))</f>
        <v/>
      </c>
      <c r="Q46" s="62" t="str">
        <f>IF('Revenue w MYP'!$G45="","",IF('Cash Flow %s Yr3'!Q48="","",'Cash Flow %s Yr3'!Q48*'Revenue w MYP'!$G45))</f>
        <v/>
      </c>
      <c r="R46" s="62" t="str">
        <f>IF('Revenue w MYP'!$G45="","",IF('Cash Flow %s Yr3'!R48="","",'Cash Flow %s Yr3'!R48*'Revenue w MYP'!$G45))</f>
        <v/>
      </c>
      <c r="S46" s="97" t="str">
        <f>IF(SUM(D46:R46)&gt;0,SUM(D46:R46)/'Revenue w MYP'!$G45,"")</f>
        <v/>
      </c>
    </row>
    <row r="47" spans="1:19" s="31" customFormat="1" ht="17.75" x14ac:dyDescent="0.75">
      <c r="A47" s="29"/>
      <c r="B47" s="63" t="str">
        <f>'Revenue w MYP'!C47</f>
        <v>8662</v>
      </c>
      <c r="C47" s="63" t="str">
        <f>'Revenue w MYP'!D47</f>
        <v>Increase/Decrease in Investment</v>
      </c>
      <c r="D47" s="62" t="str">
        <f>IF('Revenue w MYP'!$G47="","",IF('Cash Flow %s Yr3'!D50="","",'Cash Flow %s Yr3'!D50*'Revenue w MYP'!$G47))</f>
        <v/>
      </c>
      <c r="E47" s="62" t="str">
        <f>IF('Revenue w MYP'!$G47="","",IF('Cash Flow %s Yr3'!E50="","",'Cash Flow %s Yr3'!E50*'Revenue w MYP'!$G47))</f>
        <v/>
      </c>
      <c r="F47" s="62" t="str">
        <f>IF('Revenue w MYP'!$G47="","",IF('Cash Flow %s Yr3'!F50="","",'Cash Flow %s Yr3'!F50*'Revenue w MYP'!$G47))</f>
        <v/>
      </c>
      <c r="G47" s="62" t="str">
        <f>IF('Revenue w MYP'!$G47="","",IF('Cash Flow %s Yr3'!G50="","",'Cash Flow %s Yr3'!G50*'Revenue w MYP'!$G47))</f>
        <v/>
      </c>
      <c r="H47" s="62" t="str">
        <f>IF('Revenue w MYP'!$G47="","",IF('Cash Flow %s Yr3'!H50="","",'Cash Flow %s Yr3'!H50*'Revenue w MYP'!$G47))</f>
        <v/>
      </c>
      <c r="I47" s="62" t="str">
        <f>IF('Revenue w MYP'!$G47="","",IF('Cash Flow %s Yr3'!I50="","",'Cash Flow %s Yr3'!I50*'Revenue w MYP'!$G47))</f>
        <v/>
      </c>
      <c r="J47" s="62" t="str">
        <f>IF('Revenue w MYP'!$G47="","",IF('Cash Flow %s Yr3'!J50="","",'Cash Flow %s Yr3'!J50*'Revenue w MYP'!$G47))</f>
        <v/>
      </c>
      <c r="K47" s="62" t="str">
        <f>IF('Revenue w MYP'!$G47="","",IF('Cash Flow %s Yr3'!K50="","",'Cash Flow %s Yr3'!K50*'Revenue w MYP'!$G47))</f>
        <v/>
      </c>
      <c r="L47" s="62" t="str">
        <f>IF('Revenue w MYP'!$G47="","",IF('Cash Flow %s Yr3'!L50="","",'Cash Flow %s Yr3'!L50*'Revenue w MYP'!$G47))</f>
        <v/>
      </c>
      <c r="M47" s="62" t="str">
        <f>IF('Revenue w MYP'!$G47="","",IF('Cash Flow %s Yr3'!M50="","",'Cash Flow %s Yr3'!M50*'Revenue w MYP'!$G47))</f>
        <v/>
      </c>
      <c r="N47" s="62" t="str">
        <f>IF('Revenue w MYP'!$G47="","",IF('Cash Flow %s Yr3'!N50="","",'Cash Flow %s Yr3'!N50*'Revenue w MYP'!$G47))</f>
        <v/>
      </c>
      <c r="O47" s="62" t="str">
        <f>IF('Revenue w MYP'!$G47="","",IF('Cash Flow %s Yr3'!O50="","",'Cash Flow %s Yr3'!O50*'Revenue w MYP'!$G47))</f>
        <v/>
      </c>
      <c r="P47" s="62" t="str">
        <f>IF('Revenue w MYP'!$G47="","",IF('Cash Flow %s Yr3'!P50="","",'Cash Flow %s Yr3'!P50*'Revenue w MYP'!$G47))</f>
        <v/>
      </c>
      <c r="Q47" s="62" t="str">
        <f>IF('Revenue w MYP'!$G47="","",IF('Cash Flow %s Yr3'!Q50="","",'Cash Flow %s Yr3'!Q50*'Revenue w MYP'!$G47))</f>
        <v/>
      </c>
      <c r="R47" s="62" t="str">
        <f>IF('Revenue w MYP'!$G47="","",IF('Cash Flow %s Yr3'!R50="","",'Cash Flow %s Yr3'!R50*'Revenue w MYP'!$G47))</f>
        <v/>
      </c>
      <c r="S47" s="97" t="str">
        <f>IF(SUM(D47:R47)&gt;0,SUM(D47:R47)/'Revenue w MYP'!$G47,"")</f>
        <v/>
      </c>
    </row>
    <row r="48" spans="1:19" s="31" customFormat="1" ht="17.75" x14ac:dyDescent="0.75">
      <c r="A48" s="29"/>
      <c r="B48" s="69"/>
      <c r="C48" s="34" t="s">
        <v>719</v>
      </c>
      <c r="D48" s="167">
        <f t="shared" ref="D48:R48" si="2">SUM(D36:D47)</f>
        <v>8.3000000000000007</v>
      </c>
      <c r="E48" s="167">
        <f t="shared" si="2"/>
        <v>8.3000000000000007</v>
      </c>
      <c r="F48" s="167">
        <f t="shared" si="2"/>
        <v>67327.287613695997</v>
      </c>
      <c r="G48" s="167">
        <f t="shared" si="2"/>
        <v>67327.287613695997</v>
      </c>
      <c r="H48" s="167">
        <f t="shared" si="2"/>
        <v>67327.287613695997</v>
      </c>
      <c r="I48" s="167">
        <f t="shared" si="2"/>
        <v>67327.287613695997</v>
      </c>
      <c r="J48" s="167">
        <f t="shared" si="2"/>
        <v>67327.287613695997</v>
      </c>
      <c r="K48" s="167">
        <f t="shared" si="2"/>
        <v>67327.287613695997</v>
      </c>
      <c r="L48" s="167">
        <f t="shared" si="2"/>
        <v>67327.387613696003</v>
      </c>
      <c r="M48" s="167">
        <f t="shared" si="2"/>
        <v>67327.387613696003</v>
      </c>
      <c r="N48" s="167">
        <f t="shared" si="2"/>
        <v>67327.387613696003</v>
      </c>
      <c r="O48" s="167">
        <f t="shared" si="2"/>
        <v>67327.387613696003</v>
      </c>
      <c r="P48" s="167">
        <f t="shared" si="2"/>
        <v>0</v>
      </c>
      <c r="Q48" s="167">
        <f t="shared" si="2"/>
        <v>0</v>
      </c>
      <c r="R48" s="167">
        <f t="shared" si="2"/>
        <v>0</v>
      </c>
      <c r="S48" s="94"/>
    </row>
    <row r="49" spans="1:19" s="31" customFormat="1" ht="17.75" x14ac:dyDescent="0.75">
      <c r="A49" s="29"/>
      <c r="B49" s="47" t="s">
        <v>675</v>
      </c>
      <c r="C49" s="48"/>
      <c r="D49" s="168" t="e">
        <f t="shared" ref="D49:R49" si="3">SUM(D48,D33,D22)</f>
        <v>#VALUE!</v>
      </c>
      <c r="E49" s="168" t="e">
        <f t="shared" si="3"/>
        <v>#VALUE!</v>
      </c>
      <c r="F49" s="168" t="e">
        <f t="shared" si="3"/>
        <v>#VALUE!</v>
      </c>
      <c r="G49" s="168" t="e">
        <f t="shared" si="3"/>
        <v>#VALUE!</v>
      </c>
      <c r="H49" s="168" t="e">
        <f t="shared" si="3"/>
        <v>#VALUE!</v>
      </c>
      <c r="I49" s="168" t="e">
        <f t="shared" si="3"/>
        <v>#VALUE!</v>
      </c>
      <c r="J49" s="168" t="e">
        <f t="shared" si="3"/>
        <v>#VALUE!</v>
      </c>
      <c r="K49" s="168" t="e">
        <f t="shared" si="3"/>
        <v>#VALUE!</v>
      </c>
      <c r="L49" s="168" t="e">
        <f t="shared" si="3"/>
        <v>#VALUE!</v>
      </c>
      <c r="M49" s="168" t="e">
        <f t="shared" si="3"/>
        <v>#VALUE!</v>
      </c>
      <c r="N49" s="168" t="e">
        <f t="shared" si="3"/>
        <v>#VALUE!</v>
      </c>
      <c r="O49" s="168" t="e">
        <f t="shared" si="3"/>
        <v>#VALUE!</v>
      </c>
      <c r="P49" s="168" t="e">
        <f t="shared" si="3"/>
        <v>#VALUE!</v>
      </c>
      <c r="Q49" s="168">
        <f t="shared" si="3"/>
        <v>0</v>
      </c>
      <c r="R49" s="168">
        <f t="shared" si="3"/>
        <v>0</v>
      </c>
      <c r="S49" s="94"/>
    </row>
    <row r="50" spans="1:19" s="31" customFormat="1" ht="17.75" x14ac:dyDescent="0.75">
      <c r="A50" s="29"/>
      <c r="B50" s="69"/>
      <c r="C50" s="48"/>
      <c r="D50" s="111"/>
      <c r="E50" s="111"/>
      <c r="F50" s="111"/>
      <c r="G50" s="111"/>
      <c r="H50" s="111"/>
      <c r="I50" s="111"/>
      <c r="J50" s="111"/>
      <c r="K50" s="111"/>
      <c r="L50" s="111"/>
      <c r="M50" s="111"/>
      <c r="N50" s="111"/>
      <c r="O50" s="111"/>
      <c r="P50" s="111"/>
      <c r="Q50" s="111"/>
      <c r="R50" s="111"/>
    </row>
    <row r="51" spans="1:19" s="31" customFormat="1" ht="17.75" x14ac:dyDescent="0.75">
      <c r="A51" s="29" t="s">
        <v>796</v>
      </c>
      <c r="B51" s="70"/>
      <c r="C51" s="34"/>
      <c r="D51" s="112"/>
      <c r="E51" s="112"/>
      <c r="F51" s="112"/>
      <c r="G51" s="112"/>
      <c r="H51" s="112"/>
      <c r="I51" s="112"/>
      <c r="J51" s="112"/>
      <c r="K51" s="112"/>
      <c r="L51" s="112"/>
      <c r="M51" s="112"/>
      <c r="N51" s="112"/>
      <c r="O51" s="112"/>
      <c r="P51" s="112"/>
      <c r="Q51" s="112"/>
      <c r="R51" s="112"/>
    </row>
    <row r="52" spans="1:19" x14ac:dyDescent="0.75">
      <c r="A52" s="1"/>
      <c r="B52" s="34" t="s">
        <v>731</v>
      </c>
      <c r="C52" s="2"/>
      <c r="D52" s="94"/>
      <c r="E52" s="94"/>
      <c r="F52" s="94"/>
      <c r="G52" s="94"/>
      <c r="H52" s="94"/>
      <c r="I52" s="94"/>
      <c r="J52" s="94"/>
      <c r="K52" s="94"/>
      <c r="L52" s="94"/>
      <c r="M52" s="94"/>
      <c r="N52" s="94"/>
      <c r="O52" s="94"/>
      <c r="P52" s="94"/>
      <c r="Q52" s="94"/>
      <c r="R52" s="94"/>
    </row>
    <row r="53" spans="1:19" x14ac:dyDescent="0.75">
      <c r="A53" s="35"/>
      <c r="B53" s="65" t="str">
        <f>'Expenses w MYP'!C8</f>
        <v>1100</v>
      </c>
      <c r="C53" s="65" t="str">
        <f>'Expenses w MYP'!D8</f>
        <v>Teachers' Salaries</v>
      </c>
      <c r="D53" s="62">
        <f ca="1">IF('Expenses w MYP'!$G8="","",IF('Cash Flow %s Yr3'!D53="","",'Cash Flow %s Yr3'!D53*'Expenses w MYP'!$G8))</f>
        <v>0</v>
      </c>
      <c r="E53" s="62">
        <f ca="1">IF('Expenses w MYP'!$G8="","",IF('Cash Flow %s Yr3'!E53="","",'Cash Flow %s Yr3'!E53*'Expenses w MYP'!$G8))</f>
        <v>0</v>
      </c>
      <c r="F53" s="62">
        <f ca="1">IF('Expenses w MYP'!$G8="","",IF('Cash Flow %s Yr3'!F53="","",'Cash Flow %s Yr3'!F53*'Expenses w MYP'!$G8))</f>
        <v>271496.29578543821</v>
      </c>
      <c r="G53" s="62">
        <f ca="1">IF('Expenses w MYP'!$G8="","",IF('Cash Flow %s Yr3'!G53="","",'Cash Flow %s Yr3'!G53*'Expenses w MYP'!$G8))</f>
        <v>271496.29578543821</v>
      </c>
      <c r="H53" s="62">
        <f ca="1">IF('Expenses w MYP'!$G8="","",IF('Cash Flow %s Yr3'!H53="","",'Cash Flow %s Yr3'!H53*'Expenses w MYP'!$G8))</f>
        <v>271496.29578543821</v>
      </c>
      <c r="I53" s="62">
        <f ca="1">IF('Expenses w MYP'!$G8="","",IF('Cash Flow %s Yr3'!I53="","",'Cash Flow %s Yr3'!I53*'Expenses w MYP'!$G8))</f>
        <v>271496.29578543821</v>
      </c>
      <c r="J53" s="62">
        <f ca="1">IF('Expenses w MYP'!$G8="","",IF('Cash Flow %s Yr3'!J53="","",'Cash Flow %s Yr3'!J53*'Expenses w MYP'!$G8))</f>
        <v>271496.29578543821</v>
      </c>
      <c r="K53" s="62">
        <f ca="1">IF('Expenses w MYP'!$G8="","",IF('Cash Flow %s Yr3'!K53="","",'Cash Flow %s Yr3'!K53*'Expenses w MYP'!$G8))</f>
        <v>271496.29578543821</v>
      </c>
      <c r="L53" s="62">
        <f ca="1">IF('Expenses w MYP'!$G8="","",IF('Cash Flow %s Yr3'!L53="","",'Cash Flow %s Yr3'!L53*'Expenses w MYP'!$G8))</f>
        <v>271496.29578543821</v>
      </c>
      <c r="M53" s="62">
        <f ca="1">IF('Expenses w MYP'!$G8="","",IF('Cash Flow %s Yr3'!M53="","",'Cash Flow %s Yr3'!M53*'Expenses w MYP'!$G8))</f>
        <v>271496.29578543821</v>
      </c>
      <c r="N53" s="62">
        <f ca="1">IF('Expenses w MYP'!$G8="","",IF('Cash Flow %s Yr3'!N53="","",'Cash Flow %s Yr3'!N53*'Expenses w MYP'!$G8))</f>
        <v>271496.29578543821</v>
      </c>
      <c r="O53" s="62">
        <f ca="1">IF('Expenses w MYP'!$G8="","",IF('Cash Flow %s Yr3'!O53="","",'Cash Flow %s Yr3'!O53*'Expenses w MYP'!$G8))</f>
        <v>271496.29578543821</v>
      </c>
      <c r="P53" s="113"/>
      <c r="Q53" s="113"/>
      <c r="R53" s="113"/>
      <c r="S53" s="97">
        <f ca="1">IF(SUM(D53:R53)&gt;0,SUM(D53:R53)/'Expenses w MYP'!$G8,"")</f>
        <v>1.0000000000000002</v>
      </c>
    </row>
    <row r="54" spans="1:19" x14ac:dyDescent="0.75">
      <c r="A54" s="35"/>
      <c r="B54" s="65" t="str">
        <f>'Expenses w MYP'!C9</f>
        <v>1105</v>
      </c>
      <c r="C54" s="65" t="str">
        <f>'Expenses w MYP'!D9</f>
        <v>Teachers' Stipends / Bonus</v>
      </c>
      <c r="D54" s="62">
        <f ca="1">IF('Expenses w MYP'!$G9="","",IF('Cash Flow %s Yr3'!D54="","",'Cash Flow %s Yr3'!D54*'Expenses w MYP'!$G9))</f>
        <v>0</v>
      </c>
      <c r="E54" s="62">
        <f ca="1">IF('Expenses w MYP'!$G9="","",IF('Cash Flow %s Yr3'!E54="","",'Cash Flow %s Yr3'!E54*'Expenses w MYP'!$G9))</f>
        <v>0</v>
      </c>
      <c r="F54" s="62">
        <f ca="1">IF('Expenses w MYP'!$G9="","",IF('Cash Flow %s Yr3'!F54="","",'Cash Flow %s Yr3'!F54*'Expenses w MYP'!$G9))</f>
        <v>0</v>
      </c>
      <c r="G54" s="62">
        <f ca="1">IF('Expenses w MYP'!$G9="","",IF('Cash Flow %s Yr3'!G54="","",'Cash Flow %s Yr3'!G54*'Expenses w MYP'!$G9))</f>
        <v>0</v>
      </c>
      <c r="H54" s="62">
        <f ca="1">IF('Expenses w MYP'!$G9="","",IF('Cash Flow %s Yr3'!H54="","",'Cash Flow %s Yr3'!H54*'Expenses w MYP'!$G9))</f>
        <v>0</v>
      </c>
      <c r="I54" s="62">
        <f ca="1">IF('Expenses w MYP'!$G9="","",IF('Cash Flow %s Yr3'!I54="","",'Cash Flow %s Yr3'!I54*'Expenses w MYP'!$G9))</f>
        <v>0</v>
      </c>
      <c r="J54" s="62">
        <f ca="1">IF('Expenses w MYP'!$G9="","",IF('Cash Flow %s Yr3'!J54="","",'Cash Flow %s Yr3'!J54*'Expenses w MYP'!$G9))</f>
        <v>0</v>
      </c>
      <c r="K54" s="62">
        <f ca="1">IF('Expenses w MYP'!$G9="","",IF('Cash Flow %s Yr3'!K54="","",'Cash Flow %s Yr3'!K54*'Expenses w MYP'!$G9))</f>
        <v>0</v>
      </c>
      <c r="L54" s="62">
        <f ca="1">IF('Expenses w MYP'!$G9="","",IF('Cash Flow %s Yr3'!L54="","",'Cash Flow %s Yr3'!L54*'Expenses w MYP'!$G9))</f>
        <v>0</v>
      </c>
      <c r="M54" s="62">
        <f ca="1">IF('Expenses w MYP'!$G9="","",IF('Cash Flow %s Yr3'!M54="","",'Cash Flow %s Yr3'!M54*'Expenses w MYP'!$G9))</f>
        <v>0</v>
      </c>
      <c r="N54" s="62">
        <f ca="1">IF('Expenses w MYP'!$G9="","",IF('Cash Flow %s Yr3'!N54="","",'Cash Flow %s Yr3'!N54*'Expenses w MYP'!$G9))</f>
        <v>0</v>
      </c>
      <c r="O54" s="62">
        <f ca="1">IF('Expenses w MYP'!$G9="","",IF('Cash Flow %s Yr3'!O54="","",'Cash Flow %s Yr3'!O54*'Expenses w MYP'!$G9))</f>
        <v>0</v>
      </c>
      <c r="P54" s="113"/>
      <c r="Q54" s="113"/>
      <c r="R54" s="113"/>
      <c r="S54" s="97" t="str">
        <f ca="1">IF(SUM(D54:R54)&gt;0,SUM(D54:R54)/'Expenses w MYP'!$G9,"")</f>
        <v/>
      </c>
    </row>
    <row r="55" spans="1:19" x14ac:dyDescent="0.75">
      <c r="A55" s="35"/>
      <c r="B55" s="65" t="str">
        <f>'Expenses w MYP'!C10</f>
        <v>1120</v>
      </c>
      <c r="C55" s="65" t="str">
        <f>'Expenses w MYP'!D10</f>
        <v>Substitute Expense</v>
      </c>
      <c r="D55" s="62">
        <f ca="1">IF('Expenses w MYP'!$G10="","",IF('Cash Flow %s Yr3'!D55="","",'Cash Flow %s Yr3'!D55*'Expenses w MYP'!$G10))</f>
        <v>0</v>
      </c>
      <c r="E55" s="62">
        <f ca="1">IF('Expenses w MYP'!$G10="","",IF('Cash Flow %s Yr3'!E55="","",'Cash Flow %s Yr3'!E55*'Expenses w MYP'!$G10))</f>
        <v>0</v>
      </c>
      <c r="F55" s="62">
        <f ca="1">IF('Expenses w MYP'!$G10="","",IF('Cash Flow %s Yr3'!F55="","",'Cash Flow %s Yr3'!F55*'Expenses w MYP'!$G10))</f>
        <v>0</v>
      </c>
      <c r="G55" s="62">
        <f ca="1">IF('Expenses w MYP'!$G10="","",IF('Cash Flow %s Yr3'!G55="","",'Cash Flow %s Yr3'!G55*'Expenses w MYP'!$G10))</f>
        <v>0</v>
      </c>
      <c r="H55" s="62">
        <f ca="1">IF('Expenses w MYP'!$G10="","",IF('Cash Flow %s Yr3'!H55="","",'Cash Flow %s Yr3'!H55*'Expenses w MYP'!$G10))</f>
        <v>0</v>
      </c>
      <c r="I55" s="62">
        <f ca="1">IF('Expenses w MYP'!$G10="","",IF('Cash Flow %s Yr3'!I55="","",'Cash Flow %s Yr3'!I55*'Expenses w MYP'!$G10))</f>
        <v>0</v>
      </c>
      <c r="J55" s="62">
        <f ca="1">IF('Expenses w MYP'!$G10="","",IF('Cash Flow %s Yr3'!J55="","",'Cash Flow %s Yr3'!J55*'Expenses w MYP'!$G10))</f>
        <v>0</v>
      </c>
      <c r="K55" s="62">
        <f ca="1">IF('Expenses w MYP'!$G10="","",IF('Cash Flow %s Yr3'!K55="","",'Cash Flow %s Yr3'!K55*'Expenses w MYP'!$G10))</f>
        <v>0</v>
      </c>
      <c r="L55" s="62">
        <f ca="1">IF('Expenses w MYP'!$G10="","",IF('Cash Flow %s Yr3'!L55="","",'Cash Flow %s Yr3'!L55*'Expenses w MYP'!$G10))</f>
        <v>0</v>
      </c>
      <c r="M55" s="62">
        <f ca="1">IF('Expenses w MYP'!$G10="","",IF('Cash Flow %s Yr3'!M55="","",'Cash Flow %s Yr3'!M55*'Expenses w MYP'!$G10))</f>
        <v>0</v>
      </c>
      <c r="N55" s="62">
        <f ca="1">IF('Expenses w MYP'!$G10="","",IF('Cash Flow %s Yr3'!N55="","",'Cash Flow %s Yr3'!N55*'Expenses w MYP'!$G10))</f>
        <v>0</v>
      </c>
      <c r="O55" s="62">
        <f ca="1">IF('Expenses w MYP'!$G10="","",IF('Cash Flow %s Yr3'!O55="","",'Cash Flow %s Yr3'!O55*'Expenses w MYP'!$G10))</f>
        <v>0</v>
      </c>
      <c r="P55" s="113"/>
      <c r="Q55" s="113"/>
      <c r="R55" s="113"/>
      <c r="S55" s="97" t="str">
        <f ca="1">IF(SUM(D55:R55)&gt;0,SUM(D55:R55)/'Expenses w MYP'!$G10,"")</f>
        <v/>
      </c>
    </row>
    <row r="56" spans="1:19" x14ac:dyDescent="0.75">
      <c r="A56" s="35"/>
      <c r="B56" s="65" t="str">
        <f>'Expenses w MYP'!C11</f>
        <v>1200</v>
      </c>
      <c r="C56" s="65" t="str">
        <f>'Expenses w MYP'!D11</f>
        <v>Certificated Pupil Support Salaries</v>
      </c>
      <c r="D56" s="62">
        <f ca="1">IF('Expenses w MYP'!$G11="","",IF('Cash Flow %s Yr3'!D56="","",'Cash Flow %s Yr3'!D56*'Expenses w MYP'!$G11))</f>
        <v>0</v>
      </c>
      <c r="E56" s="62">
        <f ca="1">IF('Expenses w MYP'!$G11="","",IF('Cash Flow %s Yr3'!E56="","",'Cash Flow %s Yr3'!E56*'Expenses w MYP'!$G11))</f>
        <v>0</v>
      </c>
      <c r="F56" s="62">
        <f ca="1">IF('Expenses w MYP'!$G11="","",IF('Cash Flow %s Yr3'!F56="","",'Cash Flow %s Yr3'!F56*'Expenses w MYP'!$G11))</f>
        <v>29729.627073651704</v>
      </c>
      <c r="G56" s="62">
        <f ca="1">IF('Expenses w MYP'!$G11="","",IF('Cash Flow %s Yr3'!G56="","",'Cash Flow %s Yr3'!G56*'Expenses w MYP'!$G11))</f>
        <v>29729.627073651704</v>
      </c>
      <c r="H56" s="62">
        <f ca="1">IF('Expenses w MYP'!$G11="","",IF('Cash Flow %s Yr3'!H56="","",'Cash Flow %s Yr3'!H56*'Expenses w MYP'!$G11))</f>
        <v>29729.627073651704</v>
      </c>
      <c r="I56" s="62">
        <f ca="1">IF('Expenses w MYP'!$G11="","",IF('Cash Flow %s Yr3'!I56="","",'Cash Flow %s Yr3'!I56*'Expenses w MYP'!$G11))</f>
        <v>29729.627073651704</v>
      </c>
      <c r="J56" s="62">
        <f ca="1">IF('Expenses w MYP'!$G11="","",IF('Cash Flow %s Yr3'!J56="","",'Cash Flow %s Yr3'!J56*'Expenses w MYP'!$G11))</f>
        <v>29729.627073651704</v>
      </c>
      <c r="K56" s="62">
        <f ca="1">IF('Expenses w MYP'!$G11="","",IF('Cash Flow %s Yr3'!K56="","",'Cash Flow %s Yr3'!K56*'Expenses w MYP'!$G11))</f>
        <v>29729.627073651704</v>
      </c>
      <c r="L56" s="62">
        <f ca="1">IF('Expenses w MYP'!$G11="","",IF('Cash Flow %s Yr3'!L56="","",'Cash Flow %s Yr3'!L56*'Expenses w MYP'!$G11))</f>
        <v>29729.627073651704</v>
      </c>
      <c r="M56" s="62">
        <f ca="1">IF('Expenses w MYP'!$G11="","",IF('Cash Flow %s Yr3'!M56="","",'Cash Flow %s Yr3'!M56*'Expenses w MYP'!$G11))</f>
        <v>29729.627073651704</v>
      </c>
      <c r="N56" s="62">
        <f ca="1">IF('Expenses w MYP'!$G11="","",IF('Cash Flow %s Yr3'!N56="","",'Cash Flow %s Yr3'!N56*'Expenses w MYP'!$G11))</f>
        <v>29729.627073651704</v>
      </c>
      <c r="O56" s="62">
        <f ca="1">IF('Expenses w MYP'!$G11="","",IF('Cash Flow %s Yr3'!O56="","",'Cash Flow %s Yr3'!O56*'Expenses w MYP'!$G11))</f>
        <v>29729.627073651704</v>
      </c>
      <c r="P56" s="113"/>
      <c r="Q56" s="113"/>
      <c r="R56" s="113"/>
      <c r="S56" s="97">
        <f ca="1">IF(SUM(D56:R56)&gt;0,SUM(D56:R56)/'Expenses w MYP'!$G11,"")</f>
        <v>1</v>
      </c>
    </row>
    <row r="57" spans="1:19" x14ac:dyDescent="0.75">
      <c r="A57" s="35"/>
      <c r="B57" s="65" t="str">
        <f>'Expenses w MYP'!C12</f>
        <v>1300</v>
      </c>
      <c r="C57" s="65" t="str">
        <f>'Expenses w MYP'!D12</f>
        <v>Certificated Supervisor and Administrator Salaries</v>
      </c>
      <c r="D57" s="62">
        <f ca="1">IF('Expenses w MYP'!$G12="","",IF('Cash Flow %s Yr3'!D57="","",'Cash Flow %s Yr3'!D57*'Expenses w MYP'!$G12))</f>
        <v>41691.816137055132</v>
      </c>
      <c r="E57" s="62">
        <f ca="1">IF('Expenses w MYP'!$G12="","",IF('Cash Flow %s Yr3'!E57="","",'Cash Flow %s Yr3'!E57*'Expenses w MYP'!$G12))</f>
        <v>41691.816137055132</v>
      </c>
      <c r="F57" s="62">
        <f ca="1">IF('Expenses w MYP'!$G12="","",IF('Cash Flow %s Yr3'!F57="","",'Cash Flow %s Yr3'!F57*'Expenses w MYP'!$G12))</f>
        <v>41691.816137055132</v>
      </c>
      <c r="G57" s="62">
        <f ca="1">IF('Expenses w MYP'!$G12="","",IF('Cash Flow %s Yr3'!G57="","",'Cash Flow %s Yr3'!G57*'Expenses w MYP'!$G12))</f>
        <v>41691.816137055132</v>
      </c>
      <c r="H57" s="62">
        <f ca="1">IF('Expenses w MYP'!$G12="","",IF('Cash Flow %s Yr3'!H57="","",'Cash Flow %s Yr3'!H57*'Expenses w MYP'!$G12))</f>
        <v>41691.816137055132</v>
      </c>
      <c r="I57" s="62">
        <f ca="1">IF('Expenses w MYP'!$G12="","",IF('Cash Flow %s Yr3'!I57="","",'Cash Flow %s Yr3'!I57*'Expenses w MYP'!$G12))</f>
        <v>41691.816137055132</v>
      </c>
      <c r="J57" s="62">
        <f ca="1">IF('Expenses w MYP'!$G12="","",IF('Cash Flow %s Yr3'!J57="","",'Cash Flow %s Yr3'!J57*'Expenses w MYP'!$G12))</f>
        <v>41691.816137055132</v>
      </c>
      <c r="K57" s="62">
        <f ca="1">IF('Expenses w MYP'!$G12="","",IF('Cash Flow %s Yr3'!K57="","",'Cash Flow %s Yr3'!K57*'Expenses w MYP'!$G12))</f>
        <v>41691.816137055132</v>
      </c>
      <c r="L57" s="62">
        <f ca="1">IF('Expenses w MYP'!$G12="","",IF('Cash Flow %s Yr3'!L57="","",'Cash Flow %s Yr3'!L57*'Expenses w MYP'!$G12))</f>
        <v>42194.127174850975</v>
      </c>
      <c r="M57" s="62">
        <f ca="1">IF('Expenses w MYP'!$G12="","",IF('Cash Flow %s Yr3'!M57="","",'Cash Flow %s Yr3'!M57*'Expenses w MYP'!$G12))</f>
        <v>42194.127174850975</v>
      </c>
      <c r="N57" s="62">
        <f ca="1">IF('Expenses w MYP'!$G12="","",IF('Cash Flow %s Yr3'!N57="","",'Cash Flow %s Yr3'!N57*'Expenses w MYP'!$G12))</f>
        <v>42194.127174850975</v>
      </c>
      <c r="O57" s="62">
        <f ca="1">IF('Expenses w MYP'!$G12="","",IF('Cash Flow %s Yr3'!O57="","",'Cash Flow %s Yr3'!O57*'Expenses w MYP'!$G12))</f>
        <v>42194.127174850975</v>
      </c>
      <c r="P57" s="113"/>
      <c r="Q57" s="113"/>
      <c r="R57" s="113"/>
      <c r="S57" s="97">
        <f ca="1">IF(SUM(D57:R57)&gt;0,SUM(D57:R57)/'Expenses w MYP'!$G12,"")</f>
        <v>1</v>
      </c>
    </row>
    <row r="58" spans="1:19" x14ac:dyDescent="0.75">
      <c r="A58" s="35"/>
      <c r="B58" s="65" t="str">
        <f>'Expenses w MYP'!C13</f>
        <v>1305</v>
      </c>
      <c r="C58" s="65" t="str">
        <f>'Expenses w MYP'!D13</f>
        <v>Certificated Sup. and Admin. Stipends / Bonus</v>
      </c>
      <c r="D58" s="62">
        <f ca="1">IF('Expenses w MYP'!$G13="","",IF('Cash Flow %s Yr3'!D58="","",'Cash Flow %s Yr3'!D58*'Expenses w MYP'!$G13))</f>
        <v>0</v>
      </c>
      <c r="E58" s="62">
        <f ca="1">IF('Expenses w MYP'!$G13="","",IF('Cash Flow %s Yr3'!E58="","",'Cash Flow %s Yr3'!E58*'Expenses w MYP'!$G13))</f>
        <v>0</v>
      </c>
      <c r="F58" s="62">
        <f ca="1">IF('Expenses w MYP'!$G13="","",IF('Cash Flow %s Yr3'!F58="","",'Cash Flow %s Yr3'!F58*'Expenses w MYP'!$G13))</f>
        <v>0</v>
      </c>
      <c r="G58" s="62">
        <f ca="1">IF('Expenses w MYP'!$G13="","",IF('Cash Flow %s Yr3'!G58="","",'Cash Flow %s Yr3'!G58*'Expenses w MYP'!$G13))</f>
        <v>0</v>
      </c>
      <c r="H58" s="62">
        <f ca="1">IF('Expenses w MYP'!$G13="","",IF('Cash Flow %s Yr3'!H58="","",'Cash Flow %s Yr3'!H58*'Expenses w MYP'!$G13))</f>
        <v>0</v>
      </c>
      <c r="I58" s="62">
        <f ca="1">IF('Expenses w MYP'!$G13="","",IF('Cash Flow %s Yr3'!I58="","",'Cash Flow %s Yr3'!I58*'Expenses w MYP'!$G13))</f>
        <v>0</v>
      </c>
      <c r="J58" s="62">
        <f ca="1">IF('Expenses w MYP'!$G13="","",IF('Cash Flow %s Yr3'!J58="","",'Cash Flow %s Yr3'!J58*'Expenses w MYP'!$G13))</f>
        <v>0</v>
      </c>
      <c r="K58" s="62">
        <f ca="1">IF('Expenses w MYP'!$G13="","",IF('Cash Flow %s Yr3'!K58="","",'Cash Flow %s Yr3'!K58*'Expenses w MYP'!$G13))</f>
        <v>0</v>
      </c>
      <c r="L58" s="62">
        <f ca="1">IF('Expenses w MYP'!$G13="","",IF('Cash Flow %s Yr3'!L58="","",'Cash Flow %s Yr3'!L58*'Expenses w MYP'!$G13))</f>
        <v>0</v>
      </c>
      <c r="M58" s="62">
        <f ca="1">IF('Expenses w MYP'!$G13="","",IF('Cash Flow %s Yr3'!M58="","",'Cash Flow %s Yr3'!M58*'Expenses w MYP'!$G13))</f>
        <v>0</v>
      </c>
      <c r="N58" s="62">
        <f ca="1">IF('Expenses w MYP'!$G13="","",IF('Cash Flow %s Yr3'!N58="","",'Cash Flow %s Yr3'!N58*'Expenses w MYP'!$G13))</f>
        <v>0</v>
      </c>
      <c r="O58" s="62">
        <f ca="1">IF('Expenses w MYP'!$G13="","",IF('Cash Flow %s Yr3'!O58="","",'Cash Flow %s Yr3'!O58*'Expenses w MYP'!$G13))</f>
        <v>0</v>
      </c>
      <c r="P58" s="113"/>
      <c r="Q58" s="113"/>
      <c r="R58" s="113"/>
      <c r="S58" s="97" t="str">
        <f ca="1">IF(SUM(D58:R58)&gt;0,SUM(D58:R58)/'Expenses w MYP'!$G13,"")</f>
        <v/>
      </c>
    </row>
    <row r="59" spans="1:19" x14ac:dyDescent="0.75">
      <c r="A59" s="35"/>
      <c r="B59" s="65" t="str">
        <f>'Expenses w MYP'!C14</f>
        <v>1900</v>
      </c>
      <c r="C59" s="65" t="str">
        <f>'Expenses w MYP'!D14</f>
        <v>Other Certificated Salaries</v>
      </c>
      <c r="D59" s="62">
        <f ca="1">IF('Expenses w MYP'!$G14="","",IF('Cash Flow %s Yr3'!D59="","",'Cash Flow %s Yr3'!D59*'Expenses w MYP'!$G14))</f>
        <v>0</v>
      </c>
      <c r="E59" s="62">
        <f ca="1">IF('Expenses w MYP'!$G14="","",IF('Cash Flow %s Yr3'!E59="","",'Cash Flow %s Yr3'!E59*'Expenses w MYP'!$G14))</f>
        <v>0</v>
      </c>
      <c r="F59" s="62">
        <f ca="1">IF('Expenses w MYP'!$G14="","",IF('Cash Flow %s Yr3'!F59="","",'Cash Flow %s Yr3'!F59*'Expenses w MYP'!$G14))</f>
        <v>0</v>
      </c>
      <c r="G59" s="62">
        <f ca="1">IF('Expenses w MYP'!$G14="","",IF('Cash Flow %s Yr3'!G59="","",'Cash Flow %s Yr3'!G59*'Expenses w MYP'!$G14))</f>
        <v>0</v>
      </c>
      <c r="H59" s="62">
        <f ca="1">IF('Expenses w MYP'!$G14="","",IF('Cash Flow %s Yr3'!H59="","",'Cash Flow %s Yr3'!H59*'Expenses w MYP'!$G14))</f>
        <v>0</v>
      </c>
      <c r="I59" s="62">
        <f ca="1">IF('Expenses w MYP'!$G14="","",IF('Cash Flow %s Yr3'!I59="","",'Cash Flow %s Yr3'!I59*'Expenses w MYP'!$G14))</f>
        <v>0</v>
      </c>
      <c r="J59" s="62">
        <f ca="1">IF('Expenses w MYP'!$G14="","",IF('Cash Flow %s Yr3'!J59="","",'Cash Flow %s Yr3'!J59*'Expenses w MYP'!$G14))</f>
        <v>0</v>
      </c>
      <c r="K59" s="62">
        <f ca="1">IF('Expenses w MYP'!$G14="","",IF('Cash Flow %s Yr3'!K59="","",'Cash Flow %s Yr3'!K59*'Expenses w MYP'!$G14))</f>
        <v>0</v>
      </c>
      <c r="L59" s="62">
        <f ca="1">IF('Expenses w MYP'!$G14="","",IF('Cash Flow %s Yr3'!L59="","",'Cash Flow %s Yr3'!L59*'Expenses w MYP'!$G14))</f>
        <v>0</v>
      </c>
      <c r="M59" s="62">
        <f ca="1">IF('Expenses w MYP'!$G14="","",IF('Cash Flow %s Yr3'!M59="","",'Cash Flow %s Yr3'!M59*'Expenses w MYP'!$G14))</f>
        <v>0</v>
      </c>
      <c r="N59" s="62">
        <f ca="1">IF('Expenses w MYP'!$G14="","",IF('Cash Flow %s Yr3'!N59="","",'Cash Flow %s Yr3'!N59*'Expenses w MYP'!$G14))</f>
        <v>0</v>
      </c>
      <c r="O59" s="62">
        <f ca="1">IF('Expenses w MYP'!$G14="","",IF('Cash Flow %s Yr3'!O59="","",'Cash Flow %s Yr3'!O59*'Expenses w MYP'!$G14))</f>
        <v>0</v>
      </c>
      <c r="P59" s="113"/>
      <c r="Q59" s="113"/>
      <c r="R59" s="113"/>
      <c r="S59" s="97" t="str">
        <f ca="1">IF(SUM(D59:R59)&gt;0,SUM(D59:R59)/'Expenses w MYP'!$G14,"")</f>
        <v/>
      </c>
    </row>
    <row r="60" spans="1:19" x14ac:dyDescent="0.75">
      <c r="A60" s="35"/>
      <c r="B60" s="65" t="str">
        <f>'Expenses w MYP'!C15</f>
        <v>1910</v>
      </c>
      <c r="C60" s="65" t="str">
        <f>'Expenses w MYP'!D15</f>
        <v>Other Certificated Overtime</v>
      </c>
      <c r="D60" s="62">
        <f ca="1">IF('Expenses w MYP'!$G15="","",IF('Cash Flow %s Yr3'!D60="","",'Cash Flow %s Yr3'!D60*'Expenses w MYP'!$G15))</f>
        <v>0</v>
      </c>
      <c r="E60" s="62">
        <f ca="1">IF('Expenses w MYP'!$G15="","",IF('Cash Flow %s Yr3'!E60="","",'Cash Flow %s Yr3'!E60*'Expenses w MYP'!$G15))</f>
        <v>0</v>
      </c>
      <c r="F60" s="62">
        <f ca="1">IF('Expenses w MYP'!$G15="","",IF('Cash Flow %s Yr3'!F60="","",'Cash Flow %s Yr3'!F60*'Expenses w MYP'!$G15))</f>
        <v>0</v>
      </c>
      <c r="G60" s="62">
        <f ca="1">IF('Expenses w MYP'!$G15="","",IF('Cash Flow %s Yr3'!G60="","",'Cash Flow %s Yr3'!G60*'Expenses w MYP'!$G15))</f>
        <v>0</v>
      </c>
      <c r="H60" s="62">
        <f ca="1">IF('Expenses w MYP'!$G15="","",IF('Cash Flow %s Yr3'!H60="","",'Cash Flow %s Yr3'!H60*'Expenses w MYP'!$G15))</f>
        <v>0</v>
      </c>
      <c r="I60" s="62">
        <f ca="1">IF('Expenses w MYP'!$G15="","",IF('Cash Flow %s Yr3'!I60="","",'Cash Flow %s Yr3'!I60*'Expenses w MYP'!$G15))</f>
        <v>0</v>
      </c>
      <c r="J60" s="62">
        <f ca="1">IF('Expenses w MYP'!$G15="","",IF('Cash Flow %s Yr3'!J60="","",'Cash Flow %s Yr3'!J60*'Expenses w MYP'!$G15))</f>
        <v>0</v>
      </c>
      <c r="K60" s="62">
        <f ca="1">IF('Expenses w MYP'!$G15="","",IF('Cash Flow %s Yr3'!K60="","",'Cash Flow %s Yr3'!K60*'Expenses w MYP'!$G15))</f>
        <v>0</v>
      </c>
      <c r="L60" s="62">
        <f ca="1">IF('Expenses w MYP'!$G15="","",IF('Cash Flow %s Yr3'!L60="","",'Cash Flow %s Yr3'!L60*'Expenses w MYP'!$G15))</f>
        <v>0</v>
      </c>
      <c r="M60" s="62">
        <f ca="1">IF('Expenses w MYP'!$G15="","",IF('Cash Flow %s Yr3'!M60="","",'Cash Flow %s Yr3'!M60*'Expenses w MYP'!$G15))</f>
        <v>0</v>
      </c>
      <c r="N60" s="62">
        <f ca="1">IF('Expenses w MYP'!$G15="","",IF('Cash Flow %s Yr3'!N60="","",'Cash Flow %s Yr3'!N60*'Expenses w MYP'!$G15))</f>
        <v>0</v>
      </c>
      <c r="O60" s="62">
        <f ca="1">IF('Expenses w MYP'!$G15="","",IF('Cash Flow %s Yr3'!O60="","",'Cash Flow %s Yr3'!O60*'Expenses w MYP'!$G15))</f>
        <v>0</v>
      </c>
      <c r="P60" s="113"/>
      <c r="Q60" s="113"/>
      <c r="R60" s="113"/>
      <c r="S60" s="97" t="str">
        <f ca="1">IF(SUM(D60:R60)&gt;0,SUM(D60:R60)/'Expenses w MYP'!$G15,"")</f>
        <v/>
      </c>
    </row>
    <row r="61" spans="1:19" x14ac:dyDescent="0.75">
      <c r="A61" s="35"/>
      <c r="B61" s="35" t="s">
        <v>555</v>
      </c>
      <c r="C61" s="34" t="s">
        <v>719</v>
      </c>
      <c r="D61" s="153">
        <f t="shared" ref="D61:I61" ca="1" si="4">IF(SUM(D52:D60)&gt;0,SUM(D52:D60),"")</f>
        <v>41691.816137055132</v>
      </c>
      <c r="E61" s="153">
        <f t="shared" ca="1" si="4"/>
        <v>41691.816137055132</v>
      </c>
      <c r="F61" s="153">
        <f t="shared" ca="1" si="4"/>
        <v>342917.73899614502</v>
      </c>
      <c r="G61" s="153">
        <f t="shared" ca="1" si="4"/>
        <v>342917.73899614502</v>
      </c>
      <c r="H61" s="153">
        <f t="shared" ca="1" si="4"/>
        <v>342917.73899614502</v>
      </c>
      <c r="I61" s="153">
        <f t="shared" ca="1" si="4"/>
        <v>342917.73899614502</v>
      </c>
      <c r="J61" s="153">
        <f t="shared" ref="J61:R61" ca="1" si="5">IF(SUM(J52:J60)&gt;0,SUM(J52:J60),"")</f>
        <v>342917.73899614502</v>
      </c>
      <c r="K61" s="153">
        <f t="shared" ca="1" si="5"/>
        <v>342917.73899614502</v>
      </c>
      <c r="L61" s="153">
        <f t="shared" ca="1" si="5"/>
        <v>343420.05003394088</v>
      </c>
      <c r="M61" s="153">
        <f t="shared" ca="1" si="5"/>
        <v>343420.05003394088</v>
      </c>
      <c r="N61" s="153">
        <f t="shared" ca="1" si="5"/>
        <v>343420.05003394088</v>
      </c>
      <c r="O61" s="153">
        <f t="shared" ca="1" si="5"/>
        <v>343420.05003394088</v>
      </c>
      <c r="P61" s="153" t="str">
        <f t="shared" si="5"/>
        <v/>
      </c>
      <c r="Q61" s="153" t="str">
        <f t="shared" si="5"/>
        <v/>
      </c>
      <c r="R61" s="153" t="str">
        <f t="shared" si="5"/>
        <v/>
      </c>
      <c r="S61" s="94"/>
    </row>
    <row r="62" spans="1:19" s="31" customFormat="1" x14ac:dyDescent="0.75">
      <c r="A62" s="35"/>
      <c r="B62" s="39"/>
      <c r="C62" s="2"/>
      <c r="D62" s="111"/>
      <c r="E62" s="111"/>
      <c r="F62" s="111"/>
      <c r="G62" s="111"/>
      <c r="H62" s="111"/>
      <c r="I62" s="111"/>
      <c r="J62" s="111"/>
      <c r="K62" s="111"/>
      <c r="L62" s="111"/>
      <c r="M62" s="111"/>
      <c r="N62" s="111"/>
      <c r="O62" s="111"/>
      <c r="P62" s="111"/>
      <c r="Q62" s="111"/>
      <c r="R62" s="111"/>
    </row>
    <row r="63" spans="1:19" s="31" customFormat="1" x14ac:dyDescent="0.75">
      <c r="B63" s="4" t="s">
        <v>732</v>
      </c>
      <c r="C63" s="2"/>
      <c r="D63" s="111"/>
      <c r="E63" s="111"/>
      <c r="F63" s="111"/>
      <c r="G63" s="111"/>
      <c r="H63" s="111"/>
      <c r="I63" s="111"/>
      <c r="J63" s="111"/>
      <c r="K63" s="111"/>
      <c r="L63" s="111"/>
      <c r="M63" s="111"/>
      <c r="N63" s="111"/>
      <c r="O63" s="111"/>
      <c r="P63" s="111"/>
      <c r="Q63" s="111"/>
      <c r="R63" s="111"/>
    </row>
    <row r="64" spans="1:19" s="31" customFormat="1" x14ac:dyDescent="0.75">
      <c r="A64" s="35"/>
      <c r="B64" s="65" t="str">
        <f>'Expenses w MYP'!C19</f>
        <v>2100</v>
      </c>
      <c r="C64" s="65" t="str">
        <f>'Expenses w MYP'!D19</f>
        <v>Instructional Aide Salaries</v>
      </c>
      <c r="D64" s="62">
        <f ca="1">IF('Expenses w MYP'!$G19="","",IF('Cash Flow %s Yr3'!D64="","",'Cash Flow %s Yr3'!D64*'Expenses w MYP'!$G19))</f>
        <v>0</v>
      </c>
      <c r="E64" s="62">
        <f ca="1">IF('Expenses w MYP'!$G19="","",IF('Cash Flow %s Yr3'!E64="","",'Cash Flow %s Yr3'!E64*'Expenses w MYP'!$G19))</f>
        <v>0</v>
      </c>
      <c r="F64" s="62">
        <f ca="1">IF('Expenses w MYP'!$G19="","",IF('Cash Flow %s Yr3'!F64="","",'Cash Flow %s Yr3'!F64*'Expenses w MYP'!$G19))</f>
        <v>9881.7933703223807</v>
      </c>
      <c r="G64" s="62">
        <f ca="1">IF('Expenses w MYP'!$G19="","",IF('Cash Flow %s Yr3'!G64="","",'Cash Flow %s Yr3'!G64*'Expenses w MYP'!$G19))</f>
        <v>9881.7933703223807</v>
      </c>
      <c r="H64" s="62">
        <f ca="1">IF('Expenses w MYP'!$G19="","",IF('Cash Flow %s Yr3'!H64="","",'Cash Flow %s Yr3'!H64*'Expenses w MYP'!$G19))</f>
        <v>9881.7933703223807</v>
      </c>
      <c r="I64" s="62">
        <f ca="1">IF('Expenses w MYP'!$G19="","",IF('Cash Flow %s Yr3'!I64="","",'Cash Flow %s Yr3'!I64*'Expenses w MYP'!$G19))</f>
        <v>9881.7933703223807</v>
      </c>
      <c r="J64" s="62">
        <f ca="1">IF('Expenses w MYP'!$G19="","",IF('Cash Flow %s Yr3'!J64="","",'Cash Flow %s Yr3'!J64*'Expenses w MYP'!$G19))</f>
        <v>9881.7933703223807</v>
      </c>
      <c r="K64" s="62">
        <f ca="1">IF('Expenses w MYP'!$G19="","",IF('Cash Flow %s Yr3'!K64="","",'Cash Flow %s Yr3'!K64*'Expenses w MYP'!$G19))</f>
        <v>9881.7933703223807</v>
      </c>
      <c r="L64" s="62">
        <f ca="1">IF('Expenses w MYP'!$G19="","",IF('Cash Flow %s Yr3'!L64="","",'Cash Flow %s Yr3'!L64*'Expenses w MYP'!$G19))</f>
        <v>9881.7933703223807</v>
      </c>
      <c r="M64" s="62">
        <f ca="1">IF('Expenses w MYP'!$G19="","",IF('Cash Flow %s Yr3'!M64="","",'Cash Flow %s Yr3'!M64*'Expenses w MYP'!$G19))</f>
        <v>9881.7933703223807</v>
      </c>
      <c r="N64" s="62">
        <f ca="1">IF('Expenses w MYP'!$G19="","",IF('Cash Flow %s Yr3'!N64="","",'Cash Flow %s Yr3'!N64*'Expenses w MYP'!$G19))</f>
        <v>9881.7933703223807</v>
      </c>
      <c r="O64" s="62">
        <f ca="1">IF('Expenses w MYP'!$G19="","",IF('Cash Flow %s Yr3'!O64="","",'Cash Flow %s Yr3'!O64*'Expenses w MYP'!$G19))</f>
        <v>9881.7933703223807</v>
      </c>
      <c r="P64" s="113"/>
      <c r="Q64" s="113"/>
      <c r="R64" s="113"/>
      <c r="S64" s="97">
        <f ca="1">IF(SUM(D64:R64)&gt;0,SUM(D64:R64)/'Expenses w MYP'!$G19,"")</f>
        <v>1.0000000000000002</v>
      </c>
    </row>
    <row r="65" spans="1:19" s="31" customFormat="1" x14ac:dyDescent="0.75">
      <c r="A65" s="35"/>
      <c r="B65" s="65" t="str">
        <f>'Expenses w MYP'!C20</f>
        <v>2110</v>
      </c>
      <c r="C65" s="65" t="str">
        <f>'Expenses w MYP'!D20</f>
        <v>Instructional Aide Overtime</v>
      </c>
      <c r="D65" s="62">
        <f ca="1">IF('Expenses w MYP'!$G20="","",IF('Cash Flow %s Yr3'!D65="","",'Cash Flow %s Yr3'!D65*'Expenses w MYP'!$G20))</f>
        <v>0</v>
      </c>
      <c r="E65" s="62">
        <f ca="1">IF('Expenses w MYP'!$G20="","",IF('Cash Flow %s Yr3'!E65="","",'Cash Flow %s Yr3'!E65*'Expenses w MYP'!$G20))</f>
        <v>0</v>
      </c>
      <c r="F65" s="62">
        <f ca="1">IF('Expenses w MYP'!$G20="","",IF('Cash Flow %s Yr3'!F65="","",'Cash Flow %s Yr3'!F65*'Expenses w MYP'!$G20))</f>
        <v>0</v>
      </c>
      <c r="G65" s="62">
        <f ca="1">IF('Expenses w MYP'!$G20="","",IF('Cash Flow %s Yr3'!G65="","",'Cash Flow %s Yr3'!G65*'Expenses w MYP'!$G20))</f>
        <v>0</v>
      </c>
      <c r="H65" s="62">
        <f ca="1">IF('Expenses w MYP'!$G20="","",IF('Cash Flow %s Yr3'!H65="","",'Cash Flow %s Yr3'!H65*'Expenses w MYP'!$G20))</f>
        <v>0</v>
      </c>
      <c r="I65" s="62">
        <f ca="1">IF('Expenses w MYP'!$G20="","",IF('Cash Flow %s Yr3'!I65="","",'Cash Flow %s Yr3'!I65*'Expenses w MYP'!$G20))</f>
        <v>0</v>
      </c>
      <c r="J65" s="62">
        <f ca="1">IF('Expenses w MYP'!$G20="","",IF('Cash Flow %s Yr3'!J65="","",'Cash Flow %s Yr3'!J65*'Expenses w MYP'!$G20))</f>
        <v>0</v>
      </c>
      <c r="K65" s="62">
        <f ca="1">IF('Expenses w MYP'!$G20="","",IF('Cash Flow %s Yr3'!K65="","",'Cash Flow %s Yr3'!K65*'Expenses w MYP'!$G20))</f>
        <v>0</v>
      </c>
      <c r="L65" s="62">
        <f ca="1">IF('Expenses w MYP'!$G20="","",IF('Cash Flow %s Yr3'!L65="","",'Cash Flow %s Yr3'!L65*'Expenses w MYP'!$G20))</f>
        <v>0</v>
      </c>
      <c r="M65" s="62">
        <f ca="1">IF('Expenses w MYP'!$G20="","",IF('Cash Flow %s Yr3'!M65="","",'Cash Flow %s Yr3'!M65*'Expenses w MYP'!$G20))</f>
        <v>0</v>
      </c>
      <c r="N65" s="62">
        <f ca="1">IF('Expenses w MYP'!$G20="","",IF('Cash Flow %s Yr3'!N65="","",'Cash Flow %s Yr3'!N65*'Expenses w MYP'!$G20))</f>
        <v>0</v>
      </c>
      <c r="O65" s="62">
        <f ca="1">IF('Expenses w MYP'!$G20="","",IF('Cash Flow %s Yr3'!O65="","",'Cash Flow %s Yr3'!O65*'Expenses w MYP'!$G20))</f>
        <v>0</v>
      </c>
      <c r="P65" s="113"/>
      <c r="Q65" s="113"/>
      <c r="R65" s="113"/>
      <c r="S65" s="97" t="str">
        <f ca="1">IF(SUM(D65:R65)&gt;0,SUM(D65:R65)/'Expenses w MYP'!$G20,"")</f>
        <v/>
      </c>
    </row>
    <row r="66" spans="1:19" s="31" customFormat="1" x14ac:dyDescent="0.75">
      <c r="A66" s="35"/>
      <c r="B66" s="65" t="str">
        <f>'Expenses w MYP'!C21</f>
        <v>2200</v>
      </c>
      <c r="C66" s="65" t="str">
        <f>'Expenses w MYP'!D21</f>
        <v>Classified Support Salaries (Maintenance / Food)</v>
      </c>
      <c r="D66" s="62">
        <f ca="1">IF('Expenses w MYP'!$G21="","",IF('Cash Flow %s Yr3'!D66="","",'Cash Flow %s Yr3'!D66*'Expenses w MYP'!$G21))</f>
        <v>0</v>
      </c>
      <c r="E66" s="62">
        <f ca="1">IF('Expenses w MYP'!$G21="","",IF('Cash Flow %s Yr3'!E66="","",'Cash Flow %s Yr3'!E66*'Expenses w MYP'!$G21))</f>
        <v>0</v>
      </c>
      <c r="F66" s="62">
        <f ca="1">IF('Expenses w MYP'!$G21="","",IF('Cash Flow %s Yr3'!F66="","",'Cash Flow %s Yr3'!F66*'Expenses w MYP'!$G21))</f>
        <v>43955.391358576715</v>
      </c>
      <c r="G66" s="62">
        <f ca="1">IF('Expenses w MYP'!$G21="","",IF('Cash Flow %s Yr3'!G66="","",'Cash Flow %s Yr3'!G66*'Expenses w MYP'!$G21))</f>
        <v>43955.391358576715</v>
      </c>
      <c r="H66" s="62">
        <f ca="1">IF('Expenses w MYP'!$G21="","",IF('Cash Flow %s Yr3'!H66="","",'Cash Flow %s Yr3'!H66*'Expenses w MYP'!$G21))</f>
        <v>43955.391358576715</v>
      </c>
      <c r="I66" s="62">
        <f ca="1">IF('Expenses w MYP'!$G21="","",IF('Cash Flow %s Yr3'!I66="","",'Cash Flow %s Yr3'!I66*'Expenses w MYP'!$G21))</f>
        <v>43955.391358576715</v>
      </c>
      <c r="J66" s="62">
        <f ca="1">IF('Expenses w MYP'!$G21="","",IF('Cash Flow %s Yr3'!J66="","",'Cash Flow %s Yr3'!J66*'Expenses w MYP'!$G21))</f>
        <v>43955.391358576715</v>
      </c>
      <c r="K66" s="62">
        <f ca="1">IF('Expenses w MYP'!$G21="","",IF('Cash Flow %s Yr3'!K66="","",'Cash Flow %s Yr3'!K66*'Expenses w MYP'!$G21))</f>
        <v>43955.391358576715</v>
      </c>
      <c r="L66" s="62">
        <f ca="1">IF('Expenses w MYP'!$G21="","",IF('Cash Flow %s Yr3'!L66="","",'Cash Flow %s Yr3'!L66*'Expenses w MYP'!$G21))</f>
        <v>43955.391358576715</v>
      </c>
      <c r="M66" s="62">
        <f ca="1">IF('Expenses w MYP'!$G21="","",IF('Cash Flow %s Yr3'!M66="","",'Cash Flow %s Yr3'!M66*'Expenses w MYP'!$G21))</f>
        <v>43955.391358576715</v>
      </c>
      <c r="N66" s="62">
        <f ca="1">IF('Expenses w MYP'!$G21="","",IF('Cash Flow %s Yr3'!N66="","",'Cash Flow %s Yr3'!N66*'Expenses w MYP'!$G21))</f>
        <v>43955.391358576715</v>
      </c>
      <c r="O66" s="62">
        <f ca="1">IF('Expenses w MYP'!$G21="","",IF('Cash Flow %s Yr3'!O66="","",'Cash Flow %s Yr3'!O66*'Expenses w MYP'!$G21))</f>
        <v>43955.391358576715</v>
      </c>
      <c r="P66" s="113"/>
      <c r="Q66" s="113"/>
      <c r="R66" s="113"/>
      <c r="S66" s="97">
        <f ca="1">IF(SUM(D66:R66)&gt;0,SUM(D66:R66)/'Expenses w MYP'!$G21,"")</f>
        <v>1.0000000000000002</v>
      </c>
    </row>
    <row r="67" spans="1:19" s="31" customFormat="1" x14ac:dyDescent="0.75">
      <c r="A67" s="35"/>
      <c r="B67" s="65" t="str">
        <f>'Expenses w MYP'!C22</f>
        <v>2210</v>
      </c>
      <c r="C67" s="65" t="str">
        <f>'Expenses w MYP'!D22</f>
        <v>Classified Support Overtime</v>
      </c>
      <c r="D67" s="62">
        <f ca="1">IF('Expenses w MYP'!$G22="","",IF('Cash Flow %s Yr3'!D67="","",'Cash Flow %s Yr3'!D67*'Expenses w MYP'!$G22))</f>
        <v>0</v>
      </c>
      <c r="E67" s="62">
        <f ca="1">IF('Expenses w MYP'!$G22="","",IF('Cash Flow %s Yr3'!E67="","",'Cash Flow %s Yr3'!E67*'Expenses w MYP'!$G22))</f>
        <v>0</v>
      </c>
      <c r="F67" s="62">
        <f ca="1">IF('Expenses w MYP'!$G22="","",IF('Cash Flow %s Yr3'!F67="","",'Cash Flow %s Yr3'!F67*'Expenses w MYP'!$G22))</f>
        <v>0</v>
      </c>
      <c r="G67" s="62">
        <f ca="1">IF('Expenses w MYP'!$G22="","",IF('Cash Flow %s Yr3'!G67="","",'Cash Flow %s Yr3'!G67*'Expenses w MYP'!$G22))</f>
        <v>0</v>
      </c>
      <c r="H67" s="62">
        <f ca="1">IF('Expenses w MYP'!$G22="","",IF('Cash Flow %s Yr3'!H67="","",'Cash Flow %s Yr3'!H67*'Expenses w MYP'!$G22))</f>
        <v>0</v>
      </c>
      <c r="I67" s="62">
        <f ca="1">IF('Expenses w MYP'!$G22="","",IF('Cash Flow %s Yr3'!I67="","",'Cash Flow %s Yr3'!I67*'Expenses w MYP'!$G22))</f>
        <v>0</v>
      </c>
      <c r="J67" s="62">
        <f ca="1">IF('Expenses w MYP'!$G22="","",IF('Cash Flow %s Yr3'!J67="","",'Cash Flow %s Yr3'!J67*'Expenses w MYP'!$G22))</f>
        <v>0</v>
      </c>
      <c r="K67" s="62">
        <f ca="1">IF('Expenses w MYP'!$G22="","",IF('Cash Flow %s Yr3'!K67="","",'Cash Flow %s Yr3'!K67*'Expenses w MYP'!$G22))</f>
        <v>0</v>
      </c>
      <c r="L67" s="62">
        <f ca="1">IF('Expenses w MYP'!$G22="","",IF('Cash Flow %s Yr3'!L67="","",'Cash Flow %s Yr3'!L67*'Expenses w MYP'!$G22))</f>
        <v>0</v>
      </c>
      <c r="M67" s="62">
        <f ca="1">IF('Expenses w MYP'!$G22="","",IF('Cash Flow %s Yr3'!M67="","",'Cash Flow %s Yr3'!M67*'Expenses w MYP'!$G22))</f>
        <v>0</v>
      </c>
      <c r="N67" s="62">
        <f ca="1">IF('Expenses w MYP'!$G22="","",IF('Cash Flow %s Yr3'!N67="","",'Cash Flow %s Yr3'!N67*'Expenses w MYP'!$G22))</f>
        <v>0</v>
      </c>
      <c r="O67" s="62">
        <f ca="1">IF('Expenses w MYP'!$G22="","",IF('Cash Flow %s Yr3'!O67="","",'Cash Flow %s Yr3'!O67*'Expenses w MYP'!$G22))</f>
        <v>0</v>
      </c>
      <c r="P67" s="113"/>
      <c r="Q67" s="113"/>
      <c r="R67" s="113"/>
      <c r="S67" s="97" t="str">
        <f ca="1">IF(SUM(D67:R67)&gt;0,SUM(D67:R67)/'Expenses w MYP'!$G22,"")</f>
        <v/>
      </c>
    </row>
    <row r="68" spans="1:19" s="31" customFormat="1" x14ac:dyDescent="0.75">
      <c r="A68" s="35"/>
      <c r="B68" s="65" t="str">
        <f>'Expenses w MYP'!C23</f>
        <v>2300</v>
      </c>
      <c r="C68" s="65" t="str">
        <f>'Expenses w MYP'!D23</f>
        <v>Classified Supervisor and Administrator Salaries</v>
      </c>
      <c r="D68" s="62">
        <f ca="1">IF('Expenses w MYP'!$G23="","",IF('Cash Flow %s Yr3'!D68="","",'Cash Flow %s Yr3'!D68*'Expenses w MYP'!$G23))</f>
        <v>13266.107675292595</v>
      </c>
      <c r="E68" s="62">
        <f ca="1">IF('Expenses w MYP'!$G23="","",IF('Cash Flow %s Yr3'!E68="","",'Cash Flow %s Yr3'!E68*'Expenses w MYP'!$G23))</f>
        <v>13266.107675292595</v>
      </c>
      <c r="F68" s="62">
        <f ca="1">IF('Expenses w MYP'!$G23="","",IF('Cash Flow %s Yr3'!F68="","",'Cash Flow %s Yr3'!F68*'Expenses w MYP'!$G23))</f>
        <v>13266.107675292595</v>
      </c>
      <c r="G68" s="62">
        <f ca="1">IF('Expenses w MYP'!$G23="","",IF('Cash Flow %s Yr3'!G68="","",'Cash Flow %s Yr3'!G68*'Expenses w MYP'!$G23))</f>
        <v>13266.107675292595</v>
      </c>
      <c r="H68" s="62">
        <f ca="1">IF('Expenses w MYP'!$G23="","",IF('Cash Flow %s Yr3'!H68="","",'Cash Flow %s Yr3'!H68*'Expenses w MYP'!$G23))</f>
        <v>13266.107675292595</v>
      </c>
      <c r="I68" s="62">
        <f ca="1">IF('Expenses w MYP'!$G23="","",IF('Cash Flow %s Yr3'!I68="","",'Cash Flow %s Yr3'!I68*'Expenses w MYP'!$G23))</f>
        <v>13266.107675292595</v>
      </c>
      <c r="J68" s="62">
        <f ca="1">IF('Expenses w MYP'!$G23="","",IF('Cash Flow %s Yr3'!J68="","",'Cash Flow %s Yr3'!J68*'Expenses w MYP'!$G23))</f>
        <v>13266.107675292595</v>
      </c>
      <c r="K68" s="62">
        <f ca="1">IF('Expenses w MYP'!$G23="","",IF('Cash Flow %s Yr3'!K68="","",'Cash Flow %s Yr3'!K68*'Expenses w MYP'!$G23))</f>
        <v>13266.107675292595</v>
      </c>
      <c r="L68" s="62">
        <f ca="1">IF('Expenses w MYP'!$G23="","",IF('Cash Flow %s Yr3'!L68="","",'Cash Flow %s Yr3'!L68*'Expenses w MYP'!$G23))</f>
        <v>13425.940297886482</v>
      </c>
      <c r="M68" s="62">
        <f ca="1">IF('Expenses w MYP'!$G23="","",IF('Cash Flow %s Yr3'!M68="","",'Cash Flow %s Yr3'!M68*'Expenses w MYP'!$G23))</f>
        <v>13425.940297886482</v>
      </c>
      <c r="N68" s="62">
        <f ca="1">IF('Expenses w MYP'!$G23="","",IF('Cash Flow %s Yr3'!N68="","",'Cash Flow %s Yr3'!N68*'Expenses w MYP'!$G23))</f>
        <v>13425.940297886482</v>
      </c>
      <c r="O68" s="62">
        <f ca="1">IF('Expenses w MYP'!$G23="","",IF('Cash Flow %s Yr3'!O68="","",'Cash Flow %s Yr3'!O68*'Expenses w MYP'!$G23))</f>
        <v>13425.940297886482</v>
      </c>
      <c r="P68" s="113"/>
      <c r="Q68" s="113"/>
      <c r="R68" s="113"/>
      <c r="S68" s="97">
        <f ca="1">IF(SUM(D68:R68)&gt;0,SUM(D68:R68)/'Expenses w MYP'!$G23,"")</f>
        <v>1</v>
      </c>
    </row>
    <row r="69" spans="1:19" s="31" customFormat="1" x14ac:dyDescent="0.75">
      <c r="A69" s="35"/>
      <c r="B69" s="65" t="str">
        <f>'Expenses w MYP'!C24</f>
        <v>2400</v>
      </c>
      <c r="C69" s="65" t="str">
        <f>'Expenses w MYP'!D24</f>
        <v>Clerical, Technical, and Office Staff Salaries</v>
      </c>
      <c r="D69" s="62">
        <f ca="1">IF('Expenses w MYP'!$G24="","",IF('Cash Flow %s Yr3'!D69="","",'Cash Flow %s Yr3'!D69*'Expenses w MYP'!$G24))</f>
        <v>16038.633985488716</v>
      </c>
      <c r="E69" s="62">
        <f ca="1">IF('Expenses w MYP'!$G24="","",IF('Cash Flow %s Yr3'!E69="","",'Cash Flow %s Yr3'!E69*'Expenses w MYP'!$G24))</f>
        <v>16038.633985488716</v>
      </c>
      <c r="F69" s="62">
        <f ca="1">IF('Expenses w MYP'!$G24="","",IF('Cash Flow %s Yr3'!F69="","",'Cash Flow %s Yr3'!F69*'Expenses w MYP'!$G24))</f>
        <v>16038.633985488716</v>
      </c>
      <c r="G69" s="62">
        <f ca="1">IF('Expenses w MYP'!$G24="","",IF('Cash Flow %s Yr3'!G69="","",'Cash Flow %s Yr3'!G69*'Expenses w MYP'!$G24))</f>
        <v>16038.633985488716</v>
      </c>
      <c r="H69" s="62">
        <f ca="1">IF('Expenses w MYP'!$G24="","",IF('Cash Flow %s Yr3'!H69="","",'Cash Flow %s Yr3'!H69*'Expenses w MYP'!$G24))</f>
        <v>16038.633985488716</v>
      </c>
      <c r="I69" s="62">
        <f ca="1">IF('Expenses w MYP'!$G24="","",IF('Cash Flow %s Yr3'!I69="","",'Cash Flow %s Yr3'!I69*'Expenses w MYP'!$G24))</f>
        <v>16038.633985488716</v>
      </c>
      <c r="J69" s="62">
        <f ca="1">IF('Expenses w MYP'!$G24="","",IF('Cash Flow %s Yr3'!J69="","",'Cash Flow %s Yr3'!J69*'Expenses w MYP'!$G24))</f>
        <v>16038.633985488716</v>
      </c>
      <c r="K69" s="62">
        <f ca="1">IF('Expenses w MYP'!$G24="","",IF('Cash Flow %s Yr3'!K69="","",'Cash Flow %s Yr3'!K69*'Expenses w MYP'!$G24))</f>
        <v>16038.633985488716</v>
      </c>
      <c r="L69" s="62">
        <f ca="1">IF('Expenses w MYP'!$G24="","",IF('Cash Flow %s Yr3'!L69="","",'Cash Flow %s Yr3'!L69*'Expenses w MYP'!$G24))</f>
        <v>16231.87053953075</v>
      </c>
      <c r="M69" s="62">
        <f ca="1">IF('Expenses w MYP'!$G24="","",IF('Cash Flow %s Yr3'!M69="","",'Cash Flow %s Yr3'!M69*'Expenses w MYP'!$G24))</f>
        <v>16231.87053953075</v>
      </c>
      <c r="N69" s="62">
        <f ca="1">IF('Expenses w MYP'!$G24="","",IF('Cash Flow %s Yr3'!N69="","",'Cash Flow %s Yr3'!N69*'Expenses w MYP'!$G24))</f>
        <v>16231.87053953075</v>
      </c>
      <c r="O69" s="62">
        <f ca="1">IF('Expenses w MYP'!$G24="","",IF('Cash Flow %s Yr3'!O69="","",'Cash Flow %s Yr3'!O69*'Expenses w MYP'!$G24))</f>
        <v>16231.87053953075</v>
      </c>
      <c r="P69" s="113"/>
      <c r="Q69" s="113"/>
      <c r="R69" s="113"/>
      <c r="S69" s="97">
        <f ca="1">IF(SUM(D69:R69)&gt;0,SUM(D69:R69)/'Expenses w MYP'!$G24,"")</f>
        <v>1.0000000000000002</v>
      </c>
    </row>
    <row r="70" spans="1:19" s="31" customFormat="1" x14ac:dyDescent="0.75">
      <c r="A70" s="35"/>
      <c r="B70" s="65" t="str">
        <f>'Expenses w MYP'!C25</f>
        <v>2410</v>
      </c>
      <c r="C70" s="65" t="str">
        <f>'Expenses w MYP'!D25</f>
        <v>Clerical, Technical, and Office Staff Overtime</v>
      </c>
      <c r="D70" s="62">
        <f ca="1">IF('Expenses w MYP'!$G25="","",IF('Cash Flow %s Yr3'!D70="","",'Cash Flow %s Yr3'!D70*'Expenses w MYP'!$G25))</f>
        <v>0</v>
      </c>
      <c r="E70" s="62">
        <f ca="1">IF('Expenses w MYP'!$G25="","",IF('Cash Flow %s Yr3'!E70="","",'Cash Flow %s Yr3'!E70*'Expenses w MYP'!$G25))</f>
        <v>0</v>
      </c>
      <c r="F70" s="62">
        <f ca="1">IF('Expenses w MYP'!$G25="","",IF('Cash Flow %s Yr3'!F70="","",'Cash Flow %s Yr3'!F70*'Expenses w MYP'!$G25))</f>
        <v>0</v>
      </c>
      <c r="G70" s="62">
        <f ca="1">IF('Expenses w MYP'!$G25="","",IF('Cash Flow %s Yr3'!G70="","",'Cash Flow %s Yr3'!G70*'Expenses w MYP'!$G25))</f>
        <v>0</v>
      </c>
      <c r="H70" s="62">
        <f ca="1">IF('Expenses w MYP'!$G25="","",IF('Cash Flow %s Yr3'!H70="","",'Cash Flow %s Yr3'!H70*'Expenses w MYP'!$G25))</f>
        <v>0</v>
      </c>
      <c r="I70" s="62">
        <f ca="1">IF('Expenses w MYP'!$G25="","",IF('Cash Flow %s Yr3'!I70="","",'Cash Flow %s Yr3'!I70*'Expenses w MYP'!$G25))</f>
        <v>0</v>
      </c>
      <c r="J70" s="62">
        <f ca="1">IF('Expenses w MYP'!$G25="","",IF('Cash Flow %s Yr3'!J70="","",'Cash Flow %s Yr3'!J70*'Expenses w MYP'!$G25))</f>
        <v>0</v>
      </c>
      <c r="K70" s="62">
        <f ca="1">IF('Expenses w MYP'!$G25="","",IF('Cash Flow %s Yr3'!K70="","",'Cash Flow %s Yr3'!K70*'Expenses w MYP'!$G25))</f>
        <v>0</v>
      </c>
      <c r="L70" s="62">
        <f ca="1">IF('Expenses w MYP'!$G25="","",IF('Cash Flow %s Yr3'!L70="","",'Cash Flow %s Yr3'!L70*'Expenses w MYP'!$G25))</f>
        <v>0</v>
      </c>
      <c r="M70" s="62">
        <f ca="1">IF('Expenses w MYP'!$G25="","",IF('Cash Flow %s Yr3'!M70="","",'Cash Flow %s Yr3'!M70*'Expenses w MYP'!$G25))</f>
        <v>0</v>
      </c>
      <c r="N70" s="62">
        <f ca="1">IF('Expenses w MYP'!$G25="","",IF('Cash Flow %s Yr3'!N70="","",'Cash Flow %s Yr3'!N70*'Expenses w MYP'!$G25))</f>
        <v>0</v>
      </c>
      <c r="O70" s="62">
        <f ca="1">IF('Expenses w MYP'!$G25="","",IF('Cash Flow %s Yr3'!O70="","",'Cash Flow %s Yr3'!O70*'Expenses w MYP'!$G25))</f>
        <v>0</v>
      </c>
      <c r="P70" s="113"/>
      <c r="Q70" s="113"/>
      <c r="R70" s="113"/>
      <c r="S70" s="97" t="str">
        <f ca="1">IF(SUM(D70:R70)&gt;0,SUM(D70:R70)/'Expenses w MYP'!$G25,"")</f>
        <v/>
      </c>
    </row>
    <row r="71" spans="1:19" s="31" customFormat="1" x14ac:dyDescent="0.75">
      <c r="A71" s="35"/>
      <c r="B71" s="65" t="str">
        <f>'Expenses w MYP'!C26</f>
        <v>2900</v>
      </c>
      <c r="C71" s="65" t="str">
        <f>'Expenses w MYP'!D26</f>
        <v>Other Classified Salaries</v>
      </c>
      <c r="D71" s="62">
        <f ca="1">IF('Expenses w MYP'!$G26="","",IF('Cash Flow %s Yr3'!D71="","",'Cash Flow %s Yr3'!D71*'Expenses w MYP'!$G26))</f>
        <v>0</v>
      </c>
      <c r="E71" s="62">
        <f ca="1">IF('Expenses w MYP'!$G26="","",IF('Cash Flow %s Yr3'!E71="","",'Cash Flow %s Yr3'!E71*'Expenses w MYP'!$G26))</f>
        <v>0</v>
      </c>
      <c r="F71" s="62">
        <f ca="1">IF('Expenses w MYP'!$G26="","",IF('Cash Flow %s Yr3'!F71="","",'Cash Flow %s Yr3'!F71*'Expenses w MYP'!$G26))</f>
        <v>0</v>
      </c>
      <c r="G71" s="62">
        <f ca="1">IF('Expenses w MYP'!$G26="","",IF('Cash Flow %s Yr3'!G71="","",'Cash Flow %s Yr3'!G71*'Expenses w MYP'!$G26))</f>
        <v>0</v>
      </c>
      <c r="H71" s="62">
        <f ca="1">IF('Expenses w MYP'!$G26="","",IF('Cash Flow %s Yr3'!H71="","",'Cash Flow %s Yr3'!H71*'Expenses w MYP'!$G26))</f>
        <v>0</v>
      </c>
      <c r="I71" s="62">
        <f ca="1">IF('Expenses w MYP'!$G26="","",IF('Cash Flow %s Yr3'!I71="","",'Cash Flow %s Yr3'!I71*'Expenses w MYP'!$G26))</f>
        <v>0</v>
      </c>
      <c r="J71" s="62">
        <f ca="1">IF('Expenses w MYP'!$G26="","",IF('Cash Flow %s Yr3'!J71="","",'Cash Flow %s Yr3'!J71*'Expenses w MYP'!$G26))</f>
        <v>0</v>
      </c>
      <c r="K71" s="62">
        <f ca="1">IF('Expenses w MYP'!$G26="","",IF('Cash Flow %s Yr3'!K71="","",'Cash Flow %s Yr3'!K71*'Expenses w MYP'!$G26))</f>
        <v>0</v>
      </c>
      <c r="L71" s="62">
        <f ca="1">IF('Expenses w MYP'!$G26="","",IF('Cash Flow %s Yr3'!L71="","",'Cash Flow %s Yr3'!L71*'Expenses w MYP'!$G26))</f>
        <v>0</v>
      </c>
      <c r="M71" s="62">
        <f ca="1">IF('Expenses w MYP'!$G26="","",IF('Cash Flow %s Yr3'!M71="","",'Cash Flow %s Yr3'!M71*'Expenses w MYP'!$G26))</f>
        <v>0</v>
      </c>
      <c r="N71" s="62">
        <f ca="1">IF('Expenses w MYP'!$G26="","",IF('Cash Flow %s Yr3'!N71="","",'Cash Flow %s Yr3'!N71*'Expenses w MYP'!$G26))</f>
        <v>0</v>
      </c>
      <c r="O71" s="62">
        <f ca="1">IF('Expenses w MYP'!$G26="","",IF('Cash Flow %s Yr3'!O71="","",'Cash Flow %s Yr3'!O71*'Expenses w MYP'!$G26))</f>
        <v>0</v>
      </c>
      <c r="P71" s="113"/>
      <c r="Q71" s="113"/>
      <c r="R71" s="113"/>
      <c r="S71" s="97" t="str">
        <f ca="1">IF(SUM(D71:R71)&gt;0,SUM(D71:R71)/'Expenses w MYP'!$G26,"")</f>
        <v/>
      </c>
    </row>
    <row r="72" spans="1:19" s="31" customFormat="1" x14ac:dyDescent="0.75">
      <c r="A72" s="35"/>
      <c r="B72" s="65" t="str">
        <f>'Expenses w MYP'!C27</f>
        <v>2905</v>
      </c>
      <c r="C72" s="65" t="str">
        <f>'Expenses w MYP'!D27</f>
        <v>Other Stipends</v>
      </c>
      <c r="D72" s="62">
        <f ca="1">IF('Expenses w MYP'!$G27="","",IF('Cash Flow %s Yr3'!D72="","",'Cash Flow %s Yr3'!D72*'Expenses w MYP'!$G27))</f>
        <v>0</v>
      </c>
      <c r="E72" s="62">
        <f ca="1">IF('Expenses w MYP'!$G27="","",IF('Cash Flow %s Yr3'!E72="","",'Cash Flow %s Yr3'!E72*'Expenses w MYP'!$G27))</f>
        <v>0</v>
      </c>
      <c r="F72" s="62">
        <f ca="1">IF('Expenses w MYP'!$G27="","",IF('Cash Flow %s Yr3'!F72="","",'Cash Flow %s Yr3'!F72*'Expenses w MYP'!$G27))</f>
        <v>0</v>
      </c>
      <c r="G72" s="62">
        <f ca="1">IF('Expenses w MYP'!$G27="","",IF('Cash Flow %s Yr3'!G72="","",'Cash Flow %s Yr3'!G72*'Expenses w MYP'!$G27))</f>
        <v>0</v>
      </c>
      <c r="H72" s="62">
        <f ca="1">IF('Expenses w MYP'!$G27="","",IF('Cash Flow %s Yr3'!H72="","",'Cash Flow %s Yr3'!H72*'Expenses w MYP'!$G27))</f>
        <v>0</v>
      </c>
      <c r="I72" s="62">
        <f ca="1">IF('Expenses w MYP'!$G27="","",IF('Cash Flow %s Yr3'!I72="","",'Cash Flow %s Yr3'!I72*'Expenses w MYP'!$G27))</f>
        <v>0</v>
      </c>
      <c r="J72" s="62">
        <f ca="1">IF('Expenses w MYP'!$G27="","",IF('Cash Flow %s Yr3'!J72="","",'Cash Flow %s Yr3'!J72*'Expenses w MYP'!$G27))</f>
        <v>0</v>
      </c>
      <c r="K72" s="62">
        <f ca="1">IF('Expenses w MYP'!$G27="","",IF('Cash Flow %s Yr3'!K72="","",'Cash Flow %s Yr3'!K72*'Expenses w MYP'!$G27))</f>
        <v>0</v>
      </c>
      <c r="L72" s="62">
        <f ca="1">IF('Expenses w MYP'!$G27="","",IF('Cash Flow %s Yr3'!L72="","",'Cash Flow %s Yr3'!L72*'Expenses w MYP'!$G27))</f>
        <v>0</v>
      </c>
      <c r="M72" s="62">
        <f ca="1">IF('Expenses w MYP'!$G27="","",IF('Cash Flow %s Yr3'!M72="","",'Cash Flow %s Yr3'!M72*'Expenses w MYP'!$G27))</f>
        <v>0</v>
      </c>
      <c r="N72" s="62">
        <f ca="1">IF('Expenses w MYP'!$G27="","",IF('Cash Flow %s Yr3'!N72="","",'Cash Flow %s Yr3'!N72*'Expenses w MYP'!$G27))</f>
        <v>0</v>
      </c>
      <c r="O72" s="62">
        <f ca="1">IF('Expenses w MYP'!$G27="","",IF('Cash Flow %s Yr3'!O72="","",'Cash Flow %s Yr3'!O72*'Expenses w MYP'!$G27))</f>
        <v>0</v>
      </c>
      <c r="P72" s="113"/>
      <c r="Q72" s="113"/>
      <c r="R72" s="113"/>
      <c r="S72" s="97" t="str">
        <f ca="1">IF(SUM(D72:R72)&gt;0,SUM(D72:R72)/'Expenses w MYP'!$G27,"")</f>
        <v/>
      </c>
    </row>
    <row r="73" spans="1:19" s="31" customFormat="1" x14ac:dyDescent="0.75">
      <c r="A73" s="35"/>
      <c r="B73" s="65" t="str">
        <f>'Expenses w MYP'!C28</f>
        <v>2910</v>
      </c>
      <c r="C73" s="65" t="str">
        <f>'Expenses w MYP'!D28</f>
        <v>Other Classified Overtime</v>
      </c>
      <c r="D73" s="62">
        <f ca="1">IF('Expenses w MYP'!$G28="","",IF('Cash Flow %s Yr3'!D73="","",'Cash Flow %s Yr3'!D73*'Expenses w MYP'!$G28))</f>
        <v>0</v>
      </c>
      <c r="E73" s="62">
        <f ca="1">IF('Expenses w MYP'!$G28="","",IF('Cash Flow %s Yr3'!E73="","",'Cash Flow %s Yr3'!E73*'Expenses w MYP'!$G28))</f>
        <v>0</v>
      </c>
      <c r="F73" s="62">
        <f ca="1">IF('Expenses w MYP'!$G28="","",IF('Cash Flow %s Yr3'!F73="","",'Cash Flow %s Yr3'!F73*'Expenses w MYP'!$G28))</f>
        <v>0</v>
      </c>
      <c r="G73" s="62">
        <f ca="1">IF('Expenses w MYP'!$G28="","",IF('Cash Flow %s Yr3'!G73="","",'Cash Flow %s Yr3'!G73*'Expenses w MYP'!$G28))</f>
        <v>0</v>
      </c>
      <c r="H73" s="62">
        <f ca="1">IF('Expenses w MYP'!$G28="","",IF('Cash Flow %s Yr3'!H73="","",'Cash Flow %s Yr3'!H73*'Expenses w MYP'!$G28))</f>
        <v>0</v>
      </c>
      <c r="I73" s="62">
        <f ca="1">IF('Expenses w MYP'!$G28="","",IF('Cash Flow %s Yr3'!I73="","",'Cash Flow %s Yr3'!I73*'Expenses w MYP'!$G28))</f>
        <v>0</v>
      </c>
      <c r="J73" s="62">
        <f ca="1">IF('Expenses w MYP'!$G28="","",IF('Cash Flow %s Yr3'!J73="","",'Cash Flow %s Yr3'!J73*'Expenses w MYP'!$G28))</f>
        <v>0</v>
      </c>
      <c r="K73" s="62">
        <f ca="1">IF('Expenses w MYP'!$G28="","",IF('Cash Flow %s Yr3'!K73="","",'Cash Flow %s Yr3'!K73*'Expenses w MYP'!$G28))</f>
        <v>0</v>
      </c>
      <c r="L73" s="62">
        <f ca="1">IF('Expenses w MYP'!$G28="","",IF('Cash Flow %s Yr3'!L73="","",'Cash Flow %s Yr3'!L73*'Expenses w MYP'!$G28))</f>
        <v>0</v>
      </c>
      <c r="M73" s="62">
        <f ca="1">IF('Expenses w MYP'!$G28="","",IF('Cash Flow %s Yr3'!M73="","",'Cash Flow %s Yr3'!M73*'Expenses w MYP'!$G28))</f>
        <v>0</v>
      </c>
      <c r="N73" s="62">
        <f ca="1">IF('Expenses w MYP'!$G28="","",IF('Cash Flow %s Yr3'!N73="","",'Cash Flow %s Yr3'!N73*'Expenses w MYP'!$G28))</f>
        <v>0</v>
      </c>
      <c r="O73" s="62">
        <f ca="1">IF('Expenses w MYP'!$G28="","",IF('Cash Flow %s Yr3'!O73="","",'Cash Flow %s Yr3'!O73*'Expenses w MYP'!$G28))</f>
        <v>0</v>
      </c>
      <c r="P73" s="113"/>
      <c r="Q73" s="113"/>
      <c r="R73" s="113"/>
      <c r="S73" s="97" t="str">
        <f ca="1">IF(SUM(D73:R73)&gt;0,SUM(D73:R73)/'Expenses w MYP'!$G28,"")</f>
        <v/>
      </c>
    </row>
    <row r="74" spans="1:19" s="31" customFormat="1" x14ac:dyDescent="0.75">
      <c r="A74" s="35"/>
      <c r="B74" s="42" t="s">
        <v>736</v>
      </c>
      <c r="C74" s="34" t="s">
        <v>719</v>
      </c>
      <c r="D74" s="153">
        <f t="shared" ref="D74:I74" ca="1" si="6">IF(SUM(D63:D73)&gt;0,SUM(D63:D73),"")</f>
        <v>29304.74166078131</v>
      </c>
      <c r="E74" s="153">
        <f t="shared" ca="1" si="6"/>
        <v>29304.74166078131</v>
      </c>
      <c r="F74" s="153">
        <f t="shared" ca="1" si="6"/>
        <v>83141.926389680404</v>
      </c>
      <c r="G74" s="153">
        <f t="shared" ca="1" si="6"/>
        <v>83141.926389680404</v>
      </c>
      <c r="H74" s="153">
        <f t="shared" ca="1" si="6"/>
        <v>83141.926389680404</v>
      </c>
      <c r="I74" s="153">
        <f t="shared" ca="1" si="6"/>
        <v>83141.926389680404</v>
      </c>
      <c r="J74" s="153">
        <f t="shared" ref="J74:R74" ca="1" si="7">IF(SUM(J63:J73)&gt;0,SUM(J63:J73),"")</f>
        <v>83141.926389680404</v>
      </c>
      <c r="K74" s="153">
        <f t="shared" ca="1" si="7"/>
        <v>83141.926389680404</v>
      </c>
      <c r="L74" s="153">
        <f t="shared" ca="1" si="7"/>
        <v>83494.995566316327</v>
      </c>
      <c r="M74" s="153">
        <f t="shared" ca="1" si="7"/>
        <v>83494.995566316327</v>
      </c>
      <c r="N74" s="153">
        <f t="shared" ca="1" si="7"/>
        <v>83494.995566316327</v>
      </c>
      <c r="O74" s="153">
        <f t="shared" ca="1" si="7"/>
        <v>83494.995566316327</v>
      </c>
      <c r="P74" s="153" t="str">
        <f t="shared" si="7"/>
        <v/>
      </c>
      <c r="Q74" s="153" t="str">
        <f t="shared" si="7"/>
        <v/>
      </c>
      <c r="R74" s="153" t="str">
        <f t="shared" si="7"/>
        <v/>
      </c>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62">
        <f ca="1">IF('Expenses w MYP'!$G32="","",IF('Cash Flow %s Yr3'!D77="","",'Cash Flow %s Yr3'!D77*'Expenses w MYP'!$G32))</f>
        <v>13425.658417597377</v>
      </c>
      <c r="E77" s="62">
        <f ca="1">IF('Expenses w MYP'!$G32="","",IF('Cash Flow %s Yr3'!E77="","",'Cash Flow %s Yr3'!E77*'Expenses w MYP'!$G32))</f>
        <v>13425.658417597377</v>
      </c>
      <c r="F77" s="62">
        <f ca="1">IF('Expenses w MYP'!$G32="","",IF('Cash Flow %s Yr3'!F77="","",'Cash Flow %s Yr3'!F77*'Expenses w MYP'!$G32))</f>
        <v>67128.292087986876</v>
      </c>
      <c r="G77" s="62">
        <f ca="1">IF('Expenses w MYP'!$G32="","",IF('Cash Flow %s Yr3'!G77="","",'Cash Flow %s Yr3'!G77*'Expenses w MYP'!$G32))</f>
        <v>67128.292087986876</v>
      </c>
      <c r="H77" s="62">
        <f ca="1">IF('Expenses w MYP'!$G32="","",IF('Cash Flow %s Yr3'!H77="","",'Cash Flow %s Yr3'!H77*'Expenses w MYP'!$G32))</f>
        <v>67128.292087986876</v>
      </c>
      <c r="I77" s="62">
        <f ca="1">IF('Expenses w MYP'!$G32="","",IF('Cash Flow %s Yr3'!I77="","",'Cash Flow %s Yr3'!I77*'Expenses w MYP'!$G32))</f>
        <v>67128.292087986876</v>
      </c>
      <c r="J77" s="62">
        <f ca="1">IF('Expenses w MYP'!$G32="","",IF('Cash Flow %s Yr3'!J77="","",'Cash Flow %s Yr3'!J77*'Expenses w MYP'!$G32))</f>
        <v>67128.292087986876</v>
      </c>
      <c r="K77" s="62">
        <f ca="1">IF('Expenses w MYP'!$G32="","",IF('Cash Flow %s Yr3'!K77="","",'Cash Flow %s Yr3'!K77*'Expenses w MYP'!$G32))</f>
        <v>67128.292087986876</v>
      </c>
      <c r="L77" s="62">
        <f ca="1">IF('Expenses w MYP'!$G32="","",IF('Cash Flow %s Yr3'!L77="","",'Cash Flow %s Yr3'!L77*'Expenses w MYP'!$G32))</f>
        <v>67128.292087986876</v>
      </c>
      <c r="M77" s="62">
        <f ca="1">IF('Expenses w MYP'!$G32="","",IF('Cash Flow %s Yr3'!M77="","",'Cash Flow %s Yr3'!M77*'Expenses w MYP'!$G32))</f>
        <v>67128.292087986876</v>
      </c>
      <c r="N77" s="62">
        <f ca="1">IF('Expenses w MYP'!$G32="","",IF('Cash Flow %s Yr3'!N77="","",'Cash Flow %s Yr3'!N77*'Expenses w MYP'!$G32))</f>
        <v>67128.292087986876</v>
      </c>
      <c r="O77" s="62">
        <f ca="1">IF('Expenses w MYP'!$G32="","",IF('Cash Flow %s Yr3'!O77="","",'Cash Flow %s Yr3'!O77*'Expenses w MYP'!$G32))</f>
        <v>40276.975252792123</v>
      </c>
      <c r="P77" s="113"/>
      <c r="Q77" s="113"/>
      <c r="R77" s="113"/>
      <c r="S77" s="97">
        <f ca="1">IF(SUM(D77:R77)&gt;0,SUM(D77:R77)/'Expenses w MYP'!$G32,"")</f>
        <v>1</v>
      </c>
    </row>
    <row r="78" spans="1:19" s="31" customFormat="1" x14ac:dyDescent="0.75">
      <c r="A78" s="35"/>
      <c r="B78" s="65" t="str">
        <f>'Expenses w MYP'!C45</f>
        <v>3602</v>
      </c>
      <c r="C78" s="65" t="str">
        <f>'Expenses w MYP'!D45</f>
        <v>Worker's Comp - Classified</v>
      </c>
      <c r="D78" s="62">
        <f ca="1">IF('Expenses w MYP'!$G45="","",IF('Cash Flow %s Yr3'!D78="","",'Cash Flow %s Yr3'!D78*'Expenses w MYP'!$G45))</f>
        <v>374.40523004846233</v>
      </c>
      <c r="E78" s="62">
        <f ca="1">IF('Expenses w MYP'!$G45="","",IF('Cash Flow %s Yr3'!E78="","",'Cash Flow %s Yr3'!E78*'Expenses w MYP'!$G45))</f>
        <v>374.40523004846233</v>
      </c>
      <c r="F78" s="62">
        <f ca="1">IF('Expenses w MYP'!$G45="","",IF('Cash Flow %s Yr3'!F78="","",'Cash Flow %s Yr3'!F78*'Expenses w MYP'!$G45))</f>
        <v>1872.0261502423118</v>
      </c>
      <c r="G78" s="62">
        <f ca="1">IF('Expenses w MYP'!$G45="","",IF('Cash Flow %s Yr3'!G78="","",'Cash Flow %s Yr3'!G78*'Expenses w MYP'!$G45))</f>
        <v>1872.0261502423118</v>
      </c>
      <c r="H78" s="62">
        <f ca="1">IF('Expenses w MYP'!$G45="","",IF('Cash Flow %s Yr3'!H78="","",'Cash Flow %s Yr3'!H78*'Expenses w MYP'!$G45))</f>
        <v>1872.0261502423118</v>
      </c>
      <c r="I78" s="62">
        <f ca="1">IF('Expenses w MYP'!$G45="","",IF('Cash Flow %s Yr3'!I78="","",'Cash Flow %s Yr3'!I78*'Expenses w MYP'!$G45))</f>
        <v>1872.0261502423118</v>
      </c>
      <c r="J78" s="62">
        <f ca="1">IF('Expenses w MYP'!$G45="","",IF('Cash Flow %s Yr3'!J78="","",'Cash Flow %s Yr3'!J78*'Expenses w MYP'!$G45))</f>
        <v>1872.0261502423118</v>
      </c>
      <c r="K78" s="62">
        <f ca="1">IF('Expenses w MYP'!$G45="","",IF('Cash Flow %s Yr3'!K78="","",'Cash Flow %s Yr3'!K78*'Expenses w MYP'!$G45))</f>
        <v>1872.0261502423118</v>
      </c>
      <c r="L78" s="62">
        <f ca="1">IF('Expenses w MYP'!$G45="","",IF('Cash Flow %s Yr3'!L78="","",'Cash Flow %s Yr3'!L78*'Expenses w MYP'!$G45))</f>
        <v>1872.0261502423118</v>
      </c>
      <c r="M78" s="62">
        <f ca="1">IF('Expenses w MYP'!$G45="","",IF('Cash Flow %s Yr3'!M78="","",'Cash Flow %s Yr3'!M78*'Expenses w MYP'!$G45))</f>
        <v>1872.0261502423118</v>
      </c>
      <c r="N78" s="62">
        <f ca="1">IF('Expenses w MYP'!$G45="","",IF('Cash Flow %s Yr3'!N78="","",'Cash Flow %s Yr3'!N78*'Expenses w MYP'!$G45))</f>
        <v>1872.0261502423118</v>
      </c>
      <c r="O78" s="62">
        <f ca="1">IF('Expenses w MYP'!$G45="","",IF('Cash Flow %s Yr3'!O78="","",'Cash Flow %s Yr3'!O78*'Expenses w MYP'!$G45))</f>
        <v>1123.215690145387</v>
      </c>
      <c r="P78" s="113"/>
      <c r="Q78" s="113"/>
      <c r="R78" s="113"/>
      <c r="S78" s="97">
        <f ca="1">IF(SUM(D78:R78)&gt;0,SUM(D78:R78)/'Expenses w MYP'!$G45,"")</f>
        <v>1.0000000000000002</v>
      </c>
    </row>
    <row r="79" spans="1:19" s="31" customFormat="1" x14ac:dyDescent="0.75">
      <c r="A79" s="35"/>
      <c r="B79" s="65" t="str">
        <f>'Expenses w MYP'!C46</f>
        <v>3603</v>
      </c>
      <c r="C79" s="65" t="str">
        <f>'Expenses w MYP'!D46</f>
        <v>Worker Compensation Insurance</v>
      </c>
      <c r="D79" s="62">
        <f ca="1">IF('Expenses w MYP'!$G46="","",IF('Cash Flow %s Yr3'!D79="","",'Cash Flow %s Yr3'!D79*'Expenses w MYP'!$G46))</f>
        <v>0</v>
      </c>
      <c r="E79" s="62">
        <f ca="1">IF('Expenses w MYP'!$G46="","",IF('Cash Flow %s Yr3'!E79="","",'Cash Flow %s Yr3'!E79*'Expenses w MYP'!$G46))</f>
        <v>0</v>
      </c>
      <c r="F79" s="62">
        <f ca="1">IF('Expenses w MYP'!$G46="","",IF('Cash Flow %s Yr3'!F79="","",'Cash Flow %s Yr3'!F79*'Expenses w MYP'!$G46))</f>
        <v>0</v>
      </c>
      <c r="G79" s="62">
        <f ca="1">IF('Expenses w MYP'!$G46="","",IF('Cash Flow %s Yr3'!G79="","",'Cash Flow %s Yr3'!G79*'Expenses w MYP'!$G46))</f>
        <v>0</v>
      </c>
      <c r="H79" s="62">
        <f ca="1">IF('Expenses w MYP'!$G46="","",IF('Cash Flow %s Yr3'!H79="","",'Cash Flow %s Yr3'!H79*'Expenses w MYP'!$G46))</f>
        <v>0</v>
      </c>
      <c r="I79" s="62">
        <f ca="1">IF('Expenses w MYP'!$G46="","",IF('Cash Flow %s Yr3'!I79="","",'Cash Flow %s Yr3'!I79*'Expenses w MYP'!$G46))</f>
        <v>0</v>
      </c>
      <c r="J79" s="62">
        <f ca="1">IF('Expenses w MYP'!$G46="","",IF('Cash Flow %s Yr3'!J79="","",'Cash Flow %s Yr3'!J79*'Expenses w MYP'!$G46))</f>
        <v>0</v>
      </c>
      <c r="K79" s="62">
        <f ca="1">IF('Expenses w MYP'!$G46="","",IF('Cash Flow %s Yr3'!K79="","",'Cash Flow %s Yr3'!K79*'Expenses w MYP'!$G46))</f>
        <v>0</v>
      </c>
      <c r="L79" s="62">
        <f ca="1">IF('Expenses w MYP'!$G46="","",IF('Cash Flow %s Yr3'!L79="","",'Cash Flow %s Yr3'!L79*'Expenses w MYP'!$G46))</f>
        <v>0</v>
      </c>
      <c r="M79" s="62">
        <f ca="1">IF('Expenses w MYP'!$G46="","",IF('Cash Flow %s Yr3'!M79="","",'Cash Flow %s Yr3'!M79*'Expenses w MYP'!$G46))</f>
        <v>0</v>
      </c>
      <c r="N79" s="62">
        <f ca="1">IF('Expenses w MYP'!$G46="","",IF('Cash Flow %s Yr3'!N79="","",'Cash Flow %s Yr3'!N79*'Expenses w MYP'!$G46))</f>
        <v>0</v>
      </c>
      <c r="O79" s="62">
        <f ca="1">IF('Expenses w MYP'!$G46="","",IF('Cash Flow %s Yr3'!O79="","",'Cash Flow %s Yr3'!O79*'Expenses w MYP'!$G46))</f>
        <v>0</v>
      </c>
      <c r="P79" s="113"/>
      <c r="Q79" s="113"/>
      <c r="R79" s="113"/>
      <c r="S79" s="97" t="str">
        <f ca="1">IF(SUM(D79:R79)&gt;0,SUM(D79:R79)/'Expenses w MYP'!$G46,"")</f>
        <v/>
      </c>
    </row>
    <row r="80" spans="1:19" s="31" customFormat="1" x14ac:dyDescent="0.75">
      <c r="A80" s="35"/>
      <c r="B80" s="65" t="str">
        <f>'Expenses w MYP'!C47</f>
        <v>3703</v>
      </c>
      <c r="C80" s="65">
        <f>'Expenses w MYP'!D47</f>
        <v>0</v>
      </c>
      <c r="D80" s="62">
        <f ca="1">IF('Expenses w MYP'!$G47="","",IF('Cash Flow %s Yr3'!D80="","",'Cash Flow %s Yr3'!D80*'Expenses w MYP'!$G47))</f>
        <v>0</v>
      </c>
      <c r="E80" s="62">
        <f ca="1">IF('Expenses w MYP'!$G47="","",IF('Cash Flow %s Yr3'!E80="","",'Cash Flow %s Yr3'!E80*'Expenses w MYP'!$G47))</f>
        <v>0</v>
      </c>
      <c r="F80" s="62">
        <f ca="1">IF('Expenses w MYP'!$G47="","",IF('Cash Flow %s Yr3'!F80="","",'Cash Flow %s Yr3'!F80*'Expenses w MYP'!$G47))</f>
        <v>0</v>
      </c>
      <c r="G80" s="62">
        <f ca="1">IF('Expenses w MYP'!$G47="","",IF('Cash Flow %s Yr3'!G80="","",'Cash Flow %s Yr3'!G80*'Expenses w MYP'!$G47))</f>
        <v>0</v>
      </c>
      <c r="H80" s="62">
        <f ca="1">IF('Expenses w MYP'!$G47="","",IF('Cash Flow %s Yr3'!H80="","",'Cash Flow %s Yr3'!H80*'Expenses w MYP'!$G47))</f>
        <v>0</v>
      </c>
      <c r="I80" s="62">
        <f ca="1">IF('Expenses w MYP'!$G47="","",IF('Cash Flow %s Yr3'!I80="","",'Cash Flow %s Yr3'!I80*'Expenses w MYP'!$G47))</f>
        <v>0</v>
      </c>
      <c r="J80" s="62">
        <f ca="1">IF('Expenses w MYP'!$G47="","",IF('Cash Flow %s Yr3'!J80="","",'Cash Flow %s Yr3'!J80*'Expenses w MYP'!$G47))</f>
        <v>0</v>
      </c>
      <c r="K80" s="62">
        <f ca="1">IF('Expenses w MYP'!$G47="","",IF('Cash Flow %s Yr3'!K80="","",'Cash Flow %s Yr3'!K80*'Expenses w MYP'!$G47))</f>
        <v>0</v>
      </c>
      <c r="L80" s="62">
        <f ca="1">IF('Expenses w MYP'!$G47="","",IF('Cash Flow %s Yr3'!L80="","",'Cash Flow %s Yr3'!L80*'Expenses w MYP'!$G47))</f>
        <v>0</v>
      </c>
      <c r="M80" s="62">
        <f ca="1">IF('Expenses w MYP'!$G47="","",IF('Cash Flow %s Yr3'!M80="","",'Cash Flow %s Yr3'!M80*'Expenses w MYP'!$G47))</f>
        <v>0</v>
      </c>
      <c r="N80" s="62">
        <f ca="1">IF('Expenses w MYP'!$G47="","",IF('Cash Flow %s Yr3'!N80="","",'Cash Flow %s Yr3'!N80*'Expenses w MYP'!$G47))</f>
        <v>0</v>
      </c>
      <c r="O80" s="62">
        <f ca="1">IF('Expenses w MYP'!$G47="","",IF('Cash Flow %s Yr3'!O80="","",'Cash Flow %s Yr3'!O80*'Expenses w MYP'!$G47))</f>
        <v>0</v>
      </c>
      <c r="P80" s="113"/>
      <c r="Q80" s="113"/>
      <c r="R80" s="113"/>
      <c r="S80" s="97" t="str">
        <f ca="1">IF(SUM(D80:R80)&gt;0,SUM(D80:R80)/'Expenses w MYP'!$G47,"")</f>
        <v/>
      </c>
    </row>
    <row r="81" spans="1:19" s="31" customFormat="1" x14ac:dyDescent="0.75">
      <c r="A81" s="35"/>
      <c r="B81" s="65" t="str">
        <f>'Expenses w MYP'!C48</f>
        <v>3901</v>
      </c>
      <c r="C81" s="65" t="str">
        <f>'Expenses w MYP'!D48</f>
        <v>Other Employee Benefits - Certificated</v>
      </c>
      <c r="D81" s="62">
        <f ca="1">IF('Expenses w MYP'!$G48="","",IF('Cash Flow %s Yr3'!D81="","",'Cash Flow %s Yr3'!D81*'Expenses w MYP'!$G48))</f>
        <v>482.79459968919889</v>
      </c>
      <c r="E81" s="62">
        <f ca="1">IF('Expenses w MYP'!$G48="","",IF('Cash Flow %s Yr3'!E81="","",'Cash Flow %s Yr3'!E81*'Expenses w MYP'!$G48))</f>
        <v>482.79459968919889</v>
      </c>
      <c r="F81" s="62">
        <f ca="1">IF('Expenses w MYP'!$G48="","",IF('Cash Flow %s Yr3'!F81="","",'Cash Flow %s Yr3'!F81*'Expenses w MYP'!$G48))</f>
        <v>2413.9729984459946</v>
      </c>
      <c r="G81" s="62">
        <f ca="1">IF('Expenses w MYP'!$G48="","",IF('Cash Flow %s Yr3'!G81="","",'Cash Flow %s Yr3'!G81*'Expenses w MYP'!$G48))</f>
        <v>2413.9729984459946</v>
      </c>
      <c r="H81" s="62">
        <f ca="1">IF('Expenses w MYP'!$G48="","",IF('Cash Flow %s Yr3'!H81="","",'Cash Flow %s Yr3'!H81*'Expenses w MYP'!$G48))</f>
        <v>2413.9729984459946</v>
      </c>
      <c r="I81" s="62">
        <f ca="1">IF('Expenses w MYP'!$G48="","",IF('Cash Flow %s Yr3'!I81="","",'Cash Flow %s Yr3'!I81*'Expenses w MYP'!$G48))</f>
        <v>2413.9729984459946</v>
      </c>
      <c r="J81" s="62">
        <f ca="1">IF('Expenses w MYP'!$G48="","",IF('Cash Flow %s Yr3'!J81="","",'Cash Flow %s Yr3'!J81*'Expenses w MYP'!$G48))</f>
        <v>2413.9729984459946</v>
      </c>
      <c r="K81" s="62">
        <f ca="1">IF('Expenses w MYP'!$G48="","",IF('Cash Flow %s Yr3'!K81="","",'Cash Flow %s Yr3'!K81*'Expenses w MYP'!$G48))</f>
        <v>2413.9729984459946</v>
      </c>
      <c r="L81" s="62">
        <f ca="1">IF('Expenses w MYP'!$G48="","",IF('Cash Flow %s Yr3'!L81="","",'Cash Flow %s Yr3'!L81*'Expenses w MYP'!$G48))</f>
        <v>2413.9729984459946</v>
      </c>
      <c r="M81" s="62">
        <f ca="1">IF('Expenses w MYP'!$G48="","",IF('Cash Flow %s Yr3'!M81="","",'Cash Flow %s Yr3'!M81*'Expenses w MYP'!$G48))</f>
        <v>2413.9729984459946</v>
      </c>
      <c r="N81" s="62">
        <f ca="1">IF('Expenses w MYP'!$G48="","",IF('Cash Flow %s Yr3'!N81="","",'Cash Flow %s Yr3'!N81*'Expenses w MYP'!$G48))</f>
        <v>2413.9729984459946</v>
      </c>
      <c r="O81" s="62">
        <f ca="1">IF('Expenses w MYP'!$G48="","",IF('Cash Flow %s Yr3'!O81="","",'Cash Flow %s Yr3'!O81*'Expenses w MYP'!$G48))</f>
        <v>1448.3837990675966</v>
      </c>
      <c r="P81" s="113"/>
      <c r="Q81" s="113"/>
      <c r="R81" s="113"/>
      <c r="S81" s="97">
        <f ca="1">IF(SUM(D81:R81)&gt;0,SUM(D81:R81)/'Expenses w MYP'!$G48,"")</f>
        <v>1.0000000000000002</v>
      </c>
    </row>
    <row r="82" spans="1:19" s="31" customFormat="1" x14ac:dyDescent="0.75">
      <c r="A82" s="35"/>
      <c r="B82" s="65" t="str">
        <f>'Expenses w MYP'!C49</f>
        <v>3902</v>
      </c>
      <c r="C82" s="65" t="str">
        <f>'Expenses w MYP'!D49</f>
        <v>Other Employee Benefits - Classified</v>
      </c>
      <c r="D82" s="62">
        <f ca="1">IF('Expenses w MYP'!$G49="","",IF('Cash Flow %s Yr3'!D82="","",'Cash Flow %s Yr3'!D82*'Expenses w MYP'!$G49))</f>
        <v>0</v>
      </c>
      <c r="E82" s="62">
        <f ca="1">IF('Expenses w MYP'!$G49="","",IF('Cash Flow %s Yr3'!E82="","",'Cash Flow %s Yr3'!E82*'Expenses w MYP'!$G49))</f>
        <v>0</v>
      </c>
      <c r="F82" s="62">
        <f ca="1">IF('Expenses w MYP'!$G49="","",IF('Cash Flow %s Yr3'!F82="","",'Cash Flow %s Yr3'!F82*'Expenses w MYP'!$G49))</f>
        <v>0</v>
      </c>
      <c r="G82" s="62">
        <f ca="1">IF('Expenses w MYP'!$G49="","",IF('Cash Flow %s Yr3'!G82="","",'Cash Flow %s Yr3'!G82*'Expenses w MYP'!$G49))</f>
        <v>0</v>
      </c>
      <c r="H82" s="62">
        <f ca="1">IF('Expenses w MYP'!$G49="","",IF('Cash Flow %s Yr3'!H82="","",'Cash Flow %s Yr3'!H82*'Expenses w MYP'!$G49))</f>
        <v>0</v>
      </c>
      <c r="I82" s="62">
        <f ca="1">IF('Expenses w MYP'!$G49="","",IF('Cash Flow %s Yr3'!I82="","",'Cash Flow %s Yr3'!I82*'Expenses w MYP'!$G49))</f>
        <v>0</v>
      </c>
      <c r="J82" s="62">
        <f ca="1">IF('Expenses w MYP'!$G49="","",IF('Cash Flow %s Yr3'!J82="","",'Cash Flow %s Yr3'!J82*'Expenses w MYP'!$G49))</f>
        <v>0</v>
      </c>
      <c r="K82" s="62">
        <f ca="1">IF('Expenses w MYP'!$G49="","",IF('Cash Flow %s Yr3'!K82="","",'Cash Flow %s Yr3'!K82*'Expenses w MYP'!$G49))</f>
        <v>0</v>
      </c>
      <c r="L82" s="62">
        <f ca="1">IF('Expenses w MYP'!$G49="","",IF('Cash Flow %s Yr3'!L82="","",'Cash Flow %s Yr3'!L82*'Expenses w MYP'!$G49))</f>
        <v>0</v>
      </c>
      <c r="M82" s="62">
        <f ca="1">IF('Expenses w MYP'!$G49="","",IF('Cash Flow %s Yr3'!M82="","",'Cash Flow %s Yr3'!M82*'Expenses w MYP'!$G49))</f>
        <v>0</v>
      </c>
      <c r="N82" s="62">
        <f ca="1">IF('Expenses w MYP'!$G49="","",IF('Cash Flow %s Yr3'!N82="","",'Cash Flow %s Yr3'!N82*'Expenses w MYP'!$G49))</f>
        <v>0</v>
      </c>
      <c r="O82" s="62">
        <f ca="1">IF('Expenses w MYP'!$G49="","",IF('Cash Flow %s Yr3'!O82="","",'Cash Flow %s Yr3'!O82*'Expenses w MYP'!$G49))</f>
        <v>0</v>
      </c>
      <c r="P82" s="113"/>
      <c r="Q82" s="113"/>
      <c r="R82" s="113"/>
      <c r="S82" s="97" t="str">
        <f ca="1">IF(SUM(D82:R82)&gt;0,SUM(D82:R82)/'Expenses w MYP'!$G49,"")</f>
        <v/>
      </c>
    </row>
    <row r="83" spans="1:19" s="31" customFormat="1" x14ac:dyDescent="0.75">
      <c r="A83" s="35"/>
      <c r="B83" s="65" t="str">
        <f>'Expenses w MYP'!C50</f>
        <v>3903</v>
      </c>
      <c r="C83" s="65" t="str">
        <f>'Expenses w MYP'!D50</f>
        <v>Other Post Employment Benefits</v>
      </c>
      <c r="D83" s="62">
        <f ca="1">IF('Expenses w MYP'!$G50="","",IF('Cash Flow %s Yr3'!D83="","",'Cash Flow %s Yr3'!D83*'Expenses w MYP'!$G50))</f>
        <v>0</v>
      </c>
      <c r="E83" s="62">
        <f ca="1">IF('Expenses w MYP'!$G50="","",IF('Cash Flow %s Yr3'!E83="","",'Cash Flow %s Yr3'!E83*'Expenses w MYP'!$G50))</f>
        <v>0</v>
      </c>
      <c r="F83" s="62">
        <f ca="1">IF('Expenses w MYP'!$G50="","",IF('Cash Flow %s Yr3'!F83="","",'Cash Flow %s Yr3'!F83*'Expenses w MYP'!$G50))</f>
        <v>0</v>
      </c>
      <c r="G83" s="62">
        <f ca="1">IF('Expenses w MYP'!$G50="","",IF('Cash Flow %s Yr3'!G83="","",'Cash Flow %s Yr3'!G83*'Expenses w MYP'!$G50))</f>
        <v>0</v>
      </c>
      <c r="H83" s="62">
        <f ca="1">IF('Expenses w MYP'!$G50="","",IF('Cash Flow %s Yr3'!H83="","",'Cash Flow %s Yr3'!H83*'Expenses w MYP'!$G50))</f>
        <v>0</v>
      </c>
      <c r="I83" s="62">
        <f ca="1">IF('Expenses w MYP'!$G50="","",IF('Cash Flow %s Yr3'!I83="","",'Cash Flow %s Yr3'!I83*'Expenses w MYP'!$G50))</f>
        <v>0</v>
      </c>
      <c r="J83" s="62">
        <f ca="1">IF('Expenses w MYP'!$G50="","",IF('Cash Flow %s Yr3'!J83="","",'Cash Flow %s Yr3'!J83*'Expenses w MYP'!$G50))</f>
        <v>0</v>
      </c>
      <c r="K83" s="62">
        <f ca="1">IF('Expenses w MYP'!$G50="","",IF('Cash Flow %s Yr3'!K83="","",'Cash Flow %s Yr3'!K83*'Expenses w MYP'!$G50))</f>
        <v>0</v>
      </c>
      <c r="L83" s="62">
        <f ca="1">IF('Expenses w MYP'!$G50="","",IF('Cash Flow %s Yr3'!L83="","",'Cash Flow %s Yr3'!L83*'Expenses w MYP'!$G50))</f>
        <v>0</v>
      </c>
      <c r="M83" s="62">
        <f ca="1">IF('Expenses w MYP'!$G50="","",IF('Cash Flow %s Yr3'!M83="","",'Cash Flow %s Yr3'!M83*'Expenses w MYP'!$G50))</f>
        <v>0</v>
      </c>
      <c r="N83" s="62">
        <f ca="1">IF('Expenses w MYP'!$G50="","",IF('Cash Flow %s Yr3'!N83="","",'Cash Flow %s Yr3'!N83*'Expenses w MYP'!$G50))</f>
        <v>0</v>
      </c>
      <c r="O83" s="62">
        <f ca="1">IF('Expenses w MYP'!$G50="","",IF('Cash Flow %s Yr3'!O83="","",'Cash Flow %s Yr3'!O83*'Expenses w MYP'!$G50))</f>
        <v>0</v>
      </c>
      <c r="P83" s="113"/>
      <c r="Q83" s="113"/>
      <c r="R83" s="113"/>
      <c r="S83" s="97" t="str">
        <f ca="1">IF(SUM(D83:R83)&gt;0,SUM(D83:R83)/'Expenses w MYP'!$G50,"")</f>
        <v/>
      </c>
    </row>
    <row r="84" spans="1:19" s="31" customFormat="1" x14ac:dyDescent="0.75">
      <c r="A84" s="35"/>
      <c r="B84" s="65">
        <f>'Expenses w MYP'!C51</f>
        <v>0</v>
      </c>
      <c r="C84" s="65">
        <f>'Expenses w MYP'!D51</f>
        <v>0</v>
      </c>
      <c r="D84" s="62" t="str">
        <f>IF('Expenses w MYP'!$G51="","",IF('Cash Flow %s Yr3'!D84="","",'Cash Flow %s Yr3'!D84*'Expenses w MYP'!$G51))</f>
        <v/>
      </c>
      <c r="E84" s="62" t="str">
        <f>IF('Expenses w MYP'!$G51="","",IF('Cash Flow %s Yr3'!E84="","",'Cash Flow %s Yr3'!E84*'Expenses w MYP'!$G51))</f>
        <v/>
      </c>
      <c r="F84" s="62" t="str">
        <f>IF('Expenses w MYP'!$G51="","",IF('Cash Flow %s Yr3'!F84="","",'Cash Flow %s Yr3'!F84*'Expenses w MYP'!$G51))</f>
        <v/>
      </c>
      <c r="G84" s="62" t="str">
        <f>IF('Expenses w MYP'!$G51="","",IF('Cash Flow %s Yr3'!G84="","",'Cash Flow %s Yr3'!G84*'Expenses w MYP'!$G51))</f>
        <v/>
      </c>
      <c r="H84" s="62" t="str">
        <f>IF('Expenses w MYP'!$G51="","",IF('Cash Flow %s Yr3'!H84="","",'Cash Flow %s Yr3'!H84*'Expenses w MYP'!$G51))</f>
        <v/>
      </c>
      <c r="I84" s="62" t="str">
        <f>IF('Expenses w MYP'!$G51="","",IF('Cash Flow %s Yr3'!I84="","",'Cash Flow %s Yr3'!I84*'Expenses w MYP'!$G51))</f>
        <v/>
      </c>
      <c r="J84" s="62" t="str">
        <f>IF('Expenses w MYP'!$G51="","",IF('Cash Flow %s Yr3'!J84="","",'Cash Flow %s Yr3'!J84*'Expenses w MYP'!$G51))</f>
        <v/>
      </c>
      <c r="K84" s="62" t="str">
        <f>IF('Expenses w MYP'!$G51="","",IF('Cash Flow %s Yr3'!K84="","",'Cash Flow %s Yr3'!K84*'Expenses w MYP'!$G51))</f>
        <v/>
      </c>
      <c r="L84" s="62" t="str">
        <f>IF('Expenses w MYP'!$G51="","",IF('Cash Flow %s Yr3'!L84="","",'Cash Flow %s Yr3'!L84*'Expenses w MYP'!$G51))</f>
        <v/>
      </c>
      <c r="M84" s="62" t="str">
        <f>IF('Expenses w MYP'!$G51="","",IF('Cash Flow %s Yr3'!M84="","",'Cash Flow %s Yr3'!M84*'Expenses w MYP'!$G51))</f>
        <v/>
      </c>
      <c r="N84" s="62" t="str">
        <f>IF('Expenses w MYP'!$G51="","",IF('Cash Flow %s Yr3'!N84="","",'Cash Flow %s Yr3'!N84*'Expenses w MYP'!$G51))</f>
        <v/>
      </c>
      <c r="O84" s="62" t="str">
        <f>IF('Expenses w MYP'!$G51="","",IF('Cash Flow %s Yr3'!O84="","",'Cash Flow %s Yr3'!O84*'Expenses w MYP'!$G51))</f>
        <v/>
      </c>
      <c r="P84" s="113"/>
      <c r="Q84" s="113"/>
      <c r="R84" s="113"/>
      <c r="S84" s="97" t="str">
        <f>IF(SUM(D84:R84)&gt;0,SUM(D84:R84)/'Expenses w MYP'!$G51,"")</f>
        <v/>
      </c>
    </row>
    <row r="85" spans="1:19" s="31" customFormat="1" x14ac:dyDescent="0.75">
      <c r="A85" s="35"/>
      <c r="B85" s="65">
        <f>'Expenses w MYP'!C52</f>
        <v>0</v>
      </c>
      <c r="C85" s="65">
        <f>'Expenses w MYP'!D52</f>
        <v>0</v>
      </c>
      <c r="D85" s="62" t="str">
        <f>IF('Expenses w MYP'!$G52="","",IF('Cash Flow %s Yr3'!D85="","",'Cash Flow %s Yr3'!D85*'Expenses w MYP'!$G52))</f>
        <v/>
      </c>
      <c r="E85" s="62" t="str">
        <f>IF('Expenses w MYP'!$G52="","",IF('Cash Flow %s Yr3'!E85="","",'Cash Flow %s Yr3'!E85*'Expenses w MYP'!$G52))</f>
        <v/>
      </c>
      <c r="F85" s="62" t="str">
        <f>IF('Expenses w MYP'!$G52="","",IF('Cash Flow %s Yr3'!F85="","",'Cash Flow %s Yr3'!F85*'Expenses w MYP'!$G52))</f>
        <v/>
      </c>
      <c r="G85" s="62" t="str">
        <f>IF('Expenses w MYP'!$G52="","",IF('Cash Flow %s Yr3'!G85="","",'Cash Flow %s Yr3'!G85*'Expenses w MYP'!$G52))</f>
        <v/>
      </c>
      <c r="H85" s="62" t="str">
        <f>IF('Expenses w MYP'!$G52="","",IF('Cash Flow %s Yr3'!H85="","",'Cash Flow %s Yr3'!H85*'Expenses w MYP'!$G52))</f>
        <v/>
      </c>
      <c r="I85" s="62" t="str">
        <f>IF('Expenses w MYP'!$G52="","",IF('Cash Flow %s Yr3'!I85="","",'Cash Flow %s Yr3'!I85*'Expenses w MYP'!$G52))</f>
        <v/>
      </c>
      <c r="J85" s="62" t="str">
        <f>IF('Expenses w MYP'!$G52="","",IF('Cash Flow %s Yr3'!J85="","",'Cash Flow %s Yr3'!J85*'Expenses w MYP'!$G52))</f>
        <v/>
      </c>
      <c r="K85" s="62" t="str">
        <f>IF('Expenses w MYP'!$G52="","",IF('Cash Flow %s Yr3'!K85="","",'Cash Flow %s Yr3'!K85*'Expenses w MYP'!$G52))</f>
        <v/>
      </c>
      <c r="L85" s="62" t="str">
        <f>IF('Expenses w MYP'!$G52="","",IF('Cash Flow %s Yr3'!L85="","",'Cash Flow %s Yr3'!L85*'Expenses w MYP'!$G52))</f>
        <v/>
      </c>
      <c r="M85" s="62" t="str">
        <f>IF('Expenses w MYP'!$G52="","",IF('Cash Flow %s Yr3'!M85="","",'Cash Flow %s Yr3'!M85*'Expenses w MYP'!$G52))</f>
        <v/>
      </c>
      <c r="N85" s="62" t="str">
        <f>IF('Expenses w MYP'!$G52="","",IF('Cash Flow %s Yr3'!N85="","",'Cash Flow %s Yr3'!N85*'Expenses w MYP'!$G52))</f>
        <v/>
      </c>
      <c r="O85" s="62" t="str">
        <f>IF('Expenses w MYP'!$G52="","",IF('Cash Flow %s Yr3'!O85="","",'Cash Flow %s Yr3'!O85*'Expenses w MYP'!$G52))</f>
        <v/>
      </c>
      <c r="P85" s="113"/>
      <c r="Q85" s="113"/>
      <c r="R85" s="113"/>
      <c r="S85" s="97" t="str">
        <f>IF(SUM(D85:R85)&gt;0,SUM(D85:R85)/'Expenses w MYP'!$G52,"")</f>
        <v/>
      </c>
    </row>
    <row r="86" spans="1:19" s="31" customFormat="1" x14ac:dyDescent="0.75">
      <c r="A86" s="35"/>
      <c r="B86" s="42" t="s">
        <v>737</v>
      </c>
      <c r="C86" s="34" t="s">
        <v>719</v>
      </c>
      <c r="D86" s="153">
        <f t="shared" ref="D86:R86" ca="1" si="8">IF(SUM(D76:D85)&gt;0,SUM(D76:D85),"")</f>
        <v>14282.858247335038</v>
      </c>
      <c r="E86" s="153">
        <f t="shared" ca="1" si="8"/>
        <v>14282.858247335038</v>
      </c>
      <c r="F86" s="153">
        <f t="shared" ca="1" si="8"/>
        <v>71414.291236675184</v>
      </c>
      <c r="G86" s="153">
        <f t="shared" ca="1" si="8"/>
        <v>71414.291236675184</v>
      </c>
      <c r="H86" s="153">
        <f t="shared" ca="1" si="8"/>
        <v>71414.291236675184</v>
      </c>
      <c r="I86" s="153">
        <f t="shared" ca="1" si="8"/>
        <v>71414.291236675184</v>
      </c>
      <c r="J86" s="153">
        <f t="shared" ca="1" si="8"/>
        <v>71414.291236675184</v>
      </c>
      <c r="K86" s="153">
        <f t="shared" ca="1" si="8"/>
        <v>71414.291236675184</v>
      </c>
      <c r="L86" s="153">
        <f t="shared" ca="1" si="8"/>
        <v>71414.291236675184</v>
      </c>
      <c r="M86" s="153">
        <f t="shared" ca="1" si="8"/>
        <v>71414.291236675184</v>
      </c>
      <c r="N86" s="153">
        <f t="shared" ca="1" si="8"/>
        <v>71414.291236675184</v>
      </c>
      <c r="O86" s="153">
        <f t="shared" ca="1" si="8"/>
        <v>42848.574742005105</v>
      </c>
      <c r="P86" s="153" t="str">
        <f t="shared" si="8"/>
        <v/>
      </c>
      <c r="Q86" s="153" t="str">
        <f t="shared" si="8"/>
        <v/>
      </c>
      <c r="R86" s="153" t="str">
        <f t="shared" si="8"/>
        <v/>
      </c>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121" t="str">
        <f>'Expenses w MYP'!C58</f>
        <v>4100</v>
      </c>
      <c r="C89" s="121" t="str">
        <f>'Expenses w MYP'!D58</f>
        <v>Approved Textbooks and Core Curricula Materials</v>
      </c>
      <c r="D89" s="62">
        <f>IF('Expenses w MYP'!$G58="","",IF('Cash Flow %s Yr3'!D89="","",'Cash Flow %s Yr3'!D89*'Expenses w MYP'!$G58))</f>
        <v>0</v>
      </c>
      <c r="E89" s="62">
        <f>IF('Expenses w MYP'!$G58="","",IF('Cash Flow %s Yr3'!E89="","",'Cash Flow %s Yr3'!E89*'Expenses w MYP'!$G58))</f>
        <v>0</v>
      </c>
      <c r="F89" s="62">
        <f>IF('Expenses w MYP'!$G58="","",IF('Cash Flow %s Yr3'!F89="","",'Cash Flow %s Yr3'!F89*'Expenses w MYP'!$G58))</f>
        <v>696642.8971378234</v>
      </c>
      <c r="G89" s="62">
        <f>IF('Expenses w MYP'!$G58="","",IF('Cash Flow %s Yr3'!G89="","",'Cash Flow %s Yr3'!G89*'Expenses w MYP'!$G58))</f>
        <v>0</v>
      </c>
      <c r="H89" s="62">
        <f>IF('Expenses w MYP'!$G58="","",IF('Cash Flow %s Yr3'!H89="","",'Cash Flow %s Yr3'!H89*'Expenses w MYP'!$G58))</f>
        <v>0</v>
      </c>
      <c r="I89" s="62">
        <f>IF('Expenses w MYP'!$G58="","",IF('Cash Flow %s Yr3'!I89="","",'Cash Flow %s Yr3'!I89*'Expenses w MYP'!$G58))</f>
        <v>0</v>
      </c>
      <c r="J89" s="62">
        <f>IF('Expenses w MYP'!$G58="","",IF('Cash Flow %s Yr3'!J89="","",'Cash Flow %s Yr3'!J89*'Expenses w MYP'!$G58))</f>
        <v>464428.5980918823</v>
      </c>
      <c r="K89" s="62">
        <f>IF('Expenses w MYP'!$G58="","",IF('Cash Flow %s Yr3'!K89="","",'Cash Flow %s Yr3'!K89*'Expenses w MYP'!$G58))</f>
        <v>0</v>
      </c>
      <c r="L89" s="62">
        <f>IF('Expenses w MYP'!$G58="","",IF('Cash Flow %s Yr3'!L89="","",'Cash Flow %s Yr3'!L89*'Expenses w MYP'!$G58))</f>
        <v>0</v>
      </c>
      <c r="M89" s="62">
        <f>IF('Expenses w MYP'!$G58="","",IF('Cash Flow %s Yr3'!M89="","",'Cash Flow %s Yr3'!M89*'Expenses w MYP'!$G58))</f>
        <v>0</v>
      </c>
      <c r="N89" s="62">
        <f>IF('Expenses w MYP'!$G58="","",IF('Cash Flow %s Yr3'!N89="","",'Cash Flow %s Yr3'!N89*'Expenses w MYP'!$G58))</f>
        <v>0</v>
      </c>
      <c r="O89" s="62">
        <f>IF('Expenses w MYP'!$G58="","",IF('Cash Flow %s Yr3'!O89="","",'Cash Flow %s Yr3'!O89*'Expenses w MYP'!$G58))</f>
        <v>0</v>
      </c>
      <c r="P89" s="113"/>
      <c r="Q89" s="113"/>
      <c r="R89" s="113"/>
      <c r="S89" s="97">
        <f>IF(SUM(D89:R89)&gt;0,SUM(D89:R89)/'Expenses w MYP'!$G58,"")</f>
        <v>1</v>
      </c>
    </row>
    <row r="90" spans="1:19" x14ac:dyDescent="0.75">
      <c r="A90" s="35"/>
      <c r="B90" s="121" t="str">
        <f>'Expenses w MYP'!C61</f>
        <v>4200</v>
      </c>
      <c r="C90" s="121" t="str">
        <f>'Expenses w MYP'!D61</f>
        <v>Books and Other Reference Materials</v>
      </c>
      <c r="D90" s="62">
        <f>IF('Expenses w MYP'!$G61="","",IF('Cash Flow %s Yr3'!D90="","",'Cash Flow %s Yr3'!D90*'Expenses w MYP'!$G61))</f>
        <v>0</v>
      </c>
      <c r="E90" s="62">
        <f>IF('Expenses w MYP'!$G61="","",IF('Cash Flow %s Yr3'!E90="","",'Cash Flow %s Yr3'!E90*'Expenses w MYP'!$G61))</f>
        <v>0</v>
      </c>
      <c r="F90" s="62">
        <f>IF('Expenses w MYP'!$G61="","",IF('Cash Flow %s Yr3'!F90="","",'Cash Flow %s Yr3'!F90*'Expenses w MYP'!$G61))</f>
        <v>11021.383868222425</v>
      </c>
      <c r="G90" s="62">
        <f>IF('Expenses w MYP'!$G61="","",IF('Cash Flow %s Yr3'!G90="","",'Cash Flow %s Yr3'!G90*'Expenses w MYP'!$G61))</f>
        <v>3673.7946227408088</v>
      </c>
      <c r="H90" s="62">
        <f>IF('Expenses w MYP'!$G61="","",IF('Cash Flow %s Yr3'!H90="","",'Cash Flow %s Yr3'!H90*'Expenses w MYP'!$G61))</f>
        <v>3673.7946227408088</v>
      </c>
      <c r="I90" s="62">
        <f>IF('Expenses w MYP'!$G61="","",IF('Cash Flow %s Yr3'!I90="","",'Cash Flow %s Yr3'!I90*'Expenses w MYP'!$G61))</f>
        <v>3673.7946227408088</v>
      </c>
      <c r="J90" s="62">
        <f>IF('Expenses w MYP'!$G61="","",IF('Cash Flow %s Yr3'!J90="","",'Cash Flow %s Yr3'!J90*'Expenses w MYP'!$G61))</f>
        <v>3673.7946227408088</v>
      </c>
      <c r="K90" s="62">
        <f>IF('Expenses w MYP'!$G61="","",IF('Cash Flow %s Yr3'!K90="","",'Cash Flow %s Yr3'!K90*'Expenses w MYP'!$G61))</f>
        <v>3673.7946227408088</v>
      </c>
      <c r="L90" s="62">
        <f>IF('Expenses w MYP'!$G61="","",IF('Cash Flow %s Yr3'!L90="","",'Cash Flow %s Yr3'!L90*'Expenses w MYP'!$G61))</f>
        <v>3673.7946227408088</v>
      </c>
      <c r="M90" s="62">
        <f>IF('Expenses w MYP'!$G61="","",IF('Cash Flow %s Yr3'!M90="","",'Cash Flow %s Yr3'!M90*'Expenses w MYP'!$G61))</f>
        <v>3673.7946227408088</v>
      </c>
      <c r="N90" s="62">
        <f>IF('Expenses w MYP'!$G61="","",IF('Cash Flow %s Yr3'!N90="","",'Cash Flow %s Yr3'!N90*'Expenses w MYP'!$G61))</f>
        <v>0</v>
      </c>
      <c r="O90" s="62">
        <f>IF('Expenses w MYP'!$G61="","",IF('Cash Flow %s Yr3'!O90="","",'Cash Flow %s Yr3'!O90*'Expenses w MYP'!$G61))</f>
        <v>0</v>
      </c>
      <c r="P90" s="113"/>
      <c r="Q90" s="113"/>
      <c r="R90" s="113"/>
      <c r="S90" s="97">
        <f>IF(SUM(D90:R90)&gt;0,SUM(D90:R90)/'Expenses w MYP'!$G61,"")</f>
        <v>1.0000000000000002</v>
      </c>
    </row>
    <row r="91" spans="1:19" x14ac:dyDescent="0.75">
      <c r="A91" s="35"/>
      <c r="B91" s="121" t="str">
        <f>'Expenses w MYP'!C63</f>
        <v>4300</v>
      </c>
      <c r="C91" s="121" t="str">
        <f>'Expenses w MYP'!D63</f>
        <v>Materials and Supplies</v>
      </c>
      <c r="D91" s="62">
        <f>IF('Expenses w MYP'!$G63="","",IF('Cash Flow %s Yr3'!D91="","",'Cash Flow %s Yr3'!D91*'Expenses w MYP'!$G63))</f>
        <v>0</v>
      </c>
      <c r="E91" s="62">
        <f>IF('Expenses w MYP'!$G63="","",IF('Cash Flow %s Yr3'!E91="","",'Cash Flow %s Yr3'!E91*'Expenses w MYP'!$G63))</f>
        <v>0</v>
      </c>
      <c r="F91" s="62">
        <f>IF('Expenses w MYP'!$G63="","",IF('Cash Flow %s Yr3'!F91="","",'Cash Flow %s Yr3'!F91*'Expenses w MYP'!$G63))</f>
        <v>2177.0634801427018</v>
      </c>
      <c r="G91" s="62">
        <f>IF('Expenses w MYP'!$G63="","",IF('Cash Flow %s Yr3'!G91="","",'Cash Flow %s Yr3'!G91*'Expenses w MYP'!$G63))</f>
        <v>1632.797610107026</v>
      </c>
      <c r="H91" s="62">
        <f>IF('Expenses w MYP'!$G63="","",IF('Cash Flow %s Yr3'!H91="","",'Cash Flow %s Yr3'!H91*'Expenses w MYP'!$G63))</f>
        <v>0</v>
      </c>
      <c r="I91" s="62">
        <f>IF('Expenses w MYP'!$G63="","",IF('Cash Flow %s Yr3'!I91="","",'Cash Flow %s Yr3'!I91*'Expenses w MYP'!$G63))</f>
        <v>0</v>
      </c>
      <c r="J91" s="62">
        <f>IF('Expenses w MYP'!$G63="","",IF('Cash Flow %s Yr3'!J91="","",'Cash Flow %s Yr3'!J91*'Expenses w MYP'!$G63))</f>
        <v>1632.797610107026</v>
      </c>
      <c r="K91" s="62">
        <f>IF('Expenses w MYP'!$G63="","",IF('Cash Flow %s Yr3'!K91="","",'Cash Flow %s Yr3'!K91*'Expenses w MYP'!$G63))</f>
        <v>0</v>
      </c>
      <c r="L91" s="62">
        <f>IF('Expenses w MYP'!$G63="","",IF('Cash Flow %s Yr3'!L91="","",'Cash Flow %s Yr3'!L91*'Expenses w MYP'!$G63))</f>
        <v>0</v>
      </c>
      <c r="M91" s="62">
        <f>IF('Expenses w MYP'!$G63="","",IF('Cash Flow %s Yr3'!M91="","",'Cash Flow %s Yr3'!M91*'Expenses w MYP'!$G63))</f>
        <v>0</v>
      </c>
      <c r="N91" s="62">
        <f>IF('Expenses w MYP'!$G63="","",IF('Cash Flow %s Yr3'!N91="","",'Cash Flow %s Yr3'!N91*'Expenses w MYP'!$G63))</f>
        <v>0</v>
      </c>
      <c r="O91" s="62">
        <f>IF('Expenses w MYP'!$G63="","",IF('Cash Flow %s Yr3'!O91="","",'Cash Flow %s Yr3'!O91*'Expenses w MYP'!$G63))</f>
        <v>0</v>
      </c>
      <c r="P91" s="113"/>
      <c r="Q91" s="113"/>
      <c r="R91" s="113"/>
      <c r="S91" s="97">
        <f>IF(SUM(D91:R91)&gt;0,SUM(D91:R91)/'Expenses w MYP'!$G63,"")</f>
        <v>1</v>
      </c>
    </row>
    <row r="92" spans="1:19" x14ac:dyDescent="0.75">
      <c r="A92" s="35"/>
      <c r="B92" s="121" t="str">
        <f>'Expenses w MYP'!C64</f>
        <v>4315</v>
      </c>
      <c r="C92" s="121" t="str">
        <f>'Expenses w MYP'!D64</f>
        <v>Classroom Materials and Supplies</v>
      </c>
      <c r="D92" s="62">
        <f>IF('Expenses w MYP'!$G64="","",IF('Cash Flow %s Yr3'!D92="","",'Cash Flow %s Yr3'!D92*'Expenses w MYP'!$G64))</f>
        <v>0</v>
      </c>
      <c r="E92" s="62">
        <f>IF('Expenses w MYP'!$G64="","",IF('Cash Flow %s Yr3'!E92="","",'Cash Flow %s Yr3'!E92*'Expenses w MYP'!$G64))</f>
        <v>0</v>
      </c>
      <c r="F92" s="62">
        <f>IF('Expenses w MYP'!$G64="","",IF('Cash Flow %s Yr3'!F92="","",'Cash Flow %s Yr3'!F92*'Expenses w MYP'!$G64))</f>
        <v>0</v>
      </c>
      <c r="G92" s="62">
        <f>IF('Expenses w MYP'!$G64="","",IF('Cash Flow %s Yr3'!G92="","",'Cash Flow %s Yr3'!G92*'Expenses w MYP'!$G64))</f>
        <v>0</v>
      </c>
      <c r="H92" s="62">
        <f>IF('Expenses w MYP'!$G64="","",IF('Cash Flow %s Yr3'!H92="","",'Cash Flow %s Yr3'!H92*'Expenses w MYP'!$G64))</f>
        <v>0</v>
      </c>
      <c r="I92" s="62">
        <f>IF('Expenses w MYP'!$G64="","",IF('Cash Flow %s Yr3'!I92="","",'Cash Flow %s Yr3'!I92*'Expenses w MYP'!$G64))</f>
        <v>0</v>
      </c>
      <c r="J92" s="62">
        <f>IF('Expenses w MYP'!$G64="","",IF('Cash Flow %s Yr3'!J92="","",'Cash Flow %s Yr3'!J92*'Expenses w MYP'!$G64))</f>
        <v>0</v>
      </c>
      <c r="K92" s="62">
        <f>IF('Expenses w MYP'!$G64="","",IF('Cash Flow %s Yr3'!K92="","",'Cash Flow %s Yr3'!K92*'Expenses w MYP'!$G64))</f>
        <v>0</v>
      </c>
      <c r="L92" s="62">
        <f>IF('Expenses w MYP'!$G64="","",IF('Cash Flow %s Yr3'!L92="","",'Cash Flow %s Yr3'!L92*'Expenses w MYP'!$G64))</f>
        <v>0</v>
      </c>
      <c r="M92" s="62">
        <f>IF('Expenses w MYP'!$G64="","",IF('Cash Flow %s Yr3'!M92="","",'Cash Flow %s Yr3'!M92*'Expenses w MYP'!$G64))</f>
        <v>0</v>
      </c>
      <c r="N92" s="62">
        <f>IF('Expenses w MYP'!$G64="","",IF('Cash Flow %s Yr3'!N92="","",'Cash Flow %s Yr3'!N92*'Expenses w MYP'!$G64))</f>
        <v>0</v>
      </c>
      <c r="O92" s="62">
        <f>IF('Expenses w MYP'!$G64="","",IF('Cash Flow %s Yr3'!O92="","",'Cash Flow %s Yr3'!O92*'Expenses w MYP'!$G64))</f>
        <v>0</v>
      </c>
      <c r="P92" s="113"/>
      <c r="Q92" s="113"/>
      <c r="R92" s="113"/>
      <c r="S92" s="97" t="str">
        <f>IF(SUM(D92:R92)&gt;0,SUM(D92:R92)/'Expenses w MYP'!$G64,"")</f>
        <v/>
      </c>
    </row>
    <row r="93" spans="1:19" x14ac:dyDescent="0.75">
      <c r="A93" s="35"/>
      <c r="B93" s="121" t="str">
        <f>'Expenses w MYP'!C65</f>
        <v>4381</v>
      </c>
      <c r="C93" s="121" t="str">
        <f>'Expenses w MYP'!D65</f>
        <v>Materials for Plant &amp; Equipment</v>
      </c>
      <c r="D93" s="62">
        <f>IF('Expenses w MYP'!$G65="","",IF('Cash Flow %s Yr3'!D93="","",'Cash Flow %s Yr3'!D93*'Expenses w MYP'!$G65))</f>
        <v>0</v>
      </c>
      <c r="E93" s="62">
        <f>IF('Expenses w MYP'!$G65="","",IF('Cash Flow %s Yr3'!E93="","",'Cash Flow %s Yr3'!E93*'Expenses w MYP'!$G65))</f>
        <v>0</v>
      </c>
      <c r="F93" s="62">
        <f>IF('Expenses w MYP'!$G65="","",IF('Cash Flow %s Yr3'!F93="","",'Cash Flow %s Yr3'!F93*'Expenses w MYP'!$G65))</f>
        <v>0</v>
      </c>
      <c r="G93" s="62">
        <f>IF('Expenses w MYP'!$G65="","",IF('Cash Flow %s Yr3'!G93="","",'Cash Flow %s Yr3'!G93*'Expenses w MYP'!$G65))</f>
        <v>0</v>
      </c>
      <c r="H93" s="62">
        <f>IF('Expenses w MYP'!$G65="","",IF('Cash Flow %s Yr3'!H93="","",'Cash Flow %s Yr3'!H93*'Expenses w MYP'!$G65))</f>
        <v>0</v>
      </c>
      <c r="I93" s="62">
        <f>IF('Expenses w MYP'!$G65="","",IF('Cash Flow %s Yr3'!I93="","",'Cash Flow %s Yr3'!I93*'Expenses w MYP'!$G65))</f>
        <v>0</v>
      </c>
      <c r="J93" s="62">
        <f>IF('Expenses w MYP'!$G65="","",IF('Cash Flow %s Yr3'!J93="","",'Cash Flow %s Yr3'!J93*'Expenses w MYP'!$G65))</f>
        <v>0</v>
      </c>
      <c r="K93" s="62">
        <f>IF('Expenses w MYP'!$G65="","",IF('Cash Flow %s Yr3'!K93="","",'Cash Flow %s Yr3'!K93*'Expenses w MYP'!$G65))</f>
        <v>0</v>
      </c>
      <c r="L93" s="62">
        <f>IF('Expenses w MYP'!$G65="","",IF('Cash Flow %s Yr3'!L93="","",'Cash Flow %s Yr3'!L93*'Expenses w MYP'!$G65))</f>
        <v>0</v>
      </c>
      <c r="M93" s="62">
        <f>IF('Expenses w MYP'!$G65="","",IF('Cash Flow %s Yr3'!M93="","",'Cash Flow %s Yr3'!M93*'Expenses w MYP'!$G65))</f>
        <v>0</v>
      </c>
      <c r="N93" s="62">
        <f>IF('Expenses w MYP'!$G65="","",IF('Cash Flow %s Yr3'!N93="","",'Cash Flow %s Yr3'!N93*'Expenses w MYP'!$G65))</f>
        <v>0</v>
      </c>
      <c r="O93" s="62">
        <f>IF('Expenses w MYP'!$G65="","",IF('Cash Flow %s Yr3'!O93="","",'Cash Flow %s Yr3'!O93*'Expenses w MYP'!$G65))</f>
        <v>0</v>
      </c>
      <c r="P93" s="113"/>
      <c r="Q93" s="113"/>
      <c r="R93" s="113"/>
      <c r="S93" s="97" t="str">
        <f>IF(SUM(D93:R93)&gt;0,SUM(D93:R93)/'Expenses w MYP'!$G65,"")</f>
        <v/>
      </c>
    </row>
    <row r="94" spans="1:19" x14ac:dyDescent="0.75">
      <c r="A94" s="35"/>
      <c r="B94" s="121" t="str">
        <f>'Expenses w MYP'!C66</f>
        <v>4400</v>
      </c>
      <c r="C94" s="121" t="str">
        <f>'Expenses w MYP'!D66</f>
        <v>Noncapitalized Equipment</v>
      </c>
      <c r="D94" s="62">
        <f>IF('Expenses w MYP'!$G66="","",IF('Cash Flow %s Yr3'!D94="","",'Cash Flow %s Yr3'!D94*'Expenses w MYP'!$G66))</f>
        <v>0</v>
      </c>
      <c r="E94" s="62">
        <f>IF('Expenses w MYP'!$G66="","",IF('Cash Flow %s Yr3'!E94="","",'Cash Flow %s Yr3'!E94*'Expenses w MYP'!$G66))</f>
        <v>0</v>
      </c>
      <c r="F94" s="62">
        <f>IF('Expenses w MYP'!$G66="","",IF('Cash Flow %s Yr3'!F94="","",'Cash Flow %s Yr3'!F94*'Expenses w MYP'!$G66))</f>
        <v>31839.553397087009</v>
      </c>
      <c r="G94" s="62">
        <f>IF('Expenses w MYP'!$G66="","",IF('Cash Flow %s Yr3'!G94="","",'Cash Flow %s Yr3'!G94*'Expenses w MYP'!$G66))</f>
        <v>0</v>
      </c>
      <c r="H94" s="62">
        <f>IF('Expenses w MYP'!$G66="","",IF('Cash Flow %s Yr3'!H94="","",'Cash Flow %s Yr3'!H94*'Expenses w MYP'!$G66))</f>
        <v>0</v>
      </c>
      <c r="I94" s="62">
        <f>IF('Expenses w MYP'!$G66="","",IF('Cash Flow %s Yr3'!I94="","",'Cash Flow %s Yr3'!I94*'Expenses w MYP'!$G66))</f>
        <v>0</v>
      </c>
      <c r="J94" s="62">
        <f>IF('Expenses w MYP'!$G66="","",IF('Cash Flow %s Yr3'!J94="","",'Cash Flow %s Yr3'!J94*'Expenses w MYP'!$G66))</f>
        <v>21226.368931391342</v>
      </c>
      <c r="K94" s="62">
        <f>IF('Expenses w MYP'!$G66="","",IF('Cash Flow %s Yr3'!K94="","",'Cash Flow %s Yr3'!K94*'Expenses w MYP'!$G66))</f>
        <v>0</v>
      </c>
      <c r="L94" s="62">
        <f>IF('Expenses w MYP'!$G66="","",IF('Cash Flow %s Yr3'!L94="","",'Cash Flow %s Yr3'!L94*'Expenses w MYP'!$G66))</f>
        <v>0</v>
      </c>
      <c r="M94" s="62">
        <f>IF('Expenses w MYP'!$G66="","",IF('Cash Flow %s Yr3'!M94="","",'Cash Flow %s Yr3'!M94*'Expenses w MYP'!$G66))</f>
        <v>0</v>
      </c>
      <c r="N94" s="62">
        <f>IF('Expenses w MYP'!$G66="","",IF('Cash Flow %s Yr3'!N94="","",'Cash Flow %s Yr3'!N94*'Expenses w MYP'!$G66))</f>
        <v>0</v>
      </c>
      <c r="O94" s="62">
        <f>IF('Expenses w MYP'!$G66="","",IF('Cash Flow %s Yr3'!O94="","",'Cash Flow %s Yr3'!O94*'Expenses w MYP'!$G66))</f>
        <v>0</v>
      </c>
      <c r="P94" s="113"/>
      <c r="Q94" s="113"/>
      <c r="R94" s="113"/>
      <c r="S94" s="97">
        <f>IF(SUM(D94:R94)&gt;0,SUM(D94:R94)/'Expenses w MYP'!$G66,"")</f>
        <v>1</v>
      </c>
    </row>
    <row r="95" spans="1:19" hidden="1" outlineLevel="1" x14ac:dyDescent="0.75">
      <c r="A95" s="35"/>
      <c r="B95" s="121" t="str">
        <f>'Expenses w MYP'!C68</f>
        <v>4430</v>
      </c>
      <c r="C95" s="121" t="str">
        <f>'Expenses w MYP'!D68</f>
        <v>General Student Equipment</v>
      </c>
      <c r="D95" s="62">
        <f>IF('Expenses w MYP'!$G68="","",IF('Cash Flow %s Yr3'!D95="","",'Cash Flow %s Yr3'!D95*'Expenses w MYP'!$G68))</f>
        <v>0</v>
      </c>
      <c r="E95" s="62">
        <f>IF('Expenses w MYP'!$G68="","",IF('Cash Flow %s Yr3'!E95="","",'Cash Flow %s Yr3'!E95*'Expenses w MYP'!$G68))</f>
        <v>0</v>
      </c>
      <c r="F95" s="62">
        <f>IF('Expenses w MYP'!$G68="","",IF('Cash Flow %s Yr3'!F95="","",'Cash Flow %s Yr3'!F95*'Expenses w MYP'!$G68))</f>
        <v>204.09970126337828</v>
      </c>
      <c r="G95" s="62">
        <f>IF('Expenses w MYP'!$G68="","",IF('Cash Flow %s Yr3'!G95="","",'Cash Flow %s Yr3'!G95*'Expenses w MYP'!$G68))</f>
        <v>204.09970126337828</v>
      </c>
      <c r="H95" s="62">
        <f>IF('Expenses w MYP'!$G68="","",IF('Cash Flow %s Yr3'!H95="","",'Cash Flow %s Yr3'!H95*'Expenses w MYP'!$G68))</f>
        <v>204.09970126337828</v>
      </c>
      <c r="I95" s="62">
        <f>IF('Expenses w MYP'!$G68="","",IF('Cash Flow %s Yr3'!I95="","",'Cash Flow %s Yr3'!I95*'Expenses w MYP'!$G68))</f>
        <v>204.09970126337828</v>
      </c>
      <c r="J95" s="62">
        <f>IF('Expenses w MYP'!$G68="","",IF('Cash Flow %s Yr3'!J95="","",'Cash Flow %s Yr3'!J95*'Expenses w MYP'!$G68))</f>
        <v>204.09970126337828</v>
      </c>
      <c r="K95" s="62">
        <f>IF('Expenses w MYP'!$G68="","",IF('Cash Flow %s Yr3'!K95="","",'Cash Flow %s Yr3'!K95*'Expenses w MYP'!$G68))</f>
        <v>204.09970126337828</v>
      </c>
      <c r="L95" s="62">
        <f>IF('Expenses w MYP'!$G68="","",IF('Cash Flow %s Yr3'!L95="","",'Cash Flow %s Yr3'!L95*'Expenses w MYP'!$G68))</f>
        <v>204.09970126337828</v>
      </c>
      <c r="M95" s="62">
        <f>IF('Expenses w MYP'!$G68="","",IF('Cash Flow %s Yr3'!M95="","",'Cash Flow %s Yr3'!M95*'Expenses w MYP'!$G68))</f>
        <v>204.09970126337828</v>
      </c>
      <c r="N95" s="62">
        <f>IF('Expenses w MYP'!$G68="","",IF('Cash Flow %s Yr3'!N95="","",'Cash Flow %s Yr3'!N95*'Expenses w MYP'!$G68))</f>
        <v>204.09970126337828</v>
      </c>
      <c r="O95" s="62">
        <f>IF('Expenses w MYP'!$G68="","",IF('Cash Flow %s Yr3'!O95="","",'Cash Flow %s Yr3'!O95*'Expenses w MYP'!$G68))</f>
        <v>204.09970126337828</v>
      </c>
      <c r="P95" s="113"/>
      <c r="Q95" s="113"/>
      <c r="R95" s="113"/>
      <c r="S95" s="97"/>
    </row>
    <row r="96" spans="1:19" hidden="1" outlineLevel="1" x14ac:dyDescent="0.75">
      <c r="A96" s="35"/>
      <c r="B96" s="121" t="e">
        <f>'Expenses w MYP'!#REF!</f>
        <v>#REF!</v>
      </c>
      <c r="C96" s="121" t="e">
        <f>'Expenses w MYP'!#REF!</f>
        <v>#REF!</v>
      </c>
      <c r="D96" s="62" t="e">
        <f>IF('Expenses w MYP'!#REF!="","",IF('Cash Flow %s Yr3'!D96="","",'Cash Flow %s Yr3'!D96*'Expenses w MYP'!#REF!))</f>
        <v>#REF!</v>
      </c>
      <c r="E96" s="62" t="e">
        <f>IF('Expenses w MYP'!#REF!="","",IF('Cash Flow %s Yr3'!E96="","",'Cash Flow %s Yr3'!E96*'Expenses w MYP'!#REF!))</f>
        <v>#REF!</v>
      </c>
      <c r="F96" s="62" t="e">
        <f>IF('Expenses w MYP'!#REF!="","",IF('Cash Flow %s Yr3'!F96="","",'Cash Flow %s Yr3'!F96*'Expenses w MYP'!#REF!))</f>
        <v>#REF!</v>
      </c>
      <c r="G96" s="62" t="e">
        <f>IF('Expenses w MYP'!#REF!="","",IF('Cash Flow %s Yr3'!G96="","",'Cash Flow %s Yr3'!G96*'Expenses w MYP'!#REF!))</f>
        <v>#REF!</v>
      </c>
      <c r="H96" s="62" t="e">
        <f>IF('Expenses w MYP'!#REF!="","",IF('Cash Flow %s Yr3'!H96="","",'Cash Flow %s Yr3'!H96*'Expenses w MYP'!#REF!))</f>
        <v>#REF!</v>
      </c>
      <c r="I96" s="62" t="e">
        <f>IF('Expenses w MYP'!#REF!="","",IF('Cash Flow %s Yr3'!I96="","",'Cash Flow %s Yr3'!I96*'Expenses w MYP'!#REF!))</f>
        <v>#REF!</v>
      </c>
      <c r="J96" s="62" t="e">
        <f>IF('Expenses w MYP'!#REF!="","",IF('Cash Flow %s Yr3'!J96="","",'Cash Flow %s Yr3'!J96*'Expenses w MYP'!#REF!))</f>
        <v>#REF!</v>
      </c>
      <c r="K96" s="62" t="e">
        <f>IF('Expenses w MYP'!#REF!="","",IF('Cash Flow %s Yr3'!K96="","",'Cash Flow %s Yr3'!K96*'Expenses w MYP'!#REF!))</f>
        <v>#REF!</v>
      </c>
      <c r="L96" s="62" t="e">
        <f>IF('Expenses w MYP'!#REF!="","",IF('Cash Flow %s Yr3'!L96="","",'Cash Flow %s Yr3'!L96*'Expenses w MYP'!#REF!))</f>
        <v>#REF!</v>
      </c>
      <c r="M96" s="62" t="e">
        <f>IF('Expenses w MYP'!#REF!="","",IF('Cash Flow %s Yr3'!M96="","",'Cash Flow %s Yr3'!M96*'Expenses w MYP'!#REF!))</f>
        <v>#REF!</v>
      </c>
      <c r="N96" s="62" t="e">
        <f>IF('Expenses w MYP'!#REF!="","",IF('Cash Flow %s Yr3'!N96="","",'Cash Flow %s Yr3'!N96*'Expenses w MYP'!#REF!))</f>
        <v>#REF!</v>
      </c>
      <c r="O96" s="62" t="e">
        <f>IF('Expenses w MYP'!#REF!="","",IF('Cash Flow %s Yr3'!O96="","",'Cash Flow %s Yr3'!O96*'Expenses w MYP'!#REF!))</f>
        <v>#REF!</v>
      </c>
      <c r="P96" s="113"/>
      <c r="Q96" s="113"/>
      <c r="R96" s="113"/>
      <c r="S96" s="97"/>
    </row>
    <row r="97" spans="1:19" hidden="1" outlineLevel="1" x14ac:dyDescent="0.75">
      <c r="A97" s="35"/>
      <c r="B97" s="121" t="e">
        <f>'Expenses w MYP'!#REF!</f>
        <v>#REF!</v>
      </c>
      <c r="C97" s="121" t="e">
        <f>'Expenses w MYP'!#REF!</f>
        <v>#REF!</v>
      </c>
      <c r="D97" s="62" t="e">
        <f>IF('Expenses w MYP'!#REF!="","",IF('Cash Flow %s Yr3'!D97="","",'Cash Flow %s Yr3'!D97*'Expenses w MYP'!#REF!))</f>
        <v>#REF!</v>
      </c>
      <c r="E97" s="62" t="e">
        <f>IF('Expenses w MYP'!#REF!="","",IF('Cash Flow %s Yr3'!E97="","",'Cash Flow %s Yr3'!E97*'Expenses w MYP'!#REF!))</f>
        <v>#REF!</v>
      </c>
      <c r="F97" s="62" t="e">
        <f>IF('Expenses w MYP'!#REF!="","",IF('Cash Flow %s Yr3'!F97="","",'Cash Flow %s Yr3'!F97*'Expenses w MYP'!#REF!))</f>
        <v>#REF!</v>
      </c>
      <c r="G97" s="62" t="e">
        <f>IF('Expenses w MYP'!#REF!="","",IF('Cash Flow %s Yr3'!G97="","",'Cash Flow %s Yr3'!G97*'Expenses w MYP'!#REF!))</f>
        <v>#REF!</v>
      </c>
      <c r="H97" s="62" t="e">
        <f>IF('Expenses w MYP'!#REF!="","",IF('Cash Flow %s Yr3'!H97="","",'Cash Flow %s Yr3'!H97*'Expenses w MYP'!#REF!))</f>
        <v>#REF!</v>
      </c>
      <c r="I97" s="62" t="e">
        <f>IF('Expenses w MYP'!#REF!="","",IF('Cash Flow %s Yr3'!I97="","",'Cash Flow %s Yr3'!I97*'Expenses w MYP'!#REF!))</f>
        <v>#REF!</v>
      </c>
      <c r="J97" s="62" t="e">
        <f>IF('Expenses w MYP'!#REF!="","",IF('Cash Flow %s Yr3'!J97="","",'Cash Flow %s Yr3'!J97*'Expenses w MYP'!#REF!))</f>
        <v>#REF!</v>
      </c>
      <c r="K97" s="62" t="e">
        <f>IF('Expenses w MYP'!#REF!="","",IF('Cash Flow %s Yr3'!K97="","",'Cash Flow %s Yr3'!K97*'Expenses w MYP'!#REF!))</f>
        <v>#REF!</v>
      </c>
      <c r="L97" s="62" t="e">
        <f>IF('Expenses w MYP'!#REF!="","",IF('Cash Flow %s Yr3'!L97="","",'Cash Flow %s Yr3'!L97*'Expenses w MYP'!#REF!))</f>
        <v>#REF!</v>
      </c>
      <c r="M97" s="62" t="e">
        <f>IF('Expenses w MYP'!#REF!="","",IF('Cash Flow %s Yr3'!M97="","",'Cash Flow %s Yr3'!M97*'Expenses w MYP'!#REF!))</f>
        <v>#REF!</v>
      </c>
      <c r="N97" s="62" t="e">
        <f>IF('Expenses w MYP'!#REF!="","",IF('Cash Flow %s Yr3'!N97="","",'Cash Flow %s Yr3'!N97*'Expenses w MYP'!#REF!))</f>
        <v>#REF!</v>
      </c>
      <c r="O97" s="62" t="e">
        <f>IF('Expenses w MYP'!#REF!="","",IF('Cash Flow %s Yr3'!O97="","",'Cash Flow %s Yr3'!O97*'Expenses w MYP'!#REF!))</f>
        <v>#REF!</v>
      </c>
      <c r="P97" s="113"/>
      <c r="Q97" s="113"/>
      <c r="R97" s="113"/>
      <c r="S97" s="97"/>
    </row>
    <row r="98" spans="1:19" hidden="1" outlineLevel="1" x14ac:dyDescent="0.75">
      <c r="A98" s="35"/>
      <c r="B98" s="121" t="e">
        <f>'Expenses w MYP'!#REF!</f>
        <v>#REF!</v>
      </c>
      <c r="C98" s="121" t="e">
        <f>'Expenses w MYP'!#REF!</f>
        <v>#REF!</v>
      </c>
      <c r="D98" s="62" t="e">
        <f>IF('Expenses w MYP'!#REF!="","",IF('Cash Flow %s Yr3'!D98="","",'Cash Flow %s Yr3'!D98*'Expenses w MYP'!#REF!))</f>
        <v>#REF!</v>
      </c>
      <c r="E98" s="62" t="e">
        <f>IF('Expenses w MYP'!#REF!="","",IF('Cash Flow %s Yr3'!E98="","",'Cash Flow %s Yr3'!E98*'Expenses w MYP'!#REF!))</f>
        <v>#REF!</v>
      </c>
      <c r="F98" s="62" t="e">
        <f>IF('Expenses w MYP'!#REF!="","",IF('Cash Flow %s Yr3'!F98="","",'Cash Flow %s Yr3'!F98*'Expenses w MYP'!#REF!))</f>
        <v>#REF!</v>
      </c>
      <c r="G98" s="62" t="e">
        <f>IF('Expenses w MYP'!#REF!="","",IF('Cash Flow %s Yr3'!G98="","",'Cash Flow %s Yr3'!G98*'Expenses w MYP'!#REF!))</f>
        <v>#REF!</v>
      </c>
      <c r="H98" s="62" t="e">
        <f>IF('Expenses w MYP'!#REF!="","",IF('Cash Flow %s Yr3'!H98="","",'Cash Flow %s Yr3'!H98*'Expenses w MYP'!#REF!))</f>
        <v>#REF!</v>
      </c>
      <c r="I98" s="62" t="e">
        <f>IF('Expenses w MYP'!#REF!="","",IF('Cash Flow %s Yr3'!I98="","",'Cash Flow %s Yr3'!I98*'Expenses w MYP'!#REF!))</f>
        <v>#REF!</v>
      </c>
      <c r="J98" s="62" t="e">
        <f>IF('Expenses w MYP'!#REF!="","",IF('Cash Flow %s Yr3'!J98="","",'Cash Flow %s Yr3'!J98*'Expenses w MYP'!#REF!))</f>
        <v>#REF!</v>
      </c>
      <c r="K98" s="62" t="e">
        <f>IF('Expenses w MYP'!#REF!="","",IF('Cash Flow %s Yr3'!K98="","",'Cash Flow %s Yr3'!K98*'Expenses w MYP'!#REF!))</f>
        <v>#REF!</v>
      </c>
      <c r="L98" s="62" t="e">
        <f>IF('Expenses w MYP'!#REF!="","",IF('Cash Flow %s Yr3'!L98="","",'Cash Flow %s Yr3'!L98*'Expenses w MYP'!#REF!))</f>
        <v>#REF!</v>
      </c>
      <c r="M98" s="62" t="e">
        <f>IF('Expenses w MYP'!#REF!="","",IF('Cash Flow %s Yr3'!M98="","",'Cash Flow %s Yr3'!M98*'Expenses w MYP'!#REF!))</f>
        <v>#REF!</v>
      </c>
      <c r="N98" s="62" t="e">
        <f>IF('Expenses w MYP'!#REF!="","",IF('Cash Flow %s Yr3'!N98="","",'Cash Flow %s Yr3'!N98*'Expenses w MYP'!#REF!))</f>
        <v>#REF!</v>
      </c>
      <c r="O98" s="62" t="e">
        <f>IF('Expenses w MYP'!#REF!="","",IF('Cash Flow %s Yr3'!O98="","",'Cash Flow %s Yr3'!O98*'Expenses w MYP'!#REF!))</f>
        <v>#REF!</v>
      </c>
      <c r="P98" s="113"/>
      <c r="Q98" s="113"/>
      <c r="R98" s="113"/>
      <c r="S98" s="97"/>
    </row>
    <row r="99" spans="1:19" hidden="1" outlineLevel="1" x14ac:dyDescent="0.75">
      <c r="A99" s="35"/>
      <c r="B99" s="121" t="e">
        <f>'Expenses w MYP'!#REF!</f>
        <v>#REF!</v>
      </c>
      <c r="C99" s="121" t="e">
        <f>'Expenses w MYP'!#REF!</f>
        <v>#REF!</v>
      </c>
      <c r="D99" s="62" t="e">
        <f>IF('Expenses w MYP'!#REF!="","",IF('Cash Flow %s Yr3'!D99="","",'Cash Flow %s Yr3'!D99*'Expenses w MYP'!#REF!))</f>
        <v>#REF!</v>
      </c>
      <c r="E99" s="62" t="e">
        <f>IF('Expenses w MYP'!#REF!="","",IF('Cash Flow %s Yr3'!E99="","",'Cash Flow %s Yr3'!E99*'Expenses w MYP'!#REF!))</f>
        <v>#REF!</v>
      </c>
      <c r="F99" s="62" t="e">
        <f>IF('Expenses w MYP'!#REF!="","",IF('Cash Flow %s Yr3'!F99="","",'Cash Flow %s Yr3'!F99*'Expenses w MYP'!#REF!))</f>
        <v>#REF!</v>
      </c>
      <c r="G99" s="62" t="e">
        <f>IF('Expenses w MYP'!#REF!="","",IF('Cash Flow %s Yr3'!G99="","",'Cash Flow %s Yr3'!G99*'Expenses w MYP'!#REF!))</f>
        <v>#REF!</v>
      </c>
      <c r="H99" s="62" t="e">
        <f>IF('Expenses w MYP'!#REF!="","",IF('Cash Flow %s Yr3'!H99="","",'Cash Flow %s Yr3'!H99*'Expenses w MYP'!#REF!))</f>
        <v>#REF!</v>
      </c>
      <c r="I99" s="62" t="e">
        <f>IF('Expenses w MYP'!#REF!="","",IF('Cash Flow %s Yr3'!I99="","",'Cash Flow %s Yr3'!I99*'Expenses w MYP'!#REF!))</f>
        <v>#REF!</v>
      </c>
      <c r="J99" s="62" t="e">
        <f>IF('Expenses w MYP'!#REF!="","",IF('Cash Flow %s Yr3'!J99="","",'Cash Flow %s Yr3'!J99*'Expenses w MYP'!#REF!))</f>
        <v>#REF!</v>
      </c>
      <c r="K99" s="62" t="e">
        <f>IF('Expenses w MYP'!#REF!="","",IF('Cash Flow %s Yr3'!K99="","",'Cash Flow %s Yr3'!K99*'Expenses w MYP'!#REF!))</f>
        <v>#REF!</v>
      </c>
      <c r="L99" s="62" t="e">
        <f>IF('Expenses w MYP'!#REF!="","",IF('Cash Flow %s Yr3'!L99="","",'Cash Flow %s Yr3'!L99*'Expenses w MYP'!#REF!))</f>
        <v>#REF!</v>
      </c>
      <c r="M99" s="62" t="e">
        <f>IF('Expenses w MYP'!#REF!="","",IF('Cash Flow %s Yr3'!M99="","",'Cash Flow %s Yr3'!M99*'Expenses w MYP'!#REF!))</f>
        <v>#REF!</v>
      </c>
      <c r="N99" s="62" t="e">
        <f>IF('Expenses w MYP'!#REF!="","",IF('Cash Flow %s Yr3'!N99="","",'Cash Flow %s Yr3'!N99*'Expenses w MYP'!#REF!))</f>
        <v>#REF!</v>
      </c>
      <c r="O99" s="62" t="e">
        <f>IF('Expenses w MYP'!#REF!="","",IF('Cash Flow %s Yr3'!O99="","",'Cash Flow %s Yr3'!O99*'Expenses w MYP'!#REF!))</f>
        <v>#REF!</v>
      </c>
      <c r="P99" s="113"/>
      <c r="Q99" s="113"/>
      <c r="R99" s="113"/>
      <c r="S99" s="97"/>
    </row>
    <row r="100" spans="1:19" hidden="1" outlineLevel="1" x14ac:dyDescent="0.75">
      <c r="A100" s="35"/>
      <c r="B100" s="121" t="e">
        <f>'Expenses w MYP'!#REF!</f>
        <v>#REF!</v>
      </c>
      <c r="C100" s="121" t="e">
        <f>'Expenses w MYP'!#REF!</f>
        <v>#REF!</v>
      </c>
      <c r="D100" s="62" t="e">
        <f>IF('Expenses w MYP'!#REF!="","",IF('Cash Flow %s Yr3'!D100="","",'Cash Flow %s Yr3'!D100*'Expenses w MYP'!#REF!))</f>
        <v>#REF!</v>
      </c>
      <c r="E100" s="62" t="e">
        <f>IF('Expenses w MYP'!#REF!="","",IF('Cash Flow %s Yr3'!E100="","",'Cash Flow %s Yr3'!E100*'Expenses w MYP'!#REF!))</f>
        <v>#REF!</v>
      </c>
      <c r="F100" s="62" t="e">
        <f>IF('Expenses w MYP'!#REF!="","",IF('Cash Flow %s Yr3'!F100="","",'Cash Flow %s Yr3'!F100*'Expenses w MYP'!#REF!))</f>
        <v>#REF!</v>
      </c>
      <c r="G100" s="62" t="e">
        <f>IF('Expenses w MYP'!#REF!="","",IF('Cash Flow %s Yr3'!G100="","",'Cash Flow %s Yr3'!G100*'Expenses w MYP'!#REF!))</f>
        <v>#REF!</v>
      </c>
      <c r="H100" s="62" t="e">
        <f>IF('Expenses w MYP'!#REF!="","",IF('Cash Flow %s Yr3'!H100="","",'Cash Flow %s Yr3'!H100*'Expenses w MYP'!#REF!))</f>
        <v>#REF!</v>
      </c>
      <c r="I100" s="62" t="e">
        <f>IF('Expenses w MYP'!#REF!="","",IF('Cash Flow %s Yr3'!I100="","",'Cash Flow %s Yr3'!I100*'Expenses w MYP'!#REF!))</f>
        <v>#REF!</v>
      </c>
      <c r="J100" s="62" t="e">
        <f>IF('Expenses w MYP'!#REF!="","",IF('Cash Flow %s Yr3'!J100="","",'Cash Flow %s Yr3'!J100*'Expenses w MYP'!#REF!))</f>
        <v>#REF!</v>
      </c>
      <c r="K100" s="62" t="e">
        <f>IF('Expenses w MYP'!#REF!="","",IF('Cash Flow %s Yr3'!K100="","",'Cash Flow %s Yr3'!K100*'Expenses w MYP'!#REF!))</f>
        <v>#REF!</v>
      </c>
      <c r="L100" s="62" t="e">
        <f>IF('Expenses w MYP'!#REF!="","",IF('Cash Flow %s Yr3'!L100="","",'Cash Flow %s Yr3'!L100*'Expenses w MYP'!#REF!))</f>
        <v>#REF!</v>
      </c>
      <c r="M100" s="62" t="e">
        <f>IF('Expenses w MYP'!#REF!="","",IF('Cash Flow %s Yr3'!M100="","",'Cash Flow %s Yr3'!M100*'Expenses w MYP'!#REF!))</f>
        <v>#REF!</v>
      </c>
      <c r="N100" s="62" t="e">
        <f>IF('Expenses w MYP'!#REF!="","",IF('Cash Flow %s Yr3'!N100="","",'Cash Flow %s Yr3'!N100*'Expenses w MYP'!#REF!))</f>
        <v>#REF!</v>
      </c>
      <c r="O100" s="62" t="e">
        <f>IF('Expenses w MYP'!#REF!="","",IF('Cash Flow %s Yr3'!O100="","",'Cash Flow %s Yr3'!O100*'Expenses w MYP'!#REF!))</f>
        <v>#REF!</v>
      </c>
      <c r="P100" s="113"/>
      <c r="Q100" s="113"/>
      <c r="R100" s="113"/>
      <c r="S100" s="97"/>
    </row>
    <row r="101" spans="1:19" hidden="1" outlineLevel="1" x14ac:dyDescent="0.75">
      <c r="A101" s="35"/>
      <c r="B101" s="121" t="e">
        <f>'Expenses w MYP'!#REF!</f>
        <v>#REF!</v>
      </c>
      <c r="C101" s="121" t="e">
        <f>'Expenses w MYP'!#REF!</f>
        <v>#REF!</v>
      </c>
      <c r="D101" s="62" t="e">
        <f>IF('Expenses w MYP'!#REF!="","",IF('Cash Flow %s Yr3'!D101="","",'Cash Flow %s Yr3'!D101*'Expenses w MYP'!#REF!))</f>
        <v>#REF!</v>
      </c>
      <c r="E101" s="62" t="e">
        <f>IF('Expenses w MYP'!#REF!="","",IF('Cash Flow %s Yr3'!E101="","",'Cash Flow %s Yr3'!E101*'Expenses w MYP'!#REF!))</f>
        <v>#REF!</v>
      </c>
      <c r="F101" s="62" t="e">
        <f>IF('Expenses w MYP'!#REF!="","",IF('Cash Flow %s Yr3'!F101="","",'Cash Flow %s Yr3'!F101*'Expenses w MYP'!#REF!))</f>
        <v>#REF!</v>
      </c>
      <c r="G101" s="62" t="e">
        <f>IF('Expenses w MYP'!#REF!="","",IF('Cash Flow %s Yr3'!G101="","",'Cash Flow %s Yr3'!G101*'Expenses w MYP'!#REF!))</f>
        <v>#REF!</v>
      </c>
      <c r="H101" s="62" t="e">
        <f>IF('Expenses w MYP'!#REF!="","",IF('Cash Flow %s Yr3'!H101="","",'Cash Flow %s Yr3'!H101*'Expenses w MYP'!#REF!))</f>
        <v>#REF!</v>
      </c>
      <c r="I101" s="62" t="e">
        <f>IF('Expenses w MYP'!#REF!="","",IF('Cash Flow %s Yr3'!I101="","",'Cash Flow %s Yr3'!I101*'Expenses w MYP'!#REF!))</f>
        <v>#REF!</v>
      </c>
      <c r="J101" s="62" t="e">
        <f>IF('Expenses w MYP'!#REF!="","",IF('Cash Flow %s Yr3'!J101="","",'Cash Flow %s Yr3'!J101*'Expenses w MYP'!#REF!))</f>
        <v>#REF!</v>
      </c>
      <c r="K101" s="62" t="e">
        <f>IF('Expenses w MYP'!#REF!="","",IF('Cash Flow %s Yr3'!K101="","",'Cash Flow %s Yr3'!K101*'Expenses w MYP'!#REF!))</f>
        <v>#REF!</v>
      </c>
      <c r="L101" s="62" t="e">
        <f>IF('Expenses w MYP'!#REF!="","",IF('Cash Flow %s Yr3'!L101="","",'Cash Flow %s Yr3'!L101*'Expenses w MYP'!#REF!))</f>
        <v>#REF!</v>
      </c>
      <c r="M101" s="62" t="e">
        <f>IF('Expenses w MYP'!#REF!="","",IF('Cash Flow %s Yr3'!M101="","",'Cash Flow %s Yr3'!M101*'Expenses w MYP'!#REF!))</f>
        <v>#REF!</v>
      </c>
      <c r="N101" s="62" t="e">
        <f>IF('Expenses w MYP'!#REF!="","",IF('Cash Flow %s Yr3'!N101="","",'Cash Flow %s Yr3'!N101*'Expenses w MYP'!#REF!))</f>
        <v>#REF!</v>
      </c>
      <c r="O101" s="62" t="e">
        <f>IF('Expenses w MYP'!#REF!="","",IF('Cash Flow %s Yr3'!O101="","",'Cash Flow %s Yr3'!O101*'Expenses w MYP'!#REF!))</f>
        <v>#REF!</v>
      </c>
      <c r="P101" s="113"/>
      <c r="Q101" s="113"/>
      <c r="R101" s="113"/>
      <c r="S101" s="97"/>
    </row>
    <row r="102" spans="1:19" hidden="1" outlineLevel="1" x14ac:dyDescent="0.75">
      <c r="A102" s="35"/>
      <c r="B102" s="121" t="e">
        <f>'Expenses w MYP'!#REF!</f>
        <v>#REF!</v>
      </c>
      <c r="C102" s="121" t="e">
        <f>'Expenses w MYP'!#REF!</f>
        <v>#REF!</v>
      </c>
      <c r="D102" s="62" t="e">
        <f>IF('Expenses w MYP'!#REF!="","",IF('Cash Flow %s Yr3'!D102="","",'Cash Flow %s Yr3'!D102*'Expenses w MYP'!#REF!))</f>
        <v>#REF!</v>
      </c>
      <c r="E102" s="62" t="e">
        <f>IF('Expenses w MYP'!#REF!="","",IF('Cash Flow %s Yr3'!E102="","",'Cash Flow %s Yr3'!E102*'Expenses w MYP'!#REF!))</f>
        <v>#REF!</v>
      </c>
      <c r="F102" s="62" t="e">
        <f>IF('Expenses w MYP'!#REF!="","",IF('Cash Flow %s Yr3'!F102="","",'Cash Flow %s Yr3'!F102*'Expenses w MYP'!#REF!))</f>
        <v>#REF!</v>
      </c>
      <c r="G102" s="62" t="e">
        <f>IF('Expenses w MYP'!#REF!="","",IF('Cash Flow %s Yr3'!G102="","",'Cash Flow %s Yr3'!G102*'Expenses w MYP'!#REF!))</f>
        <v>#REF!</v>
      </c>
      <c r="H102" s="62" t="e">
        <f>IF('Expenses w MYP'!#REF!="","",IF('Cash Flow %s Yr3'!H102="","",'Cash Flow %s Yr3'!H102*'Expenses w MYP'!#REF!))</f>
        <v>#REF!</v>
      </c>
      <c r="I102" s="62" t="e">
        <f>IF('Expenses w MYP'!#REF!="","",IF('Cash Flow %s Yr3'!I102="","",'Cash Flow %s Yr3'!I102*'Expenses w MYP'!#REF!))</f>
        <v>#REF!</v>
      </c>
      <c r="J102" s="62" t="e">
        <f>IF('Expenses w MYP'!#REF!="","",IF('Cash Flow %s Yr3'!J102="","",'Cash Flow %s Yr3'!J102*'Expenses w MYP'!#REF!))</f>
        <v>#REF!</v>
      </c>
      <c r="K102" s="62" t="e">
        <f>IF('Expenses w MYP'!#REF!="","",IF('Cash Flow %s Yr3'!K102="","",'Cash Flow %s Yr3'!K102*'Expenses w MYP'!#REF!))</f>
        <v>#REF!</v>
      </c>
      <c r="L102" s="62" t="e">
        <f>IF('Expenses w MYP'!#REF!="","",IF('Cash Flow %s Yr3'!L102="","",'Cash Flow %s Yr3'!L102*'Expenses w MYP'!#REF!))</f>
        <v>#REF!</v>
      </c>
      <c r="M102" s="62" t="e">
        <f>IF('Expenses w MYP'!#REF!="","",IF('Cash Flow %s Yr3'!M102="","",'Cash Flow %s Yr3'!M102*'Expenses w MYP'!#REF!))</f>
        <v>#REF!</v>
      </c>
      <c r="N102" s="62" t="e">
        <f>IF('Expenses w MYP'!#REF!="","",IF('Cash Flow %s Yr3'!N102="","",'Cash Flow %s Yr3'!N102*'Expenses w MYP'!#REF!))</f>
        <v>#REF!</v>
      </c>
      <c r="O102" s="62" t="e">
        <f>IF('Expenses w MYP'!#REF!="","",IF('Cash Flow %s Yr3'!O102="","",'Cash Flow %s Yr3'!O102*'Expenses w MYP'!#REF!))</f>
        <v>#REF!</v>
      </c>
      <c r="P102" s="113"/>
      <c r="Q102" s="113"/>
      <c r="R102" s="113"/>
      <c r="S102" s="97"/>
    </row>
    <row r="103" spans="1:19" hidden="1" outlineLevel="1" x14ac:dyDescent="0.75">
      <c r="A103" s="35"/>
      <c r="B103" s="121" t="e">
        <f>'Expenses w MYP'!#REF!</f>
        <v>#REF!</v>
      </c>
      <c r="C103" s="121" t="e">
        <f>'Expenses w MYP'!#REF!</f>
        <v>#REF!</v>
      </c>
      <c r="D103" s="62" t="e">
        <f>IF('Expenses w MYP'!#REF!="","",IF('Cash Flow %s Yr3'!D103="","",'Cash Flow %s Yr3'!D103*'Expenses w MYP'!#REF!))</f>
        <v>#REF!</v>
      </c>
      <c r="E103" s="62" t="e">
        <f>IF('Expenses w MYP'!#REF!="","",IF('Cash Flow %s Yr3'!E103="","",'Cash Flow %s Yr3'!E103*'Expenses w MYP'!#REF!))</f>
        <v>#REF!</v>
      </c>
      <c r="F103" s="62" t="e">
        <f>IF('Expenses w MYP'!#REF!="","",IF('Cash Flow %s Yr3'!F103="","",'Cash Flow %s Yr3'!F103*'Expenses w MYP'!#REF!))</f>
        <v>#REF!</v>
      </c>
      <c r="G103" s="62" t="e">
        <f>IF('Expenses w MYP'!#REF!="","",IF('Cash Flow %s Yr3'!G103="","",'Cash Flow %s Yr3'!G103*'Expenses w MYP'!#REF!))</f>
        <v>#REF!</v>
      </c>
      <c r="H103" s="62" t="e">
        <f>IF('Expenses w MYP'!#REF!="","",IF('Cash Flow %s Yr3'!H103="","",'Cash Flow %s Yr3'!H103*'Expenses w MYP'!#REF!))</f>
        <v>#REF!</v>
      </c>
      <c r="I103" s="62" t="e">
        <f>IF('Expenses w MYP'!#REF!="","",IF('Cash Flow %s Yr3'!I103="","",'Cash Flow %s Yr3'!I103*'Expenses w MYP'!#REF!))</f>
        <v>#REF!</v>
      </c>
      <c r="J103" s="62" t="e">
        <f>IF('Expenses w MYP'!#REF!="","",IF('Cash Flow %s Yr3'!J103="","",'Cash Flow %s Yr3'!J103*'Expenses w MYP'!#REF!))</f>
        <v>#REF!</v>
      </c>
      <c r="K103" s="62" t="e">
        <f>IF('Expenses w MYP'!#REF!="","",IF('Cash Flow %s Yr3'!K103="","",'Cash Flow %s Yr3'!K103*'Expenses w MYP'!#REF!))</f>
        <v>#REF!</v>
      </c>
      <c r="L103" s="62" t="e">
        <f>IF('Expenses w MYP'!#REF!="","",IF('Cash Flow %s Yr3'!L103="","",'Cash Flow %s Yr3'!L103*'Expenses w MYP'!#REF!))</f>
        <v>#REF!</v>
      </c>
      <c r="M103" s="62" t="e">
        <f>IF('Expenses w MYP'!#REF!="","",IF('Cash Flow %s Yr3'!M103="","",'Cash Flow %s Yr3'!M103*'Expenses w MYP'!#REF!))</f>
        <v>#REF!</v>
      </c>
      <c r="N103" s="62" t="e">
        <f>IF('Expenses w MYP'!#REF!="","",IF('Cash Flow %s Yr3'!N103="","",'Cash Flow %s Yr3'!N103*'Expenses w MYP'!#REF!))</f>
        <v>#REF!</v>
      </c>
      <c r="O103" s="62" t="e">
        <f>IF('Expenses w MYP'!#REF!="","",IF('Cash Flow %s Yr3'!O103="","",'Cash Flow %s Yr3'!O103*'Expenses w MYP'!#REF!))</f>
        <v>#REF!</v>
      </c>
      <c r="P103" s="113"/>
      <c r="Q103" s="113"/>
      <c r="R103" s="113"/>
      <c r="S103" s="97"/>
    </row>
    <row r="104" spans="1:19" hidden="1" outlineLevel="1" x14ac:dyDescent="0.75">
      <c r="A104" s="35"/>
      <c r="B104" s="121" t="e">
        <f>'Expenses w MYP'!#REF!</f>
        <v>#REF!</v>
      </c>
      <c r="C104" s="121" t="e">
        <f>'Expenses w MYP'!#REF!</f>
        <v>#REF!</v>
      </c>
      <c r="D104" s="62" t="e">
        <f>IF('Expenses w MYP'!#REF!="","",IF('Cash Flow %s Yr3'!D104="","",'Cash Flow %s Yr3'!D104*'Expenses w MYP'!#REF!))</f>
        <v>#REF!</v>
      </c>
      <c r="E104" s="62" t="e">
        <f>IF('Expenses w MYP'!#REF!="","",IF('Cash Flow %s Yr3'!E104="","",'Cash Flow %s Yr3'!E104*'Expenses w MYP'!#REF!))</f>
        <v>#REF!</v>
      </c>
      <c r="F104" s="62" t="e">
        <f>IF('Expenses w MYP'!#REF!="","",IF('Cash Flow %s Yr3'!F104="","",'Cash Flow %s Yr3'!F104*'Expenses w MYP'!#REF!))</f>
        <v>#REF!</v>
      </c>
      <c r="G104" s="62" t="e">
        <f>IF('Expenses w MYP'!#REF!="","",IF('Cash Flow %s Yr3'!G104="","",'Cash Flow %s Yr3'!G104*'Expenses w MYP'!#REF!))</f>
        <v>#REF!</v>
      </c>
      <c r="H104" s="62" t="e">
        <f>IF('Expenses w MYP'!#REF!="","",IF('Cash Flow %s Yr3'!H104="","",'Cash Flow %s Yr3'!H104*'Expenses w MYP'!#REF!))</f>
        <v>#REF!</v>
      </c>
      <c r="I104" s="62" t="e">
        <f>IF('Expenses w MYP'!#REF!="","",IF('Cash Flow %s Yr3'!I104="","",'Cash Flow %s Yr3'!I104*'Expenses w MYP'!#REF!))</f>
        <v>#REF!</v>
      </c>
      <c r="J104" s="62" t="e">
        <f>IF('Expenses w MYP'!#REF!="","",IF('Cash Flow %s Yr3'!J104="","",'Cash Flow %s Yr3'!J104*'Expenses w MYP'!#REF!))</f>
        <v>#REF!</v>
      </c>
      <c r="K104" s="62" t="e">
        <f>IF('Expenses w MYP'!#REF!="","",IF('Cash Flow %s Yr3'!K104="","",'Cash Flow %s Yr3'!K104*'Expenses w MYP'!#REF!))</f>
        <v>#REF!</v>
      </c>
      <c r="L104" s="62" t="e">
        <f>IF('Expenses w MYP'!#REF!="","",IF('Cash Flow %s Yr3'!L104="","",'Cash Flow %s Yr3'!L104*'Expenses w MYP'!#REF!))</f>
        <v>#REF!</v>
      </c>
      <c r="M104" s="62" t="e">
        <f>IF('Expenses w MYP'!#REF!="","",IF('Cash Flow %s Yr3'!M104="","",'Cash Flow %s Yr3'!M104*'Expenses w MYP'!#REF!))</f>
        <v>#REF!</v>
      </c>
      <c r="N104" s="62" t="e">
        <f>IF('Expenses w MYP'!#REF!="","",IF('Cash Flow %s Yr3'!N104="","",'Cash Flow %s Yr3'!N104*'Expenses w MYP'!#REF!))</f>
        <v>#REF!</v>
      </c>
      <c r="O104" s="62" t="e">
        <f>IF('Expenses w MYP'!#REF!="","",IF('Cash Flow %s Yr3'!O104="","",'Cash Flow %s Yr3'!O104*'Expenses w MYP'!#REF!))</f>
        <v>#REF!</v>
      </c>
      <c r="P104" s="113"/>
      <c r="Q104" s="113"/>
      <c r="R104" s="113"/>
      <c r="S104" s="97"/>
    </row>
    <row r="105" spans="1:19" s="31" customFormat="1" collapsed="1" x14ac:dyDescent="0.75">
      <c r="A105" s="35"/>
      <c r="B105" s="121" t="str">
        <f>'Expenses w MYP'!C69</f>
        <v>4700</v>
      </c>
      <c r="C105" s="121" t="str">
        <f>'Expenses w MYP'!D69</f>
        <v>Food and Food Supplies</v>
      </c>
      <c r="D105" s="62">
        <f>IF('Expenses w MYP'!$G69="","",IF('Cash Flow %s Yr3'!D105="","",'Cash Flow %s Yr3'!D105*'Expenses w MYP'!$G69))</f>
        <v>0</v>
      </c>
      <c r="E105" s="62">
        <f>IF('Expenses w MYP'!$G69="","",IF('Cash Flow %s Yr3'!E105="","",'Cash Flow %s Yr3'!E105*'Expenses w MYP'!$G69))</f>
        <v>0</v>
      </c>
      <c r="F105" s="62">
        <f>IF('Expenses w MYP'!$G69="","",IF('Cash Flow %s Yr3'!F105="","",'Cash Flow %s Yr3'!F105*'Expenses w MYP'!$G69))</f>
        <v>0</v>
      </c>
      <c r="G105" s="62">
        <f>IF('Expenses w MYP'!$G69="","",IF('Cash Flow %s Yr3'!G105="","",'Cash Flow %s Yr3'!G105*'Expenses w MYP'!$G69))</f>
        <v>0</v>
      </c>
      <c r="H105" s="62">
        <f>IF('Expenses w MYP'!$G69="","",IF('Cash Flow %s Yr3'!H105="","",'Cash Flow %s Yr3'!H105*'Expenses w MYP'!$G69))</f>
        <v>0</v>
      </c>
      <c r="I105" s="62">
        <f>IF('Expenses w MYP'!$G69="","",IF('Cash Flow %s Yr3'!I105="","",'Cash Flow %s Yr3'!I105*'Expenses w MYP'!$G69))</f>
        <v>0</v>
      </c>
      <c r="J105" s="62">
        <f>IF('Expenses w MYP'!$G69="","",IF('Cash Flow %s Yr3'!J105="","",'Cash Flow %s Yr3'!J105*'Expenses w MYP'!$G69))</f>
        <v>0</v>
      </c>
      <c r="K105" s="62">
        <f>IF('Expenses w MYP'!$G69="","",IF('Cash Flow %s Yr3'!K105="","",'Cash Flow %s Yr3'!K105*'Expenses w MYP'!$G69))</f>
        <v>0</v>
      </c>
      <c r="L105" s="62">
        <f>IF('Expenses w MYP'!$G69="","",IF('Cash Flow %s Yr3'!L105="","",'Cash Flow %s Yr3'!L105*'Expenses w MYP'!$G69))</f>
        <v>0</v>
      </c>
      <c r="M105" s="62">
        <f>IF('Expenses w MYP'!$G69="","",IF('Cash Flow %s Yr3'!M105="","",'Cash Flow %s Yr3'!M105*'Expenses w MYP'!$G69))</f>
        <v>0</v>
      </c>
      <c r="N105" s="62">
        <f>IF('Expenses w MYP'!$G69="","",IF('Cash Flow %s Yr3'!N105="","",'Cash Flow %s Yr3'!N105*'Expenses w MYP'!$G69))</f>
        <v>0</v>
      </c>
      <c r="O105" s="62">
        <f>IF('Expenses w MYP'!$G69="","",IF('Cash Flow %s Yr3'!O105="","",'Cash Flow %s Yr3'!O105*'Expenses w MYP'!$G69))</f>
        <v>0</v>
      </c>
      <c r="P105" s="113"/>
      <c r="Q105" s="113"/>
      <c r="R105" s="113"/>
      <c r="S105" s="97" t="str">
        <f>IF(SUM(D105:R105)&gt;0,SUM(D105:R105)/'Expenses w MYP'!$G69,"")</f>
        <v/>
      </c>
    </row>
    <row r="106" spans="1:19" s="31" customFormat="1" x14ac:dyDescent="0.75">
      <c r="A106" s="35"/>
      <c r="B106" s="33" t="s">
        <v>558</v>
      </c>
      <c r="C106" s="34" t="s">
        <v>719</v>
      </c>
      <c r="D106" s="153" t="e">
        <f t="shared" ref="D106:R106" si="9">IF(SUM(D88:D105)&gt;0,SUM(D88:D105),"")</f>
        <v>#REF!</v>
      </c>
      <c r="E106" s="153" t="e">
        <f t="shared" si="9"/>
        <v>#REF!</v>
      </c>
      <c r="F106" s="153" t="e">
        <f t="shared" si="9"/>
        <v>#REF!</v>
      </c>
      <c r="G106" s="153" t="e">
        <f t="shared" si="9"/>
        <v>#REF!</v>
      </c>
      <c r="H106" s="153" t="e">
        <f t="shared" si="9"/>
        <v>#REF!</v>
      </c>
      <c r="I106" s="153" t="e">
        <f t="shared" si="9"/>
        <v>#REF!</v>
      </c>
      <c r="J106" s="153" t="e">
        <f t="shared" si="9"/>
        <v>#REF!</v>
      </c>
      <c r="K106" s="153" t="e">
        <f t="shared" si="9"/>
        <v>#REF!</v>
      </c>
      <c r="L106" s="153" t="e">
        <f t="shared" si="9"/>
        <v>#REF!</v>
      </c>
      <c r="M106" s="153" t="e">
        <f t="shared" si="9"/>
        <v>#REF!</v>
      </c>
      <c r="N106" s="153" t="e">
        <f t="shared" si="9"/>
        <v>#REF!</v>
      </c>
      <c r="O106" s="153" t="e">
        <f t="shared" si="9"/>
        <v>#REF!</v>
      </c>
      <c r="P106" s="153" t="str">
        <f t="shared" si="9"/>
        <v/>
      </c>
      <c r="Q106" s="153" t="str">
        <f t="shared" si="9"/>
        <v/>
      </c>
      <c r="R106" s="153" t="str">
        <f t="shared" si="9"/>
        <v/>
      </c>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121" t="str">
        <f>'Expenses w MYP'!C73</f>
        <v>5200</v>
      </c>
      <c r="C109" s="121" t="str">
        <f>'Expenses w MYP'!D73</f>
        <v>Travel and Conferences</v>
      </c>
      <c r="D109" s="62">
        <f>IF('Expenses w MYP'!$G73="","",IF('Cash Flow %s Yr3'!D109="","",'Cash Flow %s Yr3'!D109*'Expenses w MYP'!$G73))</f>
        <v>0</v>
      </c>
      <c r="E109" s="62">
        <f>IF('Expenses w MYP'!$G73="","",IF('Cash Flow %s Yr3'!E109="","",'Cash Flow %s Yr3'!E109*'Expenses w MYP'!$G73))</f>
        <v>0</v>
      </c>
      <c r="F109" s="62">
        <f>IF('Expenses w MYP'!$G73="","",IF('Cash Flow %s Yr3'!F109="","",'Cash Flow %s Yr3'!F109*'Expenses w MYP'!$G73))</f>
        <v>8163.9880505351302</v>
      </c>
      <c r="G109" s="62">
        <f>IF('Expenses w MYP'!$G73="","",IF('Cash Flow %s Yr3'!G109="","",'Cash Flow %s Yr3'!G109*'Expenses w MYP'!$G73))</f>
        <v>2721.3293501783774</v>
      </c>
      <c r="H109" s="62">
        <f>IF('Expenses w MYP'!$G73="","",IF('Cash Flow %s Yr3'!H109="","",'Cash Flow %s Yr3'!H109*'Expenses w MYP'!$G73))</f>
        <v>2721.3293501783774</v>
      </c>
      <c r="I109" s="62">
        <f>IF('Expenses w MYP'!$G73="","",IF('Cash Flow %s Yr3'!I109="","",'Cash Flow %s Yr3'!I109*'Expenses w MYP'!$G73))</f>
        <v>2721.3293501783774</v>
      </c>
      <c r="J109" s="62">
        <f>IF('Expenses w MYP'!$G73="","",IF('Cash Flow %s Yr3'!J109="","",'Cash Flow %s Yr3'!J109*'Expenses w MYP'!$G73))</f>
        <v>2721.3293501783774</v>
      </c>
      <c r="K109" s="62">
        <f>IF('Expenses w MYP'!$G73="","",IF('Cash Flow %s Yr3'!K109="","",'Cash Flow %s Yr3'!K109*'Expenses w MYP'!$G73))</f>
        <v>2721.3293501783774</v>
      </c>
      <c r="L109" s="62">
        <f>IF('Expenses w MYP'!$G73="","",IF('Cash Flow %s Yr3'!L109="","",'Cash Flow %s Yr3'!L109*'Expenses w MYP'!$G73))</f>
        <v>2721.3293501783774</v>
      </c>
      <c r="M109" s="62">
        <f>IF('Expenses w MYP'!$G73="","",IF('Cash Flow %s Yr3'!M109="","",'Cash Flow %s Yr3'!M109*'Expenses w MYP'!$G73))</f>
        <v>2721.3293501783774</v>
      </c>
      <c r="N109" s="62">
        <f>IF('Expenses w MYP'!$G73="","",IF('Cash Flow %s Yr3'!N109="","",'Cash Flow %s Yr3'!N109*'Expenses w MYP'!$G73))</f>
        <v>0</v>
      </c>
      <c r="O109" s="62">
        <f>IF('Expenses w MYP'!$G73="","",IF('Cash Flow %s Yr3'!O109="","",'Cash Flow %s Yr3'!O109*'Expenses w MYP'!$G73))</f>
        <v>0</v>
      </c>
      <c r="P109" s="113"/>
      <c r="Q109" s="113"/>
      <c r="R109" s="113"/>
      <c r="S109" s="97">
        <f>IF(SUM(D109:R109)&gt;0,SUM(D109:R109)/'Expenses w MYP'!$G73,"")</f>
        <v>1.0000000000000002</v>
      </c>
    </row>
    <row r="110" spans="1:19" s="31" customFormat="1" x14ac:dyDescent="0.75">
      <c r="A110" s="35"/>
      <c r="B110" s="121" t="str">
        <f>'Expenses w MYP'!C74</f>
        <v>5210</v>
      </c>
      <c r="C110" s="121" t="str">
        <f>'Expenses w MYP'!D74</f>
        <v>Training and Development Expense</v>
      </c>
      <c r="D110" s="62">
        <f>IF('Expenses w MYP'!$G74="","",IF('Cash Flow %s Yr3'!D110="","",'Cash Flow %s Yr3'!D110*'Expenses w MYP'!$G74))</f>
        <v>0</v>
      </c>
      <c r="E110" s="62">
        <f>IF('Expenses w MYP'!$G74="","",IF('Cash Flow %s Yr3'!E110="","",'Cash Flow %s Yr3'!E110*'Expenses w MYP'!$G74))</f>
        <v>0</v>
      </c>
      <c r="F110" s="62">
        <f>IF('Expenses w MYP'!$G74="","",IF('Cash Flow %s Yr3'!F110="","",'Cash Flow %s Yr3'!F110*'Expenses w MYP'!$G74))</f>
        <v>32655.952202140521</v>
      </c>
      <c r="G110" s="62">
        <f>IF('Expenses w MYP'!$G74="","",IF('Cash Flow %s Yr3'!G110="","",'Cash Flow %s Yr3'!G110*'Expenses w MYP'!$G74))</f>
        <v>10885.317400713509</v>
      </c>
      <c r="H110" s="62">
        <f>IF('Expenses w MYP'!$G74="","",IF('Cash Flow %s Yr3'!H110="","",'Cash Flow %s Yr3'!H110*'Expenses w MYP'!$G74))</f>
        <v>10885.317400713509</v>
      </c>
      <c r="I110" s="62">
        <f>IF('Expenses w MYP'!$G74="","",IF('Cash Flow %s Yr3'!I110="","",'Cash Flow %s Yr3'!I110*'Expenses w MYP'!$G74))</f>
        <v>10885.317400713509</v>
      </c>
      <c r="J110" s="62">
        <f>IF('Expenses w MYP'!$G74="","",IF('Cash Flow %s Yr3'!J110="","",'Cash Flow %s Yr3'!J110*'Expenses w MYP'!$G74))</f>
        <v>10885.317400713509</v>
      </c>
      <c r="K110" s="62">
        <f>IF('Expenses w MYP'!$G74="","",IF('Cash Flow %s Yr3'!K110="","",'Cash Flow %s Yr3'!K110*'Expenses w MYP'!$G74))</f>
        <v>10885.317400713509</v>
      </c>
      <c r="L110" s="62">
        <f>IF('Expenses w MYP'!$G74="","",IF('Cash Flow %s Yr3'!L110="","",'Cash Flow %s Yr3'!L110*'Expenses w MYP'!$G74))</f>
        <v>10885.317400713509</v>
      </c>
      <c r="M110" s="62">
        <f>IF('Expenses w MYP'!$G74="","",IF('Cash Flow %s Yr3'!M110="","",'Cash Flow %s Yr3'!M110*'Expenses w MYP'!$G74))</f>
        <v>10885.317400713509</v>
      </c>
      <c r="N110" s="62">
        <f>IF('Expenses w MYP'!$G74="","",IF('Cash Flow %s Yr3'!N110="","",'Cash Flow %s Yr3'!N110*'Expenses w MYP'!$G74))</f>
        <v>0</v>
      </c>
      <c r="O110" s="62">
        <f>IF('Expenses w MYP'!$G74="","",IF('Cash Flow %s Yr3'!O110="","",'Cash Flow %s Yr3'!O110*'Expenses w MYP'!$G74))</f>
        <v>0</v>
      </c>
      <c r="P110" s="113"/>
      <c r="Q110" s="113"/>
      <c r="R110" s="113"/>
      <c r="S110" s="97">
        <f>IF(SUM(D110:R110)&gt;0,SUM(D110:R110)/'Expenses w MYP'!$G74,"")</f>
        <v>1.0000000000000002</v>
      </c>
    </row>
    <row r="111" spans="1:19" s="31" customFormat="1" x14ac:dyDescent="0.75">
      <c r="A111" s="35"/>
      <c r="B111" s="121" t="str">
        <f>'Expenses w MYP'!C75</f>
        <v>5300</v>
      </c>
      <c r="C111" s="121" t="str">
        <f>'Expenses w MYP'!D75</f>
        <v>Dues and Memberships</v>
      </c>
      <c r="D111" s="62">
        <f>IF('Expenses w MYP'!$G75="","",IF('Cash Flow %s Yr3'!D111="","",'Cash Flow %s Yr3'!D111*'Expenses w MYP'!$G75))</f>
        <v>0</v>
      </c>
      <c r="E111" s="62">
        <f>IF('Expenses w MYP'!$G75="","",IF('Cash Flow %s Yr3'!E111="","",'Cash Flow %s Yr3'!E111*'Expenses w MYP'!$G75))</f>
        <v>0</v>
      </c>
      <c r="F111" s="62">
        <f>IF('Expenses w MYP'!$G75="","",IF('Cash Flow %s Yr3'!F111="","",'Cash Flow %s Yr3'!F111*'Expenses w MYP'!$G75))</f>
        <v>5714.7916353745914</v>
      </c>
      <c r="G111" s="62">
        <f>IF('Expenses w MYP'!$G75="","",IF('Cash Flow %s Yr3'!G111="","",'Cash Flow %s Yr3'!G111*'Expenses w MYP'!$G75))</f>
        <v>1904.9305451248638</v>
      </c>
      <c r="H111" s="62">
        <f>IF('Expenses w MYP'!$G75="","",IF('Cash Flow %s Yr3'!H111="","",'Cash Flow %s Yr3'!H111*'Expenses w MYP'!$G75))</f>
        <v>1904.9305451248638</v>
      </c>
      <c r="I111" s="62">
        <f>IF('Expenses w MYP'!$G75="","",IF('Cash Flow %s Yr3'!I111="","",'Cash Flow %s Yr3'!I111*'Expenses w MYP'!$G75))</f>
        <v>1904.9305451248638</v>
      </c>
      <c r="J111" s="62">
        <f>IF('Expenses w MYP'!$G75="","",IF('Cash Flow %s Yr3'!J111="","",'Cash Flow %s Yr3'!J111*'Expenses w MYP'!$G75))</f>
        <v>1904.9305451248638</v>
      </c>
      <c r="K111" s="62">
        <f>IF('Expenses w MYP'!$G75="","",IF('Cash Flow %s Yr3'!K111="","",'Cash Flow %s Yr3'!K111*'Expenses w MYP'!$G75))</f>
        <v>1904.9305451248638</v>
      </c>
      <c r="L111" s="62">
        <f>IF('Expenses w MYP'!$G75="","",IF('Cash Flow %s Yr3'!L111="","",'Cash Flow %s Yr3'!L111*'Expenses w MYP'!$G75))</f>
        <v>1904.9305451248638</v>
      </c>
      <c r="M111" s="62">
        <f>IF('Expenses w MYP'!$G75="","",IF('Cash Flow %s Yr3'!M111="","",'Cash Flow %s Yr3'!M111*'Expenses w MYP'!$G75))</f>
        <v>1904.9305451248638</v>
      </c>
      <c r="N111" s="62">
        <f>IF('Expenses w MYP'!$G75="","",IF('Cash Flow %s Yr3'!N111="","",'Cash Flow %s Yr3'!N111*'Expenses w MYP'!$G75))</f>
        <v>0</v>
      </c>
      <c r="O111" s="62">
        <f>IF('Expenses w MYP'!$G75="","",IF('Cash Flow %s Yr3'!O111="","",'Cash Flow %s Yr3'!O111*'Expenses w MYP'!$G75))</f>
        <v>0</v>
      </c>
      <c r="P111" s="113"/>
      <c r="Q111" s="113"/>
      <c r="R111" s="113"/>
      <c r="S111" s="97">
        <f>IF(SUM(D111:R111)&gt;0,SUM(D111:R111)/'Expenses w MYP'!$G75,"")</f>
        <v>1.0000000000000002</v>
      </c>
    </row>
    <row r="112" spans="1:19" s="31" customFormat="1" x14ac:dyDescent="0.75">
      <c r="A112" s="35"/>
      <c r="B112" s="121" t="str">
        <f>'Expenses w MYP'!C76</f>
        <v>5400</v>
      </c>
      <c r="C112" s="121" t="str">
        <f>'Expenses w MYP'!D76</f>
        <v>Insurance</v>
      </c>
      <c r="D112" s="62">
        <f>IF('Expenses w MYP'!$G76="","",IF('Cash Flow %s Yr3'!D112="","",'Cash Flow %s Yr3'!D112*'Expenses w MYP'!$G76))</f>
        <v>0</v>
      </c>
      <c r="E112" s="62">
        <f>IF('Expenses w MYP'!$G76="","",IF('Cash Flow %s Yr3'!E112="","",'Cash Flow %s Yr3'!E112*'Expenses w MYP'!$G76))</f>
        <v>0</v>
      </c>
      <c r="F112" s="62">
        <f>IF('Expenses w MYP'!$G76="","",IF('Cash Flow %s Yr3'!F112="","",'Cash Flow %s Yr3'!F112*'Expenses w MYP'!$G76))</f>
        <v>7755.7886480083744</v>
      </c>
      <c r="G112" s="62">
        <f>IF('Expenses w MYP'!$G76="","",IF('Cash Flow %s Yr3'!G112="","",'Cash Flow %s Yr3'!G112*'Expenses w MYP'!$G76))</f>
        <v>2585.2628826694581</v>
      </c>
      <c r="H112" s="62">
        <f>IF('Expenses w MYP'!$G76="","",IF('Cash Flow %s Yr3'!H112="","",'Cash Flow %s Yr3'!H112*'Expenses w MYP'!$G76))</f>
        <v>2585.2628826694581</v>
      </c>
      <c r="I112" s="62">
        <f>IF('Expenses w MYP'!$G76="","",IF('Cash Flow %s Yr3'!I112="","",'Cash Flow %s Yr3'!I112*'Expenses w MYP'!$G76))</f>
        <v>2585.2628826694581</v>
      </c>
      <c r="J112" s="62">
        <f>IF('Expenses w MYP'!$G76="","",IF('Cash Flow %s Yr3'!J112="","",'Cash Flow %s Yr3'!J112*'Expenses w MYP'!$G76))</f>
        <v>2585.2628826694581</v>
      </c>
      <c r="K112" s="62">
        <f>IF('Expenses w MYP'!$G76="","",IF('Cash Flow %s Yr3'!K112="","",'Cash Flow %s Yr3'!K112*'Expenses w MYP'!$G76))</f>
        <v>2585.2628826694581</v>
      </c>
      <c r="L112" s="62">
        <f>IF('Expenses w MYP'!$G76="","",IF('Cash Flow %s Yr3'!L112="","",'Cash Flow %s Yr3'!L112*'Expenses w MYP'!$G76))</f>
        <v>2585.2628826694581</v>
      </c>
      <c r="M112" s="62">
        <f>IF('Expenses w MYP'!$G76="","",IF('Cash Flow %s Yr3'!M112="","",'Cash Flow %s Yr3'!M112*'Expenses w MYP'!$G76))</f>
        <v>2585.2628826694581</v>
      </c>
      <c r="N112" s="62">
        <f>IF('Expenses w MYP'!$G76="","",IF('Cash Flow %s Yr3'!N112="","",'Cash Flow %s Yr3'!N112*'Expenses w MYP'!$G76))</f>
        <v>0</v>
      </c>
      <c r="O112" s="62">
        <f>IF('Expenses w MYP'!$G76="","",IF('Cash Flow %s Yr3'!O112="","",'Cash Flow %s Yr3'!O112*'Expenses w MYP'!$G76))</f>
        <v>0</v>
      </c>
      <c r="P112" s="113"/>
      <c r="Q112" s="113"/>
      <c r="R112" s="113"/>
      <c r="S112" s="97">
        <f>IF(SUM(D112:R112)&gt;0,SUM(D112:R112)/'Expenses w MYP'!$G76,"")</f>
        <v>0.99999999999999989</v>
      </c>
    </row>
    <row r="113" spans="1:19" s="31" customFormat="1" x14ac:dyDescent="0.75">
      <c r="A113" s="35"/>
      <c r="B113" s="121" t="str">
        <f>'Expenses w MYP'!C77</f>
        <v>5500</v>
      </c>
      <c r="C113" s="121" t="str">
        <f>'Expenses w MYP'!D77</f>
        <v>Operation and Housekeeping Services/Supplies</v>
      </c>
      <c r="D113" s="62">
        <f>IF('Expenses w MYP'!$G77="","",IF('Cash Flow %s Yr3'!D113="","",'Cash Flow %s Yr3'!D113*'Expenses w MYP'!$G77))</f>
        <v>0</v>
      </c>
      <c r="E113" s="62">
        <f>IF('Expenses w MYP'!$G77="","",IF('Cash Flow %s Yr3'!E113="","",'Cash Flow %s Yr3'!E113*'Expenses w MYP'!$G77))</f>
        <v>0</v>
      </c>
      <c r="F113" s="62">
        <f>IF('Expenses w MYP'!$G77="","",IF('Cash Flow %s Yr3'!F113="","",'Cash Flow %s Yr3'!F113*'Expenses w MYP'!$G77))</f>
        <v>979.67856606421572</v>
      </c>
      <c r="G113" s="62">
        <f>IF('Expenses w MYP'!$G77="","",IF('Cash Flow %s Yr3'!G113="","",'Cash Flow %s Yr3'!G113*'Expenses w MYP'!$G77))</f>
        <v>0</v>
      </c>
      <c r="H113" s="62">
        <f>IF('Expenses w MYP'!$G77="","",IF('Cash Flow %s Yr3'!H113="","",'Cash Flow %s Yr3'!H113*'Expenses w MYP'!$G77))</f>
        <v>0</v>
      </c>
      <c r="I113" s="62">
        <f>IF('Expenses w MYP'!$G77="","",IF('Cash Flow %s Yr3'!I113="","",'Cash Flow %s Yr3'!I113*'Expenses w MYP'!$G77))</f>
        <v>0</v>
      </c>
      <c r="J113" s="62">
        <f>IF('Expenses w MYP'!$G77="","",IF('Cash Flow %s Yr3'!J113="","",'Cash Flow %s Yr3'!J113*'Expenses w MYP'!$G77))</f>
        <v>653.11904404281051</v>
      </c>
      <c r="K113" s="62">
        <f>IF('Expenses w MYP'!$G77="","",IF('Cash Flow %s Yr3'!K113="","",'Cash Flow %s Yr3'!K113*'Expenses w MYP'!$G77))</f>
        <v>0</v>
      </c>
      <c r="L113" s="62">
        <f>IF('Expenses w MYP'!$G77="","",IF('Cash Flow %s Yr3'!L113="","",'Cash Flow %s Yr3'!L113*'Expenses w MYP'!$G77))</f>
        <v>0</v>
      </c>
      <c r="M113" s="62">
        <f>IF('Expenses w MYP'!$G77="","",IF('Cash Flow %s Yr3'!M113="","",'Cash Flow %s Yr3'!M113*'Expenses w MYP'!$G77))</f>
        <v>0</v>
      </c>
      <c r="N113" s="62">
        <f>IF('Expenses w MYP'!$G77="","",IF('Cash Flow %s Yr3'!N113="","",'Cash Flow %s Yr3'!N113*'Expenses w MYP'!$G77))</f>
        <v>0</v>
      </c>
      <c r="O113" s="62">
        <f>IF('Expenses w MYP'!$G77="","",IF('Cash Flow %s Yr3'!O113="","",'Cash Flow %s Yr3'!O113*'Expenses w MYP'!$G77))</f>
        <v>0</v>
      </c>
      <c r="P113" s="113"/>
      <c r="Q113" s="113"/>
      <c r="R113" s="113"/>
      <c r="S113" s="97">
        <f>IF(SUM(D113:R113)&gt;0,SUM(D113:R113)/'Expenses w MYP'!$G77,"")</f>
        <v>1</v>
      </c>
    </row>
    <row r="114" spans="1:19" s="31" customFormat="1" x14ac:dyDescent="0.75">
      <c r="A114" s="35"/>
      <c r="B114" s="121" t="str">
        <f>'Expenses w MYP'!C78</f>
        <v>5501</v>
      </c>
      <c r="C114" s="121" t="str">
        <f>'Expenses w MYP'!D78</f>
        <v>Utilities</v>
      </c>
      <c r="D114" s="62">
        <f>IF('Expenses w MYP'!$G78="","",IF('Cash Flow %s Yr3'!D114="","",'Cash Flow %s Yr3'!D114*'Expenses w MYP'!$G78))</f>
        <v>0</v>
      </c>
      <c r="E114" s="62">
        <f>IF('Expenses w MYP'!$G78="","",IF('Cash Flow %s Yr3'!E114="","",'Cash Flow %s Yr3'!E114*'Expenses w MYP'!$G78))</f>
        <v>0</v>
      </c>
      <c r="F114" s="62">
        <f>IF('Expenses w MYP'!$G78="","",IF('Cash Flow %s Yr3'!F114="","",'Cash Flow %s Yr3'!F114*'Expenses w MYP'!$G78))</f>
        <v>68.033233754459431</v>
      </c>
      <c r="G114" s="62">
        <f>IF('Expenses w MYP'!$G78="","",IF('Cash Flow %s Yr3'!G114="","",'Cash Flow %s Yr3'!G114*'Expenses w MYP'!$G78))</f>
        <v>68.033233754459431</v>
      </c>
      <c r="H114" s="62">
        <f>IF('Expenses w MYP'!$G78="","",IF('Cash Flow %s Yr3'!H114="","",'Cash Flow %s Yr3'!H114*'Expenses w MYP'!$G78))</f>
        <v>68.033233754459431</v>
      </c>
      <c r="I114" s="62">
        <f>IF('Expenses w MYP'!$G78="","",IF('Cash Flow %s Yr3'!I114="","",'Cash Flow %s Yr3'!I114*'Expenses w MYP'!$G78))</f>
        <v>68.033233754459431</v>
      </c>
      <c r="J114" s="62">
        <f>IF('Expenses w MYP'!$G78="","",IF('Cash Flow %s Yr3'!J114="","",'Cash Flow %s Yr3'!J114*'Expenses w MYP'!$G78))</f>
        <v>68.033233754459431</v>
      </c>
      <c r="K114" s="62">
        <f>IF('Expenses w MYP'!$G78="","",IF('Cash Flow %s Yr3'!K114="","",'Cash Flow %s Yr3'!K114*'Expenses w MYP'!$G78))</f>
        <v>68.033233754459431</v>
      </c>
      <c r="L114" s="62">
        <f>IF('Expenses w MYP'!$G78="","",IF('Cash Flow %s Yr3'!L114="","",'Cash Flow %s Yr3'!L114*'Expenses w MYP'!$G78))</f>
        <v>68.033233754459431</v>
      </c>
      <c r="M114" s="62">
        <f>IF('Expenses w MYP'!$G78="","",IF('Cash Flow %s Yr3'!M114="","",'Cash Flow %s Yr3'!M114*'Expenses w MYP'!$G78))</f>
        <v>68.033233754459431</v>
      </c>
      <c r="N114" s="62">
        <f>IF('Expenses w MYP'!$G78="","",IF('Cash Flow %s Yr3'!N114="","",'Cash Flow %s Yr3'!N114*'Expenses w MYP'!$G78))</f>
        <v>68.033233754459431</v>
      </c>
      <c r="O114" s="62">
        <f>IF('Expenses w MYP'!$G78="","",IF('Cash Flow %s Yr3'!O114="","",'Cash Flow %s Yr3'!O114*'Expenses w MYP'!$G78))</f>
        <v>68.033233754459431</v>
      </c>
      <c r="P114" s="113"/>
      <c r="Q114" s="113"/>
      <c r="R114" s="113"/>
      <c r="S114" s="97">
        <f>IF(SUM(D114:R114)&gt;0,SUM(D114:R114)/'Expenses w MYP'!$G78,"")</f>
        <v>1</v>
      </c>
    </row>
    <row r="115" spans="1:19" s="31" customFormat="1" x14ac:dyDescent="0.75">
      <c r="A115" s="35"/>
      <c r="B115" s="121" t="str">
        <f>'Expenses w MYP'!C79</f>
        <v>5505</v>
      </c>
      <c r="C115" s="121" t="str">
        <f>'Expenses w MYP'!D79</f>
        <v>Student Transportation / Field Trips</v>
      </c>
      <c r="D115" s="62">
        <f>IF('Expenses w MYP'!$G79="","",IF('Cash Flow %s Yr3'!D115="","",'Cash Flow %s Yr3'!D115*'Expenses w MYP'!$G79))</f>
        <v>0</v>
      </c>
      <c r="E115" s="62">
        <f>IF('Expenses w MYP'!$G79="","",IF('Cash Flow %s Yr3'!E115="","",'Cash Flow %s Yr3'!E115*'Expenses w MYP'!$G79))</f>
        <v>0</v>
      </c>
      <c r="F115" s="62">
        <f>IF('Expenses w MYP'!$G79="","",IF('Cash Flow %s Yr3'!F115="","",'Cash Flow %s Yr3'!F115*'Expenses w MYP'!$G79))</f>
        <v>0</v>
      </c>
      <c r="G115" s="62">
        <f>IF('Expenses w MYP'!$G79="","",IF('Cash Flow %s Yr3'!G115="","",'Cash Flow %s Yr3'!G115*'Expenses w MYP'!$G79))</f>
        <v>0</v>
      </c>
      <c r="H115" s="62">
        <f>IF('Expenses w MYP'!$G79="","",IF('Cash Flow %s Yr3'!H115="","",'Cash Flow %s Yr3'!H115*'Expenses w MYP'!$G79))</f>
        <v>0</v>
      </c>
      <c r="I115" s="62">
        <f>IF('Expenses w MYP'!$G79="","",IF('Cash Flow %s Yr3'!I115="","",'Cash Flow %s Yr3'!I115*'Expenses w MYP'!$G79))</f>
        <v>0</v>
      </c>
      <c r="J115" s="62">
        <f>IF('Expenses w MYP'!$G79="","",IF('Cash Flow %s Yr3'!J115="","",'Cash Flow %s Yr3'!J115*'Expenses w MYP'!$G79))</f>
        <v>0</v>
      </c>
      <c r="K115" s="62">
        <f>IF('Expenses w MYP'!$G79="","",IF('Cash Flow %s Yr3'!K115="","",'Cash Flow %s Yr3'!K115*'Expenses w MYP'!$G79))</f>
        <v>0</v>
      </c>
      <c r="L115" s="62">
        <f>IF('Expenses w MYP'!$G79="","",IF('Cash Flow %s Yr3'!L115="","",'Cash Flow %s Yr3'!L115*'Expenses w MYP'!$G79))</f>
        <v>0</v>
      </c>
      <c r="M115" s="62">
        <f>IF('Expenses w MYP'!$G79="","",IF('Cash Flow %s Yr3'!M115="","",'Cash Flow %s Yr3'!M115*'Expenses w MYP'!$G79))</f>
        <v>0</v>
      </c>
      <c r="N115" s="62">
        <f>IF('Expenses w MYP'!$G79="","",IF('Cash Flow %s Yr3'!N115="","",'Cash Flow %s Yr3'!N115*'Expenses w MYP'!$G79))</f>
        <v>0</v>
      </c>
      <c r="O115" s="62">
        <f>IF('Expenses w MYP'!$G79="","",IF('Cash Flow %s Yr3'!O115="","",'Cash Flow %s Yr3'!O115*'Expenses w MYP'!$G79))</f>
        <v>0</v>
      </c>
      <c r="P115" s="113"/>
      <c r="Q115" s="113"/>
      <c r="R115" s="113"/>
      <c r="S115" s="97" t="str">
        <f>IF(SUM(D115:R115)&gt;0,SUM(D115:R115)/'Expenses w MYP'!$G79,"")</f>
        <v/>
      </c>
    </row>
    <row r="116" spans="1:19" s="31" customFormat="1" x14ac:dyDescent="0.75">
      <c r="A116" s="35"/>
      <c r="B116" s="121" t="str">
        <f>'Expenses w MYP'!C80</f>
        <v>5600</v>
      </c>
      <c r="C116" s="121" t="str">
        <f>'Expenses w MYP'!D80</f>
        <v>Space Rental/Leases Expense</v>
      </c>
      <c r="D116" s="62">
        <f>IF('Expenses w MYP'!$G80="","",IF('Cash Flow %s Yr3'!D116="","",'Cash Flow %s Yr3'!D116*'Expenses w MYP'!$G80))</f>
        <v>0</v>
      </c>
      <c r="E116" s="62">
        <f>IF('Expenses w MYP'!$G80="","",IF('Cash Flow %s Yr3'!E116="","",'Cash Flow %s Yr3'!E116*'Expenses w MYP'!$G80))</f>
        <v>0</v>
      </c>
      <c r="F116" s="62">
        <f>IF('Expenses w MYP'!$G80="","",IF('Cash Flow %s Yr3'!F116="","",'Cash Flow %s Yr3'!F116*'Expenses w MYP'!$G80))</f>
        <v>1750.3530511101617</v>
      </c>
      <c r="G116" s="62">
        <f>IF('Expenses w MYP'!$G80="","",IF('Cash Flow %s Yr3'!G116="","",'Cash Flow %s Yr3'!G116*'Expenses w MYP'!$G80))</f>
        <v>1750.3530511101617</v>
      </c>
      <c r="H116" s="62">
        <f>IF('Expenses w MYP'!$G80="","",IF('Cash Flow %s Yr3'!H116="","",'Cash Flow %s Yr3'!H116*'Expenses w MYP'!$G80))</f>
        <v>1750.3530511101617</v>
      </c>
      <c r="I116" s="62">
        <f>IF('Expenses w MYP'!$G80="","",IF('Cash Flow %s Yr3'!I116="","",'Cash Flow %s Yr3'!I116*'Expenses w MYP'!$G80))</f>
        <v>1750.3530511101617</v>
      </c>
      <c r="J116" s="62">
        <f>IF('Expenses w MYP'!$G80="","",IF('Cash Flow %s Yr3'!J116="","",'Cash Flow %s Yr3'!J116*'Expenses w MYP'!$G80))</f>
        <v>1750.3530511101617</v>
      </c>
      <c r="K116" s="62">
        <f>IF('Expenses w MYP'!$G80="","",IF('Cash Flow %s Yr3'!K116="","",'Cash Flow %s Yr3'!K116*'Expenses w MYP'!$G80))</f>
        <v>1750.3530511101617</v>
      </c>
      <c r="L116" s="62">
        <f>IF('Expenses w MYP'!$G80="","",IF('Cash Flow %s Yr3'!L116="","",'Cash Flow %s Yr3'!L116*'Expenses w MYP'!$G80))</f>
        <v>1750.3530511101617</v>
      </c>
      <c r="M116" s="62">
        <f>IF('Expenses w MYP'!$G80="","",IF('Cash Flow %s Yr3'!M116="","",'Cash Flow %s Yr3'!M116*'Expenses w MYP'!$G80))</f>
        <v>1750.3530511101617</v>
      </c>
      <c r="N116" s="62">
        <f>IF('Expenses w MYP'!$G80="","",IF('Cash Flow %s Yr3'!N116="","",'Cash Flow %s Yr3'!N116*'Expenses w MYP'!$G80))</f>
        <v>1750.3530511101617</v>
      </c>
      <c r="O116" s="62">
        <f>IF('Expenses w MYP'!$G80="","",IF('Cash Flow %s Yr3'!O116="","",'Cash Flow %s Yr3'!O116*'Expenses w MYP'!$G80))</f>
        <v>1750.3530511101617</v>
      </c>
      <c r="P116" s="113"/>
      <c r="Q116" s="113"/>
      <c r="R116" s="113"/>
      <c r="S116" s="97">
        <f>IF(SUM(D116:R116)&gt;0,SUM(D116:R116)/'Expenses w MYP'!$G80,"")</f>
        <v>1</v>
      </c>
    </row>
    <row r="117" spans="1:19" s="31" customFormat="1" x14ac:dyDescent="0.75">
      <c r="A117" s="35"/>
      <c r="B117" s="121" t="str">
        <f>'Expenses w MYP'!C81</f>
        <v>5601</v>
      </c>
      <c r="C117" s="121" t="str">
        <f>'Expenses w MYP'!D81</f>
        <v>Building Maintenance</v>
      </c>
      <c r="D117" s="62">
        <f>IF('Expenses w MYP'!$G81="","",IF('Cash Flow %s Yr3'!D117="","",'Cash Flow %s Yr3'!D117*'Expenses w MYP'!$G81))</f>
        <v>0</v>
      </c>
      <c r="E117" s="62">
        <f>IF('Expenses w MYP'!$G81="","",IF('Cash Flow %s Yr3'!E117="","",'Cash Flow %s Yr3'!E117*'Expenses w MYP'!$G81))</f>
        <v>0</v>
      </c>
      <c r="F117" s="62">
        <f>IF('Expenses w MYP'!$G81="","",IF('Cash Flow %s Yr3'!F117="","",'Cash Flow %s Yr3'!F117*'Expenses w MYP'!$G81))</f>
        <v>0</v>
      </c>
      <c r="G117" s="62">
        <f>IF('Expenses w MYP'!$G81="","",IF('Cash Flow %s Yr3'!G117="","",'Cash Flow %s Yr3'!G117*'Expenses w MYP'!$G81))</f>
        <v>0</v>
      </c>
      <c r="H117" s="62">
        <f>IF('Expenses w MYP'!$G81="","",IF('Cash Flow %s Yr3'!H117="","",'Cash Flow %s Yr3'!H117*'Expenses w MYP'!$G81))</f>
        <v>0</v>
      </c>
      <c r="I117" s="62">
        <f>IF('Expenses w MYP'!$G81="","",IF('Cash Flow %s Yr3'!I117="","",'Cash Flow %s Yr3'!I117*'Expenses w MYP'!$G81))</f>
        <v>0</v>
      </c>
      <c r="J117" s="62">
        <f>IF('Expenses w MYP'!$G81="","",IF('Cash Flow %s Yr3'!J117="","",'Cash Flow %s Yr3'!J117*'Expenses w MYP'!$G81))</f>
        <v>0</v>
      </c>
      <c r="K117" s="62">
        <f>IF('Expenses w MYP'!$G81="","",IF('Cash Flow %s Yr3'!K117="","",'Cash Flow %s Yr3'!K117*'Expenses w MYP'!$G81))</f>
        <v>0</v>
      </c>
      <c r="L117" s="62">
        <f>IF('Expenses w MYP'!$G81="","",IF('Cash Flow %s Yr3'!L117="","",'Cash Flow %s Yr3'!L117*'Expenses w MYP'!$G81))</f>
        <v>0</v>
      </c>
      <c r="M117" s="62">
        <f>IF('Expenses w MYP'!$G81="","",IF('Cash Flow %s Yr3'!M117="","",'Cash Flow %s Yr3'!M117*'Expenses w MYP'!$G81))</f>
        <v>0</v>
      </c>
      <c r="N117" s="62">
        <f>IF('Expenses w MYP'!$G81="","",IF('Cash Flow %s Yr3'!N117="","",'Cash Flow %s Yr3'!N117*'Expenses w MYP'!$G81))</f>
        <v>0</v>
      </c>
      <c r="O117" s="62">
        <f>IF('Expenses w MYP'!$G81="","",IF('Cash Flow %s Yr3'!O117="","",'Cash Flow %s Yr3'!O117*'Expenses w MYP'!$G81))</f>
        <v>0</v>
      </c>
      <c r="P117" s="113"/>
      <c r="Q117" s="113"/>
      <c r="R117" s="113"/>
      <c r="S117" s="97" t="str">
        <f>IF(SUM(D117:R117)&gt;0,SUM(D117:R117)/'Expenses w MYP'!$G81,"")</f>
        <v/>
      </c>
    </row>
    <row r="118" spans="1:19" s="31" customFormat="1" x14ac:dyDescent="0.75">
      <c r="A118" s="35"/>
      <c r="B118" s="121" t="str">
        <f>'Expenses w MYP'!C82</f>
        <v>5602</v>
      </c>
      <c r="C118" s="121" t="str">
        <f>'Expenses w MYP'!D82</f>
        <v>Other Space Rental</v>
      </c>
      <c r="D118" s="62">
        <f>IF('Expenses w MYP'!$G82="","",IF('Cash Flow %s Yr3'!D118="","",'Cash Flow %s Yr3'!D118*'Expenses w MYP'!$G82))</f>
        <v>1088.5317400713509</v>
      </c>
      <c r="E118" s="62">
        <f>IF('Expenses w MYP'!$G82="","",IF('Cash Flow %s Yr3'!E118="","",'Cash Flow %s Yr3'!E118*'Expenses w MYP'!$G82))</f>
        <v>1088.5317400713509</v>
      </c>
      <c r="F118" s="62">
        <f>IF('Expenses w MYP'!$G82="","",IF('Cash Flow %s Yr3'!F118="","",'Cash Flow %s Yr3'!F118*'Expenses w MYP'!$G82))</f>
        <v>1959.3571321284312</v>
      </c>
      <c r="G118" s="62">
        <f>IF('Expenses w MYP'!$G82="","",IF('Cash Flow %s Yr3'!G118="","",'Cash Flow %s Yr3'!G118*'Expenses w MYP'!$G82))</f>
        <v>1959.3571321284312</v>
      </c>
      <c r="H118" s="62">
        <f>IF('Expenses w MYP'!$G82="","",IF('Cash Flow %s Yr3'!H118="","",'Cash Flow %s Yr3'!H118*'Expenses w MYP'!$G82))</f>
        <v>1959.3571321284312</v>
      </c>
      <c r="I118" s="62">
        <f>IF('Expenses w MYP'!$G82="","",IF('Cash Flow %s Yr3'!I118="","",'Cash Flow %s Yr3'!I118*'Expenses w MYP'!$G82))</f>
        <v>1959.3571321284312</v>
      </c>
      <c r="J118" s="62">
        <f>IF('Expenses w MYP'!$G82="","",IF('Cash Flow %s Yr3'!J118="","",'Cash Flow %s Yr3'!J118*'Expenses w MYP'!$G82))</f>
        <v>1959.3571321284312</v>
      </c>
      <c r="K118" s="62">
        <f>IF('Expenses w MYP'!$G82="","",IF('Cash Flow %s Yr3'!K118="","",'Cash Flow %s Yr3'!K118*'Expenses w MYP'!$G82))</f>
        <v>1959.3571321284312</v>
      </c>
      <c r="L118" s="62">
        <f>IF('Expenses w MYP'!$G82="","",IF('Cash Flow %s Yr3'!L118="","",'Cash Flow %s Yr3'!L118*'Expenses w MYP'!$G82))</f>
        <v>1959.3571321284312</v>
      </c>
      <c r="M118" s="62">
        <f>IF('Expenses w MYP'!$G82="","",IF('Cash Flow %s Yr3'!M118="","",'Cash Flow %s Yr3'!M118*'Expenses w MYP'!$G82))</f>
        <v>1959.3571321284312</v>
      </c>
      <c r="N118" s="62">
        <f>IF('Expenses w MYP'!$G82="","",IF('Cash Flow %s Yr3'!N118="","",'Cash Flow %s Yr3'!N118*'Expenses w MYP'!$G82))</f>
        <v>1959.3571321284312</v>
      </c>
      <c r="O118" s="62">
        <f>IF('Expenses w MYP'!$G82="","",IF('Cash Flow %s Yr3'!O118="","",'Cash Flow %s Yr3'!O118*'Expenses w MYP'!$G82))</f>
        <v>1959.3571321284312</v>
      </c>
      <c r="P118" s="113"/>
      <c r="Q118" s="113"/>
      <c r="R118" s="113"/>
      <c r="S118" s="97">
        <f>IF(SUM(D118:R118)&gt;0,SUM(D118:R118)/'Expenses w MYP'!$G82,"")</f>
        <v>1</v>
      </c>
    </row>
    <row r="119" spans="1:19" s="31" customFormat="1" x14ac:dyDescent="0.75">
      <c r="A119" s="35"/>
      <c r="B119" s="121" t="str">
        <f>'Expenses w MYP'!C83</f>
        <v>5603</v>
      </c>
      <c r="C119" s="121" t="str">
        <f>'Expenses w MYP'!D83</f>
        <v>Engagement Space Rental</v>
      </c>
      <c r="D119" s="62">
        <f>IF('Expenses w MYP'!$G83="","",IF('Cash Flow %s Yr3'!D119="","",'Cash Flow %s Yr3'!D119*'Expenses w MYP'!$G83))</f>
        <v>0</v>
      </c>
      <c r="E119" s="62">
        <f>IF('Expenses w MYP'!$G83="","",IF('Cash Flow %s Yr3'!E119="","",'Cash Flow %s Yr3'!E119*'Expenses w MYP'!$G83))</f>
        <v>0</v>
      </c>
      <c r="F119" s="62">
        <f>IF('Expenses w MYP'!$G83="","",IF('Cash Flow %s Yr3'!F119="","",'Cash Flow %s Yr3'!F119*'Expenses w MYP'!$G83))</f>
        <v>0</v>
      </c>
      <c r="G119" s="62">
        <f>IF('Expenses w MYP'!$G83="","",IF('Cash Flow %s Yr3'!G119="","",'Cash Flow %s Yr3'!G119*'Expenses w MYP'!$G83))</f>
        <v>0</v>
      </c>
      <c r="H119" s="62">
        <f>IF('Expenses w MYP'!$G83="","",IF('Cash Flow %s Yr3'!H119="","",'Cash Flow %s Yr3'!H119*'Expenses w MYP'!$G83))</f>
        <v>0</v>
      </c>
      <c r="I119" s="62">
        <f>IF('Expenses w MYP'!$G83="","",IF('Cash Flow %s Yr3'!I119="","",'Cash Flow %s Yr3'!I119*'Expenses w MYP'!$G83))</f>
        <v>0</v>
      </c>
      <c r="J119" s="62">
        <f>IF('Expenses w MYP'!$G83="","",IF('Cash Flow %s Yr3'!J119="","",'Cash Flow %s Yr3'!J119*'Expenses w MYP'!$G83))</f>
        <v>0</v>
      </c>
      <c r="K119" s="62">
        <f>IF('Expenses w MYP'!$G83="","",IF('Cash Flow %s Yr3'!K119="","",'Cash Flow %s Yr3'!K119*'Expenses w MYP'!$G83))</f>
        <v>0</v>
      </c>
      <c r="L119" s="62">
        <f>IF('Expenses w MYP'!$G83="","",IF('Cash Flow %s Yr3'!L119="","",'Cash Flow %s Yr3'!L119*'Expenses w MYP'!$G83))</f>
        <v>0</v>
      </c>
      <c r="M119" s="62">
        <f>IF('Expenses w MYP'!$G83="","",IF('Cash Flow %s Yr3'!M119="","",'Cash Flow %s Yr3'!M119*'Expenses w MYP'!$G83))</f>
        <v>0</v>
      </c>
      <c r="N119" s="62">
        <f>IF('Expenses w MYP'!$G83="","",IF('Cash Flow %s Yr3'!N119="","",'Cash Flow %s Yr3'!N119*'Expenses w MYP'!$G83))</f>
        <v>0</v>
      </c>
      <c r="O119" s="62">
        <f>IF('Expenses w MYP'!$G83="","",IF('Cash Flow %s Yr3'!O119="","",'Cash Flow %s Yr3'!O119*'Expenses w MYP'!$G83))</f>
        <v>0</v>
      </c>
      <c r="P119" s="113"/>
      <c r="Q119" s="113"/>
      <c r="R119" s="113"/>
      <c r="S119" s="97" t="str">
        <f>IF(SUM(D119:R119)&gt;0,SUM(D119:R119)/'Expenses w MYP'!$G83,"")</f>
        <v/>
      </c>
    </row>
    <row r="120" spans="1:19" s="31" customFormat="1" x14ac:dyDescent="0.75">
      <c r="A120" s="35"/>
      <c r="B120" s="121" t="str">
        <f>'Expenses w MYP'!C84</f>
        <v>5610</v>
      </c>
      <c r="C120" s="121" t="str">
        <f>'Expenses w MYP'!D84</f>
        <v>Equipment Repair</v>
      </c>
      <c r="D120" s="62">
        <f>IF('Expenses w MYP'!$G84="","",IF('Cash Flow %s Yr3'!D120="","",'Cash Flow %s Yr3'!D120*'Expenses w MYP'!$G84))</f>
        <v>0</v>
      </c>
      <c r="E120" s="62">
        <f>IF('Expenses w MYP'!$G84="","",IF('Cash Flow %s Yr3'!E120="","",'Cash Flow %s Yr3'!E120*'Expenses w MYP'!$G84))</f>
        <v>0</v>
      </c>
      <c r="F120" s="62">
        <f>IF('Expenses w MYP'!$G84="","",IF('Cash Flow %s Yr3'!F120="","",'Cash Flow %s Yr3'!F120*'Expenses w MYP'!$G84))</f>
        <v>0</v>
      </c>
      <c r="G120" s="62">
        <f>IF('Expenses w MYP'!$G84="","",IF('Cash Flow %s Yr3'!G120="","",'Cash Flow %s Yr3'!G120*'Expenses w MYP'!$G84))</f>
        <v>0</v>
      </c>
      <c r="H120" s="62">
        <f>IF('Expenses w MYP'!$G84="","",IF('Cash Flow %s Yr3'!H120="","",'Cash Flow %s Yr3'!H120*'Expenses w MYP'!$G84))</f>
        <v>0</v>
      </c>
      <c r="I120" s="62">
        <f>IF('Expenses w MYP'!$G84="","",IF('Cash Flow %s Yr3'!I120="","",'Cash Flow %s Yr3'!I120*'Expenses w MYP'!$G84))</f>
        <v>0</v>
      </c>
      <c r="J120" s="62">
        <f>IF('Expenses w MYP'!$G84="","",IF('Cash Flow %s Yr3'!J120="","",'Cash Flow %s Yr3'!J120*'Expenses w MYP'!$G84))</f>
        <v>0</v>
      </c>
      <c r="K120" s="62">
        <f>IF('Expenses w MYP'!$G84="","",IF('Cash Flow %s Yr3'!K120="","",'Cash Flow %s Yr3'!K120*'Expenses w MYP'!$G84))</f>
        <v>0</v>
      </c>
      <c r="L120" s="62">
        <f>IF('Expenses w MYP'!$G84="","",IF('Cash Flow %s Yr3'!L120="","",'Cash Flow %s Yr3'!L120*'Expenses w MYP'!$G84))</f>
        <v>0</v>
      </c>
      <c r="M120" s="62">
        <f>IF('Expenses w MYP'!$G84="","",IF('Cash Flow %s Yr3'!M120="","",'Cash Flow %s Yr3'!M120*'Expenses w MYP'!$G84))</f>
        <v>0</v>
      </c>
      <c r="N120" s="62">
        <f>IF('Expenses w MYP'!$G84="","",IF('Cash Flow %s Yr3'!N120="","",'Cash Flow %s Yr3'!N120*'Expenses w MYP'!$G84))</f>
        <v>0</v>
      </c>
      <c r="O120" s="62">
        <f>IF('Expenses w MYP'!$G84="","",IF('Cash Flow %s Yr3'!O120="","",'Cash Flow %s Yr3'!O120*'Expenses w MYP'!$G84))</f>
        <v>0</v>
      </c>
      <c r="P120" s="113"/>
      <c r="Q120" s="113"/>
      <c r="R120" s="113"/>
      <c r="S120" s="97" t="str">
        <f>IF(SUM(D120:R120)&gt;0,SUM(D120:R120)/'Expenses w MYP'!$G84,"")</f>
        <v/>
      </c>
    </row>
    <row r="121" spans="1:19" s="31" customFormat="1" x14ac:dyDescent="0.75">
      <c r="A121" s="35"/>
      <c r="B121" s="121" t="str">
        <f>'Expenses w MYP'!C85</f>
        <v>5800</v>
      </c>
      <c r="C121" s="121" t="str">
        <f>'Expenses w MYP'!D85</f>
        <v>Professional/Consulting Services and Operating Expenditures</v>
      </c>
      <c r="D121" s="62">
        <f>IF('Expenses w MYP'!$G85="","",IF('Cash Flow %s Yr3'!D121="","",'Cash Flow %s Yr3'!D121*'Expenses w MYP'!$G85))</f>
        <v>0</v>
      </c>
      <c r="E121" s="62">
        <f>IF('Expenses w MYP'!$G85="","",IF('Cash Flow %s Yr3'!E121="","",'Cash Flow %s Yr3'!E121*'Expenses w MYP'!$G85))</f>
        <v>0</v>
      </c>
      <c r="F121" s="62">
        <f>IF('Expenses w MYP'!$G85="","",IF('Cash Flow %s Yr3'!F121="","",'Cash Flow %s Yr3'!F121*'Expenses w MYP'!$G85))</f>
        <v>11701.716205767021</v>
      </c>
      <c r="G121" s="62">
        <f>IF('Expenses w MYP'!$G85="","",IF('Cash Flow %s Yr3'!G121="","",'Cash Flow %s Yr3'!G121*'Expenses w MYP'!$G85))</f>
        <v>11701.716205767021</v>
      </c>
      <c r="H121" s="62">
        <f>IF('Expenses w MYP'!$G85="","",IF('Cash Flow %s Yr3'!H121="","",'Cash Flow %s Yr3'!H121*'Expenses w MYP'!$G85))</f>
        <v>11701.716205767021</v>
      </c>
      <c r="I121" s="62">
        <f>IF('Expenses w MYP'!$G85="","",IF('Cash Flow %s Yr3'!I121="","",'Cash Flow %s Yr3'!I121*'Expenses w MYP'!$G85))</f>
        <v>11701.716205767021</v>
      </c>
      <c r="J121" s="62">
        <f>IF('Expenses w MYP'!$G85="","",IF('Cash Flow %s Yr3'!J121="","",'Cash Flow %s Yr3'!J121*'Expenses w MYP'!$G85))</f>
        <v>11701.716205767021</v>
      </c>
      <c r="K121" s="62">
        <f>IF('Expenses w MYP'!$G85="","",IF('Cash Flow %s Yr3'!K121="","",'Cash Flow %s Yr3'!K121*'Expenses w MYP'!$G85))</f>
        <v>11701.716205767021</v>
      </c>
      <c r="L121" s="62">
        <f>IF('Expenses w MYP'!$G85="","",IF('Cash Flow %s Yr3'!L121="","",'Cash Flow %s Yr3'!L121*'Expenses w MYP'!$G85))</f>
        <v>11701.716205767021</v>
      </c>
      <c r="M121" s="62">
        <f>IF('Expenses w MYP'!$G85="","",IF('Cash Flow %s Yr3'!M121="","",'Cash Flow %s Yr3'!M121*'Expenses w MYP'!$G85))</f>
        <v>11701.716205767021</v>
      </c>
      <c r="N121" s="62">
        <f>IF('Expenses w MYP'!$G85="","",IF('Cash Flow %s Yr3'!N121="","",'Cash Flow %s Yr3'!N121*'Expenses w MYP'!$G85))</f>
        <v>11701.716205767021</v>
      </c>
      <c r="O121" s="62">
        <f>IF('Expenses w MYP'!$G85="","",IF('Cash Flow %s Yr3'!O121="","",'Cash Flow %s Yr3'!O121*'Expenses w MYP'!$G85))</f>
        <v>11701.716205767021</v>
      </c>
      <c r="P121" s="113"/>
      <c r="Q121" s="113"/>
      <c r="R121" s="113"/>
      <c r="S121" s="97">
        <f>IF(SUM(D121:R121)&gt;0,SUM(D121:R121)/'Expenses w MYP'!$G85,"")</f>
        <v>1</v>
      </c>
    </row>
    <row r="122" spans="1:19" s="31" customFormat="1" x14ac:dyDescent="0.75">
      <c r="A122" s="35"/>
      <c r="B122" s="121" t="str">
        <f>'Expenses w MYP'!C86</f>
        <v>5803</v>
      </c>
      <c r="C122" s="121" t="str">
        <f>'Expenses w MYP'!D86</f>
        <v>Banking and Payroll Service Fees</v>
      </c>
      <c r="D122" s="62">
        <f>IF('Expenses w MYP'!$G86="","",IF('Cash Flow %s Yr3'!D122="","",'Cash Flow %s Yr3'!D122*'Expenses w MYP'!$G86))</f>
        <v>408.19940252675656</v>
      </c>
      <c r="E122" s="62">
        <f>IF('Expenses w MYP'!$G86="","",IF('Cash Flow %s Yr3'!E122="","",'Cash Flow %s Yr3'!E122*'Expenses w MYP'!$G86))</f>
        <v>408.19940252675656</v>
      </c>
      <c r="F122" s="62">
        <f>IF('Expenses w MYP'!$G86="","",IF('Cash Flow %s Yr3'!F122="","",'Cash Flow %s Yr3'!F122*'Expenses w MYP'!$G86))</f>
        <v>734.75892454816176</v>
      </c>
      <c r="G122" s="62">
        <f>IF('Expenses w MYP'!$G86="","",IF('Cash Flow %s Yr3'!G122="","",'Cash Flow %s Yr3'!G122*'Expenses w MYP'!$G86))</f>
        <v>734.75892454816176</v>
      </c>
      <c r="H122" s="62">
        <f>IF('Expenses w MYP'!$G86="","",IF('Cash Flow %s Yr3'!H122="","",'Cash Flow %s Yr3'!H122*'Expenses w MYP'!$G86))</f>
        <v>734.75892454816176</v>
      </c>
      <c r="I122" s="62">
        <f>IF('Expenses w MYP'!$G86="","",IF('Cash Flow %s Yr3'!I122="","",'Cash Flow %s Yr3'!I122*'Expenses w MYP'!$G86))</f>
        <v>734.75892454816176</v>
      </c>
      <c r="J122" s="62">
        <f>IF('Expenses w MYP'!$G86="","",IF('Cash Flow %s Yr3'!J122="","",'Cash Flow %s Yr3'!J122*'Expenses w MYP'!$G86))</f>
        <v>734.75892454816176</v>
      </c>
      <c r="K122" s="62">
        <f>IF('Expenses w MYP'!$G86="","",IF('Cash Flow %s Yr3'!K122="","",'Cash Flow %s Yr3'!K122*'Expenses w MYP'!$G86))</f>
        <v>734.75892454816176</v>
      </c>
      <c r="L122" s="62">
        <f>IF('Expenses w MYP'!$G86="","",IF('Cash Flow %s Yr3'!L122="","",'Cash Flow %s Yr3'!L122*'Expenses w MYP'!$G86))</f>
        <v>734.75892454816176</v>
      </c>
      <c r="M122" s="62">
        <f>IF('Expenses w MYP'!$G86="","",IF('Cash Flow %s Yr3'!M122="","",'Cash Flow %s Yr3'!M122*'Expenses w MYP'!$G86))</f>
        <v>734.75892454816176</v>
      </c>
      <c r="N122" s="62">
        <f>IF('Expenses w MYP'!$G86="","",IF('Cash Flow %s Yr3'!N122="","",'Cash Flow %s Yr3'!N122*'Expenses w MYP'!$G86))</f>
        <v>734.75892454816176</v>
      </c>
      <c r="O122" s="62">
        <f>IF('Expenses w MYP'!$G86="","",IF('Cash Flow %s Yr3'!O122="","",'Cash Flow %s Yr3'!O122*'Expenses w MYP'!$G86))</f>
        <v>734.75892454816176</v>
      </c>
      <c r="P122" s="113"/>
      <c r="Q122" s="113"/>
      <c r="R122" s="113"/>
      <c r="S122" s="97">
        <f>IF(SUM(D122:R122)&gt;0,SUM(D122:R122)/'Expenses w MYP'!$G86,"")</f>
        <v>0.99999999999999967</v>
      </c>
    </row>
    <row r="123" spans="1:19" s="31" customFormat="1" x14ac:dyDescent="0.75">
      <c r="A123" s="35"/>
      <c r="B123" s="121" t="str">
        <f>'Expenses w MYP'!C87</f>
        <v>5805</v>
      </c>
      <c r="C123" s="121" t="str">
        <f>'Expenses w MYP'!D87</f>
        <v>Legal Fees</v>
      </c>
      <c r="D123" s="62">
        <f>IF('Expenses w MYP'!$G87="","",IF('Cash Flow %s Yr3'!D123="","",'Cash Flow %s Yr3'!D123*'Expenses w MYP'!$G87))</f>
        <v>2040.9970126337828</v>
      </c>
      <c r="E123" s="62">
        <f>IF('Expenses w MYP'!$G87="","",IF('Cash Flow %s Yr3'!E123="","",'Cash Flow %s Yr3'!E123*'Expenses w MYP'!$G87))</f>
        <v>2040.9970126337828</v>
      </c>
      <c r="F123" s="62">
        <f>IF('Expenses w MYP'!$G87="","",IF('Cash Flow %s Yr3'!F123="","",'Cash Flow %s Yr3'!F123*'Expenses w MYP'!$G87))</f>
        <v>3673.7946227408088</v>
      </c>
      <c r="G123" s="62">
        <f>IF('Expenses w MYP'!$G87="","",IF('Cash Flow %s Yr3'!G123="","",'Cash Flow %s Yr3'!G123*'Expenses w MYP'!$G87))</f>
        <v>3673.7946227408088</v>
      </c>
      <c r="H123" s="62">
        <f>IF('Expenses w MYP'!$G87="","",IF('Cash Flow %s Yr3'!H123="","",'Cash Flow %s Yr3'!H123*'Expenses w MYP'!$G87))</f>
        <v>3673.7946227408088</v>
      </c>
      <c r="I123" s="62">
        <f>IF('Expenses w MYP'!$G87="","",IF('Cash Flow %s Yr3'!I123="","",'Cash Flow %s Yr3'!I123*'Expenses w MYP'!$G87))</f>
        <v>3673.7946227408088</v>
      </c>
      <c r="J123" s="62">
        <f>IF('Expenses w MYP'!$G87="","",IF('Cash Flow %s Yr3'!J123="","",'Cash Flow %s Yr3'!J123*'Expenses w MYP'!$G87))</f>
        <v>3673.7946227408088</v>
      </c>
      <c r="K123" s="62">
        <f>IF('Expenses w MYP'!$G87="","",IF('Cash Flow %s Yr3'!K123="","",'Cash Flow %s Yr3'!K123*'Expenses w MYP'!$G87))</f>
        <v>3673.7946227408088</v>
      </c>
      <c r="L123" s="62">
        <f>IF('Expenses w MYP'!$G87="","",IF('Cash Flow %s Yr3'!L123="","",'Cash Flow %s Yr3'!L123*'Expenses w MYP'!$G87))</f>
        <v>3673.7946227408088</v>
      </c>
      <c r="M123" s="62">
        <f>IF('Expenses w MYP'!$G87="","",IF('Cash Flow %s Yr3'!M123="","",'Cash Flow %s Yr3'!M123*'Expenses w MYP'!$G87))</f>
        <v>3673.7946227408088</v>
      </c>
      <c r="N123" s="62">
        <f>IF('Expenses w MYP'!$G87="","",IF('Cash Flow %s Yr3'!N123="","",'Cash Flow %s Yr3'!N123*'Expenses w MYP'!$G87))</f>
        <v>3673.7946227408088</v>
      </c>
      <c r="O123" s="62">
        <f>IF('Expenses w MYP'!$G87="","",IF('Cash Flow %s Yr3'!O123="","",'Cash Flow %s Yr3'!O123*'Expenses w MYP'!$G87))</f>
        <v>3673.7946227408088</v>
      </c>
      <c r="P123" s="113"/>
      <c r="Q123" s="113"/>
      <c r="R123" s="113"/>
      <c r="S123" s="97">
        <f>IF(SUM(D123:R123)&gt;0,SUM(D123:R123)/'Expenses w MYP'!$G87,"")</f>
        <v>1.0000000000000002</v>
      </c>
    </row>
    <row r="124" spans="1:19" s="31" customFormat="1" x14ac:dyDescent="0.75">
      <c r="A124" s="35"/>
      <c r="B124" s="121" t="str">
        <f>'Expenses w MYP'!C88</f>
        <v>5806</v>
      </c>
      <c r="C124" s="121" t="str">
        <f>'Expenses w MYP'!D88</f>
        <v>Audit Services</v>
      </c>
      <c r="D124" s="62">
        <f>IF('Expenses w MYP'!$G88="","",IF('Cash Flow %s Yr3'!D124="","",'Cash Flow %s Yr3'!D124*'Expenses w MYP'!$G88))</f>
        <v>313.36107467304009</v>
      </c>
      <c r="E124" s="62">
        <f>IF('Expenses w MYP'!$G88="","",IF('Cash Flow %s Yr3'!E124="","",'Cash Flow %s Yr3'!E124*'Expenses w MYP'!$G88))</f>
        <v>313.36107467304009</v>
      </c>
      <c r="F124" s="62">
        <f>IF('Expenses w MYP'!$G88="","",IF('Cash Flow %s Yr3'!F124="","",'Cash Flow %s Yr3'!F124*'Expenses w MYP'!$G88))</f>
        <v>564.04993441147212</v>
      </c>
      <c r="G124" s="62">
        <f>IF('Expenses w MYP'!$G88="","",IF('Cash Flow %s Yr3'!G124="","",'Cash Flow %s Yr3'!G124*'Expenses w MYP'!$G88))</f>
        <v>564.04993441147212</v>
      </c>
      <c r="H124" s="62">
        <f>IF('Expenses w MYP'!$G88="","",IF('Cash Flow %s Yr3'!H124="","",'Cash Flow %s Yr3'!H124*'Expenses w MYP'!$G88))</f>
        <v>564.04993441147212</v>
      </c>
      <c r="I124" s="62">
        <f>IF('Expenses w MYP'!$G88="","",IF('Cash Flow %s Yr3'!I124="","",'Cash Flow %s Yr3'!I124*'Expenses w MYP'!$G88))</f>
        <v>564.04993441147212</v>
      </c>
      <c r="J124" s="62">
        <f>IF('Expenses w MYP'!$G88="","",IF('Cash Flow %s Yr3'!J124="","",'Cash Flow %s Yr3'!J124*'Expenses w MYP'!$G88))</f>
        <v>564.04993441147212</v>
      </c>
      <c r="K124" s="62">
        <f>IF('Expenses w MYP'!$G88="","",IF('Cash Flow %s Yr3'!K124="","",'Cash Flow %s Yr3'!K124*'Expenses w MYP'!$G88))</f>
        <v>564.04993441147212</v>
      </c>
      <c r="L124" s="62">
        <f>IF('Expenses w MYP'!$G88="","",IF('Cash Flow %s Yr3'!L124="","",'Cash Flow %s Yr3'!L124*'Expenses w MYP'!$G88))</f>
        <v>564.04993441147212</v>
      </c>
      <c r="M124" s="62">
        <f>IF('Expenses w MYP'!$G88="","",IF('Cash Flow %s Yr3'!M124="","",'Cash Flow %s Yr3'!M124*'Expenses w MYP'!$G88))</f>
        <v>564.04993441147212</v>
      </c>
      <c r="N124" s="62">
        <f>IF('Expenses w MYP'!$G88="","",IF('Cash Flow %s Yr3'!N124="","",'Cash Flow %s Yr3'!N124*'Expenses w MYP'!$G88))</f>
        <v>564.04993441147212</v>
      </c>
      <c r="O124" s="62">
        <f>IF('Expenses w MYP'!$G88="","",IF('Cash Flow %s Yr3'!O124="","",'Cash Flow %s Yr3'!O124*'Expenses w MYP'!$G88))</f>
        <v>564.04993441147212</v>
      </c>
      <c r="P124" s="113"/>
      <c r="Q124" s="113"/>
      <c r="R124" s="113"/>
      <c r="S124" s="97">
        <f>IF(SUM(D124:R124)&gt;0,SUM(D124:R124)/'Expenses w MYP'!$G88,"")</f>
        <v>1.0000000000000002</v>
      </c>
    </row>
    <row r="125" spans="1:19" s="31" customFormat="1" x14ac:dyDescent="0.75">
      <c r="A125" s="35"/>
      <c r="B125" s="121" t="str">
        <f>'Expenses w MYP'!C91</f>
        <v>5810</v>
      </c>
      <c r="C125" s="121" t="str">
        <f>'Expenses w MYP'!D91</f>
        <v>Educational Consultants</v>
      </c>
      <c r="D125" s="62">
        <f>IF('Expenses w MYP'!$G91="","",IF('Cash Flow %s Yr3'!D125="","",'Cash Flow %s Yr3'!D125*'Expenses w MYP'!$G91))</f>
        <v>32655.952202140525</v>
      </c>
      <c r="E125" s="62">
        <f>IF('Expenses w MYP'!$G91="","",IF('Cash Flow %s Yr3'!E125="","",'Cash Flow %s Yr3'!E125*'Expenses w MYP'!$G91))</f>
        <v>32655.952202140525</v>
      </c>
      <c r="F125" s="62">
        <f>IF('Expenses w MYP'!$G91="","",IF('Cash Flow %s Yr3'!F125="","",'Cash Flow %s Yr3'!F125*'Expenses w MYP'!$G91))</f>
        <v>58780.713963852941</v>
      </c>
      <c r="G125" s="62">
        <f>IF('Expenses w MYP'!$G91="","",IF('Cash Flow %s Yr3'!G125="","",'Cash Flow %s Yr3'!G125*'Expenses w MYP'!$G91))</f>
        <v>58780.713963852941</v>
      </c>
      <c r="H125" s="62">
        <f>IF('Expenses w MYP'!$G91="","",IF('Cash Flow %s Yr3'!H125="","",'Cash Flow %s Yr3'!H125*'Expenses w MYP'!$G91))</f>
        <v>58780.713963852941</v>
      </c>
      <c r="I125" s="62">
        <f>IF('Expenses w MYP'!$G91="","",IF('Cash Flow %s Yr3'!I125="","",'Cash Flow %s Yr3'!I125*'Expenses w MYP'!$G91))</f>
        <v>58780.713963852941</v>
      </c>
      <c r="J125" s="62">
        <f>IF('Expenses w MYP'!$G91="","",IF('Cash Flow %s Yr3'!J125="","",'Cash Flow %s Yr3'!J125*'Expenses w MYP'!$G91))</f>
        <v>58780.713963852941</v>
      </c>
      <c r="K125" s="62">
        <f>IF('Expenses w MYP'!$G91="","",IF('Cash Flow %s Yr3'!K125="","",'Cash Flow %s Yr3'!K125*'Expenses w MYP'!$G91))</f>
        <v>58780.713963852941</v>
      </c>
      <c r="L125" s="62">
        <f>IF('Expenses w MYP'!$G91="","",IF('Cash Flow %s Yr3'!L125="","",'Cash Flow %s Yr3'!L125*'Expenses w MYP'!$G91))</f>
        <v>58780.713963852941</v>
      </c>
      <c r="M125" s="62">
        <f>IF('Expenses w MYP'!$G91="","",IF('Cash Flow %s Yr3'!M125="","",'Cash Flow %s Yr3'!M125*'Expenses w MYP'!$G91))</f>
        <v>58780.713963852941</v>
      </c>
      <c r="N125" s="62">
        <f>IF('Expenses w MYP'!$G91="","",IF('Cash Flow %s Yr3'!N125="","",'Cash Flow %s Yr3'!N125*'Expenses w MYP'!$G91))</f>
        <v>58780.713963852941</v>
      </c>
      <c r="O125" s="62">
        <f>IF('Expenses w MYP'!$G91="","",IF('Cash Flow %s Yr3'!O125="","",'Cash Flow %s Yr3'!O125*'Expenses w MYP'!$G91))</f>
        <v>58780.713963852941</v>
      </c>
      <c r="P125" s="113"/>
      <c r="Q125" s="113"/>
      <c r="R125" s="113"/>
      <c r="S125" s="97">
        <f>IF(SUM(D125:R125)&gt;0,SUM(D125:R125)/'Expenses w MYP'!$G91,"")</f>
        <v>1.0000000000000002</v>
      </c>
    </row>
    <row r="126" spans="1:19" s="31" customFormat="1" x14ac:dyDescent="0.75">
      <c r="A126" s="35"/>
      <c r="B126" s="121" t="str">
        <f>'Expenses w MYP'!C92</f>
        <v>5811</v>
      </c>
      <c r="C126" s="121" t="str">
        <f>'Expenses w MYP'!D92</f>
        <v>Student Transportation / Field Trips</v>
      </c>
      <c r="D126" s="62">
        <f>IF('Expenses w MYP'!$G92="","",IF('Cash Flow %s Yr3'!D126="","",'Cash Flow %s Yr3'!D126*'Expenses w MYP'!$G92))</f>
        <v>0</v>
      </c>
      <c r="E126" s="62">
        <f>IF('Expenses w MYP'!$G92="","",IF('Cash Flow %s Yr3'!E126="","",'Cash Flow %s Yr3'!E126*'Expenses w MYP'!$G92))</f>
        <v>0</v>
      </c>
      <c r="F126" s="62">
        <f>IF('Expenses w MYP'!$G92="","",IF('Cash Flow %s Yr3'!F126="","",'Cash Flow %s Yr3'!F126*'Expenses w MYP'!$G92))</f>
        <v>0</v>
      </c>
      <c r="G126" s="62">
        <f>IF('Expenses w MYP'!$G92="","",IF('Cash Flow %s Yr3'!G126="","",'Cash Flow %s Yr3'!G126*'Expenses w MYP'!$G92))</f>
        <v>0</v>
      </c>
      <c r="H126" s="62">
        <f>IF('Expenses w MYP'!$G92="","",IF('Cash Flow %s Yr3'!H126="","",'Cash Flow %s Yr3'!H126*'Expenses w MYP'!$G92))</f>
        <v>0</v>
      </c>
      <c r="I126" s="62">
        <f>IF('Expenses w MYP'!$G92="","",IF('Cash Flow %s Yr3'!I126="","",'Cash Flow %s Yr3'!I126*'Expenses w MYP'!$G92))</f>
        <v>0</v>
      </c>
      <c r="J126" s="62">
        <f>IF('Expenses w MYP'!$G92="","",IF('Cash Flow %s Yr3'!J126="","",'Cash Flow %s Yr3'!J126*'Expenses w MYP'!$G92))</f>
        <v>0</v>
      </c>
      <c r="K126" s="62">
        <f>IF('Expenses w MYP'!$G92="","",IF('Cash Flow %s Yr3'!K126="","",'Cash Flow %s Yr3'!K126*'Expenses w MYP'!$G92))</f>
        <v>0</v>
      </c>
      <c r="L126" s="62">
        <f>IF('Expenses w MYP'!$G92="","",IF('Cash Flow %s Yr3'!L126="","",'Cash Flow %s Yr3'!L126*'Expenses w MYP'!$G92))</f>
        <v>0</v>
      </c>
      <c r="M126" s="62">
        <f>IF('Expenses w MYP'!$G92="","",IF('Cash Flow %s Yr3'!M126="","",'Cash Flow %s Yr3'!M126*'Expenses w MYP'!$G92))</f>
        <v>0</v>
      </c>
      <c r="N126" s="62">
        <f>IF('Expenses w MYP'!$G92="","",IF('Cash Flow %s Yr3'!N126="","",'Cash Flow %s Yr3'!N126*'Expenses w MYP'!$G92))</f>
        <v>0</v>
      </c>
      <c r="O126" s="62">
        <f>IF('Expenses w MYP'!$G92="","",IF('Cash Flow %s Yr3'!O126="","",'Cash Flow %s Yr3'!O126*'Expenses w MYP'!$G92))</f>
        <v>0</v>
      </c>
      <c r="P126" s="113"/>
      <c r="Q126" s="113"/>
      <c r="R126" s="113"/>
      <c r="S126" s="97" t="str">
        <f>IF(SUM(D126:R126)&gt;0,SUM(D126:R126)/'Expenses w MYP'!$G92,"")</f>
        <v/>
      </c>
    </row>
    <row r="127" spans="1:19" s="31" customFormat="1" x14ac:dyDescent="0.75">
      <c r="A127" s="35"/>
      <c r="B127" s="121" t="str">
        <f>'Expenses w MYP'!C94</f>
        <v>5815</v>
      </c>
      <c r="C127" s="121" t="str">
        <f>'Expenses w MYP'!D94</f>
        <v>Advertising / Recruiting</v>
      </c>
      <c r="D127" s="62">
        <f>IF('Expenses w MYP'!$G94="","",IF('Cash Flow %s Yr3'!D127="","",'Cash Flow %s Yr3'!D127*'Expenses w MYP'!$G94))</f>
        <v>0</v>
      </c>
      <c r="E127" s="62">
        <f>IF('Expenses w MYP'!$G94="","",IF('Cash Flow %s Yr3'!E127="","",'Cash Flow %s Yr3'!E127*'Expenses w MYP'!$G94))</f>
        <v>0</v>
      </c>
      <c r="F127" s="62">
        <f>IF('Expenses w MYP'!$G94="","",IF('Cash Flow %s Yr3'!F127="","",'Cash Flow %s Yr3'!F127*'Expenses w MYP'!$G94))</f>
        <v>6803.3233754459425</v>
      </c>
      <c r="G127" s="62">
        <f>IF('Expenses w MYP'!$G94="","",IF('Cash Flow %s Yr3'!G127="","",'Cash Flow %s Yr3'!G127*'Expenses w MYP'!$G94))</f>
        <v>6803.3233754459425</v>
      </c>
      <c r="H127" s="62">
        <f>IF('Expenses w MYP'!$G94="","",IF('Cash Flow %s Yr3'!H127="","",'Cash Flow %s Yr3'!H127*'Expenses w MYP'!$G94))</f>
        <v>6803.3233754459425</v>
      </c>
      <c r="I127" s="62">
        <f>IF('Expenses w MYP'!$G94="","",IF('Cash Flow %s Yr3'!I127="","",'Cash Flow %s Yr3'!I127*'Expenses w MYP'!$G94))</f>
        <v>6803.3233754459425</v>
      </c>
      <c r="J127" s="62">
        <f>IF('Expenses w MYP'!$G94="","",IF('Cash Flow %s Yr3'!J127="","",'Cash Flow %s Yr3'!J127*'Expenses w MYP'!$G94))</f>
        <v>6803.3233754459425</v>
      </c>
      <c r="K127" s="62">
        <f>IF('Expenses w MYP'!$G94="","",IF('Cash Flow %s Yr3'!K127="","",'Cash Flow %s Yr3'!K127*'Expenses w MYP'!$G94))</f>
        <v>6803.3233754459425</v>
      </c>
      <c r="L127" s="62">
        <f>IF('Expenses w MYP'!$G94="","",IF('Cash Flow %s Yr3'!L127="","",'Cash Flow %s Yr3'!L127*'Expenses w MYP'!$G94))</f>
        <v>6803.3233754459425</v>
      </c>
      <c r="M127" s="62">
        <f>IF('Expenses w MYP'!$G94="","",IF('Cash Flow %s Yr3'!M127="","",'Cash Flow %s Yr3'!M127*'Expenses w MYP'!$G94))</f>
        <v>6803.3233754459425</v>
      </c>
      <c r="N127" s="62">
        <f>IF('Expenses w MYP'!$G94="","",IF('Cash Flow %s Yr3'!N127="","",'Cash Flow %s Yr3'!N127*'Expenses w MYP'!$G94))</f>
        <v>6803.3233754459425</v>
      </c>
      <c r="O127" s="62">
        <f>IF('Expenses w MYP'!$G94="","",IF('Cash Flow %s Yr3'!O127="","",'Cash Flow %s Yr3'!O127*'Expenses w MYP'!$G94))</f>
        <v>6803.3233754459425</v>
      </c>
      <c r="P127" s="113"/>
      <c r="Q127" s="113"/>
      <c r="R127" s="113"/>
      <c r="S127" s="97">
        <f>IF(SUM(D127:R127)&gt;0,SUM(D127:R127)/'Expenses w MYP'!$G94,"")</f>
        <v>1</v>
      </c>
    </row>
    <row r="128" spans="1:19" s="31" customFormat="1" x14ac:dyDescent="0.75">
      <c r="A128" s="35"/>
      <c r="B128" s="121" t="str">
        <f>'Expenses w MYP'!C95</f>
        <v>5820</v>
      </c>
      <c r="C128" s="121" t="str">
        <f>'Expenses w MYP'!D95</f>
        <v>Fundraising Expense</v>
      </c>
      <c r="D128" s="62">
        <f>IF('Expenses w MYP'!$G95="","",IF('Cash Flow %s Yr3'!D128="","",'Cash Flow %s Yr3'!D128*'Expenses w MYP'!$G95))</f>
        <v>0</v>
      </c>
      <c r="E128" s="62">
        <f>IF('Expenses w MYP'!$G95="","",IF('Cash Flow %s Yr3'!E128="","",'Cash Flow %s Yr3'!E128*'Expenses w MYP'!$G95))</f>
        <v>0</v>
      </c>
      <c r="F128" s="62">
        <f>IF('Expenses w MYP'!$G95="","",IF('Cash Flow %s Yr3'!F128="","",'Cash Flow %s Yr3'!F128*'Expenses w MYP'!$G95))</f>
        <v>0</v>
      </c>
      <c r="G128" s="62">
        <f>IF('Expenses w MYP'!$G95="","",IF('Cash Flow %s Yr3'!G128="","",'Cash Flow %s Yr3'!G128*'Expenses w MYP'!$G95))</f>
        <v>0</v>
      </c>
      <c r="H128" s="62">
        <f>IF('Expenses w MYP'!$G95="","",IF('Cash Flow %s Yr3'!H128="","",'Cash Flow %s Yr3'!H128*'Expenses w MYP'!$G95))</f>
        <v>0</v>
      </c>
      <c r="I128" s="62">
        <f>IF('Expenses w MYP'!$G95="","",IF('Cash Flow %s Yr3'!I128="","",'Cash Flow %s Yr3'!I128*'Expenses w MYP'!$G95))</f>
        <v>0</v>
      </c>
      <c r="J128" s="62">
        <f>IF('Expenses w MYP'!$G95="","",IF('Cash Flow %s Yr3'!J128="","",'Cash Flow %s Yr3'!J128*'Expenses w MYP'!$G95))</f>
        <v>0</v>
      </c>
      <c r="K128" s="62">
        <f>IF('Expenses w MYP'!$G95="","",IF('Cash Flow %s Yr3'!K128="","",'Cash Flow %s Yr3'!K128*'Expenses w MYP'!$G95))</f>
        <v>0</v>
      </c>
      <c r="L128" s="62">
        <f>IF('Expenses w MYP'!$G95="","",IF('Cash Flow %s Yr3'!L128="","",'Cash Flow %s Yr3'!L128*'Expenses w MYP'!$G95))</f>
        <v>0</v>
      </c>
      <c r="M128" s="62">
        <f>IF('Expenses w MYP'!$G95="","",IF('Cash Flow %s Yr3'!M128="","",'Cash Flow %s Yr3'!M128*'Expenses w MYP'!$G95))</f>
        <v>0</v>
      </c>
      <c r="N128" s="62">
        <f>IF('Expenses w MYP'!$G95="","",IF('Cash Flow %s Yr3'!N128="","",'Cash Flow %s Yr3'!N128*'Expenses w MYP'!$G95))</f>
        <v>0</v>
      </c>
      <c r="O128" s="62">
        <f>IF('Expenses w MYP'!$G95="","",IF('Cash Flow %s Yr3'!O128="","",'Cash Flow %s Yr3'!O128*'Expenses w MYP'!$G95))</f>
        <v>0</v>
      </c>
      <c r="P128" s="113"/>
      <c r="Q128" s="113"/>
      <c r="R128" s="113"/>
      <c r="S128" s="97" t="str">
        <f>IF(SUM(D128:R128)&gt;0,SUM(D128:R128)/'Expenses w MYP'!$G95,"")</f>
        <v/>
      </c>
    </row>
    <row r="129" spans="1:19" s="31" customFormat="1" x14ac:dyDescent="0.75">
      <c r="A129" s="35"/>
      <c r="B129" s="121" t="str">
        <f>'Expenses w MYP'!C97</f>
        <v>5873</v>
      </c>
      <c r="C129" s="121" t="str">
        <f>'Expenses w MYP'!D97</f>
        <v>Financial Services</v>
      </c>
      <c r="D129" s="62">
        <f>IF('Expenses w MYP'!$G97="","",IF('Cash Flow %s Yr3'!D129="","",'Cash Flow %s Yr3'!D129*'Expenses w MYP'!$G97))</f>
        <v>14248.441376818202</v>
      </c>
      <c r="E129" s="62">
        <f>IF('Expenses w MYP'!$G97="","",IF('Cash Flow %s Yr3'!E129="","",'Cash Flow %s Yr3'!E129*'Expenses w MYP'!$G97))</f>
        <v>14248.441376818202</v>
      </c>
      <c r="F129" s="62">
        <f>IF('Expenses w MYP'!$G97="","",IF('Cash Flow %s Yr3'!F129="","",'Cash Flow %s Yr3'!F129*'Expenses w MYP'!$G97))</f>
        <v>14248.441376818202</v>
      </c>
      <c r="G129" s="62">
        <f>IF('Expenses w MYP'!$G97="","",IF('Cash Flow %s Yr3'!G129="","",'Cash Flow %s Yr3'!G129*'Expenses w MYP'!$G97))</f>
        <v>14248.441376818202</v>
      </c>
      <c r="H129" s="62">
        <f>IF('Expenses w MYP'!$G97="","",IF('Cash Flow %s Yr3'!H129="","",'Cash Flow %s Yr3'!H129*'Expenses w MYP'!$G97))</f>
        <v>14248.441376818202</v>
      </c>
      <c r="I129" s="62">
        <f>IF('Expenses w MYP'!$G97="","",IF('Cash Flow %s Yr3'!I129="","",'Cash Flow %s Yr3'!I129*'Expenses w MYP'!$G97))</f>
        <v>14248.441376818202</v>
      </c>
      <c r="J129" s="62">
        <f>IF('Expenses w MYP'!$G97="","",IF('Cash Flow %s Yr3'!J129="","",'Cash Flow %s Yr3'!J129*'Expenses w MYP'!$G97))</f>
        <v>14248.441376818202</v>
      </c>
      <c r="K129" s="62">
        <f>IF('Expenses w MYP'!$G97="","",IF('Cash Flow %s Yr3'!K129="","",'Cash Flow %s Yr3'!K129*'Expenses w MYP'!$G97))</f>
        <v>14248.441376818202</v>
      </c>
      <c r="L129" s="62">
        <f>IF('Expenses w MYP'!$G97="","",IF('Cash Flow %s Yr3'!L129="","",'Cash Flow %s Yr3'!L129*'Expenses w MYP'!$G97))</f>
        <v>14420.109345213601</v>
      </c>
      <c r="M129" s="62">
        <f>IF('Expenses w MYP'!$G97="","",IF('Cash Flow %s Yr3'!M129="","",'Cash Flow %s Yr3'!M129*'Expenses w MYP'!$G97))</f>
        <v>14420.109345213601</v>
      </c>
      <c r="N129" s="62">
        <f>IF('Expenses w MYP'!$G97="","",IF('Cash Flow %s Yr3'!N129="","",'Cash Flow %s Yr3'!N129*'Expenses w MYP'!$G97))</f>
        <v>14420.109345213601</v>
      </c>
      <c r="O129" s="62">
        <f>IF('Expenses w MYP'!$G97="","",IF('Cash Flow %s Yr3'!O129="","",'Cash Flow %s Yr3'!O129*'Expenses w MYP'!$G97))</f>
        <v>14420.109345213601</v>
      </c>
      <c r="P129" s="113"/>
      <c r="Q129" s="113"/>
      <c r="R129" s="113"/>
      <c r="S129" s="97">
        <f>IF(SUM(D129:R129)&gt;0,SUM(D129:R129)/'Expenses w MYP'!$G97,"")</f>
        <v>1</v>
      </c>
    </row>
    <row r="130" spans="1:19" s="31" customFormat="1" x14ac:dyDescent="0.75">
      <c r="A130" s="35"/>
      <c r="B130" s="121" t="str">
        <f>'Expenses w MYP'!C98</f>
        <v>5874</v>
      </c>
      <c r="C130" s="121" t="str">
        <f>'Expenses w MYP'!D98</f>
        <v>Personnel Services</v>
      </c>
      <c r="D130" s="62">
        <f>IF('Expenses w MYP'!$G98="","",IF('Cash Flow %s Yr3'!D130="","",'Cash Flow %s Yr3'!D130*'Expenses w MYP'!$G98))</f>
        <v>112.93516803240264</v>
      </c>
      <c r="E130" s="62">
        <f>IF('Expenses w MYP'!$G98="","",IF('Cash Flow %s Yr3'!E130="","",'Cash Flow %s Yr3'!E130*'Expenses w MYP'!$G98))</f>
        <v>112.93516803240264</v>
      </c>
      <c r="F130" s="62">
        <f>IF('Expenses w MYP'!$G98="","",IF('Cash Flow %s Yr3'!F130="","",'Cash Flow %s Yr3'!F130*'Expenses w MYP'!$G98))</f>
        <v>112.93516803240264</v>
      </c>
      <c r="G130" s="62">
        <f>IF('Expenses w MYP'!$G98="","",IF('Cash Flow %s Yr3'!G130="","",'Cash Flow %s Yr3'!G130*'Expenses w MYP'!$G98))</f>
        <v>112.93516803240264</v>
      </c>
      <c r="H130" s="62">
        <f>IF('Expenses w MYP'!$G98="","",IF('Cash Flow %s Yr3'!H130="","",'Cash Flow %s Yr3'!H130*'Expenses w MYP'!$G98))</f>
        <v>112.93516803240264</v>
      </c>
      <c r="I130" s="62">
        <f>IF('Expenses w MYP'!$G98="","",IF('Cash Flow %s Yr3'!I130="","",'Cash Flow %s Yr3'!I130*'Expenses w MYP'!$G98))</f>
        <v>112.93516803240264</v>
      </c>
      <c r="J130" s="62">
        <f>IF('Expenses w MYP'!$G98="","",IF('Cash Flow %s Yr3'!J130="","",'Cash Flow %s Yr3'!J130*'Expenses w MYP'!$G98))</f>
        <v>112.93516803240264</v>
      </c>
      <c r="K130" s="62">
        <f>IF('Expenses w MYP'!$G98="","",IF('Cash Flow %s Yr3'!K130="","",'Cash Flow %s Yr3'!K130*'Expenses w MYP'!$G98))</f>
        <v>112.93516803240264</v>
      </c>
      <c r="L130" s="62">
        <f>IF('Expenses w MYP'!$G98="","",IF('Cash Flow %s Yr3'!L130="","",'Cash Flow %s Yr3'!L130*'Expenses w MYP'!$G98))</f>
        <v>114.29583270749184</v>
      </c>
      <c r="M130" s="62">
        <f>IF('Expenses w MYP'!$G98="","",IF('Cash Flow %s Yr3'!M130="","",'Cash Flow %s Yr3'!M130*'Expenses w MYP'!$G98))</f>
        <v>114.29583270749184</v>
      </c>
      <c r="N130" s="62">
        <f>IF('Expenses w MYP'!$G98="","",IF('Cash Flow %s Yr3'!N130="","",'Cash Flow %s Yr3'!N130*'Expenses w MYP'!$G98))</f>
        <v>114.29583270749184</v>
      </c>
      <c r="O130" s="62">
        <f>IF('Expenses w MYP'!$G98="","",IF('Cash Flow %s Yr3'!O130="","",'Cash Flow %s Yr3'!O130*'Expenses w MYP'!$G98))</f>
        <v>114.29583270749184</v>
      </c>
      <c r="P130" s="113"/>
      <c r="Q130" s="113"/>
      <c r="R130" s="113"/>
      <c r="S130" s="97">
        <f>IF(SUM(D130:R130)&gt;0,SUM(D130:R130)/'Expenses w MYP'!$G98,"")</f>
        <v>1</v>
      </c>
    </row>
    <row r="131" spans="1:19" s="31" customFormat="1" hidden="1" outlineLevel="1" x14ac:dyDescent="0.75">
      <c r="A131" s="35"/>
      <c r="B131" s="121" t="str">
        <f>'Expenses w MYP'!C99</f>
        <v>5875</v>
      </c>
      <c r="C131" s="121" t="str">
        <f>'Expenses w MYP'!D99</f>
        <v>District Oversight Fee</v>
      </c>
      <c r="D131" s="62">
        <f>IF('Expenses w MYP'!$G99="","",IF('Cash Flow %s Yr3'!D131="","",'Cash Flow %s Yr3'!D131*'Expenses w MYP'!$G99))</f>
        <v>0</v>
      </c>
      <c r="E131" s="62">
        <f>IF('Expenses w MYP'!$G99="","",IF('Cash Flow %s Yr3'!E131="","",'Cash Flow %s Yr3'!E131*'Expenses w MYP'!$G99))</f>
        <v>0</v>
      </c>
      <c r="F131" s="62">
        <f>IF('Expenses w MYP'!$G99="","",IF('Cash Flow %s Yr3'!F131="","",'Cash Flow %s Yr3'!F131*'Expenses w MYP'!$G99))</f>
        <v>7629.6874842400011</v>
      </c>
      <c r="G131" s="62">
        <f>IF('Expenses w MYP'!$G99="","",IF('Cash Flow %s Yr3'!G131="","",'Cash Flow %s Yr3'!G131*'Expenses w MYP'!$G99))</f>
        <v>7629.6874842400011</v>
      </c>
      <c r="H131" s="62">
        <f>IF('Expenses w MYP'!$G99="","",IF('Cash Flow %s Yr3'!H131="","",'Cash Flow %s Yr3'!H131*'Expenses w MYP'!$G99))</f>
        <v>7629.6874842400011</v>
      </c>
      <c r="I131" s="62">
        <f>IF('Expenses w MYP'!$G99="","",IF('Cash Flow %s Yr3'!I131="","",'Cash Flow %s Yr3'!I131*'Expenses w MYP'!$G99))</f>
        <v>7629.6874842400011</v>
      </c>
      <c r="J131" s="62">
        <f>IF('Expenses w MYP'!$G99="","",IF('Cash Flow %s Yr3'!J131="","",'Cash Flow %s Yr3'!J131*'Expenses w MYP'!$G99))</f>
        <v>7629.6874842400011</v>
      </c>
      <c r="K131" s="62">
        <f>IF('Expenses w MYP'!$G99="","",IF('Cash Flow %s Yr3'!K131="","",'Cash Flow %s Yr3'!K131*'Expenses w MYP'!$G99))</f>
        <v>7629.6874842400011</v>
      </c>
      <c r="L131" s="62">
        <f>IF('Expenses w MYP'!$G99="","",IF('Cash Flow %s Yr3'!L131="","",'Cash Flow %s Yr3'!L131*'Expenses w MYP'!$G99))</f>
        <v>7629.6874842400011</v>
      </c>
      <c r="M131" s="62">
        <f>IF('Expenses w MYP'!$G99="","",IF('Cash Flow %s Yr3'!M131="","",'Cash Flow %s Yr3'!M131*'Expenses w MYP'!$G99))</f>
        <v>7629.6874842400011</v>
      </c>
      <c r="N131" s="62">
        <f>IF('Expenses w MYP'!$G99="","",IF('Cash Flow %s Yr3'!N131="","",'Cash Flow %s Yr3'!N131*'Expenses w MYP'!$G99))</f>
        <v>7629.6874842400011</v>
      </c>
      <c r="O131" s="62">
        <f>IF('Expenses w MYP'!$G99="","",IF('Cash Flow %s Yr3'!O131="","",'Cash Flow %s Yr3'!O131*'Expenses w MYP'!$G99))</f>
        <v>7629.6874842400011</v>
      </c>
      <c r="P131" s="113"/>
      <c r="Q131" s="113"/>
      <c r="R131" s="113"/>
      <c r="S131" s="97"/>
    </row>
    <row r="132" spans="1:19" s="31" customFormat="1" hidden="1" outlineLevel="1" x14ac:dyDescent="0.75">
      <c r="A132" s="35"/>
      <c r="B132" s="121" t="str">
        <f>'Expenses w MYP'!C100</f>
        <v>5877</v>
      </c>
      <c r="C132" s="121" t="str">
        <f>'Expenses w MYP'!D100</f>
        <v>IT Services</v>
      </c>
      <c r="D132" s="62">
        <f>IF('Expenses w MYP'!$G100="","",IF('Cash Flow %s Yr3'!D132="","",'Cash Flow %s Yr3'!D132*'Expenses w MYP'!$G100))</f>
        <v>0</v>
      </c>
      <c r="E132" s="62">
        <f>IF('Expenses w MYP'!$G100="","",IF('Cash Flow %s Yr3'!E132="","",'Cash Flow %s Yr3'!E132*'Expenses w MYP'!$G100))</f>
        <v>0</v>
      </c>
      <c r="F132" s="62">
        <f>IF('Expenses w MYP'!$G100="","",IF('Cash Flow %s Yr3'!F132="","",'Cash Flow %s Yr3'!F132*'Expenses w MYP'!$G100))</f>
        <v>8980.3868555886438</v>
      </c>
      <c r="G132" s="62">
        <f>IF('Expenses w MYP'!$G100="","",IF('Cash Flow %s Yr3'!G132="","",'Cash Flow %s Yr3'!G132*'Expenses w MYP'!$G100))</f>
        <v>8980.3868555886438</v>
      </c>
      <c r="H132" s="62">
        <f>IF('Expenses w MYP'!$G100="","",IF('Cash Flow %s Yr3'!H132="","",'Cash Flow %s Yr3'!H132*'Expenses w MYP'!$G100))</f>
        <v>8980.3868555886438</v>
      </c>
      <c r="I132" s="62">
        <f>IF('Expenses w MYP'!$G100="","",IF('Cash Flow %s Yr3'!I132="","",'Cash Flow %s Yr3'!I132*'Expenses w MYP'!$G100))</f>
        <v>8980.3868555886438</v>
      </c>
      <c r="J132" s="62">
        <f>IF('Expenses w MYP'!$G100="","",IF('Cash Flow %s Yr3'!J132="","",'Cash Flow %s Yr3'!J132*'Expenses w MYP'!$G100))</f>
        <v>8980.3868555886438</v>
      </c>
      <c r="K132" s="62">
        <f>IF('Expenses w MYP'!$G100="","",IF('Cash Flow %s Yr3'!K132="","",'Cash Flow %s Yr3'!K132*'Expenses w MYP'!$G100))</f>
        <v>8980.3868555886438</v>
      </c>
      <c r="L132" s="62">
        <f>IF('Expenses w MYP'!$G100="","",IF('Cash Flow %s Yr3'!L132="","",'Cash Flow %s Yr3'!L132*'Expenses w MYP'!$G100))</f>
        <v>8980.3868555886438</v>
      </c>
      <c r="M132" s="62">
        <f>IF('Expenses w MYP'!$G100="","",IF('Cash Flow %s Yr3'!M132="","",'Cash Flow %s Yr3'!M132*'Expenses w MYP'!$G100))</f>
        <v>8980.3868555886438</v>
      </c>
      <c r="N132" s="62">
        <f>IF('Expenses w MYP'!$G100="","",IF('Cash Flow %s Yr3'!N132="","",'Cash Flow %s Yr3'!N132*'Expenses w MYP'!$G100))</f>
        <v>8980.3868555886438</v>
      </c>
      <c r="O132" s="62">
        <f>IF('Expenses w MYP'!$G100="","",IF('Cash Flow %s Yr3'!O132="","",'Cash Flow %s Yr3'!O132*'Expenses w MYP'!$G100))</f>
        <v>8980.3868555886438</v>
      </c>
      <c r="P132" s="113"/>
      <c r="Q132" s="113"/>
      <c r="R132" s="113"/>
      <c r="S132" s="97"/>
    </row>
    <row r="133" spans="1:19" s="31" customFormat="1" hidden="1" outlineLevel="1" x14ac:dyDescent="0.75">
      <c r="A133" s="35"/>
      <c r="B133" s="121" t="str">
        <f>'Expenses w MYP'!C101</f>
        <v>5890</v>
      </c>
      <c r="C133" s="121" t="str">
        <f>'Expenses w MYP'!D101</f>
        <v>Interest Expense / Misc. Fees</v>
      </c>
      <c r="D133" s="62">
        <f>IF('Expenses w MYP'!$G101="","",IF('Cash Flow %s Yr3'!D133="","",'Cash Flow %s Yr3'!D133*'Expenses w MYP'!$G101))</f>
        <v>0</v>
      </c>
      <c r="E133" s="62">
        <f>IF('Expenses w MYP'!$G101="","",IF('Cash Flow %s Yr3'!E133="","",'Cash Flow %s Yr3'!E133*'Expenses w MYP'!$G101))</f>
        <v>0</v>
      </c>
      <c r="F133" s="62">
        <f>IF('Expenses w MYP'!$G101="","",IF('Cash Flow %s Yr3'!F133="","",'Cash Flow %s Yr3'!F133*'Expenses w MYP'!$G101))</f>
        <v>81.639880505351314</v>
      </c>
      <c r="G133" s="62">
        <f>IF('Expenses w MYP'!$G101="","",IF('Cash Flow %s Yr3'!G133="","",'Cash Flow %s Yr3'!G133*'Expenses w MYP'!$G101))</f>
        <v>81.639880505351314</v>
      </c>
      <c r="H133" s="62">
        <f>IF('Expenses w MYP'!$G101="","",IF('Cash Flow %s Yr3'!H133="","",'Cash Flow %s Yr3'!H133*'Expenses w MYP'!$G101))</f>
        <v>81.639880505351314</v>
      </c>
      <c r="I133" s="62">
        <f>IF('Expenses w MYP'!$G101="","",IF('Cash Flow %s Yr3'!I133="","",'Cash Flow %s Yr3'!I133*'Expenses w MYP'!$G101))</f>
        <v>81.639880505351314</v>
      </c>
      <c r="J133" s="62">
        <f>IF('Expenses w MYP'!$G101="","",IF('Cash Flow %s Yr3'!J133="","",'Cash Flow %s Yr3'!J133*'Expenses w MYP'!$G101))</f>
        <v>81.639880505351314</v>
      </c>
      <c r="K133" s="62">
        <f>IF('Expenses w MYP'!$G101="","",IF('Cash Flow %s Yr3'!K133="","",'Cash Flow %s Yr3'!K133*'Expenses w MYP'!$G101))</f>
        <v>81.639880505351314</v>
      </c>
      <c r="L133" s="62">
        <f>IF('Expenses w MYP'!$G101="","",IF('Cash Flow %s Yr3'!L133="","",'Cash Flow %s Yr3'!L133*'Expenses w MYP'!$G101))</f>
        <v>81.639880505351314</v>
      </c>
      <c r="M133" s="62">
        <f>IF('Expenses w MYP'!$G101="","",IF('Cash Flow %s Yr3'!M133="","",'Cash Flow %s Yr3'!M133*'Expenses w MYP'!$G101))</f>
        <v>81.639880505351314</v>
      </c>
      <c r="N133" s="62">
        <f>IF('Expenses w MYP'!$G101="","",IF('Cash Flow %s Yr3'!N133="","",'Cash Flow %s Yr3'!N133*'Expenses w MYP'!$G101))</f>
        <v>81.639880505351314</v>
      </c>
      <c r="O133" s="62">
        <f>IF('Expenses w MYP'!$G101="","",IF('Cash Flow %s Yr3'!O133="","",'Cash Flow %s Yr3'!O133*'Expenses w MYP'!$G101))</f>
        <v>81.639880505351314</v>
      </c>
      <c r="P133" s="113"/>
      <c r="Q133" s="113"/>
      <c r="R133" s="113"/>
      <c r="S133" s="97"/>
    </row>
    <row r="134" spans="1:19" s="31" customFormat="1" hidden="1" outlineLevel="1" x14ac:dyDescent="0.75">
      <c r="A134" s="35"/>
      <c r="B134" s="121" t="str">
        <f>'Expenses w MYP'!C102</f>
        <v>5891</v>
      </c>
      <c r="C134" s="121" t="str">
        <f>'Expenses w MYP'!D102</f>
        <v>CSC Borrowing Fees</v>
      </c>
      <c r="D134" s="62">
        <f>IF('Expenses w MYP'!$G102="","",IF('Cash Flow %s Yr3'!D134="","",'Cash Flow %s Yr3'!D134*'Expenses w MYP'!$G102))</f>
        <v>0</v>
      </c>
      <c r="E134" s="62">
        <f>IF('Expenses w MYP'!$G102="","",IF('Cash Flow %s Yr3'!E134="","",'Cash Flow %s Yr3'!E134*'Expenses w MYP'!$G102))</f>
        <v>0</v>
      </c>
      <c r="F134" s="62">
        <f>IF('Expenses w MYP'!$G102="","",IF('Cash Flow %s Yr3'!F134="","",'Cash Flow %s Yr3'!F134*'Expenses w MYP'!$G102))</f>
        <v>0</v>
      </c>
      <c r="G134" s="62">
        <f>IF('Expenses w MYP'!$G102="","",IF('Cash Flow %s Yr3'!G134="","",'Cash Flow %s Yr3'!G134*'Expenses w MYP'!$G102))</f>
        <v>0</v>
      </c>
      <c r="H134" s="62">
        <f>IF('Expenses w MYP'!$G102="","",IF('Cash Flow %s Yr3'!H134="","",'Cash Flow %s Yr3'!H134*'Expenses w MYP'!$G102))</f>
        <v>0</v>
      </c>
      <c r="I134" s="62">
        <f>IF('Expenses w MYP'!$G102="","",IF('Cash Flow %s Yr3'!I134="","",'Cash Flow %s Yr3'!I134*'Expenses w MYP'!$G102))</f>
        <v>0</v>
      </c>
      <c r="J134" s="62">
        <f>IF('Expenses w MYP'!$G102="","",IF('Cash Flow %s Yr3'!J134="","",'Cash Flow %s Yr3'!J134*'Expenses w MYP'!$G102))</f>
        <v>0</v>
      </c>
      <c r="K134" s="62">
        <f>IF('Expenses w MYP'!$G102="","",IF('Cash Flow %s Yr3'!K134="","",'Cash Flow %s Yr3'!K134*'Expenses w MYP'!$G102))</f>
        <v>0</v>
      </c>
      <c r="L134" s="62">
        <f>IF('Expenses w MYP'!$G102="","",IF('Cash Flow %s Yr3'!L134="","",'Cash Flow %s Yr3'!L134*'Expenses w MYP'!$G102))</f>
        <v>0</v>
      </c>
      <c r="M134" s="62">
        <f>IF('Expenses w MYP'!$G102="","",IF('Cash Flow %s Yr3'!M134="","",'Cash Flow %s Yr3'!M134*'Expenses w MYP'!$G102))</f>
        <v>0</v>
      </c>
      <c r="N134" s="62">
        <f>IF('Expenses w MYP'!$G102="","",IF('Cash Flow %s Yr3'!N134="","",'Cash Flow %s Yr3'!N134*'Expenses w MYP'!$G102))</f>
        <v>0</v>
      </c>
      <c r="O134" s="62">
        <f>IF('Expenses w MYP'!$G102="","",IF('Cash Flow %s Yr3'!O134="","",'Cash Flow %s Yr3'!O134*'Expenses w MYP'!$G102))</f>
        <v>0</v>
      </c>
      <c r="P134" s="113"/>
      <c r="Q134" s="113"/>
      <c r="R134" s="113"/>
      <c r="S134" s="97"/>
    </row>
    <row r="135" spans="1:19" s="31" customFormat="1" hidden="1" outlineLevel="1" x14ac:dyDescent="0.75">
      <c r="A135" s="35"/>
      <c r="B135" s="121" t="str">
        <f>'Expenses w MYP'!C103</f>
        <v>5900</v>
      </c>
      <c r="C135" s="121" t="str">
        <f>'Expenses w MYP'!D103</f>
        <v>Communications</v>
      </c>
      <c r="D135" s="62">
        <f>IF('Expenses w MYP'!$G103="","",IF('Cash Flow %s Yr3'!D135="","",'Cash Flow %s Yr3'!D135*'Expenses w MYP'!$G103))</f>
        <v>0</v>
      </c>
      <c r="E135" s="62">
        <f>IF('Expenses w MYP'!$G103="","",IF('Cash Flow %s Yr3'!E135="","",'Cash Flow %s Yr3'!E135*'Expenses w MYP'!$G103))</f>
        <v>0</v>
      </c>
      <c r="F135" s="62">
        <f>IF('Expenses w MYP'!$G103="","",IF('Cash Flow %s Yr3'!F135="","",'Cash Flow %s Yr3'!F135*'Expenses w MYP'!$G103))</f>
        <v>3537.72815523189</v>
      </c>
      <c r="G135" s="62">
        <f>IF('Expenses w MYP'!$G103="","",IF('Cash Flow %s Yr3'!G135="","",'Cash Flow %s Yr3'!G135*'Expenses w MYP'!$G103))</f>
        <v>3537.72815523189</v>
      </c>
      <c r="H135" s="62">
        <f>IF('Expenses w MYP'!$G103="","",IF('Cash Flow %s Yr3'!H135="","",'Cash Flow %s Yr3'!H135*'Expenses w MYP'!$G103))</f>
        <v>3537.72815523189</v>
      </c>
      <c r="I135" s="62">
        <f>IF('Expenses w MYP'!$G103="","",IF('Cash Flow %s Yr3'!I135="","",'Cash Flow %s Yr3'!I135*'Expenses w MYP'!$G103))</f>
        <v>3537.72815523189</v>
      </c>
      <c r="J135" s="62">
        <f>IF('Expenses w MYP'!$G103="","",IF('Cash Flow %s Yr3'!J135="","",'Cash Flow %s Yr3'!J135*'Expenses w MYP'!$G103))</f>
        <v>3537.72815523189</v>
      </c>
      <c r="K135" s="62">
        <f>IF('Expenses w MYP'!$G103="","",IF('Cash Flow %s Yr3'!K135="","",'Cash Flow %s Yr3'!K135*'Expenses w MYP'!$G103))</f>
        <v>3537.72815523189</v>
      </c>
      <c r="L135" s="62">
        <f>IF('Expenses w MYP'!$G103="","",IF('Cash Flow %s Yr3'!L135="","",'Cash Flow %s Yr3'!L135*'Expenses w MYP'!$G103))</f>
        <v>3537.72815523189</v>
      </c>
      <c r="M135" s="62">
        <f>IF('Expenses w MYP'!$G103="","",IF('Cash Flow %s Yr3'!M135="","",'Cash Flow %s Yr3'!M135*'Expenses w MYP'!$G103))</f>
        <v>3537.72815523189</v>
      </c>
      <c r="N135" s="62">
        <f>IF('Expenses w MYP'!$G103="","",IF('Cash Flow %s Yr3'!N135="","",'Cash Flow %s Yr3'!N135*'Expenses w MYP'!$G103))</f>
        <v>3537.72815523189</v>
      </c>
      <c r="O135" s="62">
        <f>IF('Expenses w MYP'!$G103="","",IF('Cash Flow %s Yr3'!O135="","",'Cash Flow %s Yr3'!O135*'Expenses w MYP'!$G103))</f>
        <v>3537.72815523189</v>
      </c>
      <c r="P135" s="113"/>
      <c r="Q135" s="113"/>
      <c r="R135" s="113"/>
      <c r="S135" s="97"/>
    </row>
    <row r="136" spans="1:19" s="31" customFormat="1" hidden="1" outlineLevel="1" x14ac:dyDescent="0.75">
      <c r="A136" s="35"/>
      <c r="B136" s="121">
        <f>'Expenses w MYP'!C104</f>
        <v>0</v>
      </c>
      <c r="C136" s="121">
        <f>'Expenses w MYP'!D104</f>
        <v>0</v>
      </c>
      <c r="D136" s="62">
        <f>IF('Expenses w MYP'!$G104="","",IF('Cash Flow %s Yr3'!D136="","",'Cash Flow %s Yr3'!D136*'Expenses w MYP'!$G104))</f>
        <v>0</v>
      </c>
      <c r="E136" s="62">
        <f>IF('Expenses w MYP'!$G104="","",IF('Cash Flow %s Yr3'!E136="","",'Cash Flow %s Yr3'!E136*'Expenses w MYP'!$G104))</f>
        <v>0</v>
      </c>
      <c r="F136" s="62">
        <f>IF('Expenses w MYP'!$G104="","",IF('Cash Flow %s Yr3'!F136="","",'Cash Flow %s Yr3'!F136*'Expenses w MYP'!$G104))</f>
        <v>0</v>
      </c>
      <c r="G136" s="62">
        <f>IF('Expenses w MYP'!$G104="","",IF('Cash Flow %s Yr3'!G136="","",'Cash Flow %s Yr3'!G136*'Expenses w MYP'!$G104))</f>
        <v>0</v>
      </c>
      <c r="H136" s="62">
        <f>IF('Expenses w MYP'!$G104="","",IF('Cash Flow %s Yr3'!H136="","",'Cash Flow %s Yr3'!H136*'Expenses w MYP'!$G104))</f>
        <v>0</v>
      </c>
      <c r="I136" s="62">
        <f>IF('Expenses w MYP'!$G104="","",IF('Cash Flow %s Yr3'!I136="","",'Cash Flow %s Yr3'!I136*'Expenses w MYP'!$G104))</f>
        <v>0</v>
      </c>
      <c r="J136" s="62">
        <f>IF('Expenses w MYP'!$G104="","",IF('Cash Flow %s Yr3'!J136="","",'Cash Flow %s Yr3'!J136*'Expenses w MYP'!$G104))</f>
        <v>0</v>
      </c>
      <c r="K136" s="62">
        <f>IF('Expenses w MYP'!$G104="","",IF('Cash Flow %s Yr3'!K136="","",'Cash Flow %s Yr3'!K136*'Expenses w MYP'!$G104))</f>
        <v>0</v>
      </c>
      <c r="L136" s="62">
        <f>IF('Expenses w MYP'!$G104="","",IF('Cash Flow %s Yr3'!L136="","",'Cash Flow %s Yr3'!L136*'Expenses w MYP'!$G104))</f>
        <v>0</v>
      </c>
      <c r="M136" s="62">
        <f>IF('Expenses w MYP'!$G104="","",IF('Cash Flow %s Yr3'!M136="","",'Cash Flow %s Yr3'!M136*'Expenses w MYP'!$G104))</f>
        <v>0</v>
      </c>
      <c r="N136" s="62">
        <f>IF('Expenses w MYP'!$G104="","",IF('Cash Flow %s Yr3'!N136="","",'Cash Flow %s Yr3'!N136*'Expenses w MYP'!$G104))</f>
        <v>0</v>
      </c>
      <c r="O136" s="62">
        <f>IF('Expenses w MYP'!$G104="","",IF('Cash Flow %s Yr3'!O136="","",'Cash Flow %s Yr3'!O136*'Expenses w MYP'!$G104))</f>
        <v>0</v>
      </c>
      <c r="P136" s="113"/>
      <c r="Q136" s="113"/>
      <c r="R136" s="113"/>
      <c r="S136" s="97"/>
    </row>
    <row r="137" spans="1:19" s="31" customFormat="1" hidden="1" outlineLevel="1" x14ac:dyDescent="0.75">
      <c r="A137" s="35"/>
      <c r="B137" s="121">
        <f>'Expenses w MYP'!C105</f>
        <v>0</v>
      </c>
      <c r="C137" s="121">
        <f>'Expenses w MYP'!D105</f>
        <v>0</v>
      </c>
      <c r="D137" s="62">
        <f>IF('Expenses w MYP'!$G105="","",IF('Cash Flow %s Yr3'!D137="","",'Cash Flow %s Yr3'!D137*'Expenses w MYP'!$G105))</f>
        <v>0</v>
      </c>
      <c r="E137" s="62">
        <f>IF('Expenses w MYP'!$G105="","",IF('Cash Flow %s Yr3'!E137="","",'Cash Flow %s Yr3'!E137*'Expenses w MYP'!$G105))</f>
        <v>0</v>
      </c>
      <c r="F137" s="62">
        <f>IF('Expenses w MYP'!$G105="","",IF('Cash Flow %s Yr3'!F137="","",'Cash Flow %s Yr3'!F137*'Expenses w MYP'!$G105))</f>
        <v>0</v>
      </c>
      <c r="G137" s="62">
        <f>IF('Expenses w MYP'!$G105="","",IF('Cash Flow %s Yr3'!G137="","",'Cash Flow %s Yr3'!G137*'Expenses w MYP'!$G105))</f>
        <v>0</v>
      </c>
      <c r="H137" s="62">
        <f>IF('Expenses w MYP'!$G105="","",IF('Cash Flow %s Yr3'!H137="","",'Cash Flow %s Yr3'!H137*'Expenses w MYP'!$G105))</f>
        <v>0</v>
      </c>
      <c r="I137" s="62">
        <f>IF('Expenses w MYP'!$G105="","",IF('Cash Flow %s Yr3'!I137="","",'Cash Flow %s Yr3'!I137*'Expenses w MYP'!$G105))</f>
        <v>0</v>
      </c>
      <c r="J137" s="62">
        <f>IF('Expenses w MYP'!$G105="","",IF('Cash Flow %s Yr3'!J137="","",'Cash Flow %s Yr3'!J137*'Expenses w MYP'!$G105))</f>
        <v>0</v>
      </c>
      <c r="K137" s="62">
        <f>IF('Expenses w MYP'!$G105="","",IF('Cash Flow %s Yr3'!K137="","",'Cash Flow %s Yr3'!K137*'Expenses w MYP'!$G105))</f>
        <v>0</v>
      </c>
      <c r="L137" s="62">
        <f>IF('Expenses w MYP'!$G105="","",IF('Cash Flow %s Yr3'!L137="","",'Cash Flow %s Yr3'!L137*'Expenses w MYP'!$G105))</f>
        <v>0</v>
      </c>
      <c r="M137" s="62">
        <f>IF('Expenses w MYP'!$G105="","",IF('Cash Flow %s Yr3'!M137="","",'Cash Flow %s Yr3'!M137*'Expenses w MYP'!$G105))</f>
        <v>0</v>
      </c>
      <c r="N137" s="62">
        <f>IF('Expenses w MYP'!$G105="","",IF('Cash Flow %s Yr3'!N137="","",'Cash Flow %s Yr3'!N137*'Expenses w MYP'!$G105))</f>
        <v>0</v>
      </c>
      <c r="O137" s="62">
        <f>IF('Expenses w MYP'!$G105="","",IF('Cash Flow %s Yr3'!O137="","",'Cash Flow %s Yr3'!O137*'Expenses w MYP'!$G105))</f>
        <v>0</v>
      </c>
      <c r="P137" s="113"/>
      <c r="Q137" s="113"/>
      <c r="R137" s="113"/>
      <c r="S137" s="97"/>
    </row>
    <row r="138" spans="1:19" s="31" customFormat="1" hidden="1" outlineLevel="1" x14ac:dyDescent="0.75">
      <c r="A138" s="35"/>
      <c r="B138" s="121">
        <f>'Expenses w MYP'!C106</f>
        <v>0</v>
      </c>
      <c r="C138" s="121">
        <f>'Expenses w MYP'!D106</f>
        <v>0</v>
      </c>
      <c r="D138" s="62">
        <f>IF('Expenses w MYP'!$G106="","",IF('Cash Flow %s Yr3'!D138="","",'Cash Flow %s Yr3'!D138*'Expenses w MYP'!$G106))</f>
        <v>0</v>
      </c>
      <c r="E138" s="62">
        <f>IF('Expenses w MYP'!$G106="","",IF('Cash Flow %s Yr3'!E138="","",'Cash Flow %s Yr3'!E138*'Expenses w MYP'!$G106))</f>
        <v>0</v>
      </c>
      <c r="F138" s="62">
        <f>IF('Expenses w MYP'!$G106="","",IF('Cash Flow %s Yr3'!F138="","",'Cash Flow %s Yr3'!F138*'Expenses w MYP'!$G106))</f>
        <v>0</v>
      </c>
      <c r="G138" s="62">
        <f>IF('Expenses w MYP'!$G106="","",IF('Cash Flow %s Yr3'!G138="","",'Cash Flow %s Yr3'!G138*'Expenses w MYP'!$G106))</f>
        <v>0</v>
      </c>
      <c r="H138" s="62">
        <f>IF('Expenses w MYP'!$G106="","",IF('Cash Flow %s Yr3'!H138="","",'Cash Flow %s Yr3'!H138*'Expenses w MYP'!$G106))</f>
        <v>0</v>
      </c>
      <c r="I138" s="62">
        <f>IF('Expenses w MYP'!$G106="","",IF('Cash Flow %s Yr3'!I138="","",'Cash Flow %s Yr3'!I138*'Expenses w MYP'!$G106))</f>
        <v>0</v>
      </c>
      <c r="J138" s="62">
        <f>IF('Expenses w MYP'!$G106="","",IF('Cash Flow %s Yr3'!J138="","",'Cash Flow %s Yr3'!J138*'Expenses w MYP'!$G106))</f>
        <v>0</v>
      </c>
      <c r="K138" s="62">
        <f>IF('Expenses w MYP'!$G106="","",IF('Cash Flow %s Yr3'!K138="","",'Cash Flow %s Yr3'!K138*'Expenses w MYP'!$G106))</f>
        <v>0</v>
      </c>
      <c r="L138" s="62">
        <f>IF('Expenses w MYP'!$G106="","",IF('Cash Flow %s Yr3'!L138="","",'Cash Flow %s Yr3'!L138*'Expenses w MYP'!$G106))</f>
        <v>0</v>
      </c>
      <c r="M138" s="62">
        <f>IF('Expenses w MYP'!$G106="","",IF('Cash Flow %s Yr3'!M138="","",'Cash Flow %s Yr3'!M138*'Expenses w MYP'!$G106))</f>
        <v>0</v>
      </c>
      <c r="N138" s="62">
        <f>IF('Expenses w MYP'!$G106="","",IF('Cash Flow %s Yr3'!N138="","",'Cash Flow %s Yr3'!N138*'Expenses w MYP'!$G106))</f>
        <v>0</v>
      </c>
      <c r="O138" s="62">
        <f>IF('Expenses w MYP'!$G106="","",IF('Cash Flow %s Yr3'!O138="","",'Cash Flow %s Yr3'!O138*'Expenses w MYP'!$G106))</f>
        <v>0</v>
      </c>
      <c r="P138" s="113"/>
      <c r="Q138" s="113"/>
      <c r="R138" s="113"/>
      <c r="S138" s="97"/>
    </row>
    <row r="139" spans="1:19" s="31" customFormat="1" hidden="1" outlineLevel="1" x14ac:dyDescent="0.75">
      <c r="A139" s="35"/>
      <c r="B139" s="121">
        <f>'Expenses w MYP'!C107</f>
        <v>0</v>
      </c>
      <c r="C139" s="121">
        <f>'Expenses w MYP'!D107</f>
        <v>0</v>
      </c>
      <c r="D139" s="62">
        <f>IF('Expenses w MYP'!$G107="","",IF('Cash Flow %s Yr3'!D139="","",'Cash Flow %s Yr3'!D139*'Expenses w MYP'!$G107))</f>
        <v>0</v>
      </c>
      <c r="E139" s="62">
        <f>IF('Expenses w MYP'!$G107="","",IF('Cash Flow %s Yr3'!E139="","",'Cash Flow %s Yr3'!E139*'Expenses w MYP'!$G107))</f>
        <v>0</v>
      </c>
      <c r="F139" s="62">
        <f>IF('Expenses w MYP'!$G107="","",IF('Cash Flow %s Yr3'!F139="","",'Cash Flow %s Yr3'!F139*'Expenses w MYP'!$G107))</f>
        <v>0</v>
      </c>
      <c r="G139" s="62">
        <f>IF('Expenses w MYP'!$G107="","",IF('Cash Flow %s Yr3'!G139="","",'Cash Flow %s Yr3'!G139*'Expenses w MYP'!$G107))</f>
        <v>0</v>
      </c>
      <c r="H139" s="62">
        <f>IF('Expenses w MYP'!$G107="","",IF('Cash Flow %s Yr3'!H139="","",'Cash Flow %s Yr3'!H139*'Expenses w MYP'!$G107))</f>
        <v>0</v>
      </c>
      <c r="I139" s="62">
        <f>IF('Expenses w MYP'!$G107="","",IF('Cash Flow %s Yr3'!I139="","",'Cash Flow %s Yr3'!I139*'Expenses w MYP'!$G107))</f>
        <v>0</v>
      </c>
      <c r="J139" s="62">
        <f>IF('Expenses w MYP'!$G107="","",IF('Cash Flow %s Yr3'!J139="","",'Cash Flow %s Yr3'!J139*'Expenses w MYP'!$G107))</f>
        <v>0</v>
      </c>
      <c r="K139" s="62">
        <f>IF('Expenses w MYP'!$G107="","",IF('Cash Flow %s Yr3'!K139="","",'Cash Flow %s Yr3'!K139*'Expenses w MYP'!$G107))</f>
        <v>0</v>
      </c>
      <c r="L139" s="62">
        <f>IF('Expenses w MYP'!$G107="","",IF('Cash Flow %s Yr3'!L139="","",'Cash Flow %s Yr3'!L139*'Expenses w MYP'!$G107))</f>
        <v>0</v>
      </c>
      <c r="M139" s="62">
        <f>IF('Expenses w MYP'!$G107="","",IF('Cash Flow %s Yr3'!M139="","",'Cash Flow %s Yr3'!M139*'Expenses w MYP'!$G107))</f>
        <v>0</v>
      </c>
      <c r="N139" s="62">
        <f>IF('Expenses w MYP'!$G107="","",IF('Cash Flow %s Yr3'!N139="","",'Cash Flow %s Yr3'!N139*'Expenses w MYP'!$G107))</f>
        <v>0</v>
      </c>
      <c r="O139" s="62">
        <f>IF('Expenses w MYP'!$G107="","",IF('Cash Flow %s Yr3'!O139="","",'Cash Flow %s Yr3'!O139*'Expenses w MYP'!$G107))</f>
        <v>0</v>
      </c>
      <c r="P139" s="113"/>
      <c r="Q139" s="113"/>
      <c r="R139" s="113"/>
      <c r="S139" s="97"/>
    </row>
    <row r="140" spans="1:19" s="31" customFormat="1" hidden="1" outlineLevel="1" x14ac:dyDescent="0.75">
      <c r="A140" s="35"/>
      <c r="B140" s="121">
        <f>'Expenses w MYP'!C108</f>
        <v>0</v>
      </c>
      <c r="C140" s="121">
        <f>'Expenses w MYP'!D108</f>
        <v>0</v>
      </c>
      <c r="D140" s="62">
        <f>IF('Expenses w MYP'!$G108="","",IF('Cash Flow %s Yr3'!D140="","",'Cash Flow %s Yr3'!D140*'Expenses w MYP'!$G108))</f>
        <v>0</v>
      </c>
      <c r="E140" s="62">
        <f>IF('Expenses w MYP'!$G108="","",IF('Cash Flow %s Yr3'!E140="","",'Cash Flow %s Yr3'!E140*'Expenses w MYP'!$G108))</f>
        <v>0</v>
      </c>
      <c r="F140" s="62">
        <f>IF('Expenses w MYP'!$G108="","",IF('Cash Flow %s Yr3'!F140="","",'Cash Flow %s Yr3'!F140*'Expenses w MYP'!$G108))</f>
        <v>0</v>
      </c>
      <c r="G140" s="62">
        <f>IF('Expenses w MYP'!$G108="","",IF('Cash Flow %s Yr3'!G140="","",'Cash Flow %s Yr3'!G140*'Expenses w MYP'!$G108))</f>
        <v>0</v>
      </c>
      <c r="H140" s="62">
        <f>IF('Expenses w MYP'!$G108="","",IF('Cash Flow %s Yr3'!H140="","",'Cash Flow %s Yr3'!H140*'Expenses w MYP'!$G108))</f>
        <v>0</v>
      </c>
      <c r="I140" s="62">
        <f>IF('Expenses w MYP'!$G108="","",IF('Cash Flow %s Yr3'!I140="","",'Cash Flow %s Yr3'!I140*'Expenses w MYP'!$G108))</f>
        <v>0</v>
      </c>
      <c r="J140" s="62">
        <f>IF('Expenses w MYP'!$G108="","",IF('Cash Flow %s Yr3'!J140="","",'Cash Flow %s Yr3'!J140*'Expenses w MYP'!$G108))</f>
        <v>0</v>
      </c>
      <c r="K140" s="62">
        <f>IF('Expenses w MYP'!$G108="","",IF('Cash Flow %s Yr3'!K140="","",'Cash Flow %s Yr3'!K140*'Expenses w MYP'!$G108))</f>
        <v>0</v>
      </c>
      <c r="L140" s="62">
        <f>IF('Expenses w MYP'!$G108="","",IF('Cash Flow %s Yr3'!L140="","",'Cash Flow %s Yr3'!L140*'Expenses w MYP'!$G108))</f>
        <v>0</v>
      </c>
      <c r="M140" s="62">
        <f>IF('Expenses w MYP'!$G108="","",IF('Cash Flow %s Yr3'!M140="","",'Cash Flow %s Yr3'!M140*'Expenses w MYP'!$G108))</f>
        <v>0</v>
      </c>
      <c r="N140" s="62">
        <f>IF('Expenses w MYP'!$G108="","",IF('Cash Flow %s Yr3'!N140="","",'Cash Flow %s Yr3'!N140*'Expenses w MYP'!$G108))</f>
        <v>0</v>
      </c>
      <c r="O140" s="62">
        <f>IF('Expenses w MYP'!$G108="","",IF('Cash Flow %s Yr3'!O140="","",'Cash Flow %s Yr3'!O140*'Expenses w MYP'!$G108))</f>
        <v>0</v>
      </c>
      <c r="P140" s="113"/>
      <c r="Q140" s="113"/>
      <c r="R140" s="113"/>
      <c r="S140" s="97" t="str">
        <f>IF(SUM(D140:R140)&gt;0,SUM(D140:R140)/'Expenses w MYP'!$G108,"")</f>
        <v/>
      </c>
    </row>
    <row r="141" spans="1:19" s="31" customFormat="1" collapsed="1" x14ac:dyDescent="0.75">
      <c r="A141" s="35"/>
      <c r="B141" s="121" t="str">
        <f>'Expenses w MYP'!C109</f>
        <v>5901</v>
      </c>
      <c r="C141" s="121" t="str">
        <f>'Expenses w MYP'!D109</f>
        <v>Scholar Internet Reimbursement</v>
      </c>
      <c r="D141" s="62">
        <f>IF('Expenses w MYP'!$G109="","",IF('Cash Flow %s Yr3'!D141="","",'Cash Flow %s Yr3'!D141*'Expenses w MYP'!$G109))</f>
        <v>20.409970126337829</v>
      </c>
      <c r="E141" s="62">
        <f>IF('Expenses w MYP'!$G109="","",IF('Cash Flow %s Yr3'!E141="","",'Cash Flow %s Yr3'!E141*'Expenses w MYP'!$G109))</f>
        <v>20.409970126337829</v>
      </c>
      <c r="F141" s="62">
        <f>IF('Expenses w MYP'!$G109="","",IF('Cash Flow %s Yr3'!F141="","",'Cash Flow %s Yr3'!F141*'Expenses w MYP'!$G109))</f>
        <v>36.737946227408088</v>
      </c>
      <c r="G141" s="62">
        <f>IF('Expenses w MYP'!$G109="","",IF('Cash Flow %s Yr3'!G141="","",'Cash Flow %s Yr3'!G141*'Expenses w MYP'!$G109))</f>
        <v>36.737946227408088</v>
      </c>
      <c r="H141" s="62">
        <f>IF('Expenses w MYP'!$G109="","",IF('Cash Flow %s Yr3'!H141="","",'Cash Flow %s Yr3'!H141*'Expenses w MYP'!$G109))</f>
        <v>36.737946227408088</v>
      </c>
      <c r="I141" s="62">
        <f>IF('Expenses w MYP'!$G109="","",IF('Cash Flow %s Yr3'!I141="","",'Cash Flow %s Yr3'!I141*'Expenses w MYP'!$G109))</f>
        <v>36.737946227408088</v>
      </c>
      <c r="J141" s="62">
        <f>IF('Expenses w MYP'!$G109="","",IF('Cash Flow %s Yr3'!J141="","",'Cash Flow %s Yr3'!J141*'Expenses w MYP'!$G109))</f>
        <v>36.737946227408088</v>
      </c>
      <c r="K141" s="62">
        <f>IF('Expenses w MYP'!$G109="","",IF('Cash Flow %s Yr3'!K141="","",'Cash Flow %s Yr3'!K141*'Expenses w MYP'!$G109))</f>
        <v>36.737946227408088</v>
      </c>
      <c r="L141" s="62">
        <f>IF('Expenses w MYP'!$G109="","",IF('Cash Flow %s Yr3'!L141="","",'Cash Flow %s Yr3'!L141*'Expenses w MYP'!$G109))</f>
        <v>36.737946227408088</v>
      </c>
      <c r="M141" s="62">
        <f>IF('Expenses w MYP'!$G109="","",IF('Cash Flow %s Yr3'!M141="","",'Cash Flow %s Yr3'!M141*'Expenses w MYP'!$G109))</f>
        <v>36.737946227408088</v>
      </c>
      <c r="N141" s="62">
        <f>IF('Expenses w MYP'!$G109="","",IF('Cash Flow %s Yr3'!N141="","",'Cash Flow %s Yr3'!N141*'Expenses w MYP'!$G109))</f>
        <v>36.737946227408088</v>
      </c>
      <c r="O141" s="62">
        <f>IF('Expenses w MYP'!$G109="","",IF('Cash Flow %s Yr3'!O141="","",'Cash Flow %s Yr3'!O141*'Expenses w MYP'!$G109))</f>
        <v>36.737946227408088</v>
      </c>
      <c r="P141" s="113"/>
      <c r="Q141" s="113"/>
      <c r="R141" s="113"/>
      <c r="S141" s="97">
        <f>IF(SUM(D141:R141)&gt;0,SUM(D141:R141)/'Expenses w MYP'!$G109,"")</f>
        <v>1</v>
      </c>
    </row>
    <row r="142" spans="1:19" s="31" customFormat="1" x14ac:dyDescent="0.75">
      <c r="A142" s="35"/>
      <c r="B142" s="33" t="s">
        <v>559</v>
      </c>
      <c r="C142" s="34" t="s">
        <v>719</v>
      </c>
      <c r="D142" s="153">
        <f>IF(SUM(D108:D141)&gt;0,SUM(D108:D141),"")</f>
        <v>50888.827947022401</v>
      </c>
      <c r="E142" s="153">
        <f t="shared" ref="E142:R142" si="10">IF(SUM(E108:E141)&gt;0,SUM(E108:E141),"")</f>
        <v>50888.827947022401</v>
      </c>
      <c r="F142" s="153">
        <f t="shared" si="10"/>
        <v>175933.8564125261</v>
      </c>
      <c r="G142" s="153">
        <f t="shared" si="10"/>
        <v>138760.4974890895</v>
      </c>
      <c r="H142" s="153">
        <f t="shared" si="10"/>
        <v>138760.4974890895</v>
      </c>
      <c r="I142" s="153">
        <f t="shared" si="10"/>
        <v>138760.4974890895</v>
      </c>
      <c r="J142" s="153">
        <f t="shared" si="10"/>
        <v>139413.6165331323</v>
      </c>
      <c r="K142" s="153">
        <f t="shared" si="10"/>
        <v>138760.4974890895</v>
      </c>
      <c r="L142" s="153">
        <f t="shared" si="10"/>
        <v>138933.52612215999</v>
      </c>
      <c r="M142" s="153">
        <f t="shared" si="10"/>
        <v>138933.52612215999</v>
      </c>
      <c r="N142" s="153">
        <f t="shared" si="10"/>
        <v>120836.68594347377</v>
      </c>
      <c r="O142" s="153">
        <f t="shared" si="10"/>
        <v>120836.68594347377</v>
      </c>
      <c r="P142" s="153" t="str">
        <f t="shared" si="10"/>
        <v/>
      </c>
      <c r="Q142" s="153" t="str">
        <f t="shared" si="10"/>
        <v/>
      </c>
      <c r="R142" s="153" t="str">
        <f t="shared" si="10"/>
        <v/>
      </c>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19" s="31" customFormat="1" x14ac:dyDescent="0.75">
      <c r="A145" s="35"/>
      <c r="B145" s="121" t="str">
        <f>'Expenses w MYP'!C113</f>
        <v>6900</v>
      </c>
      <c r="C145" s="121" t="str">
        <f>'Expenses w MYP'!D113</f>
        <v xml:space="preserve">Depreciation Expense                                                            </v>
      </c>
      <c r="D145" s="62">
        <f>IF('Expenses w MYP'!$G113="","",IF('Cash Flow %s Yr3'!D145="","",'Cash Flow %s Yr3'!D145*'Expenses w MYP'!$G113))</f>
        <v>0</v>
      </c>
      <c r="E145" s="62">
        <f>IF('Expenses w MYP'!$G113="","",IF('Cash Flow %s Yr3'!E145="","",'Cash Flow %s Yr3'!E145*'Expenses w MYP'!$G113))</f>
        <v>0</v>
      </c>
      <c r="F145" s="62">
        <f>IF('Expenses w MYP'!$G113="","",IF('Cash Flow %s Yr3'!F145="","",'Cash Flow %s Yr3'!F145*'Expenses w MYP'!$G113))</f>
        <v>0</v>
      </c>
      <c r="G145" s="62">
        <f>IF('Expenses w MYP'!$G113="","",IF('Cash Flow %s Yr3'!G145="","",'Cash Flow %s Yr3'!G145*'Expenses w MYP'!$G113))</f>
        <v>0</v>
      </c>
      <c r="H145" s="62">
        <f>IF('Expenses w MYP'!$G113="","",IF('Cash Flow %s Yr3'!H145="","",'Cash Flow %s Yr3'!H145*'Expenses w MYP'!$G113))</f>
        <v>0</v>
      </c>
      <c r="I145" s="62">
        <f>IF('Expenses w MYP'!$G113="","",IF('Cash Flow %s Yr3'!I145="","",'Cash Flow %s Yr3'!I145*'Expenses w MYP'!$G113))</f>
        <v>0</v>
      </c>
      <c r="J145" s="62">
        <f>IF('Expenses w MYP'!$G113="","",IF('Cash Flow %s Yr3'!J145="","",'Cash Flow %s Yr3'!J145*'Expenses w MYP'!$G113))</f>
        <v>0</v>
      </c>
      <c r="K145" s="62">
        <f>IF('Expenses w MYP'!$G113="","",IF('Cash Flow %s Yr3'!K145="","",'Cash Flow %s Yr3'!K145*'Expenses w MYP'!$G113))</f>
        <v>0</v>
      </c>
      <c r="L145" s="62">
        <f>IF('Expenses w MYP'!$G113="","",IF('Cash Flow %s Yr3'!L145="","",'Cash Flow %s Yr3'!L145*'Expenses w MYP'!$G113))</f>
        <v>0</v>
      </c>
      <c r="M145" s="62">
        <f>IF('Expenses w MYP'!$G113="","",IF('Cash Flow %s Yr3'!M145="","",'Cash Flow %s Yr3'!M145*'Expenses w MYP'!$G113))</f>
        <v>0</v>
      </c>
      <c r="N145" s="62">
        <f>IF('Expenses w MYP'!$G113="","",IF('Cash Flow %s Yr3'!N145="","",'Cash Flow %s Yr3'!N145*'Expenses w MYP'!$G113))</f>
        <v>0</v>
      </c>
      <c r="O145" s="62">
        <f>IF('Expenses w MYP'!$G113="","",IF('Cash Flow %s Yr3'!O145="","",'Cash Flow %s Yr3'!O145*'Expenses w MYP'!$G113))</f>
        <v>0</v>
      </c>
      <c r="P145" s="113"/>
      <c r="Q145" s="113"/>
      <c r="R145" s="113"/>
      <c r="S145" s="97" t="str">
        <f>IF(SUM(D145:R145)&gt;0,SUM(D145:R145)/'Expenses w MYP'!$G113,"")</f>
        <v/>
      </c>
    </row>
    <row r="146" spans="1:19" s="31" customFormat="1" x14ac:dyDescent="0.75">
      <c r="A146" s="35"/>
      <c r="B146" s="33" t="s">
        <v>560</v>
      </c>
      <c r="C146" s="34" t="s">
        <v>719</v>
      </c>
      <c r="D146" s="153" t="str">
        <f t="shared" ref="D146:R146" si="11">IF(SUM(D144:D145)&gt;0,SUM(D144:D145),"")</f>
        <v/>
      </c>
      <c r="E146" s="153" t="str">
        <f t="shared" si="11"/>
        <v/>
      </c>
      <c r="F146" s="153" t="str">
        <f t="shared" si="11"/>
        <v/>
      </c>
      <c r="G146" s="153" t="str">
        <f t="shared" si="11"/>
        <v/>
      </c>
      <c r="H146" s="153" t="str">
        <f t="shared" si="11"/>
        <v/>
      </c>
      <c r="I146" s="153" t="str">
        <f t="shared" si="11"/>
        <v/>
      </c>
      <c r="J146" s="153" t="str">
        <f t="shared" si="11"/>
        <v/>
      </c>
      <c r="K146" s="153" t="str">
        <f t="shared" si="11"/>
        <v/>
      </c>
      <c r="L146" s="153" t="str">
        <f t="shared" si="11"/>
        <v/>
      </c>
      <c r="M146" s="153" t="str">
        <f t="shared" si="11"/>
        <v/>
      </c>
      <c r="N146" s="153" t="str">
        <f t="shared" si="11"/>
        <v/>
      </c>
      <c r="O146" s="153" t="str">
        <f t="shared" si="11"/>
        <v/>
      </c>
      <c r="P146" s="153" t="str">
        <f t="shared" si="11"/>
        <v/>
      </c>
      <c r="Q146" s="153" t="str">
        <f t="shared" si="11"/>
        <v/>
      </c>
      <c r="R146" s="153" t="str">
        <f t="shared" si="11"/>
        <v/>
      </c>
      <c r="S146" s="94"/>
    </row>
    <row r="147" spans="1:19" s="31" customFormat="1" x14ac:dyDescent="0.75">
      <c r="A147" s="35"/>
      <c r="B147" s="3"/>
      <c r="C147" s="2"/>
      <c r="D147" s="91"/>
      <c r="E147" s="91"/>
      <c r="F147" s="91"/>
      <c r="G147" s="84"/>
      <c r="H147" s="84"/>
      <c r="I147" s="84"/>
      <c r="J147" s="84"/>
      <c r="K147" s="84"/>
      <c r="L147" s="84"/>
      <c r="M147" s="84"/>
      <c r="N147" s="84"/>
      <c r="O147" s="84"/>
      <c r="P147" s="84"/>
      <c r="Q147" s="84"/>
      <c r="R147" s="84"/>
    </row>
    <row r="148" spans="1:19" s="31" customFormat="1" x14ac:dyDescent="0.75">
      <c r="B148" s="34" t="s">
        <v>722</v>
      </c>
      <c r="C148" s="2"/>
      <c r="D148" s="91"/>
      <c r="E148" s="91"/>
      <c r="F148" s="91"/>
      <c r="G148" s="84"/>
      <c r="H148" s="84"/>
      <c r="I148" s="84"/>
      <c r="J148" s="84"/>
      <c r="K148" s="84"/>
      <c r="L148" s="84"/>
      <c r="M148" s="84"/>
      <c r="N148" s="84"/>
      <c r="O148" s="84"/>
      <c r="P148" s="84"/>
      <c r="Q148" s="84"/>
      <c r="R148" s="84"/>
    </row>
    <row r="149" spans="1:19" s="31" customFormat="1" x14ac:dyDescent="0.75">
      <c r="A149" s="35"/>
      <c r="B149" s="121" t="str">
        <f>'Expenses w MYP'!C117</f>
        <v>7010</v>
      </c>
      <c r="C149" s="121" t="str">
        <f>'Expenses w MYP'!D117</f>
        <v>Special Education Encroachment</v>
      </c>
      <c r="D149" s="62">
        <f>IF('Expenses w MYP'!$G117="","",IF('Cash Flow %s Yr3'!D149="","",'Cash Flow %s Yr3'!D149*'Expenses w MYP'!$G117))</f>
        <v>0</v>
      </c>
      <c r="E149" s="62">
        <f>IF('Expenses w MYP'!$G117="","",IF('Cash Flow %s Yr3'!E149="","",'Cash Flow %s Yr3'!E149*'Expenses w MYP'!$G117))</f>
        <v>0</v>
      </c>
      <c r="F149" s="62">
        <f>IF('Expenses w MYP'!$G117="","",IF('Cash Flow %s Yr3'!F149="","",'Cash Flow %s Yr3'!F149*'Expenses w MYP'!$G117))</f>
        <v>0</v>
      </c>
      <c r="G149" s="62">
        <f>IF('Expenses w MYP'!$G117="","",IF('Cash Flow %s Yr3'!G149="","",'Cash Flow %s Yr3'!G149*'Expenses w MYP'!$G117))</f>
        <v>0</v>
      </c>
      <c r="H149" s="62">
        <f>IF('Expenses w MYP'!$G117="","",IF('Cash Flow %s Yr3'!H149="","",'Cash Flow %s Yr3'!H149*'Expenses w MYP'!$G117))</f>
        <v>0</v>
      </c>
      <c r="I149" s="62">
        <f>IF('Expenses w MYP'!$G117="","",IF('Cash Flow %s Yr3'!I149="","",'Cash Flow %s Yr3'!I149*'Expenses w MYP'!$G117))</f>
        <v>0</v>
      </c>
      <c r="J149" s="62">
        <f>IF('Expenses w MYP'!$G117="","",IF('Cash Flow %s Yr3'!J149="","",'Cash Flow %s Yr3'!J149*'Expenses w MYP'!$G117))</f>
        <v>0</v>
      </c>
      <c r="K149" s="62">
        <f>IF('Expenses w MYP'!$G117="","",IF('Cash Flow %s Yr3'!K149="","",'Cash Flow %s Yr3'!K149*'Expenses w MYP'!$G117))</f>
        <v>0</v>
      </c>
      <c r="L149" s="62">
        <f>IF('Expenses w MYP'!$G117="","",IF('Cash Flow %s Yr3'!L149="","",'Cash Flow %s Yr3'!L149*'Expenses w MYP'!$G117))</f>
        <v>0</v>
      </c>
      <c r="M149" s="62">
        <f>IF('Expenses w MYP'!$G117="","",IF('Cash Flow %s Yr3'!M149="","",'Cash Flow %s Yr3'!M149*'Expenses w MYP'!$G117))</f>
        <v>0</v>
      </c>
      <c r="N149" s="62">
        <f>IF('Expenses w MYP'!$G117="","",IF('Cash Flow %s Yr3'!N149="","",'Cash Flow %s Yr3'!N149*'Expenses w MYP'!$G117))</f>
        <v>0</v>
      </c>
      <c r="O149" s="62">
        <f>IF('Expenses w MYP'!$G117="","",IF('Cash Flow %s Yr3'!O149="","",'Cash Flow %s Yr3'!O149*'Expenses w MYP'!$G117))</f>
        <v>0</v>
      </c>
      <c r="P149" s="113"/>
      <c r="Q149" s="113"/>
      <c r="R149" s="113"/>
      <c r="S149" s="97" t="str">
        <f>IF(SUM(D149:R149)&gt;0,SUM(D149:R149)/'Expenses w MYP'!$G117,"")</f>
        <v/>
      </c>
    </row>
    <row r="150" spans="1:19" s="31" customFormat="1" x14ac:dyDescent="0.75">
      <c r="A150" s="35"/>
      <c r="B150" s="121" t="str">
        <f>'Expenses w MYP'!C118</f>
        <v>7438</v>
      </c>
      <c r="C150" s="121" t="str">
        <f>'Expenses w MYP'!D118</f>
        <v>Debt Service - Interest</v>
      </c>
      <c r="D150" s="62" t="str">
        <f>IF('Expenses w MYP'!$G118="","",IF('Cash Flow %s Yr3'!D150="","",'Cash Flow %s Yr3'!D150*'Expenses w MYP'!$G118))</f>
        <v/>
      </c>
      <c r="E150" s="62" t="str">
        <f>IF('Expenses w MYP'!$G118="","",IF('Cash Flow %s Yr3'!E150="","",'Cash Flow %s Yr3'!E150*'Expenses w MYP'!$G118))</f>
        <v/>
      </c>
      <c r="F150" s="62" t="str">
        <f>IF('Expenses w MYP'!$G118="","",IF('Cash Flow %s Yr3'!F150="","",'Cash Flow %s Yr3'!F150*'Expenses w MYP'!$G118))</f>
        <v/>
      </c>
      <c r="G150" s="62" t="str">
        <f>IF('Expenses w MYP'!$G118="","",IF('Cash Flow %s Yr3'!G150="","",'Cash Flow %s Yr3'!G150*'Expenses w MYP'!$G118))</f>
        <v/>
      </c>
      <c r="H150" s="62" t="str">
        <f>IF('Expenses w MYP'!$G118="","",IF('Cash Flow %s Yr3'!H150="","",'Cash Flow %s Yr3'!H150*'Expenses w MYP'!$G118))</f>
        <v/>
      </c>
      <c r="I150" s="62" t="str">
        <f>IF('Expenses w MYP'!$G118="","",IF('Cash Flow %s Yr3'!I150="","",'Cash Flow %s Yr3'!I150*'Expenses w MYP'!$G118))</f>
        <v/>
      </c>
      <c r="J150" s="62" t="str">
        <f>IF('Expenses w MYP'!$G118="","",IF('Cash Flow %s Yr3'!J150="","",'Cash Flow %s Yr3'!J150*'Expenses w MYP'!$G118))</f>
        <v/>
      </c>
      <c r="K150" s="62" t="str">
        <f>IF('Expenses w MYP'!$G118="","",IF('Cash Flow %s Yr3'!K150="","",'Cash Flow %s Yr3'!K150*'Expenses w MYP'!$G118))</f>
        <v/>
      </c>
      <c r="L150" s="62" t="str">
        <f>IF('Expenses w MYP'!$G118="","",IF('Cash Flow %s Yr3'!L150="","",'Cash Flow %s Yr3'!L150*'Expenses w MYP'!$G118))</f>
        <v/>
      </c>
      <c r="M150" s="62" t="str">
        <f>IF('Expenses w MYP'!$G118="","",IF('Cash Flow %s Yr3'!M150="","",'Cash Flow %s Yr3'!M150*'Expenses w MYP'!$G118))</f>
        <v/>
      </c>
      <c r="N150" s="62" t="str">
        <f>IF('Expenses w MYP'!$G118="","",IF('Cash Flow %s Yr3'!N150="","",'Cash Flow %s Yr3'!N150*'Expenses w MYP'!$G118))</f>
        <v/>
      </c>
      <c r="O150" s="62" t="str">
        <f>IF('Expenses w MYP'!$G118="","",IF('Cash Flow %s Yr3'!O150="","",'Cash Flow %s Yr3'!O150*'Expenses w MYP'!$G118))</f>
        <v/>
      </c>
      <c r="P150" s="113"/>
      <c r="Q150" s="113"/>
      <c r="R150" s="113"/>
      <c r="S150" s="97" t="str">
        <f>IF(SUM(D150:R150)&gt;0,SUM(D150:R150)/'Expenses w MYP'!$G118,"")</f>
        <v/>
      </c>
    </row>
    <row r="151" spans="1:19" s="31" customFormat="1" x14ac:dyDescent="0.75">
      <c r="A151" s="35"/>
      <c r="B151" s="33" t="s">
        <v>683</v>
      </c>
      <c r="C151" s="34" t="s">
        <v>723</v>
      </c>
      <c r="D151" s="167" t="str">
        <f t="shared" ref="D151:R151" si="12">IF(SUM(D148:D150)&gt;0,SUM(D148:D150),"")</f>
        <v/>
      </c>
      <c r="E151" s="167" t="str">
        <f t="shared" si="12"/>
        <v/>
      </c>
      <c r="F151" s="167" t="str">
        <f t="shared" si="12"/>
        <v/>
      </c>
      <c r="G151" s="167" t="str">
        <f t="shared" si="12"/>
        <v/>
      </c>
      <c r="H151" s="167" t="str">
        <f t="shared" si="12"/>
        <v/>
      </c>
      <c r="I151" s="167" t="str">
        <f t="shared" si="12"/>
        <v/>
      </c>
      <c r="J151" s="167" t="str">
        <f t="shared" si="12"/>
        <v/>
      </c>
      <c r="K151" s="167" t="str">
        <f t="shared" si="12"/>
        <v/>
      </c>
      <c r="L151" s="167" t="str">
        <f t="shared" si="12"/>
        <v/>
      </c>
      <c r="M151" s="167" t="str">
        <f t="shared" si="12"/>
        <v/>
      </c>
      <c r="N151" s="167" t="str">
        <f t="shared" si="12"/>
        <v/>
      </c>
      <c r="O151" s="167" t="str">
        <f t="shared" si="12"/>
        <v/>
      </c>
      <c r="P151" s="167" t="str">
        <f t="shared" si="12"/>
        <v/>
      </c>
      <c r="Q151" s="167" t="str">
        <f t="shared" si="12"/>
        <v/>
      </c>
      <c r="R151" s="167" t="str">
        <f t="shared" si="12"/>
        <v/>
      </c>
    </row>
    <row r="152" spans="1:19" s="31" customFormat="1" x14ac:dyDescent="0.75">
      <c r="A152" s="34" t="s">
        <v>730</v>
      </c>
      <c r="B152" s="3"/>
      <c r="C152" s="2"/>
      <c r="D152" s="153" t="e">
        <f t="shared" ref="D152:R152" si="13">IF(SUM(D151,D146,D142,D106,D86,D74,D61)&gt;0,SUM(D151,D146,D142,D106,D86,D74,D61),0)</f>
        <v>#REF!</v>
      </c>
      <c r="E152" s="153" t="e">
        <f t="shared" si="13"/>
        <v>#REF!</v>
      </c>
      <c r="F152" s="153" t="e">
        <f t="shared" si="13"/>
        <v>#REF!</v>
      </c>
      <c r="G152" s="153" t="e">
        <f t="shared" si="13"/>
        <v>#REF!</v>
      </c>
      <c r="H152" s="153" t="e">
        <f t="shared" si="13"/>
        <v>#REF!</v>
      </c>
      <c r="I152" s="153" t="e">
        <f t="shared" si="13"/>
        <v>#REF!</v>
      </c>
      <c r="J152" s="153" t="e">
        <f t="shared" si="13"/>
        <v>#REF!</v>
      </c>
      <c r="K152" s="153" t="e">
        <f t="shared" si="13"/>
        <v>#REF!</v>
      </c>
      <c r="L152" s="153" t="e">
        <f t="shared" si="13"/>
        <v>#REF!</v>
      </c>
      <c r="M152" s="153" t="e">
        <f t="shared" si="13"/>
        <v>#REF!</v>
      </c>
      <c r="N152" s="153" t="e">
        <f t="shared" si="13"/>
        <v>#REF!</v>
      </c>
      <c r="O152" s="153" t="e">
        <f t="shared" si="13"/>
        <v>#REF!</v>
      </c>
      <c r="P152" s="153">
        <f t="shared" si="13"/>
        <v>0</v>
      </c>
      <c r="Q152" s="153">
        <f t="shared" si="13"/>
        <v>0</v>
      </c>
      <c r="R152" s="153">
        <f t="shared" si="13"/>
        <v>0</v>
      </c>
      <c r="S152" s="97" t="e">
        <f>IF(SUM(D152:R152)&gt;0,SUM(D152:R152)/'Expenses w MYP'!$E124,"")</f>
        <v>#REF!</v>
      </c>
    </row>
    <row r="153" spans="1:19" s="31" customFormat="1" x14ac:dyDescent="0.75">
      <c r="A153" s="34"/>
      <c r="B153" s="3"/>
      <c r="C153" s="2"/>
      <c r="D153" s="45"/>
      <c r="E153" s="45"/>
      <c r="F153" s="45"/>
      <c r="G153" s="45"/>
      <c r="H153" s="45"/>
      <c r="I153" s="45"/>
      <c r="J153" s="45"/>
      <c r="K153" s="45"/>
      <c r="L153" s="45"/>
      <c r="M153" s="45"/>
      <c r="N153" s="45"/>
      <c r="O153" s="45"/>
      <c r="P153" s="84"/>
      <c r="Q153" s="84"/>
      <c r="R153" s="84"/>
    </row>
    <row r="154" spans="1:19" s="31" customFormat="1" x14ac:dyDescent="0.75">
      <c r="A154" s="35"/>
      <c r="B154" s="34" t="s">
        <v>818</v>
      </c>
      <c r="C154" s="2"/>
      <c r="D154" s="91"/>
      <c r="E154" s="91"/>
      <c r="F154" s="91"/>
      <c r="G154" s="84"/>
      <c r="H154" s="84"/>
      <c r="I154" s="84"/>
      <c r="J154" s="84"/>
      <c r="K154" s="84"/>
      <c r="L154" s="84"/>
      <c r="M154" s="84"/>
      <c r="N154" s="84"/>
      <c r="O154" s="84"/>
      <c r="P154" s="84"/>
      <c r="Q154" s="84"/>
      <c r="R154" s="84"/>
    </row>
    <row r="155" spans="1:19" s="31" customFormat="1" x14ac:dyDescent="0.75">
      <c r="A155" s="35"/>
      <c r="B155" s="64"/>
      <c r="C155" s="64" t="str">
        <f>'Cash Flow %s Yr3'!C154</f>
        <v>Cash balance at previous year end</v>
      </c>
      <c r="D155" s="62" t="e">
        <f>'Cash Flow $s Yr2'!O165</f>
        <v>#REF!</v>
      </c>
      <c r="E155" s="62"/>
      <c r="F155" s="62"/>
      <c r="G155" s="62"/>
      <c r="H155" s="62"/>
      <c r="I155" s="62"/>
      <c r="J155" s="62"/>
      <c r="K155" s="62"/>
      <c r="L155" s="62"/>
      <c r="M155" s="62"/>
      <c r="N155" s="62"/>
      <c r="O155" s="62"/>
      <c r="P155" s="90"/>
      <c r="Q155" s="90"/>
      <c r="R155" s="90"/>
    </row>
    <row r="156" spans="1:19" s="31" customFormat="1" x14ac:dyDescent="0.75">
      <c r="A156" s="35"/>
      <c r="B156" s="64"/>
      <c r="C156" s="117" t="str">
        <f>'Cash Flow %s Yr3'!C155</f>
        <v>Accounts Receivable</v>
      </c>
      <c r="D156" s="62">
        <f>'Cash Flow %s Yr3'!D155*'Cash Flow $s Yr2'!$O156</f>
        <v>0</v>
      </c>
      <c r="E156" s="62">
        <f>'Cash Flow %s Yr3'!E155*'Cash Flow $s Yr2'!$O156</f>
        <v>0</v>
      </c>
      <c r="F156" s="62">
        <f>'Cash Flow %s Yr3'!F155*'Cash Flow $s Yr2'!$O156</f>
        <v>0</v>
      </c>
      <c r="G156" s="62">
        <f>'Cash Flow %s Yr3'!G155*'Cash Flow $s Yr2'!$O156</f>
        <v>0</v>
      </c>
      <c r="H156" s="62">
        <f>'Cash Flow %s Yr3'!H155*'Cash Flow $s Yr2'!$O156</f>
        <v>0</v>
      </c>
      <c r="I156" s="62">
        <f>'Cash Flow %s Yr3'!I155*'Cash Flow $s Yr2'!$O156</f>
        <v>0</v>
      </c>
      <c r="J156" s="62">
        <f>'Cash Flow %s Yr3'!J155*'Cash Flow $s Yr2'!$O156</f>
        <v>0</v>
      </c>
      <c r="K156" s="62">
        <f>'Cash Flow %s Yr3'!K155*'Cash Flow $s Yr2'!$O156</f>
        <v>0</v>
      </c>
      <c r="L156" s="62">
        <f>'Cash Flow %s Yr3'!L155*'Cash Flow $s Yr2'!$O156</f>
        <v>0</v>
      </c>
      <c r="M156" s="62">
        <f>'Cash Flow %s Yr3'!M155*'Cash Flow $s Yr2'!$O156</f>
        <v>0</v>
      </c>
      <c r="N156" s="62">
        <f>'Cash Flow %s Yr3'!N155*'Cash Flow $s Yr2'!$O156</f>
        <v>0</v>
      </c>
      <c r="O156" s="62">
        <f>'Cash Flow %s Yr3'!O155*'Cash Flow $s Yr2'!$O156</f>
        <v>0</v>
      </c>
      <c r="P156" s="152" t="e">
        <f>P49</f>
        <v>#VALUE!</v>
      </c>
      <c r="Q156" s="152">
        <f>Q49</f>
        <v>0</v>
      </c>
      <c r="R156" s="152">
        <f>R49</f>
        <v>0</v>
      </c>
    </row>
    <row r="157" spans="1:19" s="31" customFormat="1" x14ac:dyDescent="0.75">
      <c r="A157" s="35"/>
      <c r="B157" s="64"/>
      <c r="C157" s="117" t="str">
        <f>'Cash Flow %s Yr3'!C156</f>
        <v>Accounts Payable</v>
      </c>
      <c r="D157" s="62">
        <f>'Cash Flow %s Yr3'!D156*'Cash Flow $s Yr2'!$O157</f>
        <v>0</v>
      </c>
      <c r="E157" s="62">
        <f>'Cash Flow %s Yr3'!E156*'Cash Flow $s Yr2'!$O157</f>
        <v>0</v>
      </c>
      <c r="F157" s="62">
        <f>'Cash Flow %s Yr3'!F156*'Cash Flow $s Yr2'!$O157</f>
        <v>0</v>
      </c>
      <c r="G157" s="62">
        <f>'Cash Flow %s Yr3'!G156*'Cash Flow $s Yr2'!$O157</f>
        <v>0</v>
      </c>
      <c r="H157" s="62">
        <f>'Cash Flow %s Yr3'!H156*'Cash Flow $s Yr2'!$O157</f>
        <v>0</v>
      </c>
      <c r="I157" s="62">
        <f>'Cash Flow %s Yr3'!I156*'Cash Flow $s Yr2'!$O157</f>
        <v>0</v>
      </c>
      <c r="J157" s="62">
        <f>'Cash Flow %s Yr3'!J156*'Cash Flow $s Yr2'!$O157</f>
        <v>0</v>
      </c>
      <c r="K157" s="62">
        <f>'Cash Flow %s Yr3'!K156*'Cash Flow $s Yr2'!$O157</f>
        <v>0</v>
      </c>
      <c r="L157" s="62">
        <f>'Cash Flow %s Yr3'!L156*'Cash Flow $s Yr2'!$O157</f>
        <v>0</v>
      </c>
      <c r="M157" s="62">
        <f>'Cash Flow %s Yr3'!M156*'Cash Flow $s Yr2'!$O157</f>
        <v>0</v>
      </c>
      <c r="N157" s="62">
        <f>'Cash Flow %s Yr3'!N156*'Cash Flow $s Yr2'!$O157</f>
        <v>0</v>
      </c>
      <c r="O157" s="62">
        <f>'Cash Flow %s Yr3'!O156*'Cash Flow $s Yr2'!$O157</f>
        <v>0</v>
      </c>
      <c r="P157" s="152">
        <f>-P152</f>
        <v>0</v>
      </c>
      <c r="Q157" s="152">
        <f>-Q152</f>
        <v>0</v>
      </c>
      <c r="R157" s="152">
        <f>-R152</f>
        <v>0</v>
      </c>
    </row>
    <row r="158" spans="1:19" s="31" customFormat="1" x14ac:dyDescent="0.75">
      <c r="A158" s="35"/>
      <c r="B158" s="64"/>
      <c r="C158" s="117" t="str">
        <f>'Cash Flow %s Yr3'!C157</f>
        <v>Loan Principal Payable</v>
      </c>
      <c r="D158" s="62"/>
      <c r="E158" s="62"/>
      <c r="F158" s="62"/>
      <c r="G158" s="62"/>
      <c r="H158" s="62"/>
      <c r="I158" s="62"/>
      <c r="J158" s="62"/>
      <c r="K158" s="62"/>
      <c r="L158" s="62"/>
      <c r="M158" s="62"/>
      <c r="N158" s="62"/>
      <c r="O158" s="62"/>
      <c r="P158" s="90"/>
      <c r="Q158" s="90"/>
      <c r="R158" s="90"/>
    </row>
    <row r="159" spans="1:19" s="31" customFormat="1" x14ac:dyDescent="0.75">
      <c r="A159" s="35"/>
      <c r="B159" s="3"/>
      <c r="C159" s="34" t="s">
        <v>719</v>
      </c>
      <c r="D159" s="79" t="e">
        <f>D155+D156+D157+D158</f>
        <v>#REF!</v>
      </c>
      <c r="E159" s="79">
        <f t="shared" ref="E159:O159" si="14">E155+E156+E157+E158</f>
        <v>0</v>
      </c>
      <c r="F159" s="79">
        <f t="shared" si="14"/>
        <v>0</v>
      </c>
      <c r="G159" s="79">
        <f t="shared" si="14"/>
        <v>0</v>
      </c>
      <c r="H159" s="79">
        <f t="shared" si="14"/>
        <v>0</v>
      </c>
      <c r="I159" s="79">
        <f t="shared" si="14"/>
        <v>0</v>
      </c>
      <c r="J159" s="79">
        <f t="shared" si="14"/>
        <v>0</v>
      </c>
      <c r="K159" s="79">
        <f t="shared" si="14"/>
        <v>0</v>
      </c>
      <c r="L159" s="79">
        <f t="shared" si="14"/>
        <v>0</v>
      </c>
      <c r="M159" s="79">
        <f t="shared" si="14"/>
        <v>0</v>
      </c>
      <c r="N159" s="79">
        <f t="shared" si="14"/>
        <v>0</v>
      </c>
      <c r="O159" s="79">
        <f t="shared" si="14"/>
        <v>0</v>
      </c>
      <c r="P159" s="84"/>
      <c r="Q159" s="84"/>
      <c r="R159" s="84"/>
    </row>
    <row r="160" spans="1:19" s="39" customFormat="1" ht="16.5" thickBot="1" x14ac:dyDescent="0.9">
      <c r="A160" s="35"/>
      <c r="C160" s="1"/>
      <c r="D160" s="84"/>
      <c r="E160" s="84"/>
      <c r="F160" s="84"/>
      <c r="G160" s="84"/>
      <c r="H160" s="84"/>
      <c r="I160" s="84"/>
      <c r="J160" s="84"/>
      <c r="K160" s="84"/>
      <c r="L160" s="84"/>
      <c r="M160" s="84"/>
      <c r="N160" s="84"/>
      <c r="O160" s="84"/>
      <c r="P160" s="84"/>
      <c r="Q160" s="84"/>
      <c r="R160" s="84"/>
    </row>
    <row r="161" spans="1:18" s="39" customFormat="1" ht="16.5" thickBot="1" x14ac:dyDescent="0.9">
      <c r="A161" s="71" t="s">
        <v>825</v>
      </c>
      <c r="B161" s="114"/>
      <c r="C161" s="72"/>
      <c r="D161" s="131" t="e">
        <f t="shared" ref="D161:O161" si="15">D49-D152</f>
        <v>#VALUE!</v>
      </c>
      <c r="E161" s="131" t="e">
        <f t="shared" si="15"/>
        <v>#VALUE!</v>
      </c>
      <c r="F161" s="131" t="e">
        <f t="shared" si="15"/>
        <v>#VALUE!</v>
      </c>
      <c r="G161" s="131" t="e">
        <f t="shared" si="15"/>
        <v>#VALUE!</v>
      </c>
      <c r="H161" s="131" t="e">
        <f t="shared" si="15"/>
        <v>#VALUE!</v>
      </c>
      <c r="I161" s="131" t="e">
        <f t="shared" si="15"/>
        <v>#VALUE!</v>
      </c>
      <c r="J161" s="131" t="e">
        <f t="shared" si="15"/>
        <v>#VALUE!</v>
      </c>
      <c r="K161" s="131" t="e">
        <f t="shared" si="15"/>
        <v>#VALUE!</v>
      </c>
      <c r="L161" s="131" t="e">
        <f t="shared" si="15"/>
        <v>#VALUE!</v>
      </c>
      <c r="M161" s="131" t="e">
        <f t="shared" si="15"/>
        <v>#VALUE!</v>
      </c>
      <c r="N161" s="131" t="e">
        <f t="shared" si="15"/>
        <v>#VALUE!</v>
      </c>
      <c r="O161" s="132" t="e">
        <f t="shared" si="15"/>
        <v>#VALUE!</v>
      </c>
      <c r="P161" s="84"/>
      <c r="Q161" s="84"/>
      <c r="R161" s="84"/>
    </row>
    <row r="162" spans="1:18" s="39" customFormat="1" ht="16.5" thickBot="1" x14ac:dyDescent="0.9">
      <c r="A162" s="35"/>
      <c r="C162" s="1"/>
      <c r="D162" s="133"/>
      <c r="E162" s="133"/>
      <c r="F162" s="133"/>
      <c r="G162" s="133"/>
      <c r="H162" s="133"/>
      <c r="I162" s="133"/>
      <c r="J162" s="133"/>
      <c r="K162" s="133"/>
      <c r="L162" s="133"/>
      <c r="M162" s="133"/>
      <c r="N162" s="133"/>
      <c r="O162" s="133"/>
      <c r="P162" s="84"/>
      <c r="Q162" s="84"/>
      <c r="R162" s="84"/>
    </row>
    <row r="163" spans="1:18" s="39" customFormat="1" ht="16.5" thickBot="1" x14ac:dyDescent="0.9">
      <c r="A163" s="71" t="s">
        <v>816</v>
      </c>
      <c r="B163" s="114"/>
      <c r="C163" s="72"/>
      <c r="D163" s="131" t="e">
        <f>D159+D161</f>
        <v>#REF!</v>
      </c>
      <c r="E163" s="131" t="e">
        <f t="shared" ref="E163:O163" si="16">E159+E161</f>
        <v>#VALUE!</v>
      </c>
      <c r="F163" s="131" t="e">
        <f t="shared" si="16"/>
        <v>#VALUE!</v>
      </c>
      <c r="G163" s="131" t="e">
        <f t="shared" si="16"/>
        <v>#VALUE!</v>
      </c>
      <c r="H163" s="131" t="e">
        <f t="shared" si="16"/>
        <v>#VALUE!</v>
      </c>
      <c r="I163" s="131" t="e">
        <f t="shared" si="16"/>
        <v>#VALUE!</v>
      </c>
      <c r="J163" s="131" t="e">
        <f t="shared" si="16"/>
        <v>#VALUE!</v>
      </c>
      <c r="K163" s="131" t="e">
        <f t="shared" si="16"/>
        <v>#VALUE!</v>
      </c>
      <c r="L163" s="131" t="e">
        <f t="shared" si="16"/>
        <v>#VALUE!</v>
      </c>
      <c r="M163" s="131" t="e">
        <f t="shared" si="16"/>
        <v>#VALUE!</v>
      </c>
      <c r="N163" s="131" t="e">
        <f t="shared" si="16"/>
        <v>#VALUE!</v>
      </c>
      <c r="O163" s="132" t="e">
        <f t="shared" si="16"/>
        <v>#VALUE!</v>
      </c>
      <c r="P163" s="84"/>
      <c r="Q163" s="84"/>
      <c r="R163" s="84"/>
    </row>
    <row r="164" spans="1:18" s="39" customFormat="1" ht="16.5" thickBot="1" x14ac:dyDescent="0.9">
      <c r="A164" s="35"/>
      <c r="C164" s="1"/>
      <c r="D164" s="84"/>
      <c r="E164" s="84"/>
      <c r="F164" s="84"/>
      <c r="G164" s="84"/>
      <c r="H164" s="84"/>
      <c r="I164" s="84"/>
      <c r="J164" s="84"/>
      <c r="K164" s="84"/>
      <c r="L164" s="84"/>
      <c r="M164" s="84"/>
      <c r="N164" s="84"/>
      <c r="O164" s="84"/>
      <c r="P164" s="84"/>
      <c r="Q164" s="84"/>
      <c r="R164" s="84"/>
    </row>
    <row r="165" spans="1:18" s="39" customFormat="1" ht="16.5" thickBot="1" x14ac:dyDescent="0.9">
      <c r="A165" s="71" t="s">
        <v>826</v>
      </c>
      <c r="B165" s="114"/>
      <c r="C165" s="72"/>
      <c r="D165" s="131" t="e">
        <f>D163</f>
        <v>#REF!</v>
      </c>
      <c r="E165" s="131" t="e">
        <f>D165+E163</f>
        <v>#REF!</v>
      </c>
      <c r="F165" s="131" t="e">
        <f t="shared" ref="F165:O165" si="17">E165+F163</f>
        <v>#REF!</v>
      </c>
      <c r="G165" s="131" t="e">
        <f t="shared" si="17"/>
        <v>#REF!</v>
      </c>
      <c r="H165" s="131" t="e">
        <f t="shared" si="17"/>
        <v>#REF!</v>
      </c>
      <c r="I165" s="131" t="e">
        <f t="shared" si="17"/>
        <v>#REF!</v>
      </c>
      <c r="J165" s="131" t="e">
        <f t="shared" si="17"/>
        <v>#REF!</v>
      </c>
      <c r="K165" s="131" t="e">
        <f t="shared" si="17"/>
        <v>#REF!</v>
      </c>
      <c r="L165" s="131" t="e">
        <f t="shared" si="17"/>
        <v>#REF!</v>
      </c>
      <c r="M165" s="131" t="e">
        <f t="shared" si="17"/>
        <v>#REF!</v>
      </c>
      <c r="N165" s="131" t="e">
        <f t="shared" si="17"/>
        <v>#REF!</v>
      </c>
      <c r="O165" s="132" t="e">
        <f t="shared" si="17"/>
        <v>#REF!</v>
      </c>
      <c r="P165" s="84"/>
      <c r="Q165" s="84"/>
      <c r="R165" s="84"/>
    </row>
    <row r="166" spans="1:18" s="39" customFormat="1" x14ac:dyDescent="0.75">
      <c r="A166" s="35"/>
      <c r="C166" s="1"/>
      <c r="D166" s="84"/>
      <c r="E166" s="84"/>
      <c r="F166" s="84"/>
      <c r="G166" s="84"/>
      <c r="H166" s="84"/>
      <c r="I166" s="84"/>
      <c r="J166" s="84"/>
      <c r="K166" s="84"/>
      <c r="L166" s="84"/>
      <c r="M166" s="84"/>
      <c r="N166" s="84"/>
      <c r="O166" s="84"/>
      <c r="P166" s="84"/>
      <c r="Q166" s="84"/>
      <c r="R166" s="84"/>
    </row>
    <row r="167" spans="1:18" s="39" customFormat="1" x14ac:dyDescent="0.75">
      <c r="A167" s="35"/>
      <c r="C167" s="1"/>
      <c r="D167" s="84"/>
      <c r="E167" s="84"/>
      <c r="F167" s="84"/>
      <c r="G167" s="84"/>
      <c r="H167" s="84"/>
      <c r="I167" s="84"/>
      <c r="J167" s="84"/>
      <c r="K167" s="84"/>
      <c r="L167" s="84"/>
      <c r="M167" s="84"/>
      <c r="N167" s="84"/>
      <c r="O167" s="84"/>
      <c r="P167" s="84"/>
      <c r="Q167" s="84"/>
      <c r="R167" s="84"/>
    </row>
    <row r="168" spans="1:18" s="39" customFormat="1" x14ac:dyDescent="0.75">
      <c r="A168" s="35"/>
      <c r="C168" s="1"/>
      <c r="D168" s="84"/>
      <c r="E168" s="84"/>
      <c r="F168" s="84"/>
      <c r="G168" s="84"/>
      <c r="H168" s="84"/>
      <c r="I168" s="84"/>
      <c r="J168" s="84"/>
      <c r="K168" s="84"/>
      <c r="L168" s="84"/>
      <c r="M168" s="84"/>
      <c r="N168" s="84"/>
      <c r="O168" s="84"/>
      <c r="P168" s="84"/>
      <c r="Q168" s="84"/>
      <c r="R168" s="84"/>
    </row>
  </sheetData>
  <pageMargins left="0.25" right="0.25" top="0.5" bottom="0.5" header="0.25" footer="0.25"/>
  <pageSetup scale="53" fitToHeight="3" orientation="landscape" r:id="rId1"/>
  <headerFooter alignWithMargins="0">
    <oddHeader>&amp;A</oddHeader>
    <oddFooter>Page &amp;P</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7" tint="-0.249977111117893"/>
    <pageSetUpPr fitToPage="1"/>
  </sheetPr>
  <dimension ref="A1:S168"/>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12.453125" style="84" customWidth="1"/>
    <col min="19" max="19" width="10.31640625" style="1" bestFit="1" customWidth="1"/>
    <col min="20"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row>
    <row r="2" spans="1:19" ht="17.75" x14ac:dyDescent="0.75">
      <c r="A2" s="21" t="s">
        <v>814</v>
      </c>
    </row>
    <row r="3" spans="1:19" ht="17.75" x14ac:dyDescent="0.75">
      <c r="A3" s="21" t="str">
        <f>'Student Info w MYP'!G6</f>
        <v>San Diego</v>
      </c>
    </row>
    <row r="5" spans="1:19" ht="17.75" x14ac:dyDescent="0.75">
      <c r="A5" s="29"/>
      <c r="B5" s="40"/>
      <c r="C5" s="29"/>
      <c r="D5" s="96">
        <f>'Student Info w MYP'!F63/'Student Info w MYP'!G63</f>
        <v>0.83151871373969233</v>
      </c>
      <c r="E5" s="85"/>
      <c r="G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109" t="s">
        <v>815</v>
      </c>
      <c r="D8" s="96"/>
      <c r="F8" s="85"/>
      <c r="G8" s="85"/>
      <c r="H8" s="85"/>
      <c r="I8" s="31"/>
      <c r="J8" s="31"/>
      <c r="K8" s="85"/>
      <c r="L8" s="85"/>
      <c r="M8" s="85"/>
      <c r="N8" s="85"/>
      <c r="O8" s="85"/>
      <c r="P8" s="85"/>
      <c r="Q8" s="85"/>
      <c r="R8" s="85"/>
    </row>
    <row r="9" spans="1:19" ht="17.75" hidden="1" x14ac:dyDescent="0.75">
      <c r="A9" s="29"/>
      <c r="B9" s="40"/>
      <c r="D9" s="87"/>
      <c r="E9" s="100"/>
      <c r="F9" s="100"/>
      <c r="G9" s="100"/>
      <c r="H9" s="100"/>
      <c r="I9" s="100"/>
      <c r="J9" s="100"/>
      <c r="K9" s="100"/>
      <c r="L9" s="101"/>
      <c r="M9" s="100"/>
      <c r="N9" s="100"/>
      <c r="O9" s="101"/>
      <c r="P9" s="100"/>
      <c r="Q9" s="98"/>
      <c r="R9" s="98"/>
      <c r="S9" s="97"/>
    </row>
    <row r="10" spans="1:19" ht="17.75" hidden="1" x14ac:dyDescent="0.75">
      <c r="A10" s="29"/>
      <c r="B10" s="40"/>
      <c r="D10" s="87"/>
      <c r="E10" s="102"/>
      <c r="F10" s="102"/>
      <c r="G10" s="100"/>
      <c r="H10" s="102"/>
      <c r="I10" s="102"/>
      <c r="J10" s="100"/>
      <c r="K10" s="102"/>
      <c r="L10" s="101"/>
      <c r="M10" s="103"/>
      <c r="N10" s="103"/>
      <c r="O10" s="103"/>
      <c r="P10" s="104"/>
      <c r="Q10" s="87"/>
      <c r="R10" s="98"/>
      <c r="S10" s="97"/>
    </row>
    <row r="11" spans="1:19" s="31" customFormat="1" ht="17.75" x14ac:dyDescent="0.75">
      <c r="B11" s="68" t="s">
        <v>778</v>
      </c>
      <c r="C11" s="47"/>
      <c r="D11" s="86"/>
      <c r="E11" s="86"/>
      <c r="F11" s="86"/>
      <c r="G11" s="86"/>
      <c r="H11" s="86"/>
      <c r="I11" s="86"/>
      <c r="J11" s="86"/>
      <c r="K11" s="86"/>
      <c r="L11" s="86"/>
      <c r="M11" s="86"/>
      <c r="N11" s="86"/>
      <c r="O11" s="86"/>
      <c r="P11" s="86"/>
      <c r="Q11" s="86"/>
      <c r="R11" s="86"/>
    </row>
    <row r="12" spans="1:19" s="31" customFormat="1" x14ac:dyDescent="0.75">
      <c r="A12" s="48"/>
      <c r="B12" s="63" t="str">
        <f>'Revenue w MYP'!C8</f>
        <v>8011</v>
      </c>
      <c r="C12" s="63" t="str">
        <f>'Revenue w MYP'!D8</f>
        <v>LCFF; state aid portion</v>
      </c>
      <c r="D12" s="62">
        <f>IF('Revenue w MYP'!$H8="","",IF('Cash Flow %s Yr4'!D12="","",'Cash Flow %s Yr4'!D12*'Revenue w MYP'!$H8)*$D$5)</f>
        <v>0</v>
      </c>
      <c r="E12" s="62">
        <f>IF('Revenue w MYP'!$H8="","",IF('Cash Flow %s Yr4'!E12="","",'Cash Flow %s Yr4'!E12*'Revenue w MYP'!$H8)*$D$5)</f>
        <v>217486.58831817895</v>
      </c>
      <c r="F12" s="62">
        <f>IF('Revenue w MYP'!$H8="","",IF('Cash Flow %s Yr4'!F12="","",'Cash Flow %s Yr4'!F12*'Revenue w MYP'!$H8)*$D$5)</f>
        <v>217486.58831817895</v>
      </c>
      <c r="G12" s="62">
        <f>IF('Revenue w MYP'!$H8="","",IF('Cash Flow %s Yr4'!G12="","",'Cash Flow %s Yr4'!G12*'Revenue w MYP'!$H8)*$D$5)</f>
        <v>391475.85897272202</v>
      </c>
      <c r="H12" s="62">
        <f>IF('Revenue w MYP'!$H8="","",IF('Cash Flow %s Yr4'!H12="","",'Cash Flow %s Yr4'!H12*'Revenue w MYP'!$H8)*$D$5)</f>
        <v>391475.85897272202</v>
      </c>
      <c r="I12" s="62">
        <f>IF('Revenue w MYP'!$H8="","",IF('Cash Flow %s Yr4'!I12="","",'Cash Flow %s Yr4'!I12*'Revenue w MYP'!$H8)*$D$5)</f>
        <v>391475.85897272202</v>
      </c>
      <c r="J12" s="62">
        <f>IF('Revenue w MYP'!$H8="","",IF('Cash Flow %s Yr4'!J12="","",'Cash Flow %s Yr4'!J12*'Revenue w MYP'!$H8)*$D$5)</f>
        <v>391475.85897272202</v>
      </c>
      <c r="K12" s="62">
        <f>IF('Revenue w MYP'!$H8="","",IF('Cash Flow %s Yr4'!K12="","",'Cash Flow %s Yr4'!K12*'Revenue w MYP'!$H8)*$D$5)</f>
        <v>391475.85897272202</v>
      </c>
      <c r="L12" s="62">
        <f>IF('Revenue w MYP'!$H8="","",IF('Cash Flow %s Yr4'!L12="","",'Cash Flow %s Yr4'!L12*'Revenue w MYP'!$H8)*(1/$D$5))</f>
        <v>566188.35177218041</v>
      </c>
      <c r="M12" s="62">
        <f>IF('Revenue w MYP'!$H8="","",IF('Cash Flow %s Yr4'!M12="","",'Cash Flow %s Yr4'!M12*'Revenue w MYP'!$H8)*(1/$D$5))</f>
        <v>566188.35177218041</v>
      </c>
      <c r="N12" s="62">
        <f>IF('Revenue w MYP'!$H8="","",IF('Cash Flow %s Yr4'!N12="","",'Cash Flow %s Yr4'!N12*'Revenue w MYP'!$H8)*(1/$D$5))</f>
        <v>566188.35177218041</v>
      </c>
      <c r="O12" s="62">
        <f>IF('Revenue w MYP'!$H8="","",IF('Cash Flow %s Yr4'!O12="","",'Cash Flow %s Yr4'!O12*'Revenue w MYP'!$H8)*(1/$D$5))</f>
        <v>566188.35177218041</v>
      </c>
      <c r="P12" s="62">
        <f>IF('Revenue w MYP'!$H8="","",IF('Cash Flow %s Yr4'!P12="","",'Revenue w MYP'!H8-SUM('Cash Flow $s Yr4'!D12:O12)))</f>
        <v>573963.12141131051</v>
      </c>
      <c r="Q12" s="62"/>
      <c r="R12" s="62"/>
      <c r="S12" s="97">
        <f>IF(SUM(D12:R12)&gt;0,SUM(D12:R12)/'Revenue w MYP'!$H8,"")</f>
        <v>1</v>
      </c>
    </row>
    <row r="13" spans="1:19" s="31" customFormat="1" x14ac:dyDescent="0.75">
      <c r="A13" s="48"/>
      <c r="B13" s="63" t="str">
        <f>'Revenue w MYP'!C9</f>
        <v>8012</v>
      </c>
      <c r="C13" s="63" t="str">
        <f>'Revenue w MYP'!D9</f>
        <v>LCFF; EPA portion</v>
      </c>
      <c r="D13" s="62">
        <f>IF('Revenue w MYP'!$H9="","",IF('Cash Flow %s Yr4'!D13="","",'Cash Flow %s Yr4'!D13*'Revenue w MYP'!$H9)*$D$5)</f>
        <v>0</v>
      </c>
      <c r="E13" s="62">
        <f>IF('Revenue w MYP'!$H9="","",IF('Cash Flow %s Yr4'!E13="","",'Cash Flow %s Yr4'!E13*'Revenue w MYP'!$H9)*$D$5)</f>
        <v>0</v>
      </c>
      <c r="F13" s="62">
        <f>IF('Revenue w MYP'!$H9="","",IF('Cash Flow %s Yr4'!F13="","",'Cash Flow %s Yr4'!F13*'Revenue w MYP'!$H9)*$D$5)</f>
        <v>0</v>
      </c>
      <c r="G13" s="62">
        <f>IF('Revenue w MYP'!$H9="","",IF('Cash Flow %s Yr4'!G13="","",'Cash Flow %s Yr4'!G13*'Revenue w MYP'!$H9)*$D$5)</f>
        <v>539408.26839972276</v>
      </c>
      <c r="H13" s="62">
        <f>IF('Revenue w MYP'!$H9="","",IF('Cash Flow %s Yr4'!H13="","",'Cash Flow %s Yr4'!H13*'Revenue w MYP'!$H9)*$D$5)</f>
        <v>0</v>
      </c>
      <c r="I13" s="62">
        <f>IF('Revenue w MYP'!$H9="","",IF('Cash Flow %s Yr4'!I13="","",'Cash Flow %s Yr4'!I13*'Revenue w MYP'!$H9)*$D$5)</f>
        <v>0</v>
      </c>
      <c r="J13" s="62">
        <f>IF('Revenue w MYP'!$H9="","",IF('Cash Flow %s Yr4'!J13="","",'Cash Flow %s Yr4'!J13*'Revenue w MYP'!$H9)*$D$5)</f>
        <v>539408.26839972276</v>
      </c>
      <c r="K13" s="62">
        <f>IF('Revenue w MYP'!$H9="","",IF('Cash Flow %s Yr4'!K13="","",'Cash Flow %s Yr4'!K13*'Revenue w MYP'!$H9)*$D$5)</f>
        <v>0</v>
      </c>
      <c r="L13" s="62">
        <f>IF('Revenue w MYP'!$H9="","",IF('Cash Flow %s Yr4'!L13="","",'Cash Flow %s Yr4'!L13*'Revenue w MYP'!$H9)*(1/$D$5))</f>
        <v>0</v>
      </c>
      <c r="M13" s="62">
        <f>IF('Revenue w MYP'!$H9="","",IF('Cash Flow %s Yr4'!M13="","",'Cash Flow %s Yr4'!M13*'Revenue w MYP'!$H9)*(1/$D$5))</f>
        <v>780141.79269942071</v>
      </c>
      <c r="N13" s="62">
        <f>IF('Revenue w MYP'!$H9="","",IF('Cash Flow %s Yr4'!N13="","",'Cash Flow %s Yr4'!N13*'Revenue w MYP'!$H9)*(1/$D$5))</f>
        <v>0</v>
      </c>
      <c r="O13" s="62">
        <f>IF('Revenue w MYP'!$H9="","",IF('Cash Flow %s Yr4'!O13="","",'Cash Flow %s Yr4'!O13*'Revenue w MYP'!$H9)*(1/$D$5))</f>
        <v>0</v>
      </c>
      <c r="P13" s="62">
        <f>IF('Revenue w MYP'!$H9="","",IF('Cash Flow %s Yr4'!P13="","",'Revenue w MYP'!H9-SUM('Cash Flow $s Yr4'!D13:O13)))</f>
        <v>735851.67050113389</v>
      </c>
      <c r="Q13" s="62"/>
      <c r="R13" s="62"/>
      <c r="S13" s="97">
        <f>IF(SUM(D13:R13)&gt;0,SUM(D13:R13)/'Revenue w MYP'!$H9,"")</f>
        <v>1</v>
      </c>
    </row>
    <row r="14" spans="1:19" s="31" customFormat="1" x14ac:dyDescent="0.75">
      <c r="A14" s="48"/>
      <c r="B14" s="63" t="str">
        <f>'Revenue w MYP'!C10</f>
        <v>8096</v>
      </c>
      <c r="C14" s="63" t="str">
        <f>'Revenue w MYP'!D10</f>
        <v>In-Lieu of Property Taxes, all grades</v>
      </c>
      <c r="D14" s="62">
        <f>IF('Revenue w MYP'!$H10="","",IF('Cash Flow %s Yr4'!D14="","",'Cash Flow %s Yr4'!D14*'Revenue w MYP'!$H10)*$D$5)</f>
        <v>0</v>
      </c>
      <c r="E14" s="62">
        <f>IF('Revenue w MYP'!$H10="","",IF('Cash Flow %s Yr4'!E14="","",'Cash Flow %s Yr4'!E14*'Revenue w MYP'!$H10)*$D$5)</f>
        <v>90032.727560159998</v>
      </c>
      <c r="F14" s="62">
        <f>IF('Revenue w MYP'!$H10="","",IF('Cash Flow %s Yr4'!F14="","",'Cash Flow %s Yr4'!F14*'Revenue w MYP'!$H10)*$D$5)</f>
        <v>180065.45512032</v>
      </c>
      <c r="G14" s="62">
        <f>IF('Revenue w MYP'!$H10="","",IF('Cash Flow %s Yr4'!G14="","",'Cash Flow %s Yr4'!G14*'Revenue w MYP'!$H10)*$D$5)</f>
        <v>120043.63674688</v>
      </c>
      <c r="H14" s="62">
        <f>IF('Revenue w MYP'!$H10="","",IF('Cash Flow %s Yr4'!H14="","",'Cash Flow %s Yr4'!H14*'Revenue w MYP'!$H10)*$D$5)</f>
        <v>120043.63674688</v>
      </c>
      <c r="I14" s="62">
        <f>IF('Revenue w MYP'!$H10="","",IF('Cash Flow %s Yr4'!I14="","",'Cash Flow %s Yr4'!I14*'Revenue w MYP'!$H10)*$D$5)</f>
        <v>120043.63674688</v>
      </c>
      <c r="J14" s="62">
        <f>IF('Revenue w MYP'!$H10="","",IF('Cash Flow %s Yr4'!J14="","",'Cash Flow %s Yr4'!J14*'Revenue w MYP'!$H10)*$D$5)</f>
        <v>120043.63674688</v>
      </c>
      <c r="K14" s="62">
        <f>IF('Revenue w MYP'!$H10="","",IF('Cash Flow %s Yr4'!K14="","",'Cash Flow %s Yr4'!K14*'Revenue w MYP'!$H10)*$D$5)</f>
        <v>120043.63674688</v>
      </c>
      <c r="L14" s="62">
        <f>IF('Revenue w MYP'!$H10="","",IF('Cash Flow %s Yr4'!L14="","",'Cash Flow %s Yr4'!L14*'Revenue w MYP'!$H10)*(1/$D$5))</f>
        <v>303831.73758252873</v>
      </c>
      <c r="M14" s="62">
        <f>IF('Revenue w MYP'!$H10="","",IF('Cash Flow %s Yr4'!M14="","",'Cash Flow %s Yr4'!M14*'Revenue w MYP'!$H10)*(1/$D$5))</f>
        <v>151915.86879126437</v>
      </c>
      <c r="N14" s="62">
        <f>IF('Revenue w MYP'!$H10="","",IF('Cash Flow %s Yr4'!N14="","",'Cash Flow %s Yr4'!N14*'Revenue w MYP'!$H10)*(1/$D$5))</f>
        <v>151915.86879126437</v>
      </c>
      <c r="O14" s="62">
        <f>IF('Revenue w MYP'!$H10="","",IF('Cash Flow %s Yr4'!O14="","",'Cash Flow %s Yr4'!O14*'Revenue w MYP'!$H10)*(1/$D$5))</f>
        <v>151915.86879126437</v>
      </c>
      <c r="P14" s="62">
        <f>IF('Revenue w MYP'!$H10="","",IF('Cash Flow %s Yr4'!P14="","",'Revenue w MYP'!H10-SUM('Cash Flow $s Yr4'!D14:O14)))</f>
        <v>174688.40125679784</v>
      </c>
      <c r="Q14" s="62"/>
      <c r="R14" s="62"/>
      <c r="S14" s="97">
        <f>IF(SUM(D14:R14)&gt;0,SUM(D14:R14)/'Revenue w MYP'!$H10,"")</f>
        <v>1</v>
      </c>
    </row>
    <row r="15" spans="1:19" s="31" customFormat="1" x14ac:dyDescent="0.75">
      <c r="A15" s="48"/>
      <c r="B15" s="63" t="str">
        <f>'Revenue w MYP'!C11</f>
        <v>8019</v>
      </c>
      <c r="C15" s="63" t="str">
        <f>'Revenue w MYP'!D11</f>
        <v>Prior Year Income / Adjustments</v>
      </c>
      <c r="D15" s="62" t="e">
        <f>'Cash Flow $s Yr3'!P156</f>
        <v>#VALUE!</v>
      </c>
      <c r="E15" s="62">
        <f>'Cash Flow $s Yr3'!Q156</f>
        <v>0</v>
      </c>
      <c r="F15" s="62">
        <f>'Cash Flow $s Yr3'!R156</f>
        <v>0</v>
      </c>
      <c r="G15" s="62" t="str">
        <f>IF('Revenue w MYP'!$H11="","",IF('Cash Flow %s Yr4'!G15="","",'Cash Flow %s Yr4'!G15*'Revenue w MYP'!$H11))</f>
        <v/>
      </c>
      <c r="H15" s="62" t="str">
        <f>IF('Revenue w MYP'!$H11="","",IF('Cash Flow %s Yr4'!H15="","",'Cash Flow %s Yr4'!H15*'Revenue w MYP'!$H11))</f>
        <v/>
      </c>
      <c r="I15" s="62" t="str">
        <f>IF('Revenue w MYP'!$H11="","",IF('Cash Flow %s Yr4'!I15="","",'Cash Flow %s Yr4'!I15*'Revenue w MYP'!$H11))</f>
        <v/>
      </c>
      <c r="J15" s="62" t="str">
        <f>IF('Revenue w MYP'!$H11="","",IF('Cash Flow %s Yr4'!J15="","",'Cash Flow %s Yr4'!J15*'Revenue w MYP'!$H11))</f>
        <v/>
      </c>
      <c r="K15" s="62" t="str">
        <f>IF('Revenue w MYP'!$H11="","",IF('Cash Flow %s Yr4'!K15="","",'Cash Flow %s Yr4'!K15*'Revenue w MYP'!$H11))</f>
        <v/>
      </c>
      <c r="L15" s="62" t="str">
        <f>IF('Revenue w MYP'!$H11="","",IF('Cash Flow %s Yr4'!L15="","",'Cash Flow %s Yr4'!L15*'Revenue w MYP'!$H11))</f>
        <v/>
      </c>
      <c r="M15" s="62" t="str">
        <f>IF('Revenue w MYP'!$H11="","",IF('Cash Flow %s Yr4'!M15="","",'Cash Flow %s Yr4'!M15*'Revenue w MYP'!$H11))</f>
        <v/>
      </c>
      <c r="N15" s="62" t="str">
        <f>IF('Revenue w MYP'!$H11="","",IF('Cash Flow %s Yr4'!N15="","",'Cash Flow %s Yr4'!N15*'Revenue w MYP'!$H11))</f>
        <v/>
      </c>
      <c r="O15" s="62" t="str">
        <f>IF('Revenue w MYP'!$H11="","",IF('Cash Flow %s Yr4'!O15="","",'Cash Flow %s Yr4'!O15*'Revenue w MYP'!$H11))</f>
        <v/>
      </c>
      <c r="P15" s="62" t="str">
        <f>IF('Revenue w MYP'!$H11="","",IF('Cash Flow %s Yr4'!P15="","",'Cash Flow %s Yr4'!P15*'Revenue w MYP'!$H11))</f>
        <v/>
      </c>
      <c r="Q15" s="62" t="str">
        <f>IF('Revenue w MYP'!$H11="","",IF('Cash Flow %s Yr4'!Q15="","",'Cash Flow %s Yr4'!Q15*'Revenue w MYP'!$H11))</f>
        <v/>
      </c>
      <c r="R15" s="62" t="str">
        <f>IF('Revenue w MYP'!$H11="","",IF('Cash Flow %s Yr4'!R15="","",'Cash Flow %s Yr4'!R15*'Revenue w MYP'!$H11))</f>
        <v/>
      </c>
      <c r="S15" s="97" t="e">
        <f>IF(SUM(D15:R15)&gt;0,SUM(D15:R15)/'Revenue w MYP'!$H11,"")</f>
        <v>#VALUE!</v>
      </c>
    </row>
    <row r="16" spans="1:19" s="31" customFormat="1" x14ac:dyDescent="0.75">
      <c r="A16" s="48"/>
      <c r="B16" s="63" t="str">
        <f>'Revenue w MYP'!C12</f>
        <v>8520</v>
      </c>
      <c r="C16" s="63" t="str">
        <f>'Revenue w MYP'!D12</f>
        <v>State Child Nutrition program</v>
      </c>
      <c r="D16" s="62" t="str">
        <f>IF('Revenue w MYP'!$H12="","",IF('Cash Flow %s Yr4'!D16="","",'Cash Flow %s Yr4'!D16*'Revenue w MYP'!$H12))</f>
        <v/>
      </c>
      <c r="E16" s="62" t="str">
        <f>IF('Revenue w MYP'!$H12="","",IF('Cash Flow %s Yr4'!E16="","",'Cash Flow %s Yr4'!E16*'Revenue w MYP'!$H12))</f>
        <v/>
      </c>
      <c r="F16" s="62" t="str">
        <f>IF('Revenue w MYP'!$H12="","",IF('Cash Flow %s Yr4'!F16="","",'Cash Flow %s Yr4'!F16*'Revenue w MYP'!$H12))</f>
        <v/>
      </c>
      <c r="G16" s="62" t="str">
        <f>IF('Revenue w MYP'!$H12="","",IF('Cash Flow %s Yr4'!G16="","",'Cash Flow %s Yr4'!G16*'Revenue w MYP'!$H12))</f>
        <v/>
      </c>
      <c r="H16" s="62" t="str">
        <f>IF('Revenue w MYP'!$H12="","",IF('Cash Flow %s Yr4'!H16="","",'Cash Flow %s Yr4'!H16*'Revenue w MYP'!$H12))</f>
        <v/>
      </c>
      <c r="I16" s="62" t="str">
        <f>IF('Revenue w MYP'!$H12="","",IF('Cash Flow %s Yr4'!I16="","",'Cash Flow %s Yr4'!I16*'Revenue w MYP'!$H12))</f>
        <v/>
      </c>
      <c r="J16" s="62" t="str">
        <f>IF('Revenue w MYP'!$H12="","",IF('Cash Flow %s Yr4'!J16="","",'Cash Flow %s Yr4'!J16*'Revenue w MYP'!$H12))</f>
        <v/>
      </c>
      <c r="K16" s="62" t="str">
        <f>IF('Revenue w MYP'!$H12="","",IF('Cash Flow %s Yr4'!K16="","",'Cash Flow %s Yr4'!K16*'Revenue w MYP'!$H12))</f>
        <v/>
      </c>
      <c r="L16" s="62" t="str">
        <f>IF('Revenue w MYP'!$H12="","",IF('Cash Flow %s Yr4'!L16="","",'Cash Flow %s Yr4'!L16*'Revenue w MYP'!$H12))</f>
        <v/>
      </c>
      <c r="M16" s="62" t="str">
        <f>IF('Revenue w MYP'!$H12="","",IF('Cash Flow %s Yr4'!M16="","",'Cash Flow %s Yr4'!M16*'Revenue w MYP'!$H12))</f>
        <v/>
      </c>
      <c r="N16" s="62" t="str">
        <f>IF('Revenue w MYP'!$H12="","",IF('Cash Flow %s Yr4'!N16="","",'Cash Flow %s Yr4'!N16*'Revenue w MYP'!$H12))</f>
        <v/>
      </c>
      <c r="O16" s="62" t="str">
        <f>IF('Revenue w MYP'!$H12="","",IF('Cash Flow %s Yr4'!O16="","",'Cash Flow %s Yr4'!O16*'Revenue w MYP'!$H12))</f>
        <v/>
      </c>
      <c r="P16" s="62" t="str">
        <f>IF('Revenue w MYP'!$H12="","",IF('Cash Flow %s Yr4'!P16="","",'Cash Flow %s Yr4'!P16*'Revenue w MYP'!$H12))</f>
        <v/>
      </c>
      <c r="Q16" s="62" t="str">
        <f>IF('Revenue w MYP'!$H12="","",IF('Cash Flow %s Yr4'!Q16="","",'Cash Flow %s Yr4'!Q16*'Revenue w MYP'!$H12))</f>
        <v/>
      </c>
      <c r="R16" s="62" t="str">
        <f>IF('Revenue w MYP'!$H12="","",IF('Cash Flow %s Yr4'!R16="","",'Cash Flow %s Yr4'!R16*'Revenue w MYP'!$H12))</f>
        <v/>
      </c>
      <c r="S16" s="97" t="str">
        <f>IF(SUM(D16:R16)&gt;0,SUM(D16:R16)/'Revenue w MYP'!$H12,"")</f>
        <v/>
      </c>
    </row>
    <row r="17" spans="1:19" s="31" customFormat="1" x14ac:dyDescent="0.75">
      <c r="A17" s="48"/>
      <c r="B17" s="63" t="str">
        <f>'Revenue w MYP'!C14</f>
        <v>8560</v>
      </c>
      <c r="C17" s="63" t="str">
        <f>'Revenue w MYP'!D14</f>
        <v>Restricted Lottery</v>
      </c>
      <c r="D17" s="62" t="str">
        <f>IF('Revenue w MYP'!$H14="","",IF('Cash Flow %s Yr4'!D17="","",'Cash Flow %s Yr4'!D17*'Revenue w MYP'!$H14))</f>
        <v/>
      </c>
      <c r="E17" s="62" t="str">
        <f>IF('Revenue w MYP'!$H14="","",IF('Cash Flow %s Yr4'!E17="","",'Cash Flow %s Yr4'!E17*'Revenue w MYP'!$H14))</f>
        <v/>
      </c>
      <c r="F17" s="62">
        <f>IF('Revenue w MYP'!$H14="","",IF('Cash Flow %s Yr4'!F17="","",'Cash Flow %s Yr4'!F17*'Revenue w MYP'!$H14))</f>
        <v>0</v>
      </c>
      <c r="G17" s="62" t="str">
        <f>IF('Revenue w MYP'!$H14="","",IF('Cash Flow %s Yr4'!G17="","",'Cash Flow %s Yr4'!G17*'Revenue w MYP'!$H14))</f>
        <v/>
      </c>
      <c r="H17" s="62" t="str">
        <f>IF('Revenue w MYP'!$H14="","",IF('Cash Flow %s Yr4'!H17="","",'Cash Flow %s Yr4'!H17*'Revenue w MYP'!$H14))</f>
        <v/>
      </c>
      <c r="I17" s="62">
        <f>IF('Revenue w MYP'!$H14="","",IF('Cash Flow %s Yr4'!I17="","",'Cash Flow %s Yr4'!I17*'Revenue w MYP'!$H14))</f>
        <v>0</v>
      </c>
      <c r="J17" s="62" t="str">
        <f>IF('Revenue w MYP'!$H14="","",IF('Cash Flow %s Yr4'!J17="","",'Cash Flow %s Yr4'!J17*'Revenue w MYP'!$H14))</f>
        <v/>
      </c>
      <c r="K17" s="62" t="str">
        <f>IF('Revenue w MYP'!$H14="","",IF('Cash Flow %s Yr4'!K17="","",'Cash Flow %s Yr4'!K17*'Revenue w MYP'!$H14))</f>
        <v/>
      </c>
      <c r="L17" s="62">
        <f>IF('Revenue w MYP'!$H14="","",IF('Cash Flow %s Yr4'!L17="","",'Cash Flow %s Yr4'!L17*'Revenue w MYP'!$H14))</f>
        <v>0</v>
      </c>
      <c r="M17" s="62" t="str">
        <f>IF('Revenue w MYP'!$H14="","",IF('Cash Flow %s Yr4'!M17="","",'Cash Flow %s Yr4'!M17*'Revenue w MYP'!$H14))</f>
        <v/>
      </c>
      <c r="N17" s="62" t="str">
        <f>IF('Revenue w MYP'!$H14="","",IF('Cash Flow %s Yr4'!N17="","",'Cash Flow %s Yr4'!N17*'Revenue w MYP'!$H14))</f>
        <v/>
      </c>
      <c r="O17" s="62">
        <f>IF('Revenue w MYP'!$H14="","",IF('Cash Flow %s Yr4'!O17="","",'Cash Flow %s Yr4'!O17*'Revenue w MYP'!$H14))</f>
        <v>0</v>
      </c>
      <c r="P17" s="62" t="str">
        <f>IF('Revenue w MYP'!$H14="","",IF('Cash Flow %s Yr4'!P17="","",'Cash Flow %s Yr4'!P17*'Revenue w MYP'!$H14))</f>
        <v/>
      </c>
      <c r="Q17" s="62" t="str">
        <f>IF('Revenue w MYP'!$H14="","",IF('Cash Flow %s Yr4'!Q17="","",'Cash Flow %s Yr4'!Q17*'Revenue w MYP'!$H14))</f>
        <v/>
      </c>
      <c r="R17" s="62">
        <f>IF('Revenue w MYP'!$H14="","",IF('Cash Flow %s Yr4'!R17="","",'Cash Flow %s Yr4'!R17*'Revenue w MYP'!$H14))</f>
        <v>0</v>
      </c>
      <c r="S17" s="97" t="str">
        <f>IF(SUM(D17:R17)&gt;0,SUM(D17:R17)/'Revenue w MYP'!$H14,"")</f>
        <v/>
      </c>
    </row>
    <row r="18" spans="1:19" s="31" customFormat="1" x14ac:dyDescent="0.75">
      <c r="A18" s="47"/>
      <c r="B18" s="63" t="str">
        <f>'Revenue w MYP'!C15</f>
        <v>8550</v>
      </c>
      <c r="C18" s="63" t="str">
        <f>'Revenue w MYP'!D15</f>
        <v>Mandate Block Grant</v>
      </c>
      <c r="D18" s="62">
        <f>IF('Revenue w MYP'!$H15="","",IF('Cash Flow %s Yr4'!D18="","",'Cash Flow %s Yr4'!D18*'Revenue w MYP'!$H15))</f>
        <v>0</v>
      </c>
      <c r="E18" s="62">
        <f>IF('Revenue w MYP'!$H15="","",IF('Cash Flow %s Yr4'!E18="","",'Cash Flow %s Yr4'!E18*'Revenue w MYP'!$H15))</f>
        <v>0</v>
      </c>
      <c r="F18" s="62">
        <f>IF('Revenue w MYP'!$H15="","",IF('Cash Flow %s Yr4'!F18="","",'Cash Flow %s Yr4'!F18*'Revenue w MYP'!$H15))</f>
        <v>0</v>
      </c>
      <c r="G18" s="62">
        <f>IF('Revenue w MYP'!$H15="","",IF('Cash Flow %s Yr4'!G18="","",'Cash Flow %s Yr4'!G18*'Revenue w MYP'!$H15))</f>
        <v>2253.0410879999999</v>
      </c>
      <c r="H18" s="62">
        <f>IF('Revenue w MYP'!$H15="","",IF('Cash Flow %s Yr4'!H18="","",'Cash Flow %s Yr4'!H18*'Revenue w MYP'!$H15))</f>
        <v>2253.0410879999999</v>
      </c>
      <c r="I18" s="62">
        <f>IF('Revenue w MYP'!$H15="","",IF('Cash Flow %s Yr4'!I18="","",'Cash Flow %s Yr4'!I18*'Revenue w MYP'!$H15))</f>
        <v>2253.0410879999999</v>
      </c>
      <c r="J18" s="62">
        <f>IF('Revenue w MYP'!$H15="","",IF('Cash Flow %s Yr4'!J18="","",'Cash Flow %s Yr4'!J18*'Revenue w MYP'!$H15))</f>
        <v>2253.0410879999999</v>
      </c>
      <c r="K18" s="62">
        <f>IF('Revenue w MYP'!$H15="","",IF('Cash Flow %s Yr4'!K18="","",'Cash Flow %s Yr4'!K18*'Revenue w MYP'!$H15))</f>
        <v>2253.0410879999999</v>
      </c>
      <c r="L18" s="62">
        <f>IF('Revenue w MYP'!$H15="","",IF('Cash Flow %s Yr4'!L18="","",'Cash Flow %s Yr4'!L18*'Revenue w MYP'!$H15))</f>
        <v>2253.0410879999999</v>
      </c>
      <c r="M18" s="62">
        <f>IF('Revenue w MYP'!$H15="","",IF('Cash Flow %s Yr4'!M18="","",'Cash Flow %s Yr4'!M18*'Revenue w MYP'!$H15))</f>
        <v>2253.0410879999999</v>
      </c>
      <c r="N18" s="62">
        <f>IF('Revenue w MYP'!$H15="","",IF('Cash Flow %s Yr4'!N18="","",'Cash Flow %s Yr4'!N18*'Revenue w MYP'!$H15))</f>
        <v>2253.0410879999999</v>
      </c>
      <c r="O18" s="62">
        <f>IF('Revenue w MYP'!$H15="","",IF('Cash Flow %s Yr4'!O18="","",'Cash Flow %s Yr4'!O18*'Revenue w MYP'!$H15))</f>
        <v>2253.0410879999999</v>
      </c>
      <c r="P18" s="62">
        <f>IF('Revenue w MYP'!$H15="","",IF('Cash Flow %s Yr4'!P18="","",'Cash Flow %s Yr4'!P18*'Revenue w MYP'!$H15))</f>
        <v>2253.0410879999999</v>
      </c>
      <c r="Q18" s="62">
        <f>IF('Revenue w MYP'!$H15="","",IF('Cash Flow %s Yr4'!Q18="","",'Cash Flow %s Yr4'!Q18*'Revenue w MYP'!$H15))</f>
        <v>0</v>
      </c>
      <c r="R18" s="62">
        <f>IF('Revenue w MYP'!$H15="","",IF('Cash Flow %s Yr4'!R18="","",'Cash Flow %s Yr4'!R18*'Revenue w MYP'!$H15))</f>
        <v>0</v>
      </c>
      <c r="S18" s="97">
        <f>IF(SUM(D18:R18)&gt;0,SUM(D18:R18)/'Revenue w MYP'!$H15,"")</f>
        <v>0.99999999999999989</v>
      </c>
    </row>
    <row r="19" spans="1:19" s="31" customFormat="1" x14ac:dyDescent="0.75">
      <c r="A19" s="48"/>
      <c r="B19" s="63" t="str">
        <f>'Revenue w MYP'!C17</f>
        <v>8590</v>
      </c>
      <c r="C19" s="63" t="str">
        <f>'Revenue w MYP'!D17</f>
        <v>CSEPDBG</v>
      </c>
      <c r="D19" s="62" t="str">
        <f>IF('Revenue w MYP'!$H17="","",IF('Cash Flow %s Yr4'!D19="","",'Cash Flow %s Yr4'!D19*'Revenue w MYP'!$H17))</f>
        <v/>
      </c>
      <c r="E19" s="62" t="str">
        <f>IF('Revenue w MYP'!$H17="","",IF('Cash Flow %s Yr4'!E19="","",'Cash Flow %s Yr4'!E19*'Revenue w MYP'!$H17))</f>
        <v/>
      </c>
      <c r="F19" s="62" t="str">
        <f>IF('Revenue w MYP'!$H17="","",IF('Cash Flow %s Yr4'!F19="","",'Cash Flow %s Yr4'!F19*'Revenue w MYP'!$H17))</f>
        <v/>
      </c>
      <c r="G19" s="62" t="str">
        <f>IF('Revenue w MYP'!$H17="","",IF('Cash Flow %s Yr4'!G19="","",'Cash Flow %s Yr4'!G19*'Revenue w MYP'!$H17))</f>
        <v/>
      </c>
      <c r="H19" s="62" t="str">
        <f>IF('Revenue w MYP'!$H17="","",IF('Cash Flow %s Yr4'!H19="","",'Cash Flow %s Yr4'!H19*'Revenue w MYP'!$H17))</f>
        <v/>
      </c>
      <c r="I19" s="62" t="str">
        <f>IF('Revenue w MYP'!$H17="","",IF('Cash Flow %s Yr4'!I19="","",'Cash Flow %s Yr4'!I19*'Revenue w MYP'!$H17))</f>
        <v/>
      </c>
      <c r="J19" s="62" t="str">
        <f>IF('Revenue w MYP'!$H17="","",IF('Cash Flow %s Yr4'!J19="","",'Cash Flow %s Yr4'!J19*'Revenue w MYP'!$H17))</f>
        <v/>
      </c>
      <c r="K19" s="62" t="str">
        <f>IF('Revenue w MYP'!$H17="","",IF('Cash Flow %s Yr4'!K19="","",'Cash Flow %s Yr4'!K19*'Revenue w MYP'!$H17))</f>
        <v/>
      </c>
      <c r="L19" s="62" t="str">
        <f>IF('Revenue w MYP'!$H17="","",IF('Cash Flow %s Yr4'!L19="","",'Cash Flow %s Yr4'!L19*'Revenue w MYP'!$H17))</f>
        <v/>
      </c>
      <c r="M19" s="62" t="str">
        <f>IF('Revenue w MYP'!$H17="","",IF('Cash Flow %s Yr4'!M19="","",'Cash Flow %s Yr4'!M19*'Revenue w MYP'!$H17))</f>
        <v/>
      </c>
      <c r="N19" s="62" t="str">
        <f>IF('Revenue w MYP'!$H17="","",IF('Cash Flow %s Yr4'!N19="","",'Cash Flow %s Yr4'!N19*'Revenue w MYP'!$H17))</f>
        <v/>
      </c>
      <c r="O19" s="62" t="str">
        <f>IF('Revenue w MYP'!$H17="","",IF('Cash Flow %s Yr4'!O19="","",'Cash Flow %s Yr4'!O19*'Revenue w MYP'!$H17))</f>
        <v/>
      </c>
      <c r="P19" s="62" t="str">
        <f>IF('Revenue w MYP'!$H17="","",IF('Cash Flow %s Yr4'!P19="","",'Cash Flow %s Yr4'!P19*'Revenue w MYP'!$H17))</f>
        <v/>
      </c>
      <c r="Q19" s="62" t="str">
        <f>IF('Revenue w MYP'!$H17="","",IF('Cash Flow %s Yr4'!Q19="","",'Cash Flow %s Yr4'!Q19*'Revenue w MYP'!$H17))</f>
        <v/>
      </c>
      <c r="R19" s="62" t="str">
        <f>IF('Revenue w MYP'!$H17="","",IF('Cash Flow %s Yr4'!R19="","",'Cash Flow %s Yr4'!R19*'Revenue w MYP'!$H17))</f>
        <v/>
      </c>
      <c r="S19" s="97" t="str">
        <f>IF(SUM(D19:R19)&gt;0,SUM(D19:R19)/'Revenue w MYP'!$H17,"")</f>
        <v/>
      </c>
    </row>
    <row r="20" spans="1:19" s="31" customFormat="1" ht="17.75" x14ac:dyDescent="0.75">
      <c r="A20" s="29"/>
      <c r="B20" s="63" t="str">
        <f>'Revenue w MYP'!C18</f>
        <v>8550</v>
      </c>
      <c r="C20" s="63" t="str">
        <f>'Revenue w MYP'!D18</f>
        <v>One Time Mandate Block Grant</v>
      </c>
      <c r="D20" s="62" t="str">
        <f>IF('Revenue w MYP'!$H18="","",IF('Cash Flow %s Yr4'!D20="","",'Cash Flow %s Yr4'!D20*'Revenue w MYP'!$H18))</f>
        <v/>
      </c>
      <c r="E20" s="62" t="str">
        <f>IF('Revenue w MYP'!$H18="","",IF('Cash Flow %s Yr4'!E20="","",'Cash Flow %s Yr4'!E20*'Revenue w MYP'!$H18))</f>
        <v/>
      </c>
      <c r="F20" s="62" t="str">
        <f>IF('Revenue w MYP'!$H18="","",IF('Cash Flow %s Yr4'!F20="","",'Cash Flow %s Yr4'!F20*'Revenue w MYP'!$H18))</f>
        <v/>
      </c>
      <c r="G20" s="62" t="str">
        <f>IF('Revenue w MYP'!$H18="","",IF('Cash Flow %s Yr4'!G20="","",'Cash Flow %s Yr4'!G20*'Revenue w MYP'!$H18))</f>
        <v/>
      </c>
      <c r="H20" s="62" t="str">
        <f>IF('Revenue w MYP'!$H18="","",IF('Cash Flow %s Yr4'!H20="","",'Cash Flow %s Yr4'!H20*'Revenue w MYP'!$H18))</f>
        <v/>
      </c>
      <c r="I20" s="62" t="str">
        <f>IF('Revenue w MYP'!$H18="","",IF('Cash Flow %s Yr4'!I20="","",'Cash Flow %s Yr4'!I20*'Revenue w MYP'!$H18))</f>
        <v/>
      </c>
      <c r="J20" s="62" t="str">
        <f>IF('Revenue w MYP'!$H18="","",IF('Cash Flow %s Yr4'!J20="","",'Cash Flow %s Yr4'!J20*'Revenue w MYP'!$H18))</f>
        <v/>
      </c>
      <c r="K20" s="62" t="str">
        <f>IF('Revenue w MYP'!$H18="","",IF('Cash Flow %s Yr4'!K20="","",'Cash Flow %s Yr4'!K20*'Revenue w MYP'!$H18))</f>
        <v/>
      </c>
      <c r="L20" s="62" t="str">
        <f>IF('Revenue w MYP'!$H18="","",IF('Cash Flow %s Yr4'!L20="","",'Cash Flow %s Yr4'!L20*'Revenue w MYP'!$H18))</f>
        <v/>
      </c>
      <c r="M20" s="62" t="str">
        <f>IF('Revenue w MYP'!$H18="","",IF('Cash Flow %s Yr4'!M20="","",'Cash Flow %s Yr4'!M20*'Revenue w MYP'!$H18))</f>
        <v/>
      </c>
      <c r="N20" s="62" t="str">
        <f>IF('Revenue w MYP'!$H18="","",IF('Cash Flow %s Yr4'!N20="","",'Cash Flow %s Yr4'!N20*'Revenue w MYP'!$H18))</f>
        <v/>
      </c>
      <c r="O20" s="62" t="str">
        <f>IF('Revenue w MYP'!$H18="","",IF('Cash Flow %s Yr4'!O20="","",'Cash Flow %s Yr4'!O20*'Revenue w MYP'!$H18))</f>
        <v/>
      </c>
      <c r="P20" s="62" t="str">
        <f>IF('Revenue w MYP'!$H18="","",IF('Cash Flow %s Yr4'!P20="","",'Cash Flow %s Yr4'!P20*'Revenue w MYP'!$H18))</f>
        <v/>
      </c>
      <c r="Q20" s="62" t="str">
        <f>IF('Revenue w MYP'!$H18="","",IF('Cash Flow %s Yr4'!Q20="","",'Cash Flow %s Yr4'!Q20*'Revenue w MYP'!$H18))</f>
        <v/>
      </c>
      <c r="R20" s="62" t="str">
        <f>IF('Revenue w MYP'!$H18="","",IF('Cash Flow %s Yr4'!R20="","",'Cash Flow %s Yr4'!R20*'Revenue w MYP'!$H18))</f>
        <v/>
      </c>
      <c r="S20" s="97" t="str">
        <f>IF(SUM(D20:R20)&gt;0,SUM(D20:R20)/'Revenue w MYP'!$H18,"")</f>
        <v/>
      </c>
    </row>
    <row r="21" spans="1:19" s="31" customFormat="1" ht="17.75" x14ac:dyDescent="0.75">
      <c r="A21" s="29"/>
      <c r="B21" s="63" t="str">
        <f>'Revenue w MYP'!C19</f>
        <v>8599</v>
      </c>
      <c r="C21" s="63" t="str">
        <f>'Revenue w MYP'!D19</f>
        <v>Prior Year State Income</v>
      </c>
      <c r="D21" s="62">
        <f>IF('Revenue w MYP'!$H19="","",IF('Cash Flow %s Yr4'!D21="","",'Cash Flow %s Yr4'!D21*'Revenue w MYP'!$H19))</f>
        <v>0</v>
      </c>
      <c r="E21" s="62">
        <f>IF('Revenue w MYP'!$H19="","",IF('Cash Flow %s Yr4'!E21="","",'Cash Flow %s Yr4'!E21*'Revenue w MYP'!$H19))</f>
        <v>0</v>
      </c>
      <c r="F21" s="62">
        <f>IF('Revenue w MYP'!$H19="","",IF('Cash Flow %s Yr4'!F21="","",'Cash Flow %s Yr4'!F21*'Revenue w MYP'!$H19))</f>
        <v>0</v>
      </c>
      <c r="G21" s="62">
        <f>IF('Revenue w MYP'!$H19="","",IF('Cash Flow %s Yr4'!G21="","",'Cash Flow %s Yr4'!G21*'Revenue w MYP'!$H19))</f>
        <v>0</v>
      </c>
      <c r="H21" s="62">
        <f>IF('Revenue w MYP'!$H19="","",IF('Cash Flow %s Yr4'!H21="","",'Cash Flow %s Yr4'!H21*'Revenue w MYP'!$H19))</f>
        <v>0</v>
      </c>
      <c r="I21" s="62">
        <f>IF('Revenue w MYP'!$H19="","",IF('Cash Flow %s Yr4'!I21="","",'Cash Flow %s Yr4'!I21*'Revenue w MYP'!$H19))</f>
        <v>0</v>
      </c>
      <c r="J21" s="62">
        <f>IF('Revenue w MYP'!$H19="","",IF('Cash Flow %s Yr4'!J21="","",'Cash Flow %s Yr4'!J21*'Revenue w MYP'!$H19))</f>
        <v>0</v>
      </c>
      <c r="K21" s="62">
        <f>IF('Revenue w MYP'!$H19="","",IF('Cash Flow %s Yr4'!K21="","",'Cash Flow %s Yr4'!K21*'Revenue w MYP'!$H19))</f>
        <v>0</v>
      </c>
      <c r="L21" s="62">
        <f>IF('Revenue w MYP'!$H19="","",IF('Cash Flow %s Yr4'!L21="","",'Cash Flow %s Yr4'!L21*'Revenue w MYP'!$H19))</f>
        <v>0</v>
      </c>
      <c r="M21" s="62">
        <f>IF('Revenue w MYP'!$H19="","",IF('Cash Flow %s Yr4'!M21="","",'Cash Flow %s Yr4'!M21*'Revenue w MYP'!$H19))</f>
        <v>0</v>
      </c>
      <c r="N21" s="62">
        <f>IF('Revenue w MYP'!$H19="","",IF('Cash Flow %s Yr4'!N21="","",'Cash Flow %s Yr4'!N21*'Revenue w MYP'!$H19))</f>
        <v>0</v>
      </c>
      <c r="O21" s="62">
        <f>IF('Revenue w MYP'!$H19="","",IF('Cash Flow %s Yr4'!O21="","",'Cash Flow %s Yr4'!O21*'Revenue w MYP'!$H19))</f>
        <v>0</v>
      </c>
      <c r="P21" s="62">
        <f>IF('Revenue w MYP'!$H19="","",IF('Cash Flow %s Yr4'!P21="","",'Cash Flow %s Yr4'!P21*'Revenue w MYP'!$H19))</f>
        <v>0</v>
      </c>
      <c r="Q21" s="62">
        <f>IF('Revenue w MYP'!$H19="","",IF('Cash Flow %s Yr4'!Q21="","",'Cash Flow %s Yr4'!Q21*'Revenue w MYP'!$H19))</f>
        <v>0</v>
      </c>
      <c r="R21" s="62">
        <f>IF('Revenue w MYP'!$H19="","",IF('Cash Flow %s Yr4'!R21="","",'Cash Flow %s Yr4'!R21*'Revenue w MYP'!$H19))</f>
        <v>0</v>
      </c>
      <c r="S21" s="97" t="str">
        <f>IF(SUM(D21:R21)&gt;0,SUM(D21:R21)/'Revenue w MYP'!$H19,"")</f>
        <v/>
      </c>
    </row>
    <row r="22" spans="1:19" s="31" customFormat="1" ht="17.75" x14ac:dyDescent="0.75">
      <c r="A22" s="29"/>
      <c r="B22" s="70"/>
      <c r="C22" s="34" t="s">
        <v>719</v>
      </c>
      <c r="D22" s="153" t="e">
        <f t="shared" ref="D22:R22" si="0">SUM(D12:D21)</f>
        <v>#VALUE!</v>
      </c>
      <c r="E22" s="153">
        <f t="shared" si="0"/>
        <v>307519.31587833894</v>
      </c>
      <c r="F22" s="153">
        <f t="shared" si="0"/>
        <v>397552.04343849898</v>
      </c>
      <c r="G22" s="153">
        <f t="shared" si="0"/>
        <v>1053180.8052073247</v>
      </c>
      <c r="H22" s="153">
        <f t="shared" si="0"/>
        <v>513772.53680760204</v>
      </c>
      <c r="I22" s="153">
        <f t="shared" si="0"/>
        <v>513772.53680760204</v>
      </c>
      <c r="J22" s="153">
        <f t="shared" si="0"/>
        <v>1053180.8052073247</v>
      </c>
      <c r="K22" s="153">
        <f t="shared" si="0"/>
        <v>513772.53680760204</v>
      </c>
      <c r="L22" s="153">
        <f t="shared" si="0"/>
        <v>872273.1304427092</v>
      </c>
      <c r="M22" s="153">
        <f t="shared" si="0"/>
        <v>1500499.0543508655</v>
      </c>
      <c r="N22" s="153">
        <f t="shared" si="0"/>
        <v>720357.26165144483</v>
      </c>
      <c r="O22" s="153">
        <f t="shared" si="0"/>
        <v>720357.26165144483</v>
      </c>
      <c r="P22" s="153">
        <f t="shared" si="0"/>
        <v>1486756.2342572422</v>
      </c>
      <c r="Q22" s="153">
        <f t="shared" si="0"/>
        <v>0</v>
      </c>
      <c r="R22" s="153">
        <f t="shared" si="0"/>
        <v>0</v>
      </c>
      <c r="S22" s="97"/>
    </row>
    <row r="23" spans="1:19" s="31" customFormat="1" ht="17.75" x14ac:dyDescent="0.75">
      <c r="A23" s="29"/>
      <c r="B23" s="69"/>
      <c r="C23" s="48"/>
      <c r="D23" s="110"/>
      <c r="E23" s="110"/>
      <c r="F23" s="110"/>
      <c r="G23" s="110"/>
      <c r="H23" s="110"/>
      <c r="I23" s="110"/>
      <c r="J23" s="110"/>
      <c r="K23" s="110"/>
      <c r="L23" s="110"/>
      <c r="M23" s="110"/>
      <c r="N23" s="110"/>
      <c r="O23" s="110"/>
      <c r="P23" s="110"/>
      <c r="Q23" s="110"/>
      <c r="R23" s="110"/>
    </row>
    <row r="24" spans="1:19" s="31" customFormat="1" ht="17.75" x14ac:dyDescent="0.75">
      <c r="B24" s="29" t="s">
        <v>782</v>
      </c>
      <c r="C24" s="48"/>
      <c r="D24" s="110"/>
      <c r="E24" s="110"/>
      <c r="F24" s="110"/>
      <c r="G24" s="110"/>
      <c r="H24" s="110"/>
      <c r="I24" s="110"/>
      <c r="J24" s="110"/>
      <c r="K24" s="110"/>
      <c r="L24" s="110"/>
      <c r="M24" s="110"/>
      <c r="N24" s="110"/>
      <c r="O24" s="110"/>
      <c r="P24" s="110"/>
      <c r="Q24" s="110"/>
      <c r="R24" s="110"/>
    </row>
    <row r="25" spans="1:19" s="31" customFormat="1" ht="17.75" x14ac:dyDescent="0.75">
      <c r="A25" s="29"/>
      <c r="B25" s="63" t="str">
        <f>'Revenue w MYP'!C23</f>
        <v>8181</v>
      </c>
      <c r="C25" s="63" t="str">
        <f>'Revenue w MYP'!D23</f>
        <v>Special Education, federal</v>
      </c>
      <c r="D25" s="62">
        <f>IF('Revenue w MYP'!$H23="","",IF('Cash Flow %s Yr4'!D25="","",'Cash Flow %s Yr4'!D25*'Revenue w MYP'!$H23))</f>
        <v>0</v>
      </c>
      <c r="E25" s="62">
        <f>IF('Revenue w MYP'!$H23="","",IF('Cash Flow %s Yr4'!E25="","",'Cash Flow %s Yr4'!E25*'Revenue w MYP'!$H23))</f>
        <v>0</v>
      </c>
      <c r="F25" s="62">
        <f>IF('Revenue w MYP'!$H23="","",IF('Cash Flow %s Yr4'!F25="","",'Cash Flow %s Yr4'!F25*'Revenue w MYP'!$H23))</f>
        <v>0</v>
      </c>
      <c r="G25" s="62">
        <f>IF('Revenue w MYP'!$H23="","",IF('Cash Flow %s Yr4'!G25="","",'Cash Flow %s Yr4'!G25*'Revenue w MYP'!$H23))</f>
        <v>19351.750332168001</v>
      </c>
      <c r="H25" s="62">
        <f>IF('Revenue w MYP'!$H23="","",IF('Cash Flow %s Yr4'!H25="","",'Cash Flow %s Yr4'!H25*'Revenue w MYP'!$H23))</f>
        <v>19351.750332168001</v>
      </c>
      <c r="I25" s="62">
        <f>IF('Revenue w MYP'!$H23="","",IF('Cash Flow %s Yr4'!I25="","",'Cash Flow %s Yr4'!I25*'Revenue w MYP'!$H23))</f>
        <v>19351.750332168001</v>
      </c>
      <c r="J25" s="62">
        <f>IF('Revenue w MYP'!$H23="","",IF('Cash Flow %s Yr4'!J25="","",'Cash Flow %s Yr4'!J25*'Revenue w MYP'!$H23))</f>
        <v>19351.750332168001</v>
      </c>
      <c r="K25" s="62">
        <f>IF('Revenue w MYP'!$H23="","",IF('Cash Flow %s Yr4'!K25="","",'Cash Flow %s Yr4'!K25*'Revenue w MYP'!$H23))</f>
        <v>19351.750332168001</v>
      </c>
      <c r="L25" s="62">
        <f>IF('Revenue w MYP'!$H23="","",IF('Cash Flow %s Yr4'!L25="","",'Cash Flow %s Yr4'!L25*'Revenue w MYP'!$H23))</f>
        <v>19351.750332168001</v>
      </c>
      <c r="M25" s="62">
        <f>IF('Revenue w MYP'!$H23="","",IF('Cash Flow %s Yr4'!M25="","",'Cash Flow %s Yr4'!M25*'Revenue w MYP'!$H23))</f>
        <v>19351.750332168001</v>
      </c>
      <c r="N25" s="62">
        <f>IF('Revenue w MYP'!$H23="","",IF('Cash Flow %s Yr4'!N25="","",'Cash Flow %s Yr4'!N25*'Revenue w MYP'!$H23))</f>
        <v>19351.750332168001</v>
      </c>
      <c r="O25" s="62">
        <f>IF('Revenue w MYP'!$H23="","",IF('Cash Flow %s Yr4'!O25="","",'Cash Flow %s Yr4'!O25*'Revenue w MYP'!$H23))</f>
        <v>19351.750332168001</v>
      </c>
      <c r="P25" s="62">
        <f>IF('Revenue w MYP'!$H23="","",IF('Cash Flow %s Yr4'!P25="","",'Cash Flow %s Yr4'!P25*'Revenue w MYP'!$H23))</f>
        <v>19351.750332168001</v>
      </c>
      <c r="Q25" s="62">
        <f>IF('Revenue w MYP'!$H23="","",IF('Cash Flow %s Yr4'!Q25="","",'Cash Flow %s Yr4'!Q25*'Revenue w MYP'!$H23))</f>
        <v>0</v>
      </c>
      <c r="R25" s="62">
        <f>IF('Revenue w MYP'!$H23="","",IF('Cash Flow %s Yr4'!R25="","",'Cash Flow %s Yr4'!R25*'Revenue w MYP'!$H23))</f>
        <v>0</v>
      </c>
      <c r="S25" s="97">
        <f>IF(SUM(D25:R25)&gt;0,SUM(D25:R25)/'Revenue w MYP'!$H23,"")</f>
        <v>1.0000000000000002</v>
      </c>
    </row>
    <row r="26" spans="1:19" s="31" customFormat="1" ht="17.75" x14ac:dyDescent="0.75">
      <c r="A26" s="29"/>
      <c r="B26" s="63" t="str">
        <f>'Revenue w MYP'!C24</f>
        <v>8220</v>
      </c>
      <c r="C26" s="63" t="str">
        <f>'Revenue w MYP'!D24</f>
        <v>Federal Child Nutrition Programs</v>
      </c>
      <c r="D26" s="62" t="str">
        <f>IF('Revenue w MYP'!$H24="","",IF('Cash Flow %s Yr4'!D26="","",'Cash Flow %s Yr4'!D26*'Revenue w MYP'!$H24))</f>
        <v/>
      </c>
      <c r="E26" s="62" t="str">
        <f>IF('Revenue w MYP'!$H24="","",IF('Cash Flow %s Yr4'!E26="","",'Cash Flow %s Yr4'!E26*'Revenue w MYP'!$H24))</f>
        <v/>
      </c>
      <c r="F26" s="62" t="str">
        <f>IF('Revenue w MYP'!$H24="","",IF('Cash Flow %s Yr4'!F26="","",'Cash Flow %s Yr4'!F26*'Revenue w MYP'!$H24))</f>
        <v/>
      </c>
      <c r="G26" s="62" t="str">
        <f>IF('Revenue w MYP'!$H24="","",IF('Cash Flow %s Yr4'!G26="","",'Cash Flow %s Yr4'!G26*'Revenue w MYP'!$H24))</f>
        <v/>
      </c>
      <c r="H26" s="62" t="str">
        <f>IF('Revenue w MYP'!$H24="","",IF('Cash Flow %s Yr4'!H26="","",'Cash Flow %s Yr4'!H26*'Revenue w MYP'!$H24))</f>
        <v/>
      </c>
      <c r="I26" s="62" t="str">
        <f>IF('Revenue w MYP'!$H24="","",IF('Cash Flow %s Yr4'!I26="","",'Cash Flow %s Yr4'!I26*'Revenue w MYP'!$H24))</f>
        <v/>
      </c>
      <c r="J26" s="62" t="str">
        <f>IF('Revenue w MYP'!$H24="","",IF('Cash Flow %s Yr4'!J26="","",'Cash Flow %s Yr4'!J26*'Revenue w MYP'!$H24))</f>
        <v/>
      </c>
      <c r="K26" s="62" t="str">
        <f>IF('Revenue w MYP'!$H24="","",IF('Cash Flow %s Yr4'!K26="","",'Cash Flow %s Yr4'!K26*'Revenue w MYP'!$H24))</f>
        <v/>
      </c>
      <c r="L26" s="62" t="str">
        <f>IF('Revenue w MYP'!$H24="","",IF('Cash Flow %s Yr4'!L26="","",'Cash Flow %s Yr4'!L26*'Revenue w MYP'!$H24))</f>
        <v/>
      </c>
      <c r="M26" s="62" t="str">
        <f>IF('Revenue w MYP'!$H24="","",IF('Cash Flow %s Yr4'!M26="","",'Cash Flow %s Yr4'!M26*'Revenue w MYP'!$H24))</f>
        <v/>
      </c>
      <c r="N26" s="62" t="str">
        <f>IF('Revenue w MYP'!$H24="","",IF('Cash Flow %s Yr4'!N26="","",'Cash Flow %s Yr4'!N26*'Revenue w MYP'!$H24))</f>
        <v/>
      </c>
      <c r="O26" s="62" t="str">
        <f>IF('Revenue w MYP'!$H24="","",IF('Cash Flow %s Yr4'!O26="","",'Cash Flow %s Yr4'!O26*'Revenue w MYP'!$H24))</f>
        <v/>
      </c>
      <c r="P26" s="62" t="str">
        <f>IF('Revenue w MYP'!$H24="","",IF('Cash Flow %s Yr4'!P26="","",'Cash Flow %s Yr4'!P26*'Revenue w MYP'!$H24))</f>
        <v/>
      </c>
      <c r="Q26" s="62" t="str">
        <f>IF('Revenue w MYP'!$H24="","",IF('Cash Flow %s Yr4'!Q26="","",'Cash Flow %s Yr4'!Q26*'Revenue w MYP'!$H24))</f>
        <v/>
      </c>
      <c r="R26" s="62" t="str">
        <f>IF('Revenue w MYP'!$H24="","",IF('Cash Flow %s Yr4'!R26="","",'Cash Flow %s Yr4'!R26*'Revenue w MYP'!$H24))</f>
        <v/>
      </c>
      <c r="S26" s="97" t="str">
        <f>IF(SUM(D26:R26)&gt;0,SUM(D26:R26)/'Revenue w MYP'!$H24,"")</f>
        <v/>
      </c>
    </row>
    <row r="27" spans="1:19" s="31" customFormat="1" ht="17.75" x14ac:dyDescent="0.75">
      <c r="A27" s="29"/>
      <c r="B27" s="63" t="str">
        <f>'Revenue w MYP'!C25</f>
        <v>8290</v>
      </c>
      <c r="C27" s="63" t="str">
        <f>'Revenue w MYP'!D25</f>
        <v>All Other Federal Revenue, inc Facilities Incentive Grants program</v>
      </c>
      <c r="D27" s="62">
        <f>IF('Revenue w MYP'!$H25="","",IF('Cash Flow %s Yr4'!D27="","",'Cash Flow %s Yr4'!D27*'Revenue w MYP'!$H25))</f>
        <v>0</v>
      </c>
      <c r="E27" s="62">
        <f>IF('Revenue w MYP'!$H25="","",IF('Cash Flow %s Yr4'!E27="","",'Cash Flow %s Yr4'!E27*'Revenue w MYP'!$H25))</f>
        <v>0</v>
      </c>
      <c r="F27" s="62">
        <f>IF('Revenue w MYP'!$H25="","",IF('Cash Flow %s Yr4'!F27="","",'Cash Flow %s Yr4'!F27*'Revenue w MYP'!$H25))</f>
        <v>0</v>
      </c>
      <c r="G27" s="62">
        <f>IF('Revenue w MYP'!$H25="","",IF('Cash Flow %s Yr4'!G27="","",'Cash Flow %s Yr4'!G27*'Revenue w MYP'!$H25))</f>
        <v>0</v>
      </c>
      <c r="H27" s="62">
        <f>IF('Revenue w MYP'!$H25="","",IF('Cash Flow %s Yr4'!H27="","",'Cash Flow %s Yr4'!H27*'Revenue w MYP'!$H25))</f>
        <v>0</v>
      </c>
      <c r="I27" s="62">
        <f>IF('Revenue w MYP'!$H25="","",IF('Cash Flow %s Yr4'!I27="","",'Cash Flow %s Yr4'!I27*'Revenue w MYP'!$H25))</f>
        <v>0</v>
      </c>
      <c r="J27" s="62">
        <f>IF('Revenue w MYP'!$H25="","",IF('Cash Flow %s Yr4'!J27="","",'Cash Flow %s Yr4'!J27*'Revenue w MYP'!$H25))</f>
        <v>132283.82</v>
      </c>
      <c r="K27" s="62">
        <f>IF('Revenue w MYP'!$H25="","",IF('Cash Flow %s Yr4'!K27="","",'Cash Flow %s Yr4'!K27*'Revenue w MYP'!$H25))</f>
        <v>0</v>
      </c>
      <c r="L27" s="62">
        <f>IF('Revenue w MYP'!$H25="","",IF('Cash Flow %s Yr4'!L27="","",'Cash Flow %s Yr4'!L27*'Revenue w MYP'!$H25))</f>
        <v>0</v>
      </c>
      <c r="M27" s="62">
        <f>IF('Revenue w MYP'!$H25="","",IF('Cash Flow %s Yr4'!M27="","",'Cash Flow %s Yr4'!M27*'Revenue w MYP'!$H25))</f>
        <v>264567.64</v>
      </c>
      <c r="N27" s="62">
        <f>IF('Revenue w MYP'!$H25="","",IF('Cash Flow %s Yr4'!N27="","",'Cash Flow %s Yr4'!N27*'Revenue w MYP'!$H25))</f>
        <v>0</v>
      </c>
      <c r="O27" s="62">
        <f>IF('Revenue w MYP'!$H25="","",IF('Cash Flow %s Yr4'!O27="","",'Cash Flow %s Yr4'!O27*'Revenue w MYP'!$H25))</f>
        <v>132283.82</v>
      </c>
      <c r="P27" s="62">
        <f>IF('Revenue w MYP'!$H25="","",IF('Cash Flow %s Yr4'!P27="","",'Cash Flow %s Yr4'!P27*'Revenue w MYP'!$H25))</f>
        <v>0</v>
      </c>
      <c r="Q27" s="62">
        <f>IF('Revenue w MYP'!$H25="","",IF('Cash Flow %s Yr4'!Q27="","",'Cash Flow %s Yr4'!Q27*'Revenue w MYP'!$H25))</f>
        <v>0</v>
      </c>
      <c r="R27" s="62">
        <f>IF('Revenue w MYP'!$H25="","",IF('Cash Flow %s Yr4'!R27="","",'Cash Flow %s Yr4'!R27*'Revenue w MYP'!$H25))</f>
        <v>0</v>
      </c>
      <c r="S27" s="97">
        <f>IF(SUM(D27:R27)&gt;0,SUM(D27:R27)/'Revenue w MYP'!$H25,"")</f>
        <v>1</v>
      </c>
    </row>
    <row r="28" spans="1:19" s="31" customFormat="1" ht="17.75" x14ac:dyDescent="0.75">
      <c r="A28" s="29"/>
      <c r="B28" s="63" t="str">
        <f>'Revenue w MYP'!C26</f>
        <v>8291</v>
      </c>
      <c r="C28" s="63" t="str">
        <f>'Revenue w MYP'!D26</f>
        <v>Title I</v>
      </c>
      <c r="D28" s="62">
        <f>IF('Revenue w MYP'!$H26="","",IF('Cash Flow %s Yr4'!D28="","",'Cash Flow %s Yr4'!D28*'Revenue w MYP'!$H26))</f>
        <v>0</v>
      </c>
      <c r="E28" s="62">
        <f>IF('Revenue w MYP'!$H26="","",IF('Cash Flow %s Yr4'!E28="","",'Cash Flow %s Yr4'!E28*'Revenue w MYP'!$H26))</f>
        <v>0</v>
      </c>
      <c r="F28" s="62">
        <f>IF('Revenue w MYP'!$H26="","",IF('Cash Flow %s Yr4'!F28="","",'Cash Flow %s Yr4'!F28*'Revenue w MYP'!$H26))</f>
        <v>0</v>
      </c>
      <c r="G28" s="62">
        <f>IF('Revenue w MYP'!$H26="","",IF('Cash Flow %s Yr4'!G28="","",'Cash Flow %s Yr4'!G28*'Revenue w MYP'!$H26))</f>
        <v>0</v>
      </c>
      <c r="H28" s="62">
        <f>IF('Revenue w MYP'!$H26="","",IF('Cash Flow %s Yr4'!H28="","",'Cash Flow %s Yr4'!H28*'Revenue w MYP'!$H26))</f>
        <v>0</v>
      </c>
      <c r="I28" s="62">
        <f>IF('Revenue w MYP'!$H26="","",IF('Cash Flow %s Yr4'!I28="","",'Cash Flow %s Yr4'!I28*'Revenue w MYP'!$H26))</f>
        <v>0</v>
      </c>
      <c r="J28" s="62">
        <f>IF('Revenue w MYP'!$H26="","",IF('Cash Flow %s Yr4'!J28="","",'Cash Flow %s Yr4'!J28*'Revenue w MYP'!$H26))</f>
        <v>39976</v>
      </c>
      <c r="K28" s="62">
        <f>IF('Revenue w MYP'!$H26="","",IF('Cash Flow %s Yr4'!K28="","",'Cash Flow %s Yr4'!K28*'Revenue w MYP'!$H26))</f>
        <v>0</v>
      </c>
      <c r="L28" s="62">
        <f>IF('Revenue w MYP'!$H26="","",IF('Cash Flow %s Yr4'!L28="","",'Cash Flow %s Yr4'!L28*'Revenue w MYP'!$H26))</f>
        <v>0</v>
      </c>
      <c r="M28" s="62">
        <f>IF('Revenue w MYP'!$H26="","",IF('Cash Flow %s Yr4'!M28="","",'Cash Flow %s Yr4'!M28*'Revenue w MYP'!$H26))</f>
        <v>79952</v>
      </c>
      <c r="N28" s="62">
        <f>IF('Revenue w MYP'!$H26="","",IF('Cash Flow %s Yr4'!N28="","",'Cash Flow %s Yr4'!N28*'Revenue w MYP'!$H26))</f>
        <v>0</v>
      </c>
      <c r="O28" s="62">
        <f>IF('Revenue w MYP'!$H26="","",IF('Cash Flow %s Yr4'!O28="","",'Cash Flow %s Yr4'!O28*'Revenue w MYP'!$H26))</f>
        <v>39976</v>
      </c>
      <c r="P28" s="62">
        <f>IF('Revenue w MYP'!$H26="","",IF('Cash Flow %s Yr4'!P28="","",'Cash Flow %s Yr4'!P28*'Revenue w MYP'!$H26))</f>
        <v>0</v>
      </c>
      <c r="Q28" s="62">
        <f>IF('Revenue w MYP'!$H26="","",IF('Cash Flow %s Yr4'!Q28="","",'Cash Flow %s Yr4'!Q28*'Revenue w MYP'!$H26))</f>
        <v>0</v>
      </c>
      <c r="R28" s="62">
        <f>IF('Revenue w MYP'!$H26="","",IF('Cash Flow %s Yr4'!R28="","",'Cash Flow %s Yr4'!R28*'Revenue w MYP'!$H26))</f>
        <v>0</v>
      </c>
      <c r="S28" s="97">
        <f>IF(SUM(D28:R28)&gt;0,SUM(D28:R28)/'Revenue w MYP'!$H26,"")</f>
        <v>1</v>
      </c>
    </row>
    <row r="29" spans="1:19" s="31" customFormat="1" ht="17.75" x14ac:dyDescent="0.75">
      <c r="A29" s="29"/>
      <c r="B29" s="63" t="str">
        <f>'Revenue w MYP'!C27</f>
        <v>8292</v>
      </c>
      <c r="C29" s="63" t="str">
        <f>'Revenue w MYP'!D27</f>
        <v>Title II</v>
      </c>
      <c r="D29" s="62">
        <f>IF('Revenue w MYP'!$H27="","",IF('Cash Flow %s Yr4'!D29="","",'Cash Flow %s Yr4'!D29*'Revenue w MYP'!$H27))</f>
        <v>0</v>
      </c>
      <c r="E29" s="62">
        <f>IF('Revenue w MYP'!$H27="","",IF('Cash Flow %s Yr4'!E29="","",'Cash Flow %s Yr4'!E29*'Revenue w MYP'!$H27))</f>
        <v>0</v>
      </c>
      <c r="F29" s="62">
        <f>IF('Revenue w MYP'!$H27="","",IF('Cash Flow %s Yr4'!F29="","",'Cash Flow %s Yr4'!F29*'Revenue w MYP'!$H27))</f>
        <v>0</v>
      </c>
      <c r="G29" s="62">
        <f>IF('Revenue w MYP'!$H27="","",IF('Cash Flow %s Yr4'!G29="","",'Cash Flow %s Yr4'!G29*'Revenue w MYP'!$H27))</f>
        <v>0</v>
      </c>
      <c r="H29" s="62">
        <f>IF('Revenue w MYP'!$H27="","",IF('Cash Flow %s Yr4'!H29="","",'Cash Flow %s Yr4'!H29*'Revenue w MYP'!$H27))</f>
        <v>0</v>
      </c>
      <c r="I29" s="62">
        <f>IF('Revenue w MYP'!$H27="","",IF('Cash Flow %s Yr4'!I29="","",'Cash Flow %s Yr4'!I29*'Revenue w MYP'!$H27))</f>
        <v>0</v>
      </c>
      <c r="J29" s="62">
        <f>IF('Revenue w MYP'!$H27="","",IF('Cash Flow %s Yr4'!J29="","",'Cash Flow %s Yr4'!J29*'Revenue w MYP'!$H27))</f>
        <v>6696.25</v>
      </c>
      <c r="K29" s="62">
        <f>IF('Revenue w MYP'!$H27="","",IF('Cash Flow %s Yr4'!K29="","",'Cash Flow %s Yr4'!K29*'Revenue w MYP'!$H27))</f>
        <v>0</v>
      </c>
      <c r="L29" s="62">
        <f>IF('Revenue w MYP'!$H27="","",IF('Cash Flow %s Yr4'!L29="","",'Cash Flow %s Yr4'!L29*'Revenue w MYP'!$H27))</f>
        <v>0</v>
      </c>
      <c r="M29" s="62">
        <f>IF('Revenue w MYP'!$H27="","",IF('Cash Flow %s Yr4'!M29="","",'Cash Flow %s Yr4'!M29*'Revenue w MYP'!$H27))</f>
        <v>13392.5</v>
      </c>
      <c r="N29" s="62">
        <f>IF('Revenue w MYP'!$H27="","",IF('Cash Flow %s Yr4'!N29="","",'Cash Flow %s Yr4'!N29*'Revenue w MYP'!$H27))</f>
        <v>0</v>
      </c>
      <c r="O29" s="62">
        <f>IF('Revenue w MYP'!$H27="","",IF('Cash Flow %s Yr4'!O29="","",'Cash Flow %s Yr4'!O29*'Revenue w MYP'!$H27))</f>
        <v>6696.25</v>
      </c>
      <c r="P29" s="62">
        <f>IF('Revenue w MYP'!$H27="","",IF('Cash Flow %s Yr4'!P29="","",'Cash Flow %s Yr4'!P29*'Revenue w MYP'!$H27))</f>
        <v>0</v>
      </c>
      <c r="Q29" s="62">
        <f>IF('Revenue w MYP'!$H27="","",IF('Cash Flow %s Yr4'!Q29="","",'Cash Flow %s Yr4'!Q29*'Revenue w MYP'!$H27))</f>
        <v>0</v>
      </c>
      <c r="R29" s="62">
        <f>IF('Revenue w MYP'!$H27="","",IF('Cash Flow %s Yr4'!R29="","",'Cash Flow %s Yr4'!R29*'Revenue w MYP'!$H27))</f>
        <v>0</v>
      </c>
      <c r="S29" s="97">
        <f>IF(SUM(D29:R29)&gt;0,SUM(D29:R29)/'Revenue w MYP'!$H27,"")</f>
        <v>1</v>
      </c>
    </row>
    <row r="30" spans="1:19" s="31" customFormat="1" ht="17.75" x14ac:dyDescent="0.75">
      <c r="A30" s="29"/>
      <c r="B30" s="63" t="str">
        <f>'Revenue w MYP'!C28</f>
        <v>8293</v>
      </c>
      <c r="C30" s="63" t="str">
        <f>'Revenue w MYP'!D28</f>
        <v>Title III</v>
      </c>
      <c r="D30" s="62" t="str">
        <f>IF('Revenue w MYP'!$H28="","",IF('Cash Flow %s Yr4'!D30="","",'Cash Flow %s Yr4'!D30*'Revenue w MYP'!$H28))</f>
        <v/>
      </c>
      <c r="E30" s="62" t="str">
        <f>IF('Revenue w MYP'!$H28="","",IF('Cash Flow %s Yr4'!E30="","",'Cash Flow %s Yr4'!E30*'Revenue w MYP'!$H28))</f>
        <v/>
      </c>
      <c r="F30" s="62" t="str">
        <f>IF('Revenue w MYP'!$H28="","",IF('Cash Flow %s Yr4'!F30="","",'Cash Flow %s Yr4'!F30*'Revenue w MYP'!$H28))</f>
        <v/>
      </c>
      <c r="G30" s="62" t="str">
        <f>IF('Revenue w MYP'!$H28="","",IF('Cash Flow %s Yr4'!G30="","",'Cash Flow %s Yr4'!G30*'Revenue w MYP'!$H28))</f>
        <v/>
      </c>
      <c r="H30" s="62" t="str">
        <f>IF('Revenue w MYP'!$H28="","",IF('Cash Flow %s Yr4'!H30="","",'Cash Flow %s Yr4'!H30*'Revenue w MYP'!$H28))</f>
        <v/>
      </c>
      <c r="I30" s="62" t="str">
        <f>IF('Revenue w MYP'!$H28="","",IF('Cash Flow %s Yr4'!I30="","",'Cash Flow %s Yr4'!I30*'Revenue w MYP'!$H28))</f>
        <v/>
      </c>
      <c r="J30" s="62" t="str">
        <f>IF('Revenue w MYP'!$H28="","",IF('Cash Flow %s Yr4'!J30="","",'Cash Flow %s Yr4'!J30*'Revenue w MYP'!$H28))</f>
        <v/>
      </c>
      <c r="K30" s="62" t="str">
        <f>IF('Revenue w MYP'!$H28="","",IF('Cash Flow %s Yr4'!K30="","",'Cash Flow %s Yr4'!K30*'Revenue w MYP'!$H28))</f>
        <v/>
      </c>
      <c r="L30" s="62" t="str">
        <f>IF('Revenue w MYP'!$H28="","",IF('Cash Flow %s Yr4'!L30="","",'Cash Flow %s Yr4'!L30*'Revenue w MYP'!$H28))</f>
        <v/>
      </c>
      <c r="M30" s="62" t="str">
        <f>IF('Revenue w MYP'!$H28="","",IF('Cash Flow %s Yr4'!M30="","",'Cash Flow %s Yr4'!M30*'Revenue w MYP'!$H28))</f>
        <v/>
      </c>
      <c r="N30" s="62" t="str">
        <f>IF('Revenue w MYP'!$H28="","",IF('Cash Flow %s Yr4'!N30="","",'Cash Flow %s Yr4'!N30*'Revenue w MYP'!$H28))</f>
        <v/>
      </c>
      <c r="O30" s="62" t="str">
        <f>IF('Revenue w MYP'!$H28="","",IF('Cash Flow %s Yr4'!O30="","",'Cash Flow %s Yr4'!O30*'Revenue w MYP'!$H28))</f>
        <v/>
      </c>
      <c r="P30" s="62" t="str">
        <f>IF('Revenue w MYP'!$H28="","",IF('Cash Flow %s Yr4'!P30="","",'Cash Flow %s Yr4'!P30*'Revenue w MYP'!$H28))</f>
        <v/>
      </c>
      <c r="Q30" s="62" t="str">
        <f>IF('Revenue w MYP'!$H28="","",IF('Cash Flow %s Yr4'!Q30="","",'Cash Flow %s Yr4'!Q30*'Revenue w MYP'!$H28))</f>
        <v/>
      </c>
      <c r="R30" s="62" t="str">
        <f>IF('Revenue w MYP'!$H28="","",IF('Cash Flow %s Yr4'!R30="","",'Cash Flow %s Yr4'!R30*'Revenue w MYP'!$H28))</f>
        <v/>
      </c>
      <c r="S30" s="97" t="str">
        <f>IF(SUM(D30:R30)&gt;0,SUM(D30:R30)/'Revenue w MYP'!$H28,"")</f>
        <v/>
      </c>
    </row>
    <row r="31" spans="1:19" s="31" customFormat="1" ht="17.75" x14ac:dyDescent="0.75">
      <c r="A31" s="29"/>
      <c r="B31" s="63" t="str">
        <f>'Revenue w MYP'!C30</f>
        <v>8295</v>
      </c>
      <c r="C31" s="63" t="str">
        <f>'Revenue w MYP'!D30</f>
        <v>Title V</v>
      </c>
      <c r="D31" s="62" t="str">
        <f>IF('Revenue w MYP'!$H30="","",IF('Cash Flow %s Yr4'!D31="","",'Cash Flow %s Yr4'!D31*'Revenue w MYP'!$H30))</f>
        <v/>
      </c>
      <c r="E31" s="62" t="str">
        <f>IF('Revenue w MYP'!$H30="","",IF('Cash Flow %s Yr4'!E31="","",'Cash Flow %s Yr4'!E31*'Revenue w MYP'!$H30))</f>
        <v/>
      </c>
      <c r="F31" s="62" t="str">
        <f>IF('Revenue w MYP'!$H30="","",IF('Cash Flow %s Yr4'!F31="","",'Cash Flow %s Yr4'!F31*'Revenue w MYP'!$H30))</f>
        <v/>
      </c>
      <c r="G31" s="62" t="str">
        <f>IF('Revenue w MYP'!$H30="","",IF('Cash Flow %s Yr4'!G31="","",'Cash Flow %s Yr4'!G31*'Revenue w MYP'!$H30))</f>
        <v/>
      </c>
      <c r="H31" s="62" t="str">
        <f>IF('Revenue w MYP'!$H30="","",IF('Cash Flow %s Yr4'!H31="","",'Cash Flow %s Yr4'!H31*'Revenue w MYP'!$H30))</f>
        <v/>
      </c>
      <c r="I31" s="62" t="str">
        <f>IF('Revenue w MYP'!$H30="","",IF('Cash Flow %s Yr4'!I31="","",'Cash Flow %s Yr4'!I31*'Revenue w MYP'!$H30))</f>
        <v/>
      </c>
      <c r="J31" s="62" t="str">
        <f>IF('Revenue w MYP'!$H30="","",IF('Cash Flow %s Yr4'!J31="","",'Cash Flow %s Yr4'!J31*'Revenue w MYP'!$H30))</f>
        <v/>
      </c>
      <c r="K31" s="62" t="str">
        <f>IF('Revenue w MYP'!$H30="","",IF('Cash Flow %s Yr4'!K31="","",'Cash Flow %s Yr4'!K31*'Revenue w MYP'!$H30))</f>
        <v/>
      </c>
      <c r="L31" s="62" t="str">
        <f>IF('Revenue w MYP'!$H30="","",IF('Cash Flow %s Yr4'!L31="","",'Cash Flow %s Yr4'!L31*'Revenue w MYP'!$H30))</f>
        <v/>
      </c>
      <c r="M31" s="62" t="str">
        <f>IF('Revenue w MYP'!$H30="","",IF('Cash Flow %s Yr4'!M31="","",'Cash Flow %s Yr4'!M31*'Revenue w MYP'!$H30))</f>
        <v/>
      </c>
      <c r="N31" s="62" t="str">
        <f>IF('Revenue w MYP'!$H30="","",IF('Cash Flow %s Yr4'!N31="","",'Cash Flow %s Yr4'!N31*'Revenue w MYP'!$H30))</f>
        <v/>
      </c>
      <c r="O31" s="62" t="str">
        <f>IF('Revenue w MYP'!$H30="","",IF('Cash Flow %s Yr4'!O31="","",'Cash Flow %s Yr4'!O31*'Revenue w MYP'!$H30))</f>
        <v/>
      </c>
      <c r="P31" s="62" t="str">
        <f>IF('Revenue w MYP'!$H30="","",IF('Cash Flow %s Yr4'!P31="","",'Cash Flow %s Yr4'!P31*'Revenue w MYP'!$H30))</f>
        <v/>
      </c>
      <c r="Q31" s="62" t="str">
        <f>IF('Revenue w MYP'!$H30="","",IF('Cash Flow %s Yr4'!Q31="","",'Cash Flow %s Yr4'!Q31*'Revenue w MYP'!$H30))</f>
        <v/>
      </c>
      <c r="R31" s="62" t="str">
        <f>IF('Revenue w MYP'!$H30="","",IF('Cash Flow %s Yr4'!R31="","",'Cash Flow %s Yr4'!R31*'Revenue w MYP'!$H30))</f>
        <v/>
      </c>
      <c r="S31" s="97" t="str">
        <f>IF(SUM(D31:R31)&gt;0,SUM(D31:R31)/'Revenue w MYP'!$H30,"")</f>
        <v/>
      </c>
    </row>
    <row r="32" spans="1:19" s="31" customFormat="1" ht="17.75" x14ac:dyDescent="0.75">
      <c r="A32" s="29"/>
      <c r="B32" s="63" t="str">
        <f>'Revenue w MYP'!C31</f>
        <v>8299</v>
      </c>
      <c r="C32" s="63" t="str">
        <f>'Revenue w MYP'!D31</f>
        <v>Prior Year Federal Revenue</v>
      </c>
      <c r="D32" s="62">
        <f>IF('Revenue w MYP'!$H31="","",IF('Cash Flow %s Yr4'!D32="","",'Cash Flow %s Yr4'!D32*'Revenue w MYP'!$H31))</f>
        <v>0</v>
      </c>
      <c r="E32" s="62">
        <f>IF('Revenue w MYP'!$H31="","",IF('Cash Flow %s Yr4'!E32="","",'Cash Flow %s Yr4'!E32*'Revenue w MYP'!$H31))</f>
        <v>0</v>
      </c>
      <c r="F32" s="62">
        <f>IF('Revenue w MYP'!$H31="","",IF('Cash Flow %s Yr4'!F32="","",'Cash Flow %s Yr4'!F32*'Revenue w MYP'!$H31))</f>
        <v>0</v>
      </c>
      <c r="G32" s="62">
        <f>IF('Revenue w MYP'!$H31="","",IF('Cash Flow %s Yr4'!G32="","",'Cash Flow %s Yr4'!G32*'Revenue w MYP'!$H31))</f>
        <v>0</v>
      </c>
      <c r="H32" s="62">
        <f>IF('Revenue w MYP'!$H31="","",IF('Cash Flow %s Yr4'!H32="","",'Cash Flow %s Yr4'!H32*'Revenue w MYP'!$H31))</f>
        <v>0</v>
      </c>
      <c r="I32" s="62">
        <f>IF('Revenue w MYP'!$H31="","",IF('Cash Flow %s Yr4'!I32="","",'Cash Flow %s Yr4'!I32*'Revenue w MYP'!$H31))</f>
        <v>0</v>
      </c>
      <c r="J32" s="62">
        <f>IF('Revenue w MYP'!$H31="","",IF('Cash Flow %s Yr4'!J32="","",'Cash Flow %s Yr4'!J32*'Revenue w MYP'!$H31))</f>
        <v>0</v>
      </c>
      <c r="K32" s="62">
        <f>IF('Revenue w MYP'!$H31="","",IF('Cash Flow %s Yr4'!K32="","",'Cash Flow %s Yr4'!K32*'Revenue w MYP'!$H31))</f>
        <v>0</v>
      </c>
      <c r="L32" s="62">
        <f>IF('Revenue w MYP'!$H31="","",IF('Cash Flow %s Yr4'!L32="","",'Cash Flow %s Yr4'!L32*'Revenue w MYP'!$H31))</f>
        <v>0</v>
      </c>
      <c r="M32" s="62">
        <f>IF('Revenue w MYP'!$H31="","",IF('Cash Flow %s Yr4'!M32="","",'Cash Flow %s Yr4'!M32*'Revenue w MYP'!$H31))</f>
        <v>0</v>
      </c>
      <c r="N32" s="62">
        <f>IF('Revenue w MYP'!$H31="","",IF('Cash Flow %s Yr4'!N32="","",'Cash Flow %s Yr4'!N32*'Revenue w MYP'!$H31))</f>
        <v>0</v>
      </c>
      <c r="O32" s="62">
        <f>IF('Revenue w MYP'!$H31="","",IF('Cash Flow %s Yr4'!O32="","",'Cash Flow %s Yr4'!O32*'Revenue w MYP'!$H31))</f>
        <v>0</v>
      </c>
      <c r="P32" s="62">
        <f>IF('Revenue w MYP'!$H31="","",IF('Cash Flow %s Yr4'!P32="","",'Cash Flow %s Yr4'!P32*'Revenue w MYP'!$H31))</f>
        <v>0</v>
      </c>
      <c r="Q32" s="62">
        <f>IF('Revenue w MYP'!$H31="","",IF('Cash Flow %s Yr4'!Q32="","",'Cash Flow %s Yr4'!Q32*'Revenue w MYP'!$H31))</f>
        <v>0</v>
      </c>
      <c r="R32" s="62">
        <f>IF('Revenue w MYP'!$H31="","",IF('Cash Flow %s Yr4'!R32="","",'Cash Flow %s Yr4'!R32*'Revenue w MYP'!$H31))</f>
        <v>0</v>
      </c>
      <c r="S32" s="97" t="str">
        <f>IF(SUM(D32:R32)&gt;0,SUM(D32:R32)/'Revenue w MYP'!$H31,"")</f>
        <v/>
      </c>
    </row>
    <row r="33" spans="1:19" s="31" customFormat="1" ht="17.75" x14ac:dyDescent="0.75">
      <c r="A33" s="29"/>
      <c r="B33" s="70"/>
      <c r="C33" s="34" t="s">
        <v>719</v>
      </c>
      <c r="D33" s="153">
        <f>SUM(D25:D32)</f>
        <v>0</v>
      </c>
      <c r="E33" s="153">
        <f t="shared" ref="E33:R33" si="1">SUM(E25:E32)</f>
        <v>0</v>
      </c>
      <c r="F33" s="153">
        <f t="shared" si="1"/>
        <v>0</v>
      </c>
      <c r="G33" s="153">
        <f t="shared" si="1"/>
        <v>19351.750332168001</v>
      </c>
      <c r="H33" s="153">
        <f t="shared" si="1"/>
        <v>19351.750332168001</v>
      </c>
      <c r="I33" s="153">
        <f t="shared" si="1"/>
        <v>19351.750332168001</v>
      </c>
      <c r="J33" s="153">
        <f t="shared" si="1"/>
        <v>198307.82033216802</v>
      </c>
      <c r="K33" s="153">
        <f t="shared" si="1"/>
        <v>19351.750332168001</v>
      </c>
      <c r="L33" s="153">
        <f t="shared" si="1"/>
        <v>19351.750332168001</v>
      </c>
      <c r="M33" s="153">
        <f t="shared" si="1"/>
        <v>377263.89033216803</v>
      </c>
      <c r="N33" s="153">
        <f t="shared" si="1"/>
        <v>19351.750332168001</v>
      </c>
      <c r="O33" s="153">
        <f t="shared" si="1"/>
        <v>198307.82033216802</v>
      </c>
      <c r="P33" s="153">
        <f t="shared" si="1"/>
        <v>19351.750332168001</v>
      </c>
      <c r="Q33" s="153">
        <f t="shared" si="1"/>
        <v>0</v>
      </c>
      <c r="R33" s="153">
        <f t="shared" si="1"/>
        <v>0</v>
      </c>
      <c r="S33" s="94"/>
    </row>
    <row r="34" spans="1:19" s="31" customFormat="1" ht="17.75" x14ac:dyDescent="0.75">
      <c r="A34" s="29"/>
      <c r="B34" s="69"/>
      <c r="C34" s="48"/>
      <c r="D34" s="110"/>
      <c r="E34" s="110"/>
      <c r="F34" s="110"/>
      <c r="G34" s="110"/>
      <c r="H34" s="110"/>
      <c r="I34" s="110"/>
      <c r="J34" s="110"/>
      <c r="K34" s="110"/>
      <c r="L34" s="110"/>
      <c r="M34" s="110"/>
      <c r="N34" s="110"/>
      <c r="O34" s="110"/>
      <c r="P34" s="110"/>
      <c r="Q34" s="110"/>
      <c r="R34" s="110"/>
    </row>
    <row r="35" spans="1:19" s="31" customFormat="1" ht="17.75" x14ac:dyDescent="0.75">
      <c r="B35" s="29" t="s">
        <v>790</v>
      </c>
      <c r="C35" s="48"/>
      <c r="D35" s="110"/>
      <c r="E35" s="110"/>
      <c r="F35" s="110"/>
      <c r="G35" s="110"/>
      <c r="H35" s="110"/>
      <c r="I35" s="110"/>
      <c r="J35" s="110"/>
      <c r="K35" s="110"/>
      <c r="L35" s="110"/>
      <c r="M35" s="110"/>
      <c r="N35" s="110"/>
      <c r="O35" s="110"/>
      <c r="P35" s="110"/>
      <c r="Q35" s="110"/>
      <c r="R35" s="110"/>
    </row>
    <row r="36" spans="1:19" s="31" customFormat="1" ht="17.75" x14ac:dyDescent="0.75">
      <c r="A36" s="29"/>
      <c r="B36" s="63" t="str">
        <f>'Revenue w MYP'!C35</f>
        <v>8660</v>
      </c>
      <c r="C36" s="63" t="str">
        <f>'Revenue w MYP'!D35</f>
        <v>Interest</v>
      </c>
      <c r="D36" s="62">
        <f>IF('Revenue w MYP'!$H35="","",IF('Cash Flow %s Yr4'!D36="","",'Cash Flow %s Yr4'!D36*'Revenue w MYP'!$H35))</f>
        <v>3376.7885999999999</v>
      </c>
      <c r="E36" s="62">
        <f>IF('Revenue w MYP'!$H35="","",IF('Cash Flow %s Yr4'!E36="","",'Cash Flow %s Yr4'!E36*'Revenue w MYP'!$H35))</f>
        <v>3376.7885999999999</v>
      </c>
      <c r="F36" s="62">
        <f>IF('Revenue w MYP'!$H35="","",IF('Cash Flow %s Yr4'!F36="","",'Cash Flow %s Yr4'!F36*'Revenue w MYP'!$H35))</f>
        <v>3376.7885999999999</v>
      </c>
      <c r="G36" s="62">
        <f>IF('Revenue w MYP'!$H35="","",IF('Cash Flow %s Yr4'!G36="","",'Cash Flow %s Yr4'!G36*'Revenue w MYP'!$H35))</f>
        <v>3376.7885999999999</v>
      </c>
      <c r="H36" s="62">
        <f>IF('Revenue w MYP'!$H35="","",IF('Cash Flow %s Yr4'!H36="","",'Cash Flow %s Yr4'!H36*'Revenue w MYP'!$H35))</f>
        <v>3376.7885999999999</v>
      </c>
      <c r="I36" s="62">
        <f>IF('Revenue w MYP'!$H35="","",IF('Cash Flow %s Yr4'!I36="","",'Cash Flow %s Yr4'!I36*'Revenue w MYP'!$H35))</f>
        <v>3376.7885999999999</v>
      </c>
      <c r="J36" s="62">
        <f>IF('Revenue w MYP'!$H35="","",IF('Cash Flow %s Yr4'!J36="","",'Cash Flow %s Yr4'!J36*'Revenue w MYP'!$H35))</f>
        <v>3376.7885999999999</v>
      </c>
      <c r="K36" s="62">
        <f>IF('Revenue w MYP'!$H35="","",IF('Cash Flow %s Yr4'!K36="","",'Cash Flow %s Yr4'!K36*'Revenue w MYP'!$H35))</f>
        <v>3376.7885999999999</v>
      </c>
      <c r="L36" s="62">
        <f>IF('Revenue w MYP'!$H35="","",IF('Cash Flow %s Yr4'!L36="","",'Cash Flow %s Yr4'!L36*'Revenue w MYP'!$H35))</f>
        <v>3417.4728</v>
      </c>
      <c r="M36" s="62">
        <f>IF('Revenue w MYP'!$H35="","",IF('Cash Flow %s Yr4'!M36="","",'Cash Flow %s Yr4'!M36*'Revenue w MYP'!$H35))</f>
        <v>3417.4728</v>
      </c>
      <c r="N36" s="62">
        <f>IF('Revenue w MYP'!$H35="","",IF('Cash Flow %s Yr4'!N36="","",'Cash Flow %s Yr4'!N36*'Revenue w MYP'!$H35))</f>
        <v>3417.4728</v>
      </c>
      <c r="O36" s="62">
        <f>IF('Revenue w MYP'!$H35="","",IF('Cash Flow %s Yr4'!O36="","",'Cash Flow %s Yr4'!O36*'Revenue w MYP'!$H35))</f>
        <v>3417.4728</v>
      </c>
      <c r="P36" s="62">
        <f>IF('Revenue w MYP'!$H35="","",IF('Cash Flow %s Yr4'!P36="","",'Cash Flow %s Yr4'!P36*'Revenue w MYP'!$H35))</f>
        <v>0</v>
      </c>
      <c r="Q36" s="62">
        <f>IF('Revenue w MYP'!$H35="","",IF('Cash Flow %s Yr4'!Q36="","",'Cash Flow %s Yr4'!Q36*'Revenue w MYP'!$H35))</f>
        <v>0</v>
      </c>
      <c r="R36" s="62">
        <f>IF('Revenue w MYP'!$H35="","",IF('Cash Flow %s Yr4'!R36="","",'Cash Flow %s Yr4'!R36*'Revenue w MYP'!$H35))</f>
        <v>0</v>
      </c>
      <c r="S36" s="97">
        <f>IF(SUM(D36:R36)&gt;0,SUM(D36:R36)/'Revenue w MYP'!$H35,"")</f>
        <v>1.0000000000000002</v>
      </c>
    </row>
    <row r="37" spans="1:19" s="31" customFormat="1" ht="17.75" x14ac:dyDescent="0.75">
      <c r="A37" s="29"/>
      <c r="B37" s="63" t="str">
        <f>'Revenue w MYP'!C36</f>
        <v>8682</v>
      </c>
      <c r="C37" s="63" t="str">
        <f>'Revenue w MYP'!D36</f>
        <v>Foundation Grants / Donations</v>
      </c>
      <c r="D37" s="62">
        <f>IF('Revenue w MYP'!$H36="","",IF('Cash Flow %s Yr4'!D37="","",'Cash Flow %s Yr4'!D37*'Revenue w MYP'!$H36))</f>
        <v>0</v>
      </c>
      <c r="E37" s="62">
        <f>IF('Revenue w MYP'!$H36="","",IF('Cash Flow %s Yr4'!E37="","",'Cash Flow %s Yr4'!E37*'Revenue w MYP'!$H36))</f>
        <v>0</v>
      </c>
      <c r="F37" s="62">
        <f>IF('Revenue w MYP'!$H36="","",IF('Cash Flow %s Yr4'!F37="","",'Cash Flow %s Yr4'!F37*'Revenue w MYP'!$H36))</f>
        <v>0</v>
      </c>
      <c r="G37" s="62">
        <f>IF('Revenue w MYP'!$H36="","",IF('Cash Flow %s Yr4'!G37="","",'Cash Flow %s Yr4'!G37*'Revenue w MYP'!$H36))</f>
        <v>0</v>
      </c>
      <c r="H37" s="62">
        <f>IF('Revenue w MYP'!$H36="","",IF('Cash Flow %s Yr4'!H37="","",'Cash Flow %s Yr4'!H37*'Revenue w MYP'!$H36))</f>
        <v>0</v>
      </c>
      <c r="I37" s="62">
        <f>IF('Revenue w MYP'!$H36="","",IF('Cash Flow %s Yr4'!I37="","",'Cash Flow %s Yr4'!I37*'Revenue w MYP'!$H36))</f>
        <v>0</v>
      </c>
      <c r="J37" s="62">
        <f>IF('Revenue w MYP'!$H36="","",IF('Cash Flow %s Yr4'!J37="","",'Cash Flow %s Yr4'!J37*'Revenue w MYP'!$H36))</f>
        <v>0</v>
      </c>
      <c r="K37" s="62">
        <f>IF('Revenue w MYP'!$H36="","",IF('Cash Flow %s Yr4'!K37="","",'Cash Flow %s Yr4'!K37*'Revenue w MYP'!$H36))</f>
        <v>0</v>
      </c>
      <c r="L37" s="62">
        <f>IF('Revenue w MYP'!$H36="","",IF('Cash Flow %s Yr4'!L37="","",'Cash Flow %s Yr4'!L37*'Revenue w MYP'!$H36))</f>
        <v>0</v>
      </c>
      <c r="M37" s="62">
        <f>IF('Revenue w MYP'!$H36="","",IF('Cash Flow %s Yr4'!M37="","",'Cash Flow %s Yr4'!M37*'Revenue w MYP'!$H36))</f>
        <v>0</v>
      </c>
      <c r="N37" s="62">
        <f>IF('Revenue w MYP'!$H36="","",IF('Cash Flow %s Yr4'!N37="","",'Cash Flow %s Yr4'!N37*'Revenue w MYP'!$H36))</f>
        <v>0</v>
      </c>
      <c r="O37" s="62">
        <f>IF('Revenue w MYP'!$H36="","",IF('Cash Flow %s Yr4'!O37="","",'Cash Flow %s Yr4'!O37*'Revenue w MYP'!$H36))</f>
        <v>0</v>
      </c>
      <c r="P37" s="62">
        <f>IF('Revenue w MYP'!$H36="","",IF('Cash Flow %s Yr4'!P37="","",'Cash Flow %s Yr4'!P37*'Revenue w MYP'!$H36))</f>
        <v>0</v>
      </c>
      <c r="Q37" s="62">
        <f>IF('Revenue w MYP'!$H36="","",IF('Cash Flow %s Yr4'!Q37="","",'Cash Flow %s Yr4'!Q37*'Revenue w MYP'!$H36))</f>
        <v>0</v>
      </c>
      <c r="R37" s="62">
        <f>IF('Revenue w MYP'!$H36="","",IF('Cash Flow %s Yr4'!R37="","",'Cash Flow %s Yr4'!R37*'Revenue w MYP'!$H36))</f>
        <v>0</v>
      </c>
      <c r="S37" s="97" t="str">
        <f>IF(SUM(D37:R37)&gt;0,SUM(D37:R37)/'Revenue w MYP'!$H36,"")</f>
        <v/>
      </c>
    </row>
    <row r="38" spans="1:19" s="31" customFormat="1" ht="17.75" x14ac:dyDescent="0.75">
      <c r="A38" s="29"/>
      <c r="B38" s="63" t="str">
        <f>'Revenue w MYP'!C37</f>
        <v>8683</v>
      </c>
      <c r="C38" s="63" t="str">
        <f>'Revenue w MYP'!D37</f>
        <v>All Other Local Revenue</v>
      </c>
      <c r="D38" s="62">
        <f>IF('Revenue w MYP'!$H37="","",IF('Cash Flow %s Yr4'!D38="","",'Cash Flow %s Yr4'!D38*'Revenue w MYP'!$H37))</f>
        <v>0</v>
      </c>
      <c r="E38" s="62">
        <f>IF('Revenue w MYP'!$H37="","",IF('Cash Flow %s Yr4'!E38="","",'Cash Flow %s Yr4'!E38*'Revenue w MYP'!$H37))</f>
        <v>0</v>
      </c>
      <c r="F38" s="62">
        <f>IF('Revenue w MYP'!$H37="","",IF('Cash Flow %s Yr4'!F38="","",'Cash Flow %s Yr4'!F38*'Revenue w MYP'!$H37))</f>
        <v>0</v>
      </c>
      <c r="G38" s="62">
        <f>IF('Revenue w MYP'!$H37="","",IF('Cash Flow %s Yr4'!G38="","",'Cash Flow %s Yr4'!G38*'Revenue w MYP'!$H37))</f>
        <v>0</v>
      </c>
      <c r="H38" s="62">
        <f>IF('Revenue w MYP'!$H37="","",IF('Cash Flow %s Yr4'!H38="","",'Cash Flow %s Yr4'!H38*'Revenue w MYP'!$H37))</f>
        <v>0</v>
      </c>
      <c r="I38" s="62">
        <f>IF('Revenue w MYP'!$H37="","",IF('Cash Flow %s Yr4'!I38="","",'Cash Flow %s Yr4'!I38*'Revenue w MYP'!$H37))</f>
        <v>0</v>
      </c>
      <c r="J38" s="62">
        <f>IF('Revenue w MYP'!$H37="","",IF('Cash Flow %s Yr4'!J38="","",'Cash Flow %s Yr4'!J38*'Revenue w MYP'!$H37))</f>
        <v>0</v>
      </c>
      <c r="K38" s="62">
        <f>IF('Revenue w MYP'!$H37="","",IF('Cash Flow %s Yr4'!K38="","",'Cash Flow %s Yr4'!K38*'Revenue w MYP'!$H37))</f>
        <v>0</v>
      </c>
      <c r="L38" s="62">
        <f>IF('Revenue w MYP'!$H37="","",IF('Cash Flow %s Yr4'!L38="","",'Cash Flow %s Yr4'!L38*'Revenue w MYP'!$H37))</f>
        <v>0</v>
      </c>
      <c r="M38" s="62">
        <f>IF('Revenue w MYP'!$H37="","",IF('Cash Flow %s Yr4'!M38="","",'Cash Flow %s Yr4'!M38*'Revenue w MYP'!$H37))</f>
        <v>0</v>
      </c>
      <c r="N38" s="62">
        <f>IF('Revenue w MYP'!$H37="","",IF('Cash Flow %s Yr4'!N38="","",'Cash Flow %s Yr4'!N38*'Revenue w MYP'!$H37))</f>
        <v>0</v>
      </c>
      <c r="O38" s="62">
        <f>IF('Revenue w MYP'!$H37="","",IF('Cash Flow %s Yr4'!O38="","",'Cash Flow %s Yr4'!O38*'Revenue w MYP'!$H37))</f>
        <v>0</v>
      </c>
      <c r="P38" s="62">
        <f>IF('Revenue w MYP'!$H37="","",IF('Cash Flow %s Yr4'!P38="","",'Cash Flow %s Yr4'!P38*'Revenue w MYP'!$H37))</f>
        <v>0</v>
      </c>
      <c r="Q38" s="62">
        <f>IF('Revenue w MYP'!$H37="","",IF('Cash Flow %s Yr4'!Q38="","",'Cash Flow %s Yr4'!Q38*'Revenue w MYP'!$H37))</f>
        <v>0</v>
      </c>
      <c r="R38" s="62">
        <f>IF('Revenue w MYP'!$H37="","",IF('Cash Flow %s Yr4'!R38="","",'Cash Flow %s Yr4'!R38*'Revenue w MYP'!$H37))</f>
        <v>0</v>
      </c>
      <c r="S38" s="97" t="str">
        <f>IF(SUM(D38:R38)&gt;0,SUM(D38:R38)/'Revenue w MYP'!$H37,"")</f>
        <v/>
      </c>
    </row>
    <row r="39" spans="1:19" s="31" customFormat="1" x14ac:dyDescent="0.75">
      <c r="A39" s="47"/>
      <c r="B39" s="63" t="str">
        <f>'Revenue w MYP'!C38</f>
        <v>8684</v>
      </c>
      <c r="C39" s="63" t="str">
        <f>'Revenue w MYP'!D38</f>
        <v>Student Body (ASB) Fundraising Revenue</v>
      </c>
      <c r="D39" s="62">
        <f>IF('Revenue w MYP'!$H38="","",IF('Cash Flow %s Yr4'!D39="","",'Cash Flow %s Yr4'!D39*'Revenue w MYP'!$H38))</f>
        <v>0</v>
      </c>
      <c r="E39" s="62">
        <f>IF('Revenue w MYP'!$H38="","",IF('Cash Flow %s Yr4'!E39="","",'Cash Flow %s Yr4'!E39*'Revenue w MYP'!$H38))</f>
        <v>0</v>
      </c>
      <c r="F39" s="62">
        <f>IF('Revenue w MYP'!$H38="","",IF('Cash Flow %s Yr4'!F39="","",'Cash Flow %s Yr4'!F39*'Revenue w MYP'!$H38))</f>
        <v>0</v>
      </c>
      <c r="G39" s="62">
        <f>IF('Revenue w MYP'!$H38="","",IF('Cash Flow %s Yr4'!G39="","",'Cash Flow %s Yr4'!G39*'Revenue w MYP'!$H38))</f>
        <v>0</v>
      </c>
      <c r="H39" s="62">
        <f>IF('Revenue w MYP'!$H38="","",IF('Cash Flow %s Yr4'!H39="","",'Cash Flow %s Yr4'!H39*'Revenue w MYP'!$H38))</f>
        <v>0</v>
      </c>
      <c r="I39" s="62">
        <f>IF('Revenue w MYP'!$H38="","",IF('Cash Flow %s Yr4'!I39="","",'Cash Flow %s Yr4'!I39*'Revenue w MYP'!$H38))</f>
        <v>0</v>
      </c>
      <c r="J39" s="62">
        <f>IF('Revenue w MYP'!$H38="","",IF('Cash Flow %s Yr4'!J39="","",'Cash Flow %s Yr4'!J39*'Revenue w MYP'!$H38))</f>
        <v>0</v>
      </c>
      <c r="K39" s="62">
        <f>IF('Revenue w MYP'!$H38="","",IF('Cash Flow %s Yr4'!K39="","",'Cash Flow %s Yr4'!K39*'Revenue w MYP'!$H38))</f>
        <v>0</v>
      </c>
      <c r="L39" s="62">
        <f>IF('Revenue w MYP'!$H38="","",IF('Cash Flow %s Yr4'!L39="","",'Cash Flow %s Yr4'!L39*'Revenue w MYP'!$H38))</f>
        <v>0</v>
      </c>
      <c r="M39" s="62">
        <f>IF('Revenue w MYP'!$H38="","",IF('Cash Flow %s Yr4'!M39="","",'Cash Flow %s Yr4'!M39*'Revenue w MYP'!$H38))</f>
        <v>0</v>
      </c>
      <c r="N39" s="62">
        <f>IF('Revenue w MYP'!$H38="","",IF('Cash Flow %s Yr4'!N39="","",'Cash Flow %s Yr4'!N39*'Revenue w MYP'!$H38))</f>
        <v>0</v>
      </c>
      <c r="O39" s="62">
        <f>IF('Revenue w MYP'!$H38="","",IF('Cash Flow %s Yr4'!O39="","",'Cash Flow %s Yr4'!O39*'Revenue w MYP'!$H38))</f>
        <v>0</v>
      </c>
      <c r="P39" s="62">
        <f>IF('Revenue w MYP'!$H38="","",IF('Cash Flow %s Yr4'!P39="","",'Cash Flow %s Yr4'!P39*'Revenue w MYP'!$H38))</f>
        <v>0</v>
      </c>
      <c r="Q39" s="62">
        <f>IF('Revenue w MYP'!$H38="","",IF('Cash Flow %s Yr4'!Q39="","",'Cash Flow %s Yr4'!Q39*'Revenue w MYP'!$H38))</f>
        <v>0</v>
      </c>
      <c r="R39" s="62">
        <f>IF('Revenue w MYP'!$H38="","",IF('Cash Flow %s Yr4'!R39="","",'Cash Flow %s Yr4'!R39*'Revenue w MYP'!$H38))</f>
        <v>0</v>
      </c>
      <c r="S39" s="97" t="str">
        <f>IF(SUM(D39:R39)&gt;0,SUM(D39:R39)/'Revenue w MYP'!$H38,"")</f>
        <v/>
      </c>
    </row>
    <row r="40" spans="1:19" s="31" customFormat="1" x14ac:dyDescent="0.75">
      <c r="A40" s="48"/>
      <c r="B40" s="63" t="str">
        <f>'Revenue w MYP'!C39</f>
        <v>8685</v>
      </c>
      <c r="C40" s="63" t="str">
        <f>'Revenue w MYP'!D39</f>
        <v>School Site Fundraising</v>
      </c>
      <c r="D40" s="62">
        <f>IF('Revenue w MYP'!$H39="","",IF('Cash Flow %s Yr4'!D40="","",'Cash Flow %s Yr4'!D40*'Revenue w MYP'!$H39))</f>
        <v>0</v>
      </c>
      <c r="E40" s="62">
        <f>IF('Revenue w MYP'!$H39="","",IF('Cash Flow %s Yr4'!E40="","",'Cash Flow %s Yr4'!E40*'Revenue w MYP'!$H39))</f>
        <v>0</v>
      </c>
      <c r="F40" s="62">
        <f>IF('Revenue w MYP'!$H39="","",IF('Cash Flow %s Yr4'!F40="","",'Cash Flow %s Yr4'!F40*'Revenue w MYP'!$H39))</f>
        <v>0</v>
      </c>
      <c r="G40" s="62">
        <f>IF('Revenue w MYP'!$H39="","",IF('Cash Flow %s Yr4'!G40="","",'Cash Flow %s Yr4'!G40*'Revenue w MYP'!$H39))</f>
        <v>0</v>
      </c>
      <c r="H40" s="62">
        <f>IF('Revenue w MYP'!$H39="","",IF('Cash Flow %s Yr4'!H40="","",'Cash Flow %s Yr4'!H40*'Revenue w MYP'!$H39))</f>
        <v>0</v>
      </c>
      <c r="I40" s="62">
        <f>IF('Revenue w MYP'!$H39="","",IF('Cash Flow %s Yr4'!I40="","",'Cash Flow %s Yr4'!I40*'Revenue w MYP'!$H39))</f>
        <v>0</v>
      </c>
      <c r="J40" s="62">
        <f>IF('Revenue w MYP'!$H39="","",IF('Cash Flow %s Yr4'!J40="","",'Cash Flow %s Yr4'!J40*'Revenue w MYP'!$H39))</f>
        <v>0</v>
      </c>
      <c r="K40" s="62">
        <f>IF('Revenue w MYP'!$H39="","",IF('Cash Flow %s Yr4'!K40="","",'Cash Flow %s Yr4'!K40*'Revenue w MYP'!$H39))</f>
        <v>0</v>
      </c>
      <c r="L40" s="62">
        <f>IF('Revenue w MYP'!$H39="","",IF('Cash Flow %s Yr4'!L40="","",'Cash Flow %s Yr4'!L40*'Revenue w MYP'!$H39))</f>
        <v>0</v>
      </c>
      <c r="M40" s="62">
        <f>IF('Revenue w MYP'!$H39="","",IF('Cash Flow %s Yr4'!M40="","",'Cash Flow %s Yr4'!M40*'Revenue w MYP'!$H39))</f>
        <v>0</v>
      </c>
      <c r="N40" s="62">
        <f>IF('Revenue w MYP'!$H39="","",IF('Cash Flow %s Yr4'!N40="","",'Cash Flow %s Yr4'!N40*'Revenue w MYP'!$H39))</f>
        <v>0</v>
      </c>
      <c r="O40" s="62">
        <f>IF('Revenue w MYP'!$H39="","",IF('Cash Flow %s Yr4'!O40="","",'Cash Flow %s Yr4'!O40*'Revenue w MYP'!$H39))</f>
        <v>0</v>
      </c>
      <c r="P40" s="62">
        <f>IF('Revenue w MYP'!$H39="","",IF('Cash Flow %s Yr4'!P40="","",'Cash Flow %s Yr4'!P40*'Revenue w MYP'!$H39))</f>
        <v>0</v>
      </c>
      <c r="Q40" s="62">
        <f>IF('Revenue w MYP'!$H39="","",IF('Cash Flow %s Yr4'!Q40="","",'Cash Flow %s Yr4'!Q40*'Revenue w MYP'!$H39))</f>
        <v>0</v>
      </c>
      <c r="R40" s="62">
        <f>IF('Revenue w MYP'!$H39="","",IF('Cash Flow %s Yr4'!R40="","",'Cash Flow %s Yr4'!R40*'Revenue w MYP'!$H39))</f>
        <v>0</v>
      </c>
      <c r="S40" s="97" t="str">
        <f>IF(SUM(D40:R40)&gt;0,SUM(D40:R40)/'Revenue w MYP'!$H39,"")</f>
        <v/>
      </c>
    </row>
    <row r="41" spans="1:19" s="31" customFormat="1" ht="17.75" x14ac:dyDescent="0.75">
      <c r="A41" s="29"/>
      <c r="B41" s="63" t="str">
        <f>'Revenue w MYP'!C40</f>
        <v>8698</v>
      </c>
      <c r="C41" s="63" t="str">
        <f>'Revenue w MYP'!D40</f>
        <v>E-Rate</v>
      </c>
      <c r="D41" s="62">
        <f>IF('Revenue w MYP'!$H40="","",IF('Cash Flow %s Yr4'!D41="","",'Cash Flow %s Yr4'!D41*'Revenue w MYP'!$H40))</f>
        <v>0</v>
      </c>
      <c r="E41" s="62">
        <f>IF('Revenue w MYP'!$H40="","",IF('Cash Flow %s Yr4'!E41="","",'Cash Flow %s Yr4'!E41*'Revenue w MYP'!$H40))</f>
        <v>0</v>
      </c>
      <c r="F41" s="62">
        <f>IF('Revenue w MYP'!$H40="","",IF('Cash Flow %s Yr4'!F41="","",'Cash Flow %s Yr4'!F41*'Revenue w MYP'!$H40))</f>
        <v>0</v>
      </c>
      <c r="G41" s="62">
        <f>IF('Revenue w MYP'!$H40="","",IF('Cash Flow %s Yr4'!G41="","",'Cash Flow %s Yr4'!G41*'Revenue w MYP'!$H40))</f>
        <v>0</v>
      </c>
      <c r="H41" s="62">
        <f>IF('Revenue w MYP'!$H40="","",IF('Cash Flow %s Yr4'!H41="","",'Cash Flow %s Yr4'!H41*'Revenue w MYP'!$H40))</f>
        <v>0</v>
      </c>
      <c r="I41" s="62">
        <f>IF('Revenue w MYP'!$H40="","",IF('Cash Flow %s Yr4'!I41="","",'Cash Flow %s Yr4'!I41*'Revenue w MYP'!$H40))</f>
        <v>0</v>
      </c>
      <c r="J41" s="62">
        <f>IF('Revenue w MYP'!$H40="","",IF('Cash Flow %s Yr4'!J41="","",'Cash Flow %s Yr4'!J41*'Revenue w MYP'!$H40))</f>
        <v>0</v>
      </c>
      <c r="K41" s="62">
        <f>IF('Revenue w MYP'!$H40="","",IF('Cash Flow %s Yr4'!K41="","",'Cash Flow %s Yr4'!K41*'Revenue w MYP'!$H40))</f>
        <v>0</v>
      </c>
      <c r="L41" s="62">
        <f>IF('Revenue w MYP'!$H40="","",IF('Cash Flow %s Yr4'!L41="","",'Cash Flow %s Yr4'!L41*'Revenue w MYP'!$H40))</f>
        <v>0</v>
      </c>
      <c r="M41" s="62">
        <f>IF('Revenue w MYP'!$H40="","",IF('Cash Flow %s Yr4'!M41="","",'Cash Flow %s Yr4'!M41*'Revenue w MYP'!$H40))</f>
        <v>0</v>
      </c>
      <c r="N41" s="62">
        <f>IF('Revenue w MYP'!$H40="","",IF('Cash Flow %s Yr4'!N41="","",'Cash Flow %s Yr4'!N41*'Revenue w MYP'!$H40))</f>
        <v>0</v>
      </c>
      <c r="O41" s="62">
        <f>IF('Revenue w MYP'!$H40="","",IF('Cash Flow %s Yr4'!O41="","",'Cash Flow %s Yr4'!O41*'Revenue w MYP'!$H40))</f>
        <v>0</v>
      </c>
      <c r="P41" s="62">
        <f>IF('Revenue w MYP'!$H40="","",IF('Cash Flow %s Yr4'!P41="","",'Cash Flow %s Yr4'!P41*'Revenue w MYP'!$H40))</f>
        <v>0</v>
      </c>
      <c r="Q41" s="62">
        <f>IF('Revenue w MYP'!$H40="","",IF('Cash Flow %s Yr4'!Q41="","",'Cash Flow %s Yr4'!Q41*'Revenue w MYP'!$H40))</f>
        <v>0</v>
      </c>
      <c r="R41" s="62">
        <f>IF('Revenue w MYP'!$H40="","",IF('Cash Flow %s Yr4'!R41="","",'Cash Flow %s Yr4'!R41*'Revenue w MYP'!$H40))</f>
        <v>0</v>
      </c>
      <c r="S41" s="97" t="str">
        <f>IF(SUM(D41:R41)&gt;0,SUM(D41:R41)/'Revenue w MYP'!$H40,"")</f>
        <v/>
      </c>
    </row>
    <row r="42" spans="1:19" s="31" customFormat="1" ht="17.75" x14ac:dyDescent="0.75">
      <c r="A42" s="29"/>
      <c r="B42" s="63" t="str">
        <f>'Revenue w MYP'!C41</f>
        <v>8699</v>
      </c>
      <c r="C42" s="63" t="str">
        <f>'Revenue w MYP'!D41</f>
        <v>All Other Local Revenue</v>
      </c>
      <c r="D42" s="62">
        <f>IF('Revenue w MYP'!$H41="","",IF('Cash Flow %s Yr4'!D42="","",'Cash Flow %s Yr4'!D42*'Revenue w MYP'!$H41))</f>
        <v>0</v>
      </c>
      <c r="E42" s="62">
        <f>IF('Revenue w MYP'!$H41="","",IF('Cash Flow %s Yr4'!E42="","",'Cash Flow %s Yr4'!E42*'Revenue w MYP'!$H41))</f>
        <v>0</v>
      </c>
      <c r="F42" s="62">
        <f>IF('Revenue w MYP'!$H41="","",IF('Cash Flow %s Yr4'!F42="","",'Cash Flow %s Yr4'!F42*'Revenue w MYP'!$H41))</f>
        <v>1874.1770000000001</v>
      </c>
      <c r="G42" s="62">
        <f>IF('Revenue w MYP'!$H41="","",IF('Cash Flow %s Yr4'!G42="","",'Cash Flow %s Yr4'!G42*'Revenue w MYP'!$H41))</f>
        <v>1874.1770000000001</v>
      </c>
      <c r="H42" s="62">
        <f>IF('Revenue w MYP'!$H41="","",IF('Cash Flow %s Yr4'!H42="","",'Cash Flow %s Yr4'!H42*'Revenue w MYP'!$H41))</f>
        <v>1874.1770000000001</v>
      </c>
      <c r="I42" s="62">
        <f>IF('Revenue w MYP'!$H41="","",IF('Cash Flow %s Yr4'!I42="","",'Cash Flow %s Yr4'!I42*'Revenue w MYP'!$H41))</f>
        <v>1874.1770000000001</v>
      </c>
      <c r="J42" s="62">
        <f>IF('Revenue w MYP'!$H41="","",IF('Cash Flow %s Yr4'!J42="","",'Cash Flow %s Yr4'!J42*'Revenue w MYP'!$H41))</f>
        <v>1874.1770000000001</v>
      </c>
      <c r="K42" s="62">
        <f>IF('Revenue w MYP'!$H41="","",IF('Cash Flow %s Yr4'!K42="","",'Cash Flow %s Yr4'!K42*'Revenue w MYP'!$H41))</f>
        <v>1874.1770000000001</v>
      </c>
      <c r="L42" s="62">
        <f>IF('Revenue w MYP'!$H41="","",IF('Cash Flow %s Yr4'!L42="","",'Cash Flow %s Yr4'!L42*'Revenue w MYP'!$H41))</f>
        <v>1874.1770000000001</v>
      </c>
      <c r="M42" s="62">
        <f>IF('Revenue w MYP'!$H41="","",IF('Cash Flow %s Yr4'!M42="","",'Cash Flow %s Yr4'!M42*'Revenue w MYP'!$H41))</f>
        <v>1874.1770000000001</v>
      </c>
      <c r="N42" s="62">
        <f>IF('Revenue w MYP'!$H41="","",IF('Cash Flow %s Yr4'!N42="","",'Cash Flow %s Yr4'!N42*'Revenue w MYP'!$H41))</f>
        <v>1874.1770000000001</v>
      </c>
      <c r="O42" s="62">
        <f>IF('Revenue w MYP'!$H41="","",IF('Cash Flow %s Yr4'!O42="","",'Cash Flow %s Yr4'!O42*'Revenue w MYP'!$H41))</f>
        <v>1874.1770000000001</v>
      </c>
      <c r="P42" s="62">
        <f>IF('Revenue w MYP'!$H41="","",IF('Cash Flow %s Yr4'!P42="","",'Cash Flow %s Yr4'!P42*'Revenue w MYP'!$H41))</f>
        <v>0</v>
      </c>
      <c r="Q42" s="62">
        <f>IF('Revenue w MYP'!$H41="","",IF('Cash Flow %s Yr4'!Q42="","",'Cash Flow %s Yr4'!Q42*'Revenue w MYP'!$H41))</f>
        <v>0</v>
      </c>
      <c r="R42" s="62">
        <f>IF('Revenue w MYP'!$H41="","",IF('Cash Flow %s Yr4'!R42="","",'Cash Flow %s Yr4'!R42*'Revenue w MYP'!$H41))</f>
        <v>0</v>
      </c>
      <c r="S42" s="97">
        <f>IF(SUM(D42:R42)&gt;0,SUM(D42:R42)/'Revenue w MYP'!$H41,"")</f>
        <v>1</v>
      </c>
    </row>
    <row r="43" spans="1:19" s="31" customFormat="1" ht="17.75" x14ac:dyDescent="0.75">
      <c r="A43" s="29"/>
      <c r="B43" s="63" t="str">
        <f>'Revenue w MYP'!C42</f>
        <v>8785</v>
      </c>
      <c r="C43" s="63" t="str">
        <f>'Revenue w MYP'!D42</f>
        <v>CMO Management fee</v>
      </c>
      <c r="D43" s="62">
        <f>IF('Revenue w MYP'!$H42="","",IF('Cash Flow %s Yr4'!D43="","",'Cash Flow %s Yr4'!D43*'Revenue w MYP'!$H42))</f>
        <v>0</v>
      </c>
      <c r="E43" s="62">
        <f>IF('Revenue w MYP'!$H42="","",IF('Cash Flow %s Yr4'!E43="","",'Cash Flow %s Yr4'!E43*'Revenue w MYP'!$H42))</f>
        <v>0</v>
      </c>
      <c r="F43" s="62">
        <f>IF('Revenue w MYP'!$H42="","",IF('Cash Flow %s Yr4'!F43="","",'Cash Flow %s Yr4'!F43*'Revenue w MYP'!$H42))</f>
        <v>0</v>
      </c>
      <c r="G43" s="62">
        <f>IF('Revenue w MYP'!$H42="","",IF('Cash Flow %s Yr4'!G43="","",'Cash Flow %s Yr4'!G43*'Revenue w MYP'!$H42))</f>
        <v>0</v>
      </c>
      <c r="H43" s="62">
        <f>IF('Revenue w MYP'!$H42="","",IF('Cash Flow %s Yr4'!H43="","",'Cash Flow %s Yr4'!H43*'Revenue w MYP'!$H42))</f>
        <v>0</v>
      </c>
      <c r="I43" s="62">
        <f>IF('Revenue w MYP'!$H42="","",IF('Cash Flow %s Yr4'!I43="","",'Cash Flow %s Yr4'!I43*'Revenue w MYP'!$H42))</f>
        <v>0</v>
      </c>
      <c r="J43" s="62">
        <f>IF('Revenue w MYP'!$H42="","",IF('Cash Flow %s Yr4'!J43="","",'Cash Flow %s Yr4'!J43*'Revenue w MYP'!$H42))</f>
        <v>0</v>
      </c>
      <c r="K43" s="62">
        <f>IF('Revenue w MYP'!$H42="","",IF('Cash Flow %s Yr4'!K43="","",'Cash Flow %s Yr4'!K43*'Revenue w MYP'!$H42))</f>
        <v>0</v>
      </c>
      <c r="L43" s="62">
        <f>IF('Revenue w MYP'!$H42="","",IF('Cash Flow %s Yr4'!L43="","",'Cash Flow %s Yr4'!L43*'Revenue w MYP'!$H42))</f>
        <v>0</v>
      </c>
      <c r="M43" s="62">
        <f>IF('Revenue w MYP'!$H42="","",IF('Cash Flow %s Yr4'!M43="","",'Cash Flow %s Yr4'!M43*'Revenue w MYP'!$H42))</f>
        <v>0</v>
      </c>
      <c r="N43" s="62">
        <f>IF('Revenue w MYP'!$H42="","",IF('Cash Flow %s Yr4'!N43="","",'Cash Flow %s Yr4'!N43*'Revenue w MYP'!$H42))</f>
        <v>0</v>
      </c>
      <c r="O43" s="62">
        <f>IF('Revenue w MYP'!$H42="","",IF('Cash Flow %s Yr4'!O43="","",'Cash Flow %s Yr4'!O43*'Revenue w MYP'!$H42))</f>
        <v>0</v>
      </c>
      <c r="P43" s="62">
        <f>IF('Revenue w MYP'!$H42="","",IF('Cash Flow %s Yr4'!P43="","",'Cash Flow %s Yr4'!P43*'Revenue w MYP'!$H42))</f>
        <v>0</v>
      </c>
      <c r="Q43" s="62">
        <f>IF('Revenue w MYP'!$H42="","",IF('Cash Flow %s Yr4'!Q43="","",'Cash Flow %s Yr4'!Q43*'Revenue w MYP'!$H42))</f>
        <v>0</v>
      </c>
      <c r="R43" s="62">
        <f>IF('Revenue w MYP'!$H42="","",IF('Cash Flow %s Yr4'!R43="","",'Cash Flow %s Yr4'!R43*'Revenue w MYP'!$H42))</f>
        <v>0</v>
      </c>
      <c r="S43" s="97" t="str">
        <f>IF(SUM(D43:R43)&gt;0,SUM(D43:R43)/'Revenue w MYP'!$H42,"")</f>
        <v/>
      </c>
    </row>
    <row r="44" spans="1:19" s="31" customFormat="1" ht="17.75" x14ac:dyDescent="0.75">
      <c r="A44" s="29"/>
      <c r="B44" s="63" t="str">
        <f>'Revenue w MYP'!C43</f>
        <v>8792</v>
      </c>
      <c r="C44" s="63" t="str">
        <f>'Revenue w MYP'!D43</f>
        <v>SPED State / Other Transfers from County</v>
      </c>
      <c r="D44" s="62">
        <f>IF('Revenue w MYP'!$H43="","",IF('Cash Flow %s Yr4'!D44="","",'Cash Flow %s Yr4'!D44*'Revenue w MYP'!$H43))</f>
        <v>0</v>
      </c>
      <c r="E44" s="62">
        <f>IF('Revenue w MYP'!$H43="","",IF('Cash Flow %s Yr4'!E44="","",'Cash Flow %s Yr4'!E44*'Revenue w MYP'!$H43))</f>
        <v>0</v>
      </c>
      <c r="F44" s="62">
        <f>IF('Revenue w MYP'!$H43="","",IF('Cash Flow %s Yr4'!F44="","",'Cash Flow %s Yr4'!F44*'Revenue w MYP'!$H43))</f>
        <v>80465.08759340801</v>
      </c>
      <c r="G44" s="62">
        <f>IF('Revenue w MYP'!$H43="","",IF('Cash Flow %s Yr4'!G44="","",'Cash Flow %s Yr4'!G44*'Revenue w MYP'!$H43))</f>
        <v>80465.08759340801</v>
      </c>
      <c r="H44" s="62">
        <f>IF('Revenue w MYP'!$H43="","",IF('Cash Flow %s Yr4'!H44="","",'Cash Flow %s Yr4'!H44*'Revenue w MYP'!$H43))</f>
        <v>80465.08759340801</v>
      </c>
      <c r="I44" s="62">
        <f>IF('Revenue w MYP'!$H43="","",IF('Cash Flow %s Yr4'!I44="","",'Cash Flow %s Yr4'!I44*'Revenue w MYP'!$H43))</f>
        <v>80465.08759340801</v>
      </c>
      <c r="J44" s="62">
        <f>IF('Revenue w MYP'!$H43="","",IF('Cash Flow %s Yr4'!J44="","",'Cash Flow %s Yr4'!J44*'Revenue w MYP'!$H43))</f>
        <v>80465.08759340801</v>
      </c>
      <c r="K44" s="62">
        <f>IF('Revenue w MYP'!$H43="","",IF('Cash Flow %s Yr4'!K44="","",'Cash Flow %s Yr4'!K44*'Revenue w MYP'!$H43))</f>
        <v>80465.08759340801</v>
      </c>
      <c r="L44" s="62">
        <f>IF('Revenue w MYP'!$H43="","",IF('Cash Flow %s Yr4'!L44="","",'Cash Flow %s Yr4'!L44*'Revenue w MYP'!$H43))</f>
        <v>80465.08759340801</v>
      </c>
      <c r="M44" s="62">
        <f>IF('Revenue w MYP'!$H43="","",IF('Cash Flow %s Yr4'!M44="","",'Cash Flow %s Yr4'!M44*'Revenue w MYP'!$H43))</f>
        <v>80465.08759340801</v>
      </c>
      <c r="N44" s="62">
        <f>IF('Revenue w MYP'!$H43="","",IF('Cash Flow %s Yr4'!N44="","",'Cash Flow %s Yr4'!N44*'Revenue w MYP'!$H43))</f>
        <v>80465.08759340801</v>
      </c>
      <c r="O44" s="62">
        <f>IF('Revenue w MYP'!$H43="","",IF('Cash Flow %s Yr4'!O44="","",'Cash Flow %s Yr4'!O44*'Revenue w MYP'!$H43))</f>
        <v>80465.08759340801</v>
      </c>
      <c r="P44" s="62">
        <f>IF('Revenue w MYP'!$H43="","",IF('Cash Flow %s Yr4'!P44="","",'Cash Flow %s Yr4'!P44*'Revenue w MYP'!$H43))</f>
        <v>0</v>
      </c>
      <c r="Q44" s="62">
        <f>IF('Revenue w MYP'!$H43="","",IF('Cash Flow %s Yr4'!Q44="","",'Cash Flow %s Yr4'!Q44*'Revenue w MYP'!$H43))</f>
        <v>0</v>
      </c>
      <c r="R44" s="62">
        <f>IF('Revenue w MYP'!$H43="","",IF('Cash Flow %s Yr4'!R44="","",'Cash Flow %s Yr4'!R44*'Revenue w MYP'!$H43))</f>
        <v>0</v>
      </c>
      <c r="S44" s="97">
        <f>IF(SUM(D44:R44)&gt;0,SUM(D44:R44)/'Revenue w MYP'!$H43,"")</f>
        <v>1.0000000000000002</v>
      </c>
    </row>
    <row r="45" spans="1:19" s="31" customFormat="1" ht="17.75" x14ac:dyDescent="0.75">
      <c r="A45" s="29"/>
      <c r="B45" s="63" t="str">
        <f>'Revenue w MYP'!C44</f>
        <v>8639</v>
      </c>
      <c r="C45" s="63" t="str">
        <f>'Revenue w MYP'!D44</f>
        <v>Student Lunch Revenue</v>
      </c>
      <c r="D45" s="62">
        <f>IF('Revenue w MYP'!$H44="","",IF('Cash Flow %s Yr4'!D47="","",'Cash Flow %s Yr4'!D47*'Revenue w MYP'!$H44))</f>
        <v>0</v>
      </c>
      <c r="E45" s="62">
        <f>IF('Revenue w MYP'!$H44="","",IF('Cash Flow %s Yr4'!E47="","",'Cash Flow %s Yr4'!E47*'Revenue w MYP'!$H44))</f>
        <v>0</v>
      </c>
      <c r="F45" s="62">
        <f>IF('Revenue w MYP'!$H44="","",IF('Cash Flow %s Yr4'!F47="","",'Cash Flow %s Yr4'!F47*'Revenue w MYP'!$H44))</f>
        <v>0</v>
      </c>
      <c r="G45" s="62">
        <f>IF('Revenue w MYP'!$H44="","",IF('Cash Flow %s Yr4'!G47="","",'Cash Flow %s Yr4'!G47*'Revenue w MYP'!$H44))</f>
        <v>0</v>
      </c>
      <c r="H45" s="62">
        <f>IF('Revenue w MYP'!$H44="","",IF('Cash Flow %s Yr4'!H47="","",'Cash Flow %s Yr4'!H47*'Revenue w MYP'!$H44))</f>
        <v>0</v>
      </c>
      <c r="I45" s="62">
        <f>IF('Revenue w MYP'!$H44="","",IF('Cash Flow %s Yr4'!I47="","",'Cash Flow %s Yr4'!I47*'Revenue w MYP'!$H44))</f>
        <v>0</v>
      </c>
      <c r="J45" s="62">
        <f>IF('Revenue w MYP'!$H44="","",IF('Cash Flow %s Yr4'!J47="","",'Cash Flow %s Yr4'!J47*'Revenue w MYP'!$H44))</f>
        <v>0</v>
      </c>
      <c r="K45" s="62">
        <f>IF('Revenue w MYP'!$H44="","",IF('Cash Flow %s Yr4'!K47="","",'Cash Flow %s Yr4'!K47*'Revenue w MYP'!$H44))</f>
        <v>0</v>
      </c>
      <c r="L45" s="62">
        <f>IF('Revenue w MYP'!$H44="","",IF('Cash Flow %s Yr4'!L47="","",'Cash Flow %s Yr4'!L47*'Revenue w MYP'!$H44))</f>
        <v>0</v>
      </c>
      <c r="M45" s="62">
        <f>IF('Revenue w MYP'!$H44="","",IF('Cash Flow %s Yr4'!M47="","",'Cash Flow %s Yr4'!M47*'Revenue w MYP'!$H44))</f>
        <v>0</v>
      </c>
      <c r="N45" s="62">
        <f>IF('Revenue w MYP'!$H44="","",IF('Cash Flow %s Yr4'!N47="","",'Cash Flow %s Yr4'!N47*'Revenue w MYP'!$H44))</f>
        <v>0</v>
      </c>
      <c r="O45" s="62">
        <f>IF('Revenue w MYP'!$H44="","",IF('Cash Flow %s Yr4'!O47="","",'Cash Flow %s Yr4'!O47*'Revenue w MYP'!$H44))</f>
        <v>0</v>
      </c>
      <c r="P45" s="62">
        <f>IF('Revenue w MYP'!$H44="","",IF('Cash Flow %s Yr4'!P47="","",'Cash Flow %s Yr4'!P47*'Revenue w MYP'!$H44))</f>
        <v>0</v>
      </c>
      <c r="Q45" s="62">
        <f>IF('Revenue w MYP'!$H44="","",IF('Cash Flow %s Yr4'!Q47="","",'Cash Flow %s Yr4'!Q47*'Revenue w MYP'!$H44))</f>
        <v>0</v>
      </c>
      <c r="R45" s="62">
        <f>IF('Revenue w MYP'!$H44="","",IF('Cash Flow %s Yr4'!R47="","",'Cash Flow %s Yr4'!R47*'Revenue w MYP'!$H44))</f>
        <v>0</v>
      </c>
      <c r="S45" s="97" t="str">
        <f>IF(SUM(D45:R45)&gt;0,SUM(D45:R45)/'Revenue w MYP'!$H44,"")</f>
        <v/>
      </c>
    </row>
    <row r="46" spans="1:19" s="31" customFormat="1" ht="17.75" x14ac:dyDescent="0.75">
      <c r="A46" s="29"/>
      <c r="B46" s="63" t="str">
        <f>'Revenue w MYP'!C45</f>
        <v>8986</v>
      </c>
      <c r="C46" s="63" t="str">
        <f>'Revenue w MYP'!D45</f>
        <v>Rental Income</v>
      </c>
      <c r="D46" s="62" t="str">
        <f>IF('Revenue w MYP'!$H45="","",IF('Cash Flow %s Yr4'!D48="","",'Cash Flow %s Yr4'!D48*'Revenue w MYP'!$H45))</f>
        <v/>
      </c>
      <c r="E46" s="62" t="str">
        <f>IF('Revenue w MYP'!$H45="","",IF('Cash Flow %s Yr4'!E48="","",'Cash Flow %s Yr4'!E48*'Revenue w MYP'!$H45))</f>
        <v/>
      </c>
      <c r="F46" s="62" t="str">
        <f>IF('Revenue w MYP'!$H45="","",IF('Cash Flow %s Yr4'!F48="","",'Cash Flow %s Yr4'!F48*'Revenue w MYP'!$H45))</f>
        <v/>
      </c>
      <c r="G46" s="62" t="str">
        <f>IF('Revenue w MYP'!$H45="","",IF('Cash Flow %s Yr4'!G48="","",'Cash Flow %s Yr4'!G48*'Revenue w MYP'!$H45))</f>
        <v/>
      </c>
      <c r="H46" s="62" t="str">
        <f>IF('Revenue w MYP'!$H45="","",IF('Cash Flow %s Yr4'!H48="","",'Cash Flow %s Yr4'!H48*'Revenue w MYP'!$H45))</f>
        <v/>
      </c>
      <c r="I46" s="62" t="str">
        <f>IF('Revenue w MYP'!$H45="","",IF('Cash Flow %s Yr4'!I48="","",'Cash Flow %s Yr4'!I48*'Revenue w MYP'!$H45))</f>
        <v/>
      </c>
      <c r="J46" s="62" t="str">
        <f>IF('Revenue w MYP'!$H45="","",IF('Cash Flow %s Yr4'!J48="","",'Cash Flow %s Yr4'!J48*'Revenue w MYP'!$H45))</f>
        <v/>
      </c>
      <c r="K46" s="62" t="str">
        <f>IF('Revenue w MYP'!$H45="","",IF('Cash Flow %s Yr4'!K48="","",'Cash Flow %s Yr4'!K48*'Revenue w MYP'!$H45))</f>
        <v/>
      </c>
      <c r="L46" s="62" t="str">
        <f>IF('Revenue w MYP'!$H45="","",IF('Cash Flow %s Yr4'!L48="","",'Cash Flow %s Yr4'!L48*'Revenue w MYP'!$H45))</f>
        <v/>
      </c>
      <c r="M46" s="62" t="str">
        <f>IF('Revenue w MYP'!$H45="","",IF('Cash Flow %s Yr4'!M48="","",'Cash Flow %s Yr4'!M48*'Revenue w MYP'!$H45))</f>
        <v/>
      </c>
      <c r="N46" s="62" t="str">
        <f>IF('Revenue w MYP'!$H45="","",IF('Cash Flow %s Yr4'!N48="","",'Cash Flow %s Yr4'!N48*'Revenue w MYP'!$H45))</f>
        <v/>
      </c>
      <c r="O46" s="62" t="str">
        <f>IF('Revenue w MYP'!$H45="","",IF('Cash Flow %s Yr4'!O48="","",'Cash Flow %s Yr4'!O48*'Revenue w MYP'!$H45))</f>
        <v/>
      </c>
      <c r="P46" s="62" t="str">
        <f>IF('Revenue w MYP'!$H45="","",IF('Cash Flow %s Yr4'!P48="","",'Cash Flow %s Yr4'!P48*'Revenue w MYP'!$H45))</f>
        <v/>
      </c>
      <c r="Q46" s="62" t="str">
        <f>IF('Revenue w MYP'!$H45="","",IF('Cash Flow %s Yr4'!Q48="","",'Cash Flow %s Yr4'!Q48*'Revenue w MYP'!$H45))</f>
        <v/>
      </c>
      <c r="R46" s="62" t="str">
        <f>IF('Revenue w MYP'!$H45="","",IF('Cash Flow %s Yr4'!R48="","",'Cash Flow %s Yr4'!R48*'Revenue w MYP'!$H45))</f>
        <v/>
      </c>
      <c r="S46" s="97" t="str">
        <f>IF(SUM(D46:R46)&gt;0,SUM(D46:R46)/'Revenue w MYP'!$H45,"")</f>
        <v/>
      </c>
    </row>
    <row r="47" spans="1:19" s="31" customFormat="1" ht="17.75" x14ac:dyDescent="0.75">
      <c r="A47" s="29"/>
      <c r="B47" s="63" t="str">
        <f>'Revenue w MYP'!C47</f>
        <v>8662</v>
      </c>
      <c r="C47" s="63" t="str">
        <f>'Revenue w MYP'!D47</f>
        <v>Increase/Decrease in Investment</v>
      </c>
      <c r="D47" s="62" t="str">
        <f>IF('Revenue w MYP'!$H47="","",IF('Cash Flow %s Yr4'!D50="","",'Cash Flow %s Yr4'!D50*'Revenue w MYP'!$H47))</f>
        <v/>
      </c>
      <c r="E47" s="62" t="str">
        <f>IF('Revenue w MYP'!$H47="","",IF('Cash Flow %s Yr4'!E50="","",'Cash Flow %s Yr4'!E50*'Revenue w MYP'!$H47))</f>
        <v/>
      </c>
      <c r="F47" s="62" t="str">
        <f>IF('Revenue w MYP'!$H47="","",IF('Cash Flow %s Yr4'!F50="","",'Cash Flow %s Yr4'!F50*'Revenue w MYP'!$H47))</f>
        <v/>
      </c>
      <c r="G47" s="62" t="str">
        <f>IF('Revenue w MYP'!$H47="","",IF('Cash Flow %s Yr4'!G50="","",'Cash Flow %s Yr4'!G50*'Revenue w MYP'!$H47))</f>
        <v/>
      </c>
      <c r="H47" s="62" t="str">
        <f>IF('Revenue w MYP'!$H47="","",IF('Cash Flow %s Yr4'!H50="","",'Cash Flow %s Yr4'!H50*'Revenue w MYP'!$H47))</f>
        <v/>
      </c>
      <c r="I47" s="62" t="str">
        <f>IF('Revenue w MYP'!$H47="","",IF('Cash Flow %s Yr4'!I50="","",'Cash Flow %s Yr4'!I50*'Revenue w MYP'!$H47))</f>
        <v/>
      </c>
      <c r="J47" s="62" t="str">
        <f>IF('Revenue w MYP'!$H47="","",IF('Cash Flow %s Yr4'!J50="","",'Cash Flow %s Yr4'!J50*'Revenue w MYP'!$H47))</f>
        <v/>
      </c>
      <c r="K47" s="62" t="str">
        <f>IF('Revenue w MYP'!$H47="","",IF('Cash Flow %s Yr4'!K50="","",'Cash Flow %s Yr4'!K50*'Revenue w MYP'!$H47))</f>
        <v/>
      </c>
      <c r="L47" s="62" t="str">
        <f>IF('Revenue w MYP'!$H47="","",IF('Cash Flow %s Yr4'!L50="","",'Cash Flow %s Yr4'!L50*'Revenue w MYP'!$H47))</f>
        <v/>
      </c>
      <c r="M47" s="62" t="str">
        <f>IF('Revenue w MYP'!$H47="","",IF('Cash Flow %s Yr4'!M50="","",'Cash Flow %s Yr4'!M50*'Revenue w MYP'!$H47))</f>
        <v/>
      </c>
      <c r="N47" s="62" t="str">
        <f>IF('Revenue w MYP'!$H47="","",IF('Cash Flow %s Yr4'!N50="","",'Cash Flow %s Yr4'!N50*'Revenue w MYP'!$H47))</f>
        <v/>
      </c>
      <c r="O47" s="62" t="str">
        <f>IF('Revenue w MYP'!$H47="","",IF('Cash Flow %s Yr4'!O50="","",'Cash Flow %s Yr4'!O50*'Revenue w MYP'!$H47))</f>
        <v/>
      </c>
      <c r="P47" s="62" t="str">
        <f>IF('Revenue w MYP'!$H47="","",IF('Cash Flow %s Yr4'!P50="","",'Cash Flow %s Yr4'!P50*'Revenue w MYP'!$H47))</f>
        <v/>
      </c>
      <c r="Q47" s="62" t="str">
        <f>IF('Revenue w MYP'!$H47="","",IF('Cash Flow %s Yr4'!Q50="","",'Cash Flow %s Yr4'!Q50*'Revenue w MYP'!$H47))</f>
        <v/>
      </c>
      <c r="R47" s="62" t="str">
        <f>IF('Revenue w MYP'!$H47="","",IF('Cash Flow %s Yr4'!R50="","",'Cash Flow %s Yr4'!R50*'Revenue w MYP'!$H47))</f>
        <v/>
      </c>
      <c r="S47" s="97" t="str">
        <f>IF(SUM(D47:R47)&gt;0,SUM(D47:R47)/'Revenue w MYP'!$H47,"")</f>
        <v/>
      </c>
    </row>
    <row r="48" spans="1:19" s="31" customFormat="1" ht="17.75" x14ac:dyDescent="0.75">
      <c r="A48" s="29"/>
      <c r="B48" s="69"/>
      <c r="C48" s="34" t="s">
        <v>719</v>
      </c>
      <c r="D48" s="167">
        <f t="shared" ref="D48:R48" si="2">SUM(D36:D47)</f>
        <v>3376.7885999999999</v>
      </c>
      <c r="E48" s="167">
        <f t="shared" si="2"/>
        <v>3376.7885999999999</v>
      </c>
      <c r="F48" s="167">
        <f t="shared" si="2"/>
        <v>85716.053193408006</v>
      </c>
      <c r="G48" s="167">
        <f t="shared" si="2"/>
        <v>85716.053193408006</v>
      </c>
      <c r="H48" s="167">
        <f t="shared" si="2"/>
        <v>85716.053193408006</v>
      </c>
      <c r="I48" s="167">
        <f t="shared" si="2"/>
        <v>85716.053193408006</v>
      </c>
      <c r="J48" s="167">
        <f t="shared" si="2"/>
        <v>85716.053193408006</v>
      </c>
      <c r="K48" s="167">
        <f t="shared" si="2"/>
        <v>85716.053193408006</v>
      </c>
      <c r="L48" s="167">
        <f t="shared" si="2"/>
        <v>85756.73739340801</v>
      </c>
      <c r="M48" s="167">
        <f t="shared" si="2"/>
        <v>85756.73739340801</v>
      </c>
      <c r="N48" s="167">
        <f t="shared" si="2"/>
        <v>85756.73739340801</v>
      </c>
      <c r="O48" s="167">
        <f t="shared" si="2"/>
        <v>85756.73739340801</v>
      </c>
      <c r="P48" s="167">
        <f t="shared" si="2"/>
        <v>0</v>
      </c>
      <c r="Q48" s="167">
        <f t="shared" si="2"/>
        <v>0</v>
      </c>
      <c r="R48" s="167">
        <f t="shared" si="2"/>
        <v>0</v>
      </c>
      <c r="S48" s="94"/>
    </row>
    <row r="49" spans="1:19" s="31" customFormat="1" ht="17.75" x14ac:dyDescent="0.75">
      <c r="A49" s="29"/>
      <c r="B49" s="47" t="s">
        <v>675</v>
      </c>
      <c r="C49" s="48"/>
      <c r="D49" s="168" t="e">
        <f t="shared" ref="D49:R49" si="3">SUM(D48,D33,D22)</f>
        <v>#VALUE!</v>
      </c>
      <c r="E49" s="168">
        <f t="shared" si="3"/>
        <v>310896.10447833897</v>
      </c>
      <c r="F49" s="168">
        <f t="shared" si="3"/>
        <v>483268.09663190698</v>
      </c>
      <c r="G49" s="168">
        <f t="shared" si="3"/>
        <v>1158248.6087329006</v>
      </c>
      <c r="H49" s="168">
        <f t="shared" si="3"/>
        <v>618840.34033317806</v>
      </c>
      <c r="I49" s="168">
        <f t="shared" si="3"/>
        <v>618840.34033317806</v>
      </c>
      <c r="J49" s="168">
        <f t="shared" si="3"/>
        <v>1337204.6787329006</v>
      </c>
      <c r="K49" s="168">
        <f t="shared" si="3"/>
        <v>618840.34033317806</v>
      </c>
      <c r="L49" s="168">
        <f t="shared" si="3"/>
        <v>977381.61816828523</v>
      </c>
      <c r="M49" s="168">
        <f t="shared" si="3"/>
        <v>1963519.6820764416</v>
      </c>
      <c r="N49" s="168">
        <f t="shared" si="3"/>
        <v>825465.74937702087</v>
      </c>
      <c r="O49" s="168">
        <f t="shared" si="3"/>
        <v>1004421.8193770209</v>
      </c>
      <c r="P49" s="168">
        <f t="shared" si="3"/>
        <v>1506107.9845894102</v>
      </c>
      <c r="Q49" s="168">
        <f t="shared" si="3"/>
        <v>0</v>
      </c>
      <c r="R49" s="168">
        <f t="shared" si="3"/>
        <v>0</v>
      </c>
      <c r="S49" s="94"/>
    </row>
    <row r="50" spans="1:19" s="31" customFormat="1" ht="17.75" x14ac:dyDescent="0.75">
      <c r="A50" s="29"/>
      <c r="B50" s="69"/>
      <c r="C50" s="48"/>
      <c r="D50" s="111"/>
      <c r="E50" s="111"/>
      <c r="F50" s="111"/>
      <c r="G50" s="111"/>
      <c r="H50" s="111"/>
      <c r="I50" s="111"/>
      <c r="J50" s="111"/>
      <c r="K50" s="111"/>
      <c r="L50" s="111"/>
      <c r="M50" s="111"/>
      <c r="N50" s="111"/>
      <c r="O50" s="111"/>
      <c r="P50" s="111"/>
      <c r="Q50" s="111"/>
      <c r="R50" s="111"/>
    </row>
    <row r="51" spans="1:19" s="31" customFormat="1" ht="17.75" x14ac:dyDescent="0.75">
      <c r="A51" s="29" t="s">
        <v>796</v>
      </c>
      <c r="B51" s="70"/>
      <c r="C51" s="34"/>
      <c r="D51" s="112"/>
      <c r="E51" s="112"/>
      <c r="F51" s="112"/>
      <c r="G51" s="112"/>
      <c r="H51" s="112"/>
      <c r="I51" s="112"/>
      <c r="J51" s="112"/>
      <c r="K51" s="112"/>
      <c r="L51" s="112"/>
      <c r="M51" s="112"/>
      <c r="N51" s="112"/>
      <c r="O51" s="112"/>
      <c r="P51" s="112"/>
      <c r="Q51" s="112"/>
      <c r="R51" s="112"/>
    </row>
    <row r="52" spans="1:19" x14ac:dyDescent="0.75">
      <c r="A52" s="1"/>
      <c r="B52" s="34" t="s">
        <v>731</v>
      </c>
      <c r="C52" s="2"/>
      <c r="D52" s="94"/>
      <c r="E52" s="94"/>
      <c r="F52" s="94"/>
      <c r="G52" s="94"/>
      <c r="H52" s="94"/>
      <c r="I52" s="94"/>
      <c r="J52" s="94"/>
      <c r="K52" s="94"/>
      <c r="L52" s="94"/>
      <c r="M52" s="94"/>
      <c r="N52" s="94"/>
      <c r="O52" s="94"/>
      <c r="P52" s="94"/>
      <c r="Q52" s="94"/>
      <c r="R52" s="94"/>
    </row>
    <row r="53" spans="1:19" x14ac:dyDescent="0.75">
      <c r="A53" s="35"/>
      <c r="B53" s="65" t="str">
        <f>'Expenses w MYP'!C8</f>
        <v>1100</v>
      </c>
      <c r="C53" s="65" t="str">
        <f>'Expenses w MYP'!D8</f>
        <v>Teachers' Salaries</v>
      </c>
      <c r="D53" s="62">
        <f ca="1">IF('Expenses w MYP'!$H8="","",IF('Cash Flow %s Yr4'!D53="","",'Cash Flow %s Yr4'!D53*'Expenses w MYP'!$H8))</f>
        <v>0</v>
      </c>
      <c r="E53" s="62">
        <f ca="1">IF('Expenses w MYP'!$H8="","",IF('Cash Flow %s Yr4'!E53="","",'Cash Flow %s Yr4'!E53*'Expenses w MYP'!$H8))</f>
        <v>0</v>
      </c>
      <c r="F53" s="62">
        <f ca="1">IF('Expenses w MYP'!$H8="","",IF('Cash Flow %s Yr4'!F53="","",'Cash Flow %s Yr4'!F53*'Expenses w MYP'!$H8))</f>
        <v>392782.30546399928</v>
      </c>
      <c r="G53" s="62">
        <f ca="1">IF('Expenses w MYP'!$H8="","",IF('Cash Flow %s Yr4'!G53="","",'Cash Flow %s Yr4'!G53*'Expenses w MYP'!$H8))</f>
        <v>392782.30546399928</v>
      </c>
      <c r="H53" s="62">
        <f ca="1">IF('Expenses w MYP'!$H8="","",IF('Cash Flow %s Yr4'!H53="","",'Cash Flow %s Yr4'!H53*'Expenses w MYP'!$H8))</f>
        <v>392782.30546399928</v>
      </c>
      <c r="I53" s="62">
        <f ca="1">IF('Expenses w MYP'!$H8="","",IF('Cash Flow %s Yr4'!I53="","",'Cash Flow %s Yr4'!I53*'Expenses w MYP'!$H8))</f>
        <v>392782.30546399928</v>
      </c>
      <c r="J53" s="62">
        <f ca="1">IF('Expenses w MYP'!$H8="","",IF('Cash Flow %s Yr4'!J53="","",'Cash Flow %s Yr4'!J53*'Expenses w MYP'!$H8))</f>
        <v>392782.30546399928</v>
      </c>
      <c r="K53" s="62">
        <f ca="1">IF('Expenses w MYP'!$H8="","",IF('Cash Flow %s Yr4'!K53="","",'Cash Flow %s Yr4'!K53*'Expenses w MYP'!$H8))</f>
        <v>392782.30546399928</v>
      </c>
      <c r="L53" s="62">
        <f ca="1">IF('Expenses w MYP'!$H8="","",IF('Cash Flow %s Yr4'!L53="","",'Cash Flow %s Yr4'!L53*'Expenses w MYP'!$H8))</f>
        <v>392782.30546399928</v>
      </c>
      <c r="M53" s="62">
        <f ca="1">IF('Expenses w MYP'!$H8="","",IF('Cash Flow %s Yr4'!M53="","",'Cash Flow %s Yr4'!M53*'Expenses w MYP'!$H8))</f>
        <v>392782.30546399928</v>
      </c>
      <c r="N53" s="62">
        <f ca="1">IF('Expenses w MYP'!$H8="","",IF('Cash Flow %s Yr4'!N53="","",'Cash Flow %s Yr4'!N53*'Expenses w MYP'!$H8))</f>
        <v>392782.30546399928</v>
      </c>
      <c r="O53" s="62">
        <f ca="1">IF('Expenses w MYP'!$H8="","",IF('Cash Flow %s Yr4'!O53="","",'Cash Flow %s Yr4'!O53*'Expenses w MYP'!$H8))</f>
        <v>392782.30546399928</v>
      </c>
      <c r="P53" s="113"/>
      <c r="Q53" s="113"/>
      <c r="R53" s="113"/>
      <c r="S53" s="97">
        <f ca="1">IF(SUM(D53:R53)&gt;0,SUM(D53:R53)/'Expenses w MYP'!$H8,"")</f>
        <v>1.0000000000000002</v>
      </c>
    </row>
    <row r="54" spans="1:19" x14ac:dyDescent="0.75">
      <c r="A54" s="35"/>
      <c r="B54" s="65" t="str">
        <f>'Expenses w MYP'!C9</f>
        <v>1105</v>
      </c>
      <c r="C54" s="65" t="str">
        <f>'Expenses w MYP'!D9</f>
        <v>Teachers' Stipends / Bonus</v>
      </c>
      <c r="D54" s="62">
        <f ca="1">IF('Expenses w MYP'!$H9="","",IF('Cash Flow %s Yr4'!D54="","",'Cash Flow %s Yr4'!D54*'Expenses w MYP'!$H9))</f>
        <v>0</v>
      </c>
      <c r="E54" s="62">
        <f ca="1">IF('Expenses w MYP'!$H9="","",IF('Cash Flow %s Yr4'!E54="","",'Cash Flow %s Yr4'!E54*'Expenses w MYP'!$H9))</f>
        <v>0</v>
      </c>
      <c r="F54" s="62">
        <f ca="1">IF('Expenses w MYP'!$H9="","",IF('Cash Flow %s Yr4'!F54="","",'Cash Flow %s Yr4'!F54*'Expenses w MYP'!$H9))</f>
        <v>0</v>
      </c>
      <c r="G54" s="62">
        <f ca="1">IF('Expenses w MYP'!$H9="","",IF('Cash Flow %s Yr4'!G54="","",'Cash Flow %s Yr4'!G54*'Expenses w MYP'!$H9))</f>
        <v>0</v>
      </c>
      <c r="H54" s="62">
        <f ca="1">IF('Expenses w MYP'!$H9="","",IF('Cash Flow %s Yr4'!H54="","",'Cash Flow %s Yr4'!H54*'Expenses w MYP'!$H9))</f>
        <v>0</v>
      </c>
      <c r="I54" s="62">
        <f ca="1">IF('Expenses w MYP'!$H9="","",IF('Cash Flow %s Yr4'!I54="","",'Cash Flow %s Yr4'!I54*'Expenses w MYP'!$H9))</f>
        <v>0</v>
      </c>
      <c r="J54" s="62">
        <f ca="1">IF('Expenses w MYP'!$H9="","",IF('Cash Flow %s Yr4'!J54="","",'Cash Flow %s Yr4'!J54*'Expenses w MYP'!$H9))</f>
        <v>0</v>
      </c>
      <c r="K54" s="62">
        <f ca="1">IF('Expenses w MYP'!$H9="","",IF('Cash Flow %s Yr4'!K54="","",'Cash Flow %s Yr4'!K54*'Expenses w MYP'!$H9))</f>
        <v>0</v>
      </c>
      <c r="L54" s="62">
        <f ca="1">IF('Expenses w MYP'!$H9="","",IF('Cash Flow %s Yr4'!L54="","",'Cash Flow %s Yr4'!L54*'Expenses w MYP'!$H9))</f>
        <v>0</v>
      </c>
      <c r="M54" s="62">
        <f ca="1">IF('Expenses w MYP'!$H9="","",IF('Cash Flow %s Yr4'!M54="","",'Cash Flow %s Yr4'!M54*'Expenses w MYP'!$H9))</f>
        <v>0</v>
      </c>
      <c r="N54" s="62">
        <f ca="1">IF('Expenses w MYP'!$H9="","",IF('Cash Flow %s Yr4'!N54="","",'Cash Flow %s Yr4'!N54*'Expenses w MYP'!$H9))</f>
        <v>0</v>
      </c>
      <c r="O54" s="62">
        <f ca="1">IF('Expenses w MYP'!$H9="","",IF('Cash Flow %s Yr4'!O54="","",'Cash Flow %s Yr4'!O54*'Expenses w MYP'!$H9))</f>
        <v>0</v>
      </c>
      <c r="P54" s="113"/>
      <c r="Q54" s="113"/>
      <c r="R54" s="113"/>
      <c r="S54" s="97" t="str">
        <f ca="1">IF(SUM(D54:R54)&gt;0,SUM(D54:R54)/'Expenses w MYP'!$H9,"")</f>
        <v/>
      </c>
    </row>
    <row r="55" spans="1:19" x14ac:dyDescent="0.75">
      <c r="A55" s="35"/>
      <c r="B55" s="65" t="str">
        <f>'Expenses w MYP'!C10</f>
        <v>1120</v>
      </c>
      <c r="C55" s="65" t="str">
        <f>'Expenses w MYP'!D10</f>
        <v>Substitute Expense</v>
      </c>
      <c r="D55" s="62">
        <f ca="1">IF('Expenses w MYP'!$H10="","",IF('Cash Flow %s Yr4'!D55="","",'Cash Flow %s Yr4'!D55*'Expenses w MYP'!$H10))</f>
        <v>0</v>
      </c>
      <c r="E55" s="62">
        <f ca="1">IF('Expenses w MYP'!$H10="","",IF('Cash Flow %s Yr4'!E55="","",'Cash Flow %s Yr4'!E55*'Expenses w MYP'!$H10))</f>
        <v>0</v>
      </c>
      <c r="F55" s="62">
        <f ca="1">IF('Expenses w MYP'!$H10="","",IF('Cash Flow %s Yr4'!F55="","",'Cash Flow %s Yr4'!F55*'Expenses w MYP'!$H10))</f>
        <v>0</v>
      </c>
      <c r="G55" s="62">
        <f ca="1">IF('Expenses w MYP'!$H10="","",IF('Cash Flow %s Yr4'!G55="","",'Cash Flow %s Yr4'!G55*'Expenses w MYP'!$H10))</f>
        <v>0</v>
      </c>
      <c r="H55" s="62">
        <f ca="1">IF('Expenses w MYP'!$H10="","",IF('Cash Flow %s Yr4'!H55="","",'Cash Flow %s Yr4'!H55*'Expenses w MYP'!$H10))</f>
        <v>0</v>
      </c>
      <c r="I55" s="62">
        <f ca="1">IF('Expenses w MYP'!$H10="","",IF('Cash Flow %s Yr4'!I55="","",'Cash Flow %s Yr4'!I55*'Expenses w MYP'!$H10))</f>
        <v>0</v>
      </c>
      <c r="J55" s="62">
        <f ca="1">IF('Expenses w MYP'!$H10="","",IF('Cash Flow %s Yr4'!J55="","",'Cash Flow %s Yr4'!J55*'Expenses w MYP'!$H10))</f>
        <v>0</v>
      </c>
      <c r="K55" s="62">
        <f ca="1">IF('Expenses w MYP'!$H10="","",IF('Cash Flow %s Yr4'!K55="","",'Cash Flow %s Yr4'!K55*'Expenses w MYP'!$H10))</f>
        <v>0</v>
      </c>
      <c r="L55" s="62">
        <f ca="1">IF('Expenses w MYP'!$H10="","",IF('Cash Flow %s Yr4'!L55="","",'Cash Flow %s Yr4'!L55*'Expenses w MYP'!$H10))</f>
        <v>0</v>
      </c>
      <c r="M55" s="62">
        <f ca="1">IF('Expenses w MYP'!$H10="","",IF('Cash Flow %s Yr4'!M55="","",'Cash Flow %s Yr4'!M55*'Expenses w MYP'!$H10))</f>
        <v>0</v>
      </c>
      <c r="N55" s="62">
        <f ca="1">IF('Expenses w MYP'!$H10="","",IF('Cash Flow %s Yr4'!N55="","",'Cash Flow %s Yr4'!N55*'Expenses w MYP'!$H10))</f>
        <v>0</v>
      </c>
      <c r="O55" s="62">
        <f ca="1">IF('Expenses w MYP'!$H10="","",IF('Cash Flow %s Yr4'!O55="","",'Cash Flow %s Yr4'!O55*'Expenses w MYP'!$H10))</f>
        <v>0</v>
      </c>
      <c r="P55" s="113"/>
      <c r="Q55" s="113"/>
      <c r="R55" s="113"/>
      <c r="S55" s="97" t="str">
        <f ca="1">IF(SUM(D55:R55)&gt;0,SUM(D55:R55)/'Expenses w MYP'!$H10,"")</f>
        <v/>
      </c>
    </row>
    <row r="56" spans="1:19" x14ac:dyDescent="0.75">
      <c r="A56" s="35"/>
      <c r="B56" s="65" t="str">
        <f>'Expenses w MYP'!C11</f>
        <v>1200</v>
      </c>
      <c r="C56" s="65" t="str">
        <f>'Expenses w MYP'!D11</f>
        <v>Certificated Pupil Support Salaries</v>
      </c>
      <c r="D56" s="62">
        <f ca="1">IF('Expenses w MYP'!$H11="","",IF('Cash Flow %s Yr4'!D56="","",'Cash Flow %s Yr4'!D56*'Expenses w MYP'!$H11))</f>
        <v>0</v>
      </c>
      <c r="E56" s="62">
        <f ca="1">IF('Expenses w MYP'!$H11="","",IF('Cash Flow %s Yr4'!E56="","",'Cash Flow %s Yr4'!E56*'Expenses w MYP'!$H11))</f>
        <v>0</v>
      </c>
      <c r="F56" s="62">
        <f ca="1">IF('Expenses w MYP'!$H11="","",IF('Cash Flow %s Yr4'!F56="","",'Cash Flow %s Yr4'!F56*'Expenses w MYP'!$H11))</f>
        <v>35979.295095014713</v>
      </c>
      <c r="G56" s="62">
        <f ca="1">IF('Expenses w MYP'!$H11="","",IF('Cash Flow %s Yr4'!G56="","",'Cash Flow %s Yr4'!G56*'Expenses w MYP'!$H11))</f>
        <v>35979.295095014713</v>
      </c>
      <c r="H56" s="62">
        <f ca="1">IF('Expenses w MYP'!$H11="","",IF('Cash Flow %s Yr4'!H56="","",'Cash Flow %s Yr4'!H56*'Expenses w MYP'!$H11))</f>
        <v>35979.295095014713</v>
      </c>
      <c r="I56" s="62">
        <f ca="1">IF('Expenses w MYP'!$H11="","",IF('Cash Flow %s Yr4'!I56="","",'Cash Flow %s Yr4'!I56*'Expenses w MYP'!$H11))</f>
        <v>35979.295095014713</v>
      </c>
      <c r="J56" s="62">
        <f ca="1">IF('Expenses w MYP'!$H11="","",IF('Cash Flow %s Yr4'!J56="","",'Cash Flow %s Yr4'!J56*'Expenses w MYP'!$H11))</f>
        <v>35979.295095014713</v>
      </c>
      <c r="K56" s="62">
        <f ca="1">IF('Expenses w MYP'!$H11="","",IF('Cash Flow %s Yr4'!K56="","",'Cash Flow %s Yr4'!K56*'Expenses w MYP'!$H11))</f>
        <v>35979.295095014713</v>
      </c>
      <c r="L56" s="62">
        <f ca="1">IF('Expenses w MYP'!$H11="","",IF('Cash Flow %s Yr4'!L56="","",'Cash Flow %s Yr4'!L56*'Expenses w MYP'!$H11))</f>
        <v>35979.295095014713</v>
      </c>
      <c r="M56" s="62">
        <f ca="1">IF('Expenses w MYP'!$H11="","",IF('Cash Flow %s Yr4'!M56="","",'Cash Flow %s Yr4'!M56*'Expenses w MYP'!$H11))</f>
        <v>35979.295095014713</v>
      </c>
      <c r="N56" s="62">
        <f ca="1">IF('Expenses w MYP'!$H11="","",IF('Cash Flow %s Yr4'!N56="","",'Cash Flow %s Yr4'!N56*'Expenses w MYP'!$H11))</f>
        <v>35979.295095014713</v>
      </c>
      <c r="O56" s="62">
        <f ca="1">IF('Expenses w MYP'!$H11="","",IF('Cash Flow %s Yr4'!O56="","",'Cash Flow %s Yr4'!O56*'Expenses w MYP'!$H11))</f>
        <v>35979.295095014713</v>
      </c>
      <c r="P56" s="113"/>
      <c r="Q56" s="113"/>
      <c r="R56" s="113"/>
      <c r="S56" s="97">
        <f ca="1">IF(SUM(D56:R56)&gt;0,SUM(D56:R56)/'Expenses w MYP'!$H11,"")</f>
        <v>1.0000000000000002</v>
      </c>
    </row>
    <row r="57" spans="1:19" x14ac:dyDescent="0.75">
      <c r="A57" s="35"/>
      <c r="B57" s="65" t="str">
        <f>'Expenses w MYP'!C12</f>
        <v>1300</v>
      </c>
      <c r="C57" s="65" t="str">
        <f>'Expenses w MYP'!D12</f>
        <v>Certificated Supervisor and Administrator Salaries</v>
      </c>
      <c r="D57" s="62">
        <f ca="1">IF('Expenses w MYP'!$H12="","",IF('Cash Flow %s Yr4'!D57="","",'Cash Flow %s Yr4'!D57*'Expenses w MYP'!$H12))</f>
        <v>50456.137647674572</v>
      </c>
      <c r="E57" s="62">
        <f ca="1">IF('Expenses w MYP'!$H12="","",IF('Cash Flow %s Yr4'!E57="","",'Cash Flow %s Yr4'!E57*'Expenses w MYP'!$H12))</f>
        <v>50456.137647674572</v>
      </c>
      <c r="F57" s="62">
        <f ca="1">IF('Expenses w MYP'!$H12="","",IF('Cash Flow %s Yr4'!F57="","",'Cash Flow %s Yr4'!F57*'Expenses w MYP'!$H12))</f>
        <v>50456.137647674572</v>
      </c>
      <c r="G57" s="62">
        <f ca="1">IF('Expenses w MYP'!$H12="","",IF('Cash Flow %s Yr4'!G57="","",'Cash Flow %s Yr4'!G57*'Expenses w MYP'!$H12))</f>
        <v>50456.137647674572</v>
      </c>
      <c r="H57" s="62">
        <f ca="1">IF('Expenses w MYP'!$H12="","",IF('Cash Flow %s Yr4'!H57="","",'Cash Flow %s Yr4'!H57*'Expenses w MYP'!$H12))</f>
        <v>50456.137647674572</v>
      </c>
      <c r="I57" s="62">
        <f ca="1">IF('Expenses w MYP'!$H12="","",IF('Cash Flow %s Yr4'!I57="","",'Cash Flow %s Yr4'!I57*'Expenses w MYP'!$H12))</f>
        <v>50456.137647674572</v>
      </c>
      <c r="J57" s="62">
        <f ca="1">IF('Expenses w MYP'!$H12="","",IF('Cash Flow %s Yr4'!J57="","",'Cash Flow %s Yr4'!J57*'Expenses w MYP'!$H12))</f>
        <v>50456.137647674572</v>
      </c>
      <c r="K57" s="62">
        <f ca="1">IF('Expenses w MYP'!$H12="","",IF('Cash Flow %s Yr4'!K57="","",'Cash Flow %s Yr4'!K57*'Expenses w MYP'!$H12))</f>
        <v>50456.137647674572</v>
      </c>
      <c r="L57" s="62">
        <f ca="1">IF('Expenses w MYP'!$H12="","",IF('Cash Flow %s Yr4'!L57="","",'Cash Flow %s Yr4'!L57*'Expenses w MYP'!$H12))</f>
        <v>51064.042920538122</v>
      </c>
      <c r="M57" s="62">
        <f ca="1">IF('Expenses w MYP'!$H12="","",IF('Cash Flow %s Yr4'!M57="","",'Cash Flow %s Yr4'!M57*'Expenses w MYP'!$H12))</f>
        <v>51064.042920538122</v>
      </c>
      <c r="N57" s="62">
        <f ca="1">IF('Expenses w MYP'!$H12="","",IF('Cash Flow %s Yr4'!N57="","",'Cash Flow %s Yr4'!N57*'Expenses w MYP'!$H12))</f>
        <v>51064.042920538122</v>
      </c>
      <c r="O57" s="62">
        <f ca="1">IF('Expenses w MYP'!$H12="","",IF('Cash Flow %s Yr4'!O57="","",'Cash Flow %s Yr4'!O57*'Expenses w MYP'!$H12))</f>
        <v>51064.042920538122</v>
      </c>
      <c r="P57" s="113"/>
      <c r="Q57" s="113"/>
      <c r="R57" s="113"/>
      <c r="S57" s="97">
        <f ca="1">IF(SUM(D57:R57)&gt;0,SUM(D57:R57)/'Expenses w MYP'!$H12,"")</f>
        <v>1</v>
      </c>
    </row>
    <row r="58" spans="1:19" x14ac:dyDescent="0.75">
      <c r="A58" s="35"/>
      <c r="B58" s="65" t="str">
        <f>'Expenses w MYP'!C13</f>
        <v>1305</v>
      </c>
      <c r="C58" s="65" t="str">
        <f>'Expenses w MYP'!D13</f>
        <v>Certificated Sup. and Admin. Stipends / Bonus</v>
      </c>
      <c r="D58" s="62">
        <f ca="1">IF('Expenses w MYP'!$H13="","",IF('Cash Flow %s Yr4'!D58="","",'Cash Flow %s Yr4'!D58*'Expenses w MYP'!$H13))</f>
        <v>0</v>
      </c>
      <c r="E58" s="62">
        <f ca="1">IF('Expenses w MYP'!$H13="","",IF('Cash Flow %s Yr4'!E58="","",'Cash Flow %s Yr4'!E58*'Expenses w MYP'!$H13))</f>
        <v>0</v>
      </c>
      <c r="F58" s="62">
        <f ca="1">IF('Expenses w MYP'!$H13="","",IF('Cash Flow %s Yr4'!F58="","",'Cash Flow %s Yr4'!F58*'Expenses w MYP'!$H13))</f>
        <v>0</v>
      </c>
      <c r="G58" s="62">
        <f ca="1">IF('Expenses w MYP'!$H13="","",IF('Cash Flow %s Yr4'!G58="","",'Cash Flow %s Yr4'!G58*'Expenses w MYP'!$H13))</f>
        <v>0</v>
      </c>
      <c r="H58" s="62">
        <f ca="1">IF('Expenses w MYP'!$H13="","",IF('Cash Flow %s Yr4'!H58="","",'Cash Flow %s Yr4'!H58*'Expenses w MYP'!$H13))</f>
        <v>0</v>
      </c>
      <c r="I58" s="62">
        <f ca="1">IF('Expenses w MYP'!$H13="","",IF('Cash Flow %s Yr4'!I58="","",'Cash Flow %s Yr4'!I58*'Expenses w MYP'!$H13))</f>
        <v>0</v>
      </c>
      <c r="J58" s="62">
        <f ca="1">IF('Expenses w MYP'!$H13="","",IF('Cash Flow %s Yr4'!J58="","",'Cash Flow %s Yr4'!J58*'Expenses w MYP'!$H13))</f>
        <v>0</v>
      </c>
      <c r="K58" s="62">
        <f ca="1">IF('Expenses w MYP'!$H13="","",IF('Cash Flow %s Yr4'!K58="","",'Cash Flow %s Yr4'!K58*'Expenses w MYP'!$H13))</f>
        <v>0</v>
      </c>
      <c r="L58" s="62">
        <f ca="1">IF('Expenses w MYP'!$H13="","",IF('Cash Flow %s Yr4'!L58="","",'Cash Flow %s Yr4'!L58*'Expenses w MYP'!$H13))</f>
        <v>0</v>
      </c>
      <c r="M58" s="62">
        <f ca="1">IF('Expenses w MYP'!$H13="","",IF('Cash Flow %s Yr4'!M58="","",'Cash Flow %s Yr4'!M58*'Expenses w MYP'!$H13))</f>
        <v>0</v>
      </c>
      <c r="N58" s="62">
        <f ca="1">IF('Expenses w MYP'!$H13="","",IF('Cash Flow %s Yr4'!N58="","",'Cash Flow %s Yr4'!N58*'Expenses w MYP'!$H13))</f>
        <v>0</v>
      </c>
      <c r="O58" s="62">
        <f ca="1">IF('Expenses w MYP'!$H13="","",IF('Cash Flow %s Yr4'!O58="","",'Cash Flow %s Yr4'!O58*'Expenses w MYP'!$H13))</f>
        <v>0</v>
      </c>
      <c r="P58" s="113"/>
      <c r="Q58" s="113"/>
      <c r="R58" s="113"/>
      <c r="S58" s="97" t="str">
        <f ca="1">IF(SUM(D58:R58)&gt;0,SUM(D58:R58)/'Expenses w MYP'!$H13,"")</f>
        <v/>
      </c>
    </row>
    <row r="59" spans="1:19" x14ac:dyDescent="0.75">
      <c r="A59" s="35"/>
      <c r="B59" s="65" t="str">
        <f>'Expenses w MYP'!C14</f>
        <v>1900</v>
      </c>
      <c r="C59" s="65" t="str">
        <f>'Expenses w MYP'!D14</f>
        <v>Other Certificated Salaries</v>
      </c>
      <c r="D59" s="62">
        <f ca="1">IF('Expenses w MYP'!$H14="","",IF('Cash Flow %s Yr4'!D59="","",'Cash Flow %s Yr4'!D59*'Expenses w MYP'!$H14))</f>
        <v>0</v>
      </c>
      <c r="E59" s="62">
        <f ca="1">IF('Expenses w MYP'!$H14="","",IF('Cash Flow %s Yr4'!E59="","",'Cash Flow %s Yr4'!E59*'Expenses w MYP'!$H14))</f>
        <v>0</v>
      </c>
      <c r="F59" s="62">
        <f ca="1">IF('Expenses w MYP'!$H14="","",IF('Cash Flow %s Yr4'!F59="","",'Cash Flow %s Yr4'!F59*'Expenses w MYP'!$H14))</f>
        <v>0</v>
      </c>
      <c r="G59" s="62">
        <f ca="1">IF('Expenses w MYP'!$H14="","",IF('Cash Flow %s Yr4'!G59="","",'Cash Flow %s Yr4'!G59*'Expenses w MYP'!$H14))</f>
        <v>0</v>
      </c>
      <c r="H59" s="62">
        <f ca="1">IF('Expenses w MYP'!$H14="","",IF('Cash Flow %s Yr4'!H59="","",'Cash Flow %s Yr4'!H59*'Expenses w MYP'!$H14))</f>
        <v>0</v>
      </c>
      <c r="I59" s="62">
        <f ca="1">IF('Expenses w MYP'!$H14="","",IF('Cash Flow %s Yr4'!I59="","",'Cash Flow %s Yr4'!I59*'Expenses w MYP'!$H14))</f>
        <v>0</v>
      </c>
      <c r="J59" s="62">
        <f ca="1">IF('Expenses w MYP'!$H14="","",IF('Cash Flow %s Yr4'!J59="","",'Cash Flow %s Yr4'!J59*'Expenses w MYP'!$H14))</f>
        <v>0</v>
      </c>
      <c r="K59" s="62">
        <f ca="1">IF('Expenses w MYP'!$H14="","",IF('Cash Flow %s Yr4'!K59="","",'Cash Flow %s Yr4'!K59*'Expenses w MYP'!$H14))</f>
        <v>0</v>
      </c>
      <c r="L59" s="62">
        <f ca="1">IF('Expenses w MYP'!$H14="","",IF('Cash Flow %s Yr4'!L59="","",'Cash Flow %s Yr4'!L59*'Expenses w MYP'!$H14))</f>
        <v>0</v>
      </c>
      <c r="M59" s="62">
        <f ca="1">IF('Expenses w MYP'!$H14="","",IF('Cash Flow %s Yr4'!M59="","",'Cash Flow %s Yr4'!M59*'Expenses w MYP'!$H14))</f>
        <v>0</v>
      </c>
      <c r="N59" s="62">
        <f ca="1">IF('Expenses w MYP'!$H14="","",IF('Cash Flow %s Yr4'!N59="","",'Cash Flow %s Yr4'!N59*'Expenses w MYP'!$H14))</f>
        <v>0</v>
      </c>
      <c r="O59" s="62">
        <f ca="1">IF('Expenses w MYP'!$H14="","",IF('Cash Flow %s Yr4'!O59="","",'Cash Flow %s Yr4'!O59*'Expenses w MYP'!$H14))</f>
        <v>0</v>
      </c>
      <c r="P59" s="113"/>
      <c r="Q59" s="113"/>
      <c r="R59" s="113"/>
      <c r="S59" s="97" t="str">
        <f ca="1">IF(SUM(D59:R59)&gt;0,SUM(D59:R59)/'Expenses w MYP'!$H14,"")</f>
        <v/>
      </c>
    </row>
    <row r="60" spans="1:19" x14ac:dyDescent="0.75">
      <c r="A60" s="35"/>
      <c r="B60" s="65" t="str">
        <f>'Expenses w MYP'!C15</f>
        <v>1910</v>
      </c>
      <c r="C60" s="65" t="str">
        <f>'Expenses w MYP'!D15</f>
        <v>Other Certificated Overtime</v>
      </c>
      <c r="D60" s="62">
        <f ca="1">IF('Expenses w MYP'!$H15="","",IF('Cash Flow %s Yr4'!D60="","",'Cash Flow %s Yr4'!D60*'Expenses w MYP'!$H15))</f>
        <v>0</v>
      </c>
      <c r="E60" s="62">
        <f ca="1">IF('Expenses w MYP'!$H15="","",IF('Cash Flow %s Yr4'!E60="","",'Cash Flow %s Yr4'!E60*'Expenses w MYP'!$H15))</f>
        <v>0</v>
      </c>
      <c r="F60" s="62">
        <f ca="1">IF('Expenses w MYP'!$H15="","",IF('Cash Flow %s Yr4'!F60="","",'Cash Flow %s Yr4'!F60*'Expenses w MYP'!$H15))</f>
        <v>0</v>
      </c>
      <c r="G60" s="62">
        <f ca="1">IF('Expenses w MYP'!$H15="","",IF('Cash Flow %s Yr4'!G60="","",'Cash Flow %s Yr4'!G60*'Expenses w MYP'!$H15))</f>
        <v>0</v>
      </c>
      <c r="H60" s="62">
        <f ca="1">IF('Expenses w MYP'!$H15="","",IF('Cash Flow %s Yr4'!H60="","",'Cash Flow %s Yr4'!H60*'Expenses w MYP'!$H15))</f>
        <v>0</v>
      </c>
      <c r="I60" s="62">
        <f ca="1">IF('Expenses w MYP'!$H15="","",IF('Cash Flow %s Yr4'!I60="","",'Cash Flow %s Yr4'!I60*'Expenses w MYP'!$H15))</f>
        <v>0</v>
      </c>
      <c r="J60" s="62">
        <f ca="1">IF('Expenses w MYP'!$H15="","",IF('Cash Flow %s Yr4'!J60="","",'Cash Flow %s Yr4'!J60*'Expenses w MYP'!$H15))</f>
        <v>0</v>
      </c>
      <c r="K60" s="62">
        <f ca="1">IF('Expenses w MYP'!$H15="","",IF('Cash Flow %s Yr4'!K60="","",'Cash Flow %s Yr4'!K60*'Expenses w MYP'!$H15))</f>
        <v>0</v>
      </c>
      <c r="L60" s="62">
        <f ca="1">IF('Expenses w MYP'!$H15="","",IF('Cash Flow %s Yr4'!L60="","",'Cash Flow %s Yr4'!L60*'Expenses w MYP'!$H15))</f>
        <v>0</v>
      </c>
      <c r="M60" s="62">
        <f ca="1">IF('Expenses w MYP'!$H15="","",IF('Cash Flow %s Yr4'!M60="","",'Cash Flow %s Yr4'!M60*'Expenses w MYP'!$H15))</f>
        <v>0</v>
      </c>
      <c r="N60" s="62">
        <f ca="1">IF('Expenses w MYP'!$H15="","",IF('Cash Flow %s Yr4'!N60="","",'Cash Flow %s Yr4'!N60*'Expenses w MYP'!$H15))</f>
        <v>0</v>
      </c>
      <c r="O60" s="62">
        <f ca="1">IF('Expenses w MYP'!$H15="","",IF('Cash Flow %s Yr4'!O60="","",'Cash Flow %s Yr4'!O60*'Expenses w MYP'!$H15))</f>
        <v>0</v>
      </c>
      <c r="P60" s="113"/>
      <c r="Q60" s="113"/>
      <c r="R60" s="113"/>
      <c r="S60" s="97" t="str">
        <f ca="1">IF(SUM(D60:R60)&gt;0,SUM(D60:R60)/'Expenses w MYP'!$H15,"")</f>
        <v/>
      </c>
    </row>
    <row r="61" spans="1:19" x14ac:dyDescent="0.75">
      <c r="A61" s="35"/>
      <c r="B61" s="35" t="s">
        <v>555</v>
      </c>
      <c r="C61" s="34" t="s">
        <v>719</v>
      </c>
      <c r="D61" s="153">
        <f t="shared" ref="D61:I61" ca="1" si="4">IF(SUM(D52:D60)&gt;0,SUM(D52:D60),"")</f>
        <v>50456.137647674572</v>
      </c>
      <c r="E61" s="153">
        <f t="shared" ca="1" si="4"/>
        <v>50456.137647674572</v>
      </c>
      <c r="F61" s="153">
        <f t="shared" ca="1" si="4"/>
        <v>479217.73820668861</v>
      </c>
      <c r="G61" s="153">
        <f t="shared" ca="1" si="4"/>
        <v>479217.73820668861</v>
      </c>
      <c r="H61" s="153">
        <f t="shared" ca="1" si="4"/>
        <v>479217.73820668861</v>
      </c>
      <c r="I61" s="153">
        <f t="shared" ca="1" si="4"/>
        <v>479217.73820668861</v>
      </c>
      <c r="J61" s="153">
        <f t="shared" ref="J61:R61" ca="1" si="5">IF(SUM(J52:J60)&gt;0,SUM(J52:J60),"")</f>
        <v>479217.73820668861</v>
      </c>
      <c r="K61" s="153">
        <f t="shared" ca="1" si="5"/>
        <v>479217.73820668861</v>
      </c>
      <c r="L61" s="153">
        <f t="shared" ca="1" si="5"/>
        <v>479825.64347955212</v>
      </c>
      <c r="M61" s="153">
        <f t="shared" ca="1" si="5"/>
        <v>479825.64347955212</v>
      </c>
      <c r="N61" s="153">
        <f t="shared" ca="1" si="5"/>
        <v>479825.64347955212</v>
      </c>
      <c r="O61" s="153">
        <f t="shared" ca="1" si="5"/>
        <v>479825.64347955212</v>
      </c>
      <c r="P61" s="153" t="str">
        <f t="shared" si="5"/>
        <v/>
      </c>
      <c r="Q61" s="153" t="str">
        <f t="shared" si="5"/>
        <v/>
      </c>
      <c r="R61" s="153" t="str">
        <f t="shared" si="5"/>
        <v/>
      </c>
      <c r="S61" s="94"/>
    </row>
    <row r="62" spans="1:19" s="31" customFormat="1" x14ac:dyDescent="0.75">
      <c r="A62" s="35"/>
      <c r="B62" s="39"/>
      <c r="C62" s="2"/>
      <c r="D62" s="111"/>
      <c r="E62" s="111"/>
      <c r="F62" s="111"/>
      <c r="G62" s="111"/>
      <c r="H62" s="111"/>
      <c r="I62" s="111"/>
      <c r="J62" s="111"/>
      <c r="K62" s="111"/>
      <c r="L62" s="111"/>
      <c r="M62" s="111"/>
      <c r="N62" s="111"/>
      <c r="O62" s="111"/>
      <c r="P62" s="111"/>
      <c r="Q62" s="111"/>
      <c r="R62" s="111"/>
    </row>
    <row r="63" spans="1:19" s="31" customFormat="1" x14ac:dyDescent="0.75">
      <c r="B63" s="4" t="s">
        <v>732</v>
      </c>
      <c r="C63" s="2"/>
      <c r="D63" s="111"/>
      <c r="E63" s="111"/>
      <c r="F63" s="111"/>
      <c r="G63" s="111"/>
      <c r="H63" s="111"/>
      <c r="I63" s="111"/>
      <c r="J63" s="111"/>
      <c r="K63" s="111"/>
      <c r="L63" s="111"/>
      <c r="M63" s="111"/>
      <c r="N63" s="111"/>
      <c r="O63" s="111"/>
      <c r="P63" s="111"/>
      <c r="Q63" s="111"/>
      <c r="R63" s="111"/>
    </row>
    <row r="64" spans="1:19" s="31" customFormat="1" x14ac:dyDescent="0.75">
      <c r="A64" s="35"/>
      <c r="B64" s="65" t="str">
        <f>'Expenses w MYP'!C19</f>
        <v>2100</v>
      </c>
      <c r="C64" s="65" t="str">
        <f>'Expenses w MYP'!D19</f>
        <v>Instructional Aide Salaries</v>
      </c>
      <c r="D64" s="62">
        <f ca="1">IF('Expenses w MYP'!$H19="","",IF('Cash Flow %s Yr4'!D64="","",'Cash Flow %s Yr4'!D64*'Expenses w MYP'!$H19))</f>
        <v>0</v>
      </c>
      <c r="E64" s="62">
        <f ca="1">IF('Expenses w MYP'!$H19="","",IF('Cash Flow %s Yr4'!E64="","",'Cash Flow %s Yr4'!E64*'Expenses w MYP'!$H19))</f>
        <v>0</v>
      </c>
      <c r="F64" s="62">
        <f ca="1">IF('Expenses w MYP'!$H19="","",IF('Cash Flow %s Yr4'!F64="","",'Cash Flow %s Yr4'!F64*'Expenses w MYP'!$H19))</f>
        <v>11959.112667575006</v>
      </c>
      <c r="G64" s="62">
        <f ca="1">IF('Expenses w MYP'!$H19="","",IF('Cash Flow %s Yr4'!G64="","",'Cash Flow %s Yr4'!G64*'Expenses w MYP'!$H19))</f>
        <v>11959.112667575006</v>
      </c>
      <c r="H64" s="62">
        <f ca="1">IF('Expenses w MYP'!$H19="","",IF('Cash Flow %s Yr4'!H64="","",'Cash Flow %s Yr4'!H64*'Expenses w MYP'!$H19))</f>
        <v>11959.112667575006</v>
      </c>
      <c r="I64" s="62">
        <f ca="1">IF('Expenses w MYP'!$H19="","",IF('Cash Flow %s Yr4'!I64="","",'Cash Flow %s Yr4'!I64*'Expenses w MYP'!$H19))</f>
        <v>11959.112667575006</v>
      </c>
      <c r="J64" s="62">
        <f ca="1">IF('Expenses w MYP'!$H19="","",IF('Cash Flow %s Yr4'!J64="","",'Cash Flow %s Yr4'!J64*'Expenses w MYP'!$H19))</f>
        <v>11959.112667575006</v>
      </c>
      <c r="K64" s="62">
        <f ca="1">IF('Expenses w MYP'!$H19="","",IF('Cash Flow %s Yr4'!K64="","",'Cash Flow %s Yr4'!K64*'Expenses w MYP'!$H19))</f>
        <v>11959.112667575006</v>
      </c>
      <c r="L64" s="62">
        <f ca="1">IF('Expenses w MYP'!$H19="","",IF('Cash Flow %s Yr4'!L64="","",'Cash Flow %s Yr4'!L64*'Expenses w MYP'!$H19))</f>
        <v>11959.112667575006</v>
      </c>
      <c r="M64" s="62">
        <f ca="1">IF('Expenses w MYP'!$H19="","",IF('Cash Flow %s Yr4'!M64="","",'Cash Flow %s Yr4'!M64*'Expenses w MYP'!$H19))</f>
        <v>11959.112667575006</v>
      </c>
      <c r="N64" s="62">
        <f ca="1">IF('Expenses w MYP'!$H19="","",IF('Cash Flow %s Yr4'!N64="","",'Cash Flow %s Yr4'!N64*'Expenses w MYP'!$H19))</f>
        <v>11959.112667575006</v>
      </c>
      <c r="O64" s="62">
        <f ca="1">IF('Expenses w MYP'!$H19="","",IF('Cash Flow %s Yr4'!O64="","",'Cash Flow %s Yr4'!O64*'Expenses w MYP'!$H19))</f>
        <v>11959.112667575006</v>
      </c>
      <c r="P64" s="113"/>
      <c r="Q64" s="113"/>
      <c r="R64" s="113"/>
      <c r="S64" s="97">
        <f ca="1">IF(SUM(D64:R64)&gt;0,SUM(D64:R64)/'Expenses w MYP'!$H19,"")</f>
        <v>1.0000000000000002</v>
      </c>
    </row>
    <row r="65" spans="1:19" s="31" customFormat="1" x14ac:dyDescent="0.75">
      <c r="A65" s="35"/>
      <c r="B65" s="65" t="str">
        <f>'Expenses w MYP'!C20</f>
        <v>2110</v>
      </c>
      <c r="C65" s="65" t="str">
        <f>'Expenses w MYP'!D20</f>
        <v>Instructional Aide Overtime</v>
      </c>
      <c r="D65" s="62">
        <f ca="1">IF('Expenses w MYP'!$H20="","",IF('Cash Flow %s Yr4'!D65="","",'Cash Flow %s Yr4'!D65*'Expenses w MYP'!$H20))</f>
        <v>0</v>
      </c>
      <c r="E65" s="62">
        <f ca="1">IF('Expenses w MYP'!$H20="","",IF('Cash Flow %s Yr4'!E65="","",'Cash Flow %s Yr4'!E65*'Expenses w MYP'!$H20))</f>
        <v>0</v>
      </c>
      <c r="F65" s="62">
        <f ca="1">IF('Expenses w MYP'!$H20="","",IF('Cash Flow %s Yr4'!F65="","",'Cash Flow %s Yr4'!F65*'Expenses w MYP'!$H20))</f>
        <v>0</v>
      </c>
      <c r="G65" s="62">
        <f ca="1">IF('Expenses w MYP'!$H20="","",IF('Cash Flow %s Yr4'!G65="","",'Cash Flow %s Yr4'!G65*'Expenses w MYP'!$H20))</f>
        <v>0</v>
      </c>
      <c r="H65" s="62">
        <f ca="1">IF('Expenses w MYP'!$H20="","",IF('Cash Flow %s Yr4'!H65="","",'Cash Flow %s Yr4'!H65*'Expenses w MYP'!$H20))</f>
        <v>0</v>
      </c>
      <c r="I65" s="62">
        <f ca="1">IF('Expenses w MYP'!$H20="","",IF('Cash Flow %s Yr4'!I65="","",'Cash Flow %s Yr4'!I65*'Expenses w MYP'!$H20))</f>
        <v>0</v>
      </c>
      <c r="J65" s="62">
        <f ca="1">IF('Expenses w MYP'!$H20="","",IF('Cash Flow %s Yr4'!J65="","",'Cash Flow %s Yr4'!J65*'Expenses w MYP'!$H20))</f>
        <v>0</v>
      </c>
      <c r="K65" s="62">
        <f ca="1">IF('Expenses w MYP'!$H20="","",IF('Cash Flow %s Yr4'!K65="","",'Cash Flow %s Yr4'!K65*'Expenses w MYP'!$H20))</f>
        <v>0</v>
      </c>
      <c r="L65" s="62">
        <f ca="1">IF('Expenses w MYP'!$H20="","",IF('Cash Flow %s Yr4'!L65="","",'Cash Flow %s Yr4'!L65*'Expenses w MYP'!$H20))</f>
        <v>0</v>
      </c>
      <c r="M65" s="62">
        <f ca="1">IF('Expenses w MYP'!$H20="","",IF('Cash Flow %s Yr4'!M65="","",'Cash Flow %s Yr4'!M65*'Expenses w MYP'!$H20))</f>
        <v>0</v>
      </c>
      <c r="N65" s="62">
        <f ca="1">IF('Expenses w MYP'!$H20="","",IF('Cash Flow %s Yr4'!N65="","",'Cash Flow %s Yr4'!N65*'Expenses w MYP'!$H20))</f>
        <v>0</v>
      </c>
      <c r="O65" s="62">
        <f ca="1">IF('Expenses w MYP'!$H20="","",IF('Cash Flow %s Yr4'!O65="","",'Cash Flow %s Yr4'!O65*'Expenses w MYP'!$H20))</f>
        <v>0</v>
      </c>
      <c r="P65" s="113"/>
      <c r="Q65" s="113"/>
      <c r="R65" s="113"/>
      <c r="S65" s="97" t="str">
        <f ca="1">IF(SUM(D65:R65)&gt;0,SUM(D65:R65)/'Expenses w MYP'!$H20,"")</f>
        <v/>
      </c>
    </row>
    <row r="66" spans="1:19" s="31" customFormat="1" x14ac:dyDescent="0.75">
      <c r="A66" s="35"/>
      <c r="B66" s="65" t="str">
        <f>'Expenses w MYP'!C21</f>
        <v>2200</v>
      </c>
      <c r="C66" s="65" t="str">
        <f>'Expenses w MYP'!D21</f>
        <v>Classified Support Salaries (Maintenance / Food)</v>
      </c>
      <c r="D66" s="62">
        <f ca="1">IF('Expenses w MYP'!$H21="","",IF('Cash Flow %s Yr4'!D66="","",'Cash Flow %s Yr4'!D66*'Expenses w MYP'!$H21))</f>
        <v>0</v>
      </c>
      <c r="E66" s="62">
        <f ca="1">IF('Expenses w MYP'!$H21="","",IF('Cash Flow %s Yr4'!E66="","",'Cash Flow %s Yr4'!E66*'Expenses w MYP'!$H21))</f>
        <v>0</v>
      </c>
      <c r="F66" s="62">
        <f ca="1">IF('Expenses w MYP'!$H21="","",IF('Cash Flow %s Yr4'!F66="","",'Cash Flow %s Yr4'!F66*'Expenses w MYP'!$H21))</f>
        <v>53195.554481364605</v>
      </c>
      <c r="G66" s="62">
        <f ca="1">IF('Expenses w MYP'!$H21="","",IF('Cash Flow %s Yr4'!G66="","",'Cash Flow %s Yr4'!G66*'Expenses w MYP'!$H21))</f>
        <v>53195.554481364605</v>
      </c>
      <c r="H66" s="62">
        <f ca="1">IF('Expenses w MYP'!$H21="","",IF('Cash Flow %s Yr4'!H66="","",'Cash Flow %s Yr4'!H66*'Expenses w MYP'!$H21))</f>
        <v>53195.554481364605</v>
      </c>
      <c r="I66" s="62">
        <f ca="1">IF('Expenses w MYP'!$H21="","",IF('Cash Flow %s Yr4'!I66="","",'Cash Flow %s Yr4'!I66*'Expenses w MYP'!$H21))</f>
        <v>53195.554481364605</v>
      </c>
      <c r="J66" s="62">
        <f ca="1">IF('Expenses w MYP'!$H21="","",IF('Cash Flow %s Yr4'!J66="","",'Cash Flow %s Yr4'!J66*'Expenses w MYP'!$H21))</f>
        <v>53195.554481364605</v>
      </c>
      <c r="K66" s="62">
        <f ca="1">IF('Expenses w MYP'!$H21="","",IF('Cash Flow %s Yr4'!K66="","",'Cash Flow %s Yr4'!K66*'Expenses w MYP'!$H21))</f>
        <v>53195.554481364605</v>
      </c>
      <c r="L66" s="62">
        <f ca="1">IF('Expenses w MYP'!$H21="","",IF('Cash Flow %s Yr4'!L66="","",'Cash Flow %s Yr4'!L66*'Expenses w MYP'!$H21))</f>
        <v>53195.554481364605</v>
      </c>
      <c r="M66" s="62">
        <f ca="1">IF('Expenses w MYP'!$H21="","",IF('Cash Flow %s Yr4'!M66="","",'Cash Flow %s Yr4'!M66*'Expenses w MYP'!$H21))</f>
        <v>53195.554481364605</v>
      </c>
      <c r="N66" s="62">
        <f ca="1">IF('Expenses w MYP'!$H21="","",IF('Cash Flow %s Yr4'!N66="","",'Cash Flow %s Yr4'!N66*'Expenses w MYP'!$H21))</f>
        <v>53195.554481364605</v>
      </c>
      <c r="O66" s="62">
        <f ca="1">IF('Expenses w MYP'!$H21="","",IF('Cash Flow %s Yr4'!O66="","",'Cash Flow %s Yr4'!O66*'Expenses w MYP'!$H21))</f>
        <v>53195.554481364605</v>
      </c>
      <c r="P66" s="113"/>
      <c r="Q66" s="113"/>
      <c r="R66" s="113"/>
      <c r="S66" s="97">
        <f ca="1">IF(SUM(D66:R66)&gt;0,SUM(D66:R66)/'Expenses w MYP'!$H21,"")</f>
        <v>1</v>
      </c>
    </row>
    <row r="67" spans="1:19" s="31" customFormat="1" x14ac:dyDescent="0.75">
      <c r="A67" s="35"/>
      <c r="B67" s="65" t="str">
        <f>'Expenses w MYP'!C22</f>
        <v>2210</v>
      </c>
      <c r="C67" s="65" t="str">
        <f>'Expenses w MYP'!D22</f>
        <v>Classified Support Overtime</v>
      </c>
      <c r="D67" s="62">
        <f ca="1">IF('Expenses w MYP'!$H22="","",IF('Cash Flow %s Yr4'!D67="","",'Cash Flow %s Yr4'!D67*'Expenses w MYP'!$H22))</f>
        <v>0</v>
      </c>
      <c r="E67" s="62">
        <f ca="1">IF('Expenses w MYP'!$H22="","",IF('Cash Flow %s Yr4'!E67="","",'Cash Flow %s Yr4'!E67*'Expenses w MYP'!$H22))</f>
        <v>0</v>
      </c>
      <c r="F67" s="62">
        <f ca="1">IF('Expenses w MYP'!$H22="","",IF('Cash Flow %s Yr4'!F67="","",'Cash Flow %s Yr4'!F67*'Expenses w MYP'!$H22))</f>
        <v>0</v>
      </c>
      <c r="G67" s="62">
        <f ca="1">IF('Expenses w MYP'!$H22="","",IF('Cash Flow %s Yr4'!G67="","",'Cash Flow %s Yr4'!G67*'Expenses w MYP'!$H22))</f>
        <v>0</v>
      </c>
      <c r="H67" s="62">
        <f ca="1">IF('Expenses w MYP'!$H22="","",IF('Cash Flow %s Yr4'!H67="","",'Cash Flow %s Yr4'!H67*'Expenses w MYP'!$H22))</f>
        <v>0</v>
      </c>
      <c r="I67" s="62">
        <f ca="1">IF('Expenses w MYP'!$H22="","",IF('Cash Flow %s Yr4'!I67="","",'Cash Flow %s Yr4'!I67*'Expenses w MYP'!$H22))</f>
        <v>0</v>
      </c>
      <c r="J67" s="62">
        <f ca="1">IF('Expenses w MYP'!$H22="","",IF('Cash Flow %s Yr4'!J67="","",'Cash Flow %s Yr4'!J67*'Expenses w MYP'!$H22))</f>
        <v>0</v>
      </c>
      <c r="K67" s="62">
        <f ca="1">IF('Expenses w MYP'!$H22="","",IF('Cash Flow %s Yr4'!K67="","",'Cash Flow %s Yr4'!K67*'Expenses w MYP'!$H22))</f>
        <v>0</v>
      </c>
      <c r="L67" s="62">
        <f ca="1">IF('Expenses w MYP'!$H22="","",IF('Cash Flow %s Yr4'!L67="","",'Cash Flow %s Yr4'!L67*'Expenses w MYP'!$H22))</f>
        <v>0</v>
      </c>
      <c r="M67" s="62">
        <f ca="1">IF('Expenses w MYP'!$H22="","",IF('Cash Flow %s Yr4'!M67="","",'Cash Flow %s Yr4'!M67*'Expenses w MYP'!$H22))</f>
        <v>0</v>
      </c>
      <c r="N67" s="62">
        <f ca="1">IF('Expenses w MYP'!$H22="","",IF('Cash Flow %s Yr4'!N67="","",'Cash Flow %s Yr4'!N67*'Expenses w MYP'!$H22))</f>
        <v>0</v>
      </c>
      <c r="O67" s="62">
        <f ca="1">IF('Expenses w MYP'!$H22="","",IF('Cash Flow %s Yr4'!O67="","",'Cash Flow %s Yr4'!O67*'Expenses w MYP'!$H22))</f>
        <v>0</v>
      </c>
      <c r="P67" s="113"/>
      <c r="Q67" s="113"/>
      <c r="R67" s="113"/>
      <c r="S67" s="97" t="str">
        <f ca="1">IF(SUM(D67:R67)&gt;0,SUM(D67:R67)/'Expenses w MYP'!$H22,"")</f>
        <v/>
      </c>
    </row>
    <row r="68" spans="1:19" s="31" customFormat="1" x14ac:dyDescent="0.75">
      <c r="A68" s="35"/>
      <c r="B68" s="65" t="str">
        <f>'Expenses w MYP'!C23</f>
        <v>2300</v>
      </c>
      <c r="C68" s="65" t="str">
        <f>'Expenses w MYP'!D23</f>
        <v>Classified Supervisor and Administrator Salaries</v>
      </c>
      <c r="D68" s="62">
        <f ca="1">IF('Expenses w MYP'!$H23="","",IF('Cash Flow %s Yr4'!D68="","",'Cash Flow %s Yr4'!D68*'Expenses w MYP'!$H23))</f>
        <v>16054.866804387548</v>
      </c>
      <c r="E68" s="62">
        <f ca="1">IF('Expenses w MYP'!$H23="","",IF('Cash Flow %s Yr4'!E68="","",'Cash Flow %s Yr4'!E68*'Expenses w MYP'!$H23))</f>
        <v>16054.866804387548</v>
      </c>
      <c r="F68" s="62">
        <f ca="1">IF('Expenses w MYP'!$H23="","",IF('Cash Flow %s Yr4'!F68="","",'Cash Flow %s Yr4'!F68*'Expenses w MYP'!$H23))</f>
        <v>16054.866804387548</v>
      </c>
      <c r="G68" s="62">
        <f ca="1">IF('Expenses w MYP'!$H23="","",IF('Cash Flow %s Yr4'!G68="","",'Cash Flow %s Yr4'!G68*'Expenses w MYP'!$H23))</f>
        <v>16054.866804387548</v>
      </c>
      <c r="H68" s="62">
        <f ca="1">IF('Expenses w MYP'!$H23="","",IF('Cash Flow %s Yr4'!H68="","",'Cash Flow %s Yr4'!H68*'Expenses w MYP'!$H23))</f>
        <v>16054.866804387548</v>
      </c>
      <c r="I68" s="62">
        <f ca="1">IF('Expenses w MYP'!$H23="","",IF('Cash Flow %s Yr4'!I68="","",'Cash Flow %s Yr4'!I68*'Expenses w MYP'!$H23))</f>
        <v>16054.866804387548</v>
      </c>
      <c r="J68" s="62">
        <f ca="1">IF('Expenses w MYP'!$H23="","",IF('Cash Flow %s Yr4'!J68="","",'Cash Flow %s Yr4'!J68*'Expenses w MYP'!$H23))</f>
        <v>16054.866804387548</v>
      </c>
      <c r="K68" s="62">
        <f ca="1">IF('Expenses w MYP'!$H23="","",IF('Cash Flow %s Yr4'!K68="","",'Cash Flow %s Yr4'!K68*'Expenses w MYP'!$H23))</f>
        <v>16054.866804387548</v>
      </c>
      <c r="L68" s="62">
        <f ca="1">IF('Expenses w MYP'!$H23="","",IF('Cash Flow %s Yr4'!L68="","",'Cash Flow %s Yr4'!L68*'Expenses w MYP'!$H23))</f>
        <v>16248.298934560891</v>
      </c>
      <c r="M68" s="62">
        <f ca="1">IF('Expenses w MYP'!$H23="","",IF('Cash Flow %s Yr4'!M68="","",'Cash Flow %s Yr4'!M68*'Expenses w MYP'!$H23))</f>
        <v>16248.298934560891</v>
      </c>
      <c r="N68" s="62">
        <f ca="1">IF('Expenses w MYP'!$H23="","",IF('Cash Flow %s Yr4'!N68="","",'Cash Flow %s Yr4'!N68*'Expenses w MYP'!$H23))</f>
        <v>16248.298934560891</v>
      </c>
      <c r="O68" s="62">
        <f ca="1">IF('Expenses w MYP'!$H23="","",IF('Cash Flow %s Yr4'!O68="","",'Cash Flow %s Yr4'!O68*'Expenses w MYP'!$H23))</f>
        <v>16248.298934560891</v>
      </c>
      <c r="P68" s="113"/>
      <c r="Q68" s="113"/>
      <c r="R68" s="113"/>
      <c r="S68" s="97">
        <f ca="1">IF(SUM(D68:R68)&gt;0,SUM(D68:R68)/'Expenses w MYP'!$H23,"")</f>
        <v>1</v>
      </c>
    </row>
    <row r="69" spans="1:19" s="31" customFormat="1" x14ac:dyDescent="0.75">
      <c r="A69" s="35"/>
      <c r="B69" s="65" t="str">
        <f>'Expenses w MYP'!C24</f>
        <v>2400</v>
      </c>
      <c r="C69" s="65" t="str">
        <f>'Expenses w MYP'!D24</f>
        <v>Clerical, Technical, and Office Staff Salaries</v>
      </c>
      <c r="D69" s="62">
        <f ca="1">IF('Expenses w MYP'!$H24="","",IF('Cash Flow %s Yr4'!D69="","",'Cash Flow %s Yr4'!D69*'Expenses w MYP'!$H24))</f>
        <v>19410.224812280172</v>
      </c>
      <c r="E69" s="62">
        <f ca="1">IF('Expenses w MYP'!$H24="","",IF('Cash Flow %s Yr4'!E69="","",'Cash Flow %s Yr4'!E69*'Expenses w MYP'!$H24))</f>
        <v>19410.224812280172</v>
      </c>
      <c r="F69" s="62">
        <f ca="1">IF('Expenses w MYP'!$H24="","",IF('Cash Flow %s Yr4'!F69="","",'Cash Flow %s Yr4'!F69*'Expenses w MYP'!$H24))</f>
        <v>19410.224812280172</v>
      </c>
      <c r="G69" s="62">
        <f ca="1">IF('Expenses w MYP'!$H24="","",IF('Cash Flow %s Yr4'!G69="","",'Cash Flow %s Yr4'!G69*'Expenses w MYP'!$H24))</f>
        <v>19410.224812280172</v>
      </c>
      <c r="H69" s="62">
        <f ca="1">IF('Expenses w MYP'!$H24="","",IF('Cash Flow %s Yr4'!H69="","",'Cash Flow %s Yr4'!H69*'Expenses w MYP'!$H24))</f>
        <v>19410.224812280172</v>
      </c>
      <c r="I69" s="62">
        <f ca="1">IF('Expenses w MYP'!$H24="","",IF('Cash Flow %s Yr4'!I69="","",'Cash Flow %s Yr4'!I69*'Expenses w MYP'!$H24))</f>
        <v>19410.224812280172</v>
      </c>
      <c r="J69" s="62">
        <f ca="1">IF('Expenses w MYP'!$H24="","",IF('Cash Flow %s Yr4'!J69="","",'Cash Flow %s Yr4'!J69*'Expenses w MYP'!$H24))</f>
        <v>19410.224812280172</v>
      </c>
      <c r="K69" s="62">
        <f ca="1">IF('Expenses w MYP'!$H24="","",IF('Cash Flow %s Yr4'!K69="","",'Cash Flow %s Yr4'!K69*'Expenses w MYP'!$H24))</f>
        <v>19410.224812280172</v>
      </c>
      <c r="L69" s="62">
        <f ca="1">IF('Expenses w MYP'!$H24="","",IF('Cash Flow %s Yr4'!L69="","",'Cash Flow %s Yr4'!L69*'Expenses w MYP'!$H24))</f>
        <v>19644.082942548608</v>
      </c>
      <c r="M69" s="62">
        <f ca="1">IF('Expenses w MYP'!$H24="","",IF('Cash Flow %s Yr4'!M69="","",'Cash Flow %s Yr4'!M69*'Expenses w MYP'!$H24))</f>
        <v>19644.082942548608</v>
      </c>
      <c r="N69" s="62">
        <f ca="1">IF('Expenses w MYP'!$H24="","",IF('Cash Flow %s Yr4'!N69="","",'Cash Flow %s Yr4'!N69*'Expenses w MYP'!$H24))</f>
        <v>19644.082942548608</v>
      </c>
      <c r="O69" s="62">
        <f ca="1">IF('Expenses w MYP'!$H24="","",IF('Cash Flow %s Yr4'!O69="","",'Cash Flow %s Yr4'!O69*'Expenses w MYP'!$H24))</f>
        <v>19644.082942548608</v>
      </c>
      <c r="P69" s="113"/>
      <c r="Q69" s="113"/>
      <c r="R69" s="113"/>
      <c r="S69" s="97">
        <f ca="1">IF(SUM(D69:R69)&gt;0,SUM(D69:R69)/'Expenses w MYP'!$H24,"")</f>
        <v>1.0000000000000002</v>
      </c>
    </row>
    <row r="70" spans="1:19" s="31" customFormat="1" x14ac:dyDescent="0.75">
      <c r="A70" s="35"/>
      <c r="B70" s="65" t="str">
        <f>'Expenses w MYP'!C25</f>
        <v>2410</v>
      </c>
      <c r="C70" s="65" t="str">
        <f>'Expenses w MYP'!D25</f>
        <v>Clerical, Technical, and Office Staff Overtime</v>
      </c>
      <c r="D70" s="62">
        <f ca="1">IF('Expenses w MYP'!$H25="","",IF('Cash Flow %s Yr4'!D70="","",'Cash Flow %s Yr4'!D70*'Expenses w MYP'!$H25))</f>
        <v>0</v>
      </c>
      <c r="E70" s="62">
        <f ca="1">IF('Expenses w MYP'!$H25="","",IF('Cash Flow %s Yr4'!E70="","",'Cash Flow %s Yr4'!E70*'Expenses w MYP'!$H25))</f>
        <v>0</v>
      </c>
      <c r="F70" s="62">
        <f ca="1">IF('Expenses w MYP'!$H25="","",IF('Cash Flow %s Yr4'!F70="","",'Cash Flow %s Yr4'!F70*'Expenses w MYP'!$H25))</f>
        <v>0</v>
      </c>
      <c r="G70" s="62">
        <f ca="1">IF('Expenses w MYP'!$H25="","",IF('Cash Flow %s Yr4'!G70="","",'Cash Flow %s Yr4'!G70*'Expenses w MYP'!$H25))</f>
        <v>0</v>
      </c>
      <c r="H70" s="62">
        <f ca="1">IF('Expenses w MYP'!$H25="","",IF('Cash Flow %s Yr4'!H70="","",'Cash Flow %s Yr4'!H70*'Expenses w MYP'!$H25))</f>
        <v>0</v>
      </c>
      <c r="I70" s="62">
        <f ca="1">IF('Expenses w MYP'!$H25="","",IF('Cash Flow %s Yr4'!I70="","",'Cash Flow %s Yr4'!I70*'Expenses w MYP'!$H25))</f>
        <v>0</v>
      </c>
      <c r="J70" s="62">
        <f ca="1">IF('Expenses w MYP'!$H25="","",IF('Cash Flow %s Yr4'!J70="","",'Cash Flow %s Yr4'!J70*'Expenses w MYP'!$H25))</f>
        <v>0</v>
      </c>
      <c r="K70" s="62">
        <f ca="1">IF('Expenses w MYP'!$H25="","",IF('Cash Flow %s Yr4'!K70="","",'Cash Flow %s Yr4'!K70*'Expenses w MYP'!$H25))</f>
        <v>0</v>
      </c>
      <c r="L70" s="62">
        <f ca="1">IF('Expenses w MYP'!$H25="","",IF('Cash Flow %s Yr4'!L70="","",'Cash Flow %s Yr4'!L70*'Expenses w MYP'!$H25))</f>
        <v>0</v>
      </c>
      <c r="M70" s="62">
        <f ca="1">IF('Expenses w MYP'!$H25="","",IF('Cash Flow %s Yr4'!M70="","",'Cash Flow %s Yr4'!M70*'Expenses w MYP'!$H25))</f>
        <v>0</v>
      </c>
      <c r="N70" s="62">
        <f ca="1">IF('Expenses w MYP'!$H25="","",IF('Cash Flow %s Yr4'!N70="","",'Cash Flow %s Yr4'!N70*'Expenses w MYP'!$H25))</f>
        <v>0</v>
      </c>
      <c r="O70" s="62">
        <f ca="1">IF('Expenses w MYP'!$H25="","",IF('Cash Flow %s Yr4'!O70="","",'Cash Flow %s Yr4'!O70*'Expenses w MYP'!$H25))</f>
        <v>0</v>
      </c>
      <c r="P70" s="113"/>
      <c r="Q70" s="113"/>
      <c r="R70" s="113"/>
      <c r="S70" s="97" t="str">
        <f ca="1">IF(SUM(D70:R70)&gt;0,SUM(D70:R70)/'Expenses w MYP'!$H25,"")</f>
        <v/>
      </c>
    </row>
    <row r="71" spans="1:19" s="31" customFormat="1" x14ac:dyDescent="0.75">
      <c r="A71" s="35"/>
      <c r="B71" s="65" t="str">
        <f>'Expenses w MYP'!C26</f>
        <v>2900</v>
      </c>
      <c r="C71" s="65" t="str">
        <f>'Expenses w MYP'!D26</f>
        <v>Other Classified Salaries</v>
      </c>
      <c r="D71" s="62">
        <f ca="1">IF('Expenses w MYP'!$H26="","",IF('Cash Flow %s Yr4'!D71="","",'Cash Flow %s Yr4'!D71*'Expenses w MYP'!$H26))</f>
        <v>0</v>
      </c>
      <c r="E71" s="62">
        <f ca="1">IF('Expenses w MYP'!$H26="","",IF('Cash Flow %s Yr4'!E71="","",'Cash Flow %s Yr4'!E71*'Expenses w MYP'!$H26))</f>
        <v>0</v>
      </c>
      <c r="F71" s="62">
        <f ca="1">IF('Expenses w MYP'!$H26="","",IF('Cash Flow %s Yr4'!F71="","",'Cash Flow %s Yr4'!F71*'Expenses w MYP'!$H26))</f>
        <v>2880</v>
      </c>
      <c r="G71" s="62">
        <f ca="1">IF('Expenses w MYP'!$H26="","",IF('Cash Flow %s Yr4'!G71="","",'Cash Flow %s Yr4'!G71*'Expenses w MYP'!$H26))</f>
        <v>2880</v>
      </c>
      <c r="H71" s="62">
        <f ca="1">IF('Expenses w MYP'!$H26="","",IF('Cash Flow %s Yr4'!H71="","",'Cash Flow %s Yr4'!H71*'Expenses w MYP'!$H26))</f>
        <v>2880</v>
      </c>
      <c r="I71" s="62">
        <f ca="1">IF('Expenses w MYP'!$H26="","",IF('Cash Flow %s Yr4'!I71="","",'Cash Flow %s Yr4'!I71*'Expenses w MYP'!$H26))</f>
        <v>2880</v>
      </c>
      <c r="J71" s="62">
        <f ca="1">IF('Expenses w MYP'!$H26="","",IF('Cash Flow %s Yr4'!J71="","",'Cash Flow %s Yr4'!J71*'Expenses w MYP'!$H26))</f>
        <v>2880</v>
      </c>
      <c r="K71" s="62">
        <f ca="1">IF('Expenses w MYP'!$H26="","",IF('Cash Flow %s Yr4'!K71="","",'Cash Flow %s Yr4'!K71*'Expenses w MYP'!$H26))</f>
        <v>2880</v>
      </c>
      <c r="L71" s="62">
        <f ca="1">IF('Expenses w MYP'!$H26="","",IF('Cash Flow %s Yr4'!L71="","",'Cash Flow %s Yr4'!L71*'Expenses w MYP'!$H26))</f>
        <v>2880</v>
      </c>
      <c r="M71" s="62">
        <f ca="1">IF('Expenses w MYP'!$H26="","",IF('Cash Flow %s Yr4'!M71="","",'Cash Flow %s Yr4'!M71*'Expenses w MYP'!$H26))</f>
        <v>2880</v>
      </c>
      <c r="N71" s="62">
        <f ca="1">IF('Expenses w MYP'!$H26="","",IF('Cash Flow %s Yr4'!N71="","",'Cash Flow %s Yr4'!N71*'Expenses w MYP'!$H26))</f>
        <v>2880</v>
      </c>
      <c r="O71" s="62">
        <f ca="1">IF('Expenses w MYP'!$H26="","",IF('Cash Flow %s Yr4'!O71="","",'Cash Flow %s Yr4'!O71*'Expenses w MYP'!$H26))</f>
        <v>2880</v>
      </c>
      <c r="P71" s="113"/>
      <c r="Q71" s="113"/>
      <c r="R71" s="113"/>
      <c r="S71" s="97">
        <f ca="1">IF(SUM(D71:R71)&gt;0,SUM(D71:R71)/'Expenses w MYP'!$H26,"")</f>
        <v>1</v>
      </c>
    </row>
    <row r="72" spans="1:19" s="31" customFormat="1" x14ac:dyDescent="0.75">
      <c r="A72" s="35"/>
      <c r="B72" s="65" t="str">
        <f>'Expenses w MYP'!C27</f>
        <v>2905</v>
      </c>
      <c r="C72" s="65" t="str">
        <f>'Expenses w MYP'!D27</f>
        <v>Other Stipends</v>
      </c>
      <c r="D72" s="62">
        <f ca="1">IF('Expenses w MYP'!$H27="","",IF('Cash Flow %s Yr4'!D72="","",'Cash Flow %s Yr4'!D72*'Expenses w MYP'!$H27))</f>
        <v>0</v>
      </c>
      <c r="E72" s="62">
        <f ca="1">IF('Expenses w MYP'!$H27="","",IF('Cash Flow %s Yr4'!E72="","",'Cash Flow %s Yr4'!E72*'Expenses w MYP'!$H27))</f>
        <v>0</v>
      </c>
      <c r="F72" s="62">
        <f ca="1">IF('Expenses w MYP'!$H27="","",IF('Cash Flow %s Yr4'!F72="","",'Cash Flow %s Yr4'!F72*'Expenses w MYP'!$H27))</f>
        <v>0</v>
      </c>
      <c r="G72" s="62">
        <f ca="1">IF('Expenses w MYP'!$H27="","",IF('Cash Flow %s Yr4'!G72="","",'Cash Flow %s Yr4'!G72*'Expenses w MYP'!$H27))</f>
        <v>0</v>
      </c>
      <c r="H72" s="62">
        <f ca="1">IF('Expenses w MYP'!$H27="","",IF('Cash Flow %s Yr4'!H72="","",'Cash Flow %s Yr4'!H72*'Expenses w MYP'!$H27))</f>
        <v>0</v>
      </c>
      <c r="I72" s="62">
        <f ca="1">IF('Expenses w MYP'!$H27="","",IF('Cash Flow %s Yr4'!I72="","",'Cash Flow %s Yr4'!I72*'Expenses w MYP'!$H27))</f>
        <v>0</v>
      </c>
      <c r="J72" s="62">
        <f ca="1">IF('Expenses w MYP'!$H27="","",IF('Cash Flow %s Yr4'!J72="","",'Cash Flow %s Yr4'!J72*'Expenses w MYP'!$H27))</f>
        <v>0</v>
      </c>
      <c r="K72" s="62">
        <f ca="1">IF('Expenses w MYP'!$H27="","",IF('Cash Flow %s Yr4'!K72="","",'Cash Flow %s Yr4'!K72*'Expenses w MYP'!$H27))</f>
        <v>0</v>
      </c>
      <c r="L72" s="62">
        <f ca="1">IF('Expenses w MYP'!$H27="","",IF('Cash Flow %s Yr4'!L72="","",'Cash Flow %s Yr4'!L72*'Expenses w MYP'!$H27))</f>
        <v>0</v>
      </c>
      <c r="M72" s="62">
        <f ca="1">IF('Expenses w MYP'!$H27="","",IF('Cash Flow %s Yr4'!M72="","",'Cash Flow %s Yr4'!M72*'Expenses w MYP'!$H27))</f>
        <v>0</v>
      </c>
      <c r="N72" s="62">
        <f ca="1">IF('Expenses w MYP'!$H27="","",IF('Cash Flow %s Yr4'!N72="","",'Cash Flow %s Yr4'!N72*'Expenses w MYP'!$H27))</f>
        <v>0</v>
      </c>
      <c r="O72" s="62">
        <f ca="1">IF('Expenses w MYP'!$H27="","",IF('Cash Flow %s Yr4'!O72="","",'Cash Flow %s Yr4'!O72*'Expenses w MYP'!$H27))</f>
        <v>0</v>
      </c>
      <c r="P72" s="113"/>
      <c r="Q72" s="113"/>
      <c r="R72" s="113"/>
      <c r="S72" s="97" t="str">
        <f ca="1">IF(SUM(D72:R72)&gt;0,SUM(D72:R72)/'Expenses w MYP'!$H27,"")</f>
        <v/>
      </c>
    </row>
    <row r="73" spans="1:19" s="31" customFormat="1" x14ac:dyDescent="0.75">
      <c r="A73" s="35"/>
      <c r="B73" s="65" t="str">
        <f>'Expenses w MYP'!C28</f>
        <v>2910</v>
      </c>
      <c r="C73" s="65" t="str">
        <f>'Expenses w MYP'!D28</f>
        <v>Other Classified Overtime</v>
      </c>
      <c r="D73" s="62">
        <f ca="1">IF('Expenses w MYP'!$H28="","",IF('Cash Flow %s Yr4'!D73="","",'Cash Flow %s Yr4'!D73*'Expenses w MYP'!$H28))</f>
        <v>0</v>
      </c>
      <c r="E73" s="62">
        <f ca="1">IF('Expenses w MYP'!$H28="","",IF('Cash Flow %s Yr4'!E73="","",'Cash Flow %s Yr4'!E73*'Expenses w MYP'!$H28))</f>
        <v>0</v>
      </c>
      <c r="F73" s="62">
        <f ca="1">IF('Expenses w MYP'!$H28="","",IF('Cash Flow %s Yr4'!F73="","",'Cash Flow %s Yr4'!F73*'Expenses w MYP'!$H28))</f>
        <v>0</v>
      </c>
      <c r="G73" s="62">
        <f ca="1">IF('Expenses w MYP'!$H28="","",IF('Cash Flow %s Yr4'!G73="","",'Cash Flow %s Yr4'!G73*'Expenses w MYP'!$H28))</f>
        <v>0</v>
      </c>
      <c r="H73" s="62">
        <f ca="1">IF('Expenses w MYP'!$H28="","",IF('Cash Flow %s Yr4'!H73="","",'Cash Flow %s Yr4'!H73*'Expenses w MYP'!$H28))</f>
        <v>0</v>
      </c>
      <c r="I73" s="62">
        <f ca="1">IF('Expenses w MYP'!$H28="","",IF('Cash Flow %s Yr4'!I73="","",'Cash Flow %s Yr4'!I73*'Expenses w MYP'!$H28))</f>
        <v>0</v>
      </c>
      <c r="J73" s="62">
        <f ca="1">IF('Expenses w MYP'!$H28="","",IF('Cash Flow %s Yr4'!J73="","",'Cash Flow %s Yr4'!J73*'Expenses w MYP'!$H28))</f>
        <v>0</v>
      </c>
      <c r="K73" s="62">
        <f ca="1">IF('Expenses w MYP'!$H28="","",IF('Cash Flow %s Yr4'!K73="","",'Cash Flow %s Yr4'!K73*'Expenses w MYP'!$H28))</f>
        <v>0</v>
      </c>
      <c r="L73" s="62">
        <f ca="1">IF('Expenses w MYP'!$H28="","",IF('Cash Flow %s Yr4'!L73="","",'Cash Flow %s Yr4'!L73*'Expenses w MYP'!$H28))</f>
        <v>0</v>
      </c>
      <c r="M73" s="62">
        <f ca="1">IF('Expenses w MYP'!$H28="","",IF('Cash Flow %s Yr4'!M73="","",'Cash Flow %s Yr4'!M73*'Expenses w MYP'!$H28))</f>
        <v>0</v>
      </c>
      <c r="N73" s="62">
        <f ca="1">IF('Expenses w MYP'!$H28="","",IF('Cash Flow %s Yr4'!N73="","",'Cash Flow %s Yr4'!N73*'Expenses w MYP'!$H28))</f>
        <v>0</v>
      </c>
      <c r="O73" s="62">
        <f ca="1">IF('Expenses w MYP'!$H28="","",IF('Cash Flow %s Yr4'!O73="","",'Cash Flow %s Yr4'!O73*'Expenses w MYP'!$H28))</f>
        <v>0</v>
      </c>
      <c r="P73" s="113"/>
      <c r="Q73" s="113"/>
      <c r="R73" s="113"/>
      <c r="S73" s="97" t="str">
        <f ca="1">IF(SUM(D73:R73)&gt;0,SUM(D73:R73)/'Expenses w MYP'!$H28,"")</f>
        <v/>
      </c>
    </row>
    <row r="74" spans="1:19" s="31" customFormat="1" x14ac:dyDescent="0.75">
      <c r="A74" s="35"/>
      <c r="B74" s="42" t="s">
        <v>736</v>
      </c>
      <c r="C74" s="34" t="s">
        <v>719</v>
      </c>
      <c r="D74" s="153">
        <f t="shared" ref="D74:I74" ca="1" si="6">IF(SUM(D63:D73)&gt;0,SUM(D63:D73),"")</f>
        <v>35465.09161666772</v>
      </c>
      <c r="E74" s="153">
        <f t="shared" ca="1" si="6"/>
        <v>35465.09161666772</v>
      </c>
      <c r="F74" s="153">
        <f t="shared" ca="1" si="6"/>
        <v>103499.75876560733</v>
      </c>
      <c r="G74" s="153">
        <f t="shared" ca="1" si="6"/>
        <v>103499.75876560733</v>
      </c>
      <c r="H74" s="153">
        <f t="shared" ca="1" si="6"/>
        <v>103499.75876560733</v>
      </c>
      <c r="I74" s="153">
        <f t="shared" ca="1" si="6"/>
        <v>103499.75876560733</v>
      </c>
      <c r="J74" s="153">
        <f t="shared" ref="J74:R74" ca="1" si="7">IF(SUM(J63:J73)&gt;0,SUM(J63:J73),"")</f>
        <v>103499.75876560733</v>
      </c>
      <c r="K74" s="153">
        <f t="shared" ca="1" si="7"/>
        <v>103499.75876560733</v>
      </c>
      <c r="L74" s="153">
        <f t="shared" ca="1" si="7"/>
        <v>103927.04902604912</v>
      </c>
      <c r="M74" s="153">
        <f t="shared" ca="1" si="7"/>
        <v>103927.04902604912</v>
      </c>
      <c r="N74" s="153">
        <f t="shared" ca="1" si="7"/>
        <v>103927.04902604912</v>
      </c>
      <c r="O74" s="153">
        <f t="shared" ca="1" si="7"/>
        <v>103927.04902604912</v>
      </c>
      <c r="P74" s="153" t="str">
        <f t="shared" si="7"/>
        <v/>
      </c>
      <c r="Q74" s="153" t="str">
        <f t="shared" si="7"/>
        <v/>
      </c>
      <c r="R74" s="153" t="str">
        <f t="shared" si="7"/>
        <v/>
      </c>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62">
        <f ca="1">IF('Expenses w MYP'!$H32="","",IF('Cash Flow %s Yr4'!D77="","",'Cash Flow %s Yr4'!D77*'Expenses w MYP'!$H32))</f>
        <v>18700.891283693109</v>
      </c>
      <c r="E77" s="62">
        <f ca="1">IF('Expenses w MYP'!$H32="","",IF('Cash Flow %s Yr4'!E77="","",'Cash Flow %s Yr4'!E77*'Expenses w MYP'!$H32))</f>
        <v>18700.891283693109</v>
      </c>
      <c r="F77" s="62">
        <f ca="1">IF('Expenses w MYP'!$H32="","",IF('Cash Flow %s Yr4'!F77="","",'Cash Flow %s Yr4'!F77*'Expenses w MYP'!$H32))</f>
        <v>93504.456418465546</v>
      </c>
      <c r="G77" s="62">
        <f ca="1">IF('Expenses w MYP'!$H32="","",IF('Cash Flow %s Yr4'!G77="","",'Cash Flow %s Yr4'!G77*'Expenses w MYP'!$H32))</f>
        <v>93504.456418465546</v>
      </c>
      <c r="H77" s="62">
        <f ca="1">IF('Expenses w MYP'!$H32="","",IF('Cash Flow %s Yr4'!H77="","",'Cash Flow %s Yr4'!H77*'Expenses w MYP'!$H32))</f>
        <v>93504.456418465546</v>
      </c>
      <c r="I77" s="62">
        <f ca="1">IF('Expenses w MYP'!$H32="","",IF('Cash Flow %s Yr4'!I77="","",'Cash Flow %s Yr4'!I77*'Expenses w MYP'!$H32))</f>
        <v>93504.456418465546</v>
      </c>
      <c r="J77" s="62">
        <f ca="1">IF('Expenses w MYP'!$H32="","",IF('Cash Flow %s Yr4'!J77="","",'Cash Flow %s Yr4'!J77*'Expenses w MYP'!$H32))</f>
        <v>93504.456418465546</v>
      </c>
      <c r="K77" s="62">
        <f ca="1">IF('Expenses w MYP'!$H32="","",IF('Cash Flow %s Yr4'!K77="","",'Cash Flow %s Yr4'!K77*'Expenses w MYP'!$H32))</f>
        <v>93504.456418465546</v>
      </c>
      <c r="L77" s="62">
        <f ca="1">IF('Expenses w MYP'!$H32="","",IF('Cash Flow %s Yr4'!L77="","",'Cash Flow %s Yr4'!L77*'Expenses w MYP'!$H32))</f>
        <v>93504.456418465546</v>
      </c>
      <c r="M77" s="62">
        <f ca="1">IF('Expenses w MYP'!$H32="","",IF('Cash Flow %s Yr4'!M77="","",'Cash Flow %s Yr4'!M77*'Expenses w MYP'!$H32))</f>
        <v>93504.456418465546</v>
      </c>
      <c r="N77" s="62">
        <f ca="1">IF('Expenses w MYP'!$H32="","",IF('Cash Flow %s Yr4'!N77="","",'Cash Flow %s Yr4'!N77*'Expenses w MYP'!$H32))</f>
        <v>93504.456418465546</v>
      </c>
      <c r="O77" s="62">
        <f ca="1">IF('Expenses w MYP'!$H32="","",IF('Cash Flow %s Yr4'!O77="","",'Cash Flow %s Yr4'!O77*'Expenses w MYP'!$H32))</f>
        <v>56102.673851079322</v>
      </c>
      <c r="P77" s="113"/>
      <c r="Q77" s="113"/>
      <c r="R77" s="113"/>
      <c r="S77" s="97">
        <f ca="1">IF(SUM(D77:R77)&gt;0,SUM(D77:R77)/'Expenses w MYP'!$H32,"")</f>
        <v>1.0000000000000002</v>
      </c>
    </row>
    <row r="78" spans="1:19" s="31" customFormat="1" x14ac:dyDescent="0.75">
      <c r="A78" s="35"/>
      <c r="B78" s="65" t="str">
        <f>'Expenses w MYP'!C45</f>
        <v>3602</v>
      </c>
      <c r="C78" s="65" t="str">
        <f>'Expenses w MYP'!D45</f>
        <v>Worker's Comp - Classified</v>
      </c>
      <c r="D78" s="62">
        <f ca="1">IF('Expenses w MYP'!$H45="","",IF('Cash Flow %s Yr4'!D78="","",'Cash Flow %s Yr4'!D78*'Expenses w MYP'!$H45))</f>
        <v>465.20751141109372</v>
      </c>
      <c r="E78" s="62">
        <f ca="1">IF('Expenses w MYP'!$H45="","",IF('Cash Flow %s Yr4'!E78="","",'Cash Flow %s Yr4'!E78*'Expenses w MYP'!$H45))</f>
        <v>465.20751141109372</v>
      </c>
      <c r="F78" s="62">
        <f ca="1">IF('Expenses w MYP'!$H45="","",IF('Cash Flow %s Yr4'!F78="","",'Cash Flow %s Yr4'!F78*'Expenses w MYP'!$H45))</f>
        <v>2326.0375570554688</v>
      </c>
      <c r="G78" s="62">
        <f ca="1">IF('Expenses w MYP'!$H45="","",IF('Cash Flow %s Yr4'!G78="","",'Cash Flow %s Yr4'!G78*'Expenses w MYP'!$H45))</f>
        <v>2326.0375570554688</v>
      </c>
      <c r="H78" s="62">
        <f ca="1">IF('Expenses w MYP'!$H45="","",IF('Cash Flow %s Yr4'!H78="","",'Cash Flow %s Yr4'!H78*'Expenses w MYP'!$H45))</f>
        <v>2326.0375570554688</v>
      </c>
      <c r="I78" s="62">
        <f ca="1">IF('Expenses w MYP'!$H45="","",IF('Cash Flow %s Yr4'!I78="","",'Cash Flow %s Yr4'!I78*'Expenses w MYP'!$H45))</f>
        <v>2326.0375570554688</v>
      </c>
      <c r="J78" s="62">
        <f ca="1">IF('Expenses w MYP'!$H45="","",IF('Cash Flow %s Yr4'!J78="","",'Cash Flow %s Yr4'!J78*'Expenses w MYP'!$H45))</f>
        <v>2326.0375570554688</v>
      </c>
      <c r="K78" s="62">
        <f ca="1">IF('Expenses w MYP'!$H45="","",IF('Cash Flow %s Yr4'!K78="","",'Cash Flow %s Yr4'!K78*'Expenses w MYP'!$H45))</f>
        <v>2326.0375570554688</v>
      </c>
      <c r="L78" s="62">
        <f ca="1">IF('Expenses w MYP'!$H45="","",IF('Cash Flow %s Yr4'!L78="","",'Cash Flow %s Yr4'!L78*'Expenses w MYP'!$H45))</f>
        <v>2326.0375570554688</v>
      </c>
      <c r="M78" s="62">
        <f ca="1">IF('Expenses w MYP'!$H45="","",IF('Cash Flow %s Yr4'!M78="","",'Cash Flow %s Yr4'!M78*'Expenses w MYP'!$H45))</f>
        <v>2326.0375570554688</v>
      </c>
      <c r="N78" s="62">
        <f ca="1">IF('Expenses w MYP'!$H45="","",IF('Cash Flow %s Yr4'!N78="","",'Cash Flow %s Yr4'!N78*'Expenses w MYP'!$H45))</f>
        <v>2326.0375570554688</v>
      </c>
      <c r="O78" s="62">
        <f ca="1">IF('Expenses w MYP'!$H45="","",IF('Cash Flow %s Yr4'!O78="","",'Cash Flow %s Yr4'!O78*'Expenses w MYP'!$H45))</f>
        <v>1395.6225342332812</v>
      </c>
      <c r="P78" s="113"/>
      <c r="Q78" s="113"/>
      <c r="R78" s="113"/>
      <c r="S78" s="97">
        <f ca="1">IF(SUM(D78:R78)&gt;0,SUM(D78:R78)/'Expenses w MYP'!$H45,"")</f>
        <v>0.99999999999999989</v>
      </c>
    </row>
    <row r="79" spans="1:19" s="31" customFormat="1" x14ac:dyDescent="0.75">
      <c r="A79" s="35"/>
      <c r="B79" s="65" t="str">
        <f>'Expenses w MYP'!C46</f>
        <v>3603</v>
      </c>
      <c r="C79" s="65" t="str">
        <f>'Expenses w MYP'!D46</f>
        <v>Worker Compensation Insurance</v>
      </c>
      <c r="D79" s="62">
        <f ca="1">IF('Expenses w MYP'!$H46="","",IF('Cash Flow %s Yr4'!D79="","",'Cash Flow %s Yr4'!D79*'Expenses w MYP'!$H46))</f>
        <v>0</v>
      </c>
      <c r="E79" s="62">
        <f ca="1">IF('Expenses w MYP'!$H46="","",IF('Cash Flow %s Yr4'!E79="","",'Cash Flow %s Yr4'!E79*'Expenses w MYP'!$H46))</f>
        <v>0</v>
      </c>
      <c r="F79" s="62">
        <f ca="1">IF('Expenses w MYP'!$H46="","",IF('Cash Flow %s Yr4'!F79="","",'Cash Flow %s Yr4'!F79*'Expenses w MYP'!$H46))</f>
        <v>0</v>
      </c>
      <c r="G79" s="62">
        <f ca="1">IF('Expenses w MYP'!$H46="","",IF('Cash Flow %s Yr4'!G79="","",'Cash Flow %s Yr4'!G79*'Expenses w MYP'!$H46))</f>
        <v>0</v>
      </c>
      <c r="H79" s="62">
        <f ca="1">IF('Expenses w MYP'!$H46="","",IF('Cash Flow %s Yr4'!H79="","",'Cash Flow %s Yr4'!H79*'Expenses w MYP'!$H46))</f>
        <v>0</v>
      </c>
      <c r="I79" s="62">
        <f ca="1">IF('Expenses w MYP'!$H46="","",IF('Cash Flow %s Yr4'!I79="","",'Cash Flow %s Yr4'!I79*'Expenses w MYP'!$H46))</f>
        <v>0</v>
      </c>
      <c r="J79" s="62">
        <f ca="1">IF('Expenses w MYP'!$H46="","",IF('Cash Flow %s Yr4'!J79="","",'Cash Flow %s Yr4'!J79*'Expenses w MYP'!$H46))</f>
        <v>0</v>
      </c>
      <c r="K79" s="62">
        <f ca="1">IF('Expenses w MYP'!$H46="","",IF('Cash Flow %s Yr4'!K79="","",'Cash Flow %s Yr4'!K79*'Expenses w MYP'!$H46))</f>
        <v>0</v>
      </c>
      <c r="L79" s="62">
        <f ca="1">IF('Expenses w MYP'!$H46="","",IF('Cash Flow %s Yr4'!L79="","",'Cash Flow %s Yr4'!L79*'Expenses w MYP'!$H46))</f>
        <v>0</v>
      </c>
      <c r="M79" s="62">
        <f ca="1">IF('Expenses w MYP'!$H46="","",IF('Cash Flow %s Yr4'!M79="","",'Cash Flow %s Yr4'!M79*'Expenses w MYP'!$H46))</f>
        <v>0</v>
      </c>
      <c r="N79" s="62">
        <f ca="1">IF('Expenses w MYP'!$H46="","",IF('Cash Flow %s Yr4'!N79="","",'Cash Flow %s Yr4'!N79*'Expenses w MYP'!$H46))</f>
        <v>0</v>
      </c>
      <c r="O79" s="62">
        <f ca="1">IF('Expenses w MYP'!$H46="","",IF('Cash Flow %s Yr4'!O79="","",'Cash Flow %s Yr4'!O79*'Expenses w MYP'!$H46))</f>
        <v>0</v>
      </c>
      <c r="P79" s="113"/>
      <c r="Q79" s="113"/>
      <c r="R79" s="113"/>
      <c r="S79" s="97" t="str">
        <f ca="1">IF(SUM(D79:R79)&gt;0,SUM(D79:R79)/'Expenses w MYP'!$H46,"")</f>
        <v/>
      </c>
    </row>
    <row r="80" spans="1:19" s="31" customFormat="1" x14ac:dyDescent="0.75">
      <c r="A80" s="35"/>
      <c r="B80" s="65" t="str">
        <f>'Expenses w MYP'!C47</f>
        <v>3703</v>
      </c>
      <c r="C80" s="65">
        <f>'Expenses w MYP'!D47</f>
        <v>0</v>
      </c>
      <c r="D80" s="62">
        <f ca="1">IF('Expenses w MYP'!$H47="","",IF('Cash Flow %s Yr4'!D80="","",'Cash Flow %s Yr4'!D80*'Expenses w MYP'!$H47))</f>
        <v>0</v>
      </c>
      <c r="E80" s="62">
        <f ca="1">IF('Expenses w MYP'!$H47="","",IF('Cash Flow %s Yr4'!E80="","",'Cash Flow %s Yr4'!E80*'Expenses w MYP'!$H47))</f>
        <v>0</v>
      </c>
      <c r="F80" s="62">
        <f ca="1">IF('Expenses w MYP'!$H47="","",IF('Cash Flow %s Yr4'!F80="","",'Cash Flow %s Yr4'!F80*'Expenses w MYP'!$H47))</f>
        <v>0</v>
      </c>
      <c r="G80" s="62">
        <f ca="1">IF('Expenses w MYP'!$H47="","",IF('Cash Flow %s Yr4'!G80="","",'Cash Flow %s Yr4'!G80*'Expenses w MYP'!$H47))</f>
        <v>0</v>
      </c>
      <c r="H80" s="62">
        <f ca="1">IF('Expenses w MYP'!$H47="","",IF('Cash Flow %s Yr4'!H80="","",'Cash Flow %s Yr4'!H80*'Expenses w MYP'!$H47))</f>
        <v>0</v>
      </c>
      <c r="I80" s="62">
        <f ca="1">IF('Expenses w MYP'!$H47="","",IF('Cash Flow %s Yr4'!I80="","",'Cash Flow %s Yr4'!I80*'Expenses w MYP'!$H47))</f>
        <v>0</v>
      </c>
      <c r="J80" s="62">
        <f ca="1">IF('Expenses w MYP'!$H47="","",IF('Cash Flow %s Yr4'!J80="","",'Cash Flow %s Yr4'!J80*'Expenses w MYP'!$H47))</f>
        <v>0</v>
      </c>
      <c r="K80" s="62">
        <f ca="1">IF('Expenses w MYP'!$H47="","",IF('Cash Flow %s Yr4'!K80="","",'Cash Flow %s Yr4'!K80*'Expenses w MYP'!$H47))</f>
        <v>0</v>
      </c>
      <c r="L80" s="62">
        <f ca="1">IF('Expenses w MYP'!$H47="","",IF('Cash Flow %s Yr4'!L80="","",'Cash Flow %s Yr4'!L80*'Expenses w MYP'!$H47))</f>
        <v>0</v>
      </c>
      <c r="M80" s="62">
        <f ca="1">IF('Expenses w MYP'!$H47="","",IF('Cash Flow %s Yr4'!M80="","",'Cash Flow %s Yr4'!M80*'Expenses w MYP'!$H47))</f>
        <v>0</v>
      </c>
      <c r="N80" s="62">
        <f ca="1">IF('Expenses w MYP'!$H47="","",IF('Cash Flow %s Yr4'!N80="","",'Cash Flow %s Yr4'!N80*'Expenses w MYP'!$H47))</f>
        <v>0</v>
      </c>
      <c r="O80" s="62">
        <f ca="1">IF('Expenses w MYP'!$H47="","",IF('Cash Flow %s Yr4'!O80="","",'Cash Flow %s Yr4'!O80*'Expenses w MYP'!$H47))</f>
        <v>0</v>
      </c>
      <c r="P80" s="113"/>
      <c r="Q80" s="113"/>
      <c r="R80" s="113"/>
      <c r="S80" s="97" t="str">
        <f ca="1">IF(SUM(D80:R80)&gt;0,SUM(D80:R80)/'Expenses w MYP'!$H47,"")</f>
        <v/>
      </c>
    </row>
    <row r="81" spans="1:19" s="31" customFormat="1" x14ac:dyDescent="0.75">
      <c r="A81" s="35"/>
      <c r="B81" s="65" t="str">
        <f>'Expenses w MYP'!C48</f>
        <v>3901</v>
      </c>
      <c r="C81" s="65" t="str">
        <f>'Expenses w MYP'!D48</f>
        <v>Other Employee Benefits - Certificated</v>
      </c>
      <c r="D81" s="62">
        <f ca="1">IF('Expenses w MYP'!$H48="","",IF('Cash Flow %s Yr4'!D81="","",'Cash Flow %s Yr4'!D81*'Expenses w MYP'!$H48))</f>
        <v>584.28615096528188</v>
      </c>
      <c r="E81" s="62">
        <f ca="1">IF('Expenses w MYP'!$H48="","",IF('Cash Flow %s Yr4'!E81="","",'Cash Flow %s Yr4'!E81*'Expenses w MYP'!$H48))</f>
        <v>584.28615096528188</v>
      </c>
      <c r="F81" s="62">
        <f ca="1">IF('Expenses w MYP'!$H48="","",IF('Cash Flow %s Yr4'!F81="","",'Cash Flow %s Yr4'!F81*'Expenses w MYP'!$H48))</f>
        <v>2921.4307548264096</v>
      </c>
      <c r="G81" s="62">
        <f ca="1">IF('Expenses w MYP'!$H48="","",IF('Cash Flow %s Yr4'!G81="","",'Cash Flow %s Yr4'!G81*'Expenses w MYP'!$H48))</f>
        <v>2921.4307548264096</v>
      </c>
      <c r="H81" s="62">
        <f ca="1">IF('Expenses w MYP'!$H48="","",IF('Cash Flow %s Yr4'!H81="","",'Cash Flow %s Yr4'!H81*'Expenses w MYP'!$H48))</f>
        <v>2921.4307548264096</v>
      </c>
      <c r="I81" s="62">
        <f ca="1">IF('Expenses w MYP'!$H48="","",IF('Cash Flow %s Yr4'!I81="","",'Cash Flow %s Yr4'!I81*'Expenses w MYP'!$H48))</f>
        <v>2921.4307548264096</v>
      </c>
      <c r="J81" s="62">
        <f ca="1">IF('Expenses w MYP'!$H48="","",IF('Cash Flow %s Yr4'!J81="","",'Cash Flow %s Yr4'!J81*'Expenses w MYP'!$H48))</f>
        <v>2921.4307548264096</v>
      </c>
      <c r="K81" s="62">
        <f ca="1">IF('Expenses w MYP'!$H48="","",IF('Cash Flow %s Yr4'!K81="","",'Cash Flow %s Yr4'!K81*'Expenses w MYP'!$H48))</f>
        <v>2921.4307548264096</v>
      </c>
      <c r="L81" s="62">
        <f ca="1">IF('Expenses w MYP'!$H48="","",IF('Cash Flow %s Yr4'!L81="","",'Cash Flow %s Yr4'!L81*'Expenses w MYP'!$H48))</f>
        <v>2921.4307548264096</v>
      </c>
      <c r="M81" s="62">
        <f ca="1">IF('Expenses w MYP'!$H48="","",IF('Cash Flow %s Yr4'!M81="","",'Cash Flow %s Yr4'!M81*'Expenses w MYP'!$H48))</f>
        <v>2921.4307548264096</v>
      </c>
      <c r="N81" s="62">
        <f ca="1">IF('Expenses w MYP'!$H48="","",IF('Cash Flow %s Yr4'!N81="","",'Cash Flow %s Yr4'!N81*'Expenses w MYP'!$H48))</f>
        <v>2921.4307548264096</v>
      </c>
      <c r="O81" s="62">
        <f ca="1">IF('Expenses w MYP'!$H48="","",IF('Cash Flow %s Yr4'!O81="","",'Cash Flow %s Yr4'!O81*'Expenses w MYP'!$H48))</f>
        <v>1752.8584528958454</v>
      </c>
      <c r="P81" s="113"/>
      <c r="Q81" s="113"/>
      <c r="R81" s="113"/>
      <c r="S81" s="97">
        <f ca="1">IF(SUM(D81:R81)&gt;0,SUM(D81:R81)/'Expenses w MYP'!$H48,"")</f>
        <v>1.0000000000000002</v>
      </c>
    </row>
    <row r="82" spans="1:19" s="31" customFormat="1" x14ac:dyDescent="0.75">
      <c r="A82" s="35"/>
      <c r="B82" s="65" t="str">
        <f>'Expenses w MYP'!C49</f>
        <v>3902</v>
      </c>
      <c r="C82" s="65" t="str">
        <f>'Expenses w MYP'!D49</f>
        <v>Other Employee Benefits - Classified</v>
      </c>
      <c r="D82" s="62">
        <f ca="1">IF('Expenses w MYP'!$H49="","",IF('Cash Flow %s Yr4'!D82="","",'Cash Flow %s Yr4'!D82*'Expenses w MYP'!$H49))</f>
        <v>0</v>
      </c>
      <c r="E82" s="62">
        <f ca="1">IF('Expenses w MYP'!$H49="","",IF('Cash Flow %s Yr4'!E82="","",'Cash Flow %s Yr4'!E82*'Expenses w MYP'!$H49))</f>
        <v>0</v>
      </c>
      <c r="F82" s="62">
        <f ca="1">IF('Expenses w MYP'!$H49="","",IF('Cash Flow %s Yr4'!F82="","",'Cash Flow %s Yr4'!F82*'Expenses w MYP'!$H49))</f>
        <v>0</v>
      </c>
      <c r="G82" s="62">
        <f ca="1">IF('Expenses w MYP'!$H49="","",IF('Cash Flow %s Yr4'!G82="","",'Cash Flow %s Yr4'!G82*'Expenses w MYP'!$H49))</f>
        <v>0</v>
      </c>
      <c r="H82" s="62">
        <f ca="1">IF('Expenses w MYP'!$H49="","",IF('Cash Flow %s Yr4'!H82="","",'Cash Flow %s Yr4'!H82*'Expenses w MYP'!$H49))</f>
        <v>0</v>
      </c>
      <c r="I82" s="62">
        <f ca="1">IF('Expenses w MYP'!$H49="","",IF('Cash Flow %s Yr4'!I82="","",'Cash Flow %s Yr4'!I82*'Expenses w MYP'!$H49))</f>
        <v>0</v>
      </c>
      <c r="J82" s="62">
        <f ca="1">IF('Expenses w MYP'!$H49="","",IF('Cash Flow %s Yr4'!J82="","",'Cash Flow %s Yr4'!J82*'Expenses w MYP'!$H49))</f>
        <v>0</v>
      </c>
      <c r="K82" s="62">
        <f ca="1">IF('Expenses w MYP'!$H49="","",IF('Cash Flow %s Yr4'!K82="","",'Cash Flow %s Yr4'!K82*'Expenses w MYP'!$H49))</f>
        <v>0</v>
      </c>
      <c r="L82" s="62">
        <f ca="1">IF('Expenses w MYP'!$H49="","",IF('Cash Flow %s Yr4'!L82="","",'Cash Flow %s Yr4'!L82*'Expenses w MYP'!$H49))</f>
        <v>0</v>
      </c>
      <c r="M82" s="62">
        <f ca="1">IF('Expenses w MYP'!$H49="","",IF('Cash Flow %s Yr4'!M82="","",'Cash Flow %s Yr4'!M82*'Expenses w MYP'!$H49))</f>
        <v>0</v>
      </c>
      <c r="N82" s="62">
        <f ca="1">IF('Expenses w MYP'!$H49="","",IF('Cash Flow %s Yr4'!N82="","",'Cash Flow %s Yr4'!N82*'Expenses w MYP'!$H49))</f>
        <v>0</v>
      </c>
      <c r="O82" s="62">
        <f ca="1">IF('Expenses w MYP'!$H49="","",IF('Cash Flow %s Yr4'!O82="","",'Cash Flow %s Yr4'!O82*'Expenses w MYP'!$H49))</f>
        <v>0</v>
      </c>
      <c r="P82" s="113"/>
      <c r="Q82" s="113"/>
      <c r="R82" s="113"/>
      <c r="S82" s="97" t="str">
        <f ca="1">IF(SUM(D82:R82)&gt;0,SUM(D82:R82)/'Expenses w MYP'!$H49,"")</f>
        <v/>
      </c>
    </row>
    <row r="83" spans="1:19" s="31" customFormat="1" x14ac:dyDescent="0.75">
      <c r="A83" s="35"/>
      <c r="B83" s="65" t="str">
        <f>'Expenses w MYP'!C50</f>
        <v>3903</v>
      </c>
      <c r="C83" s="65" t="str">
        <f>'Expenses w MYP'!D50</f>
        <v>Other Post Employment Benefits</v>
      </c>
      <c r="D83" s="62">
        <f ca="1">IF('Expenses w MYP'!$H50="","",IF('Cash Flow %s Yr4'!D83="","",'Cash Flow %s Yr4'!D83*'Expenses w MYP'!$H50))</f>
        <v>0</v>
      </c>
      <c r="E83" s="62">
        <f ca="1">IF('Expenses w MYP'!$H50="","",IF('Cash Flow %s Yr4'!E83="","",'Cash Flow %s Yr4'!E83*'Expenses w MYP'!$H50))</f>
        <v>0</v>
      </c>
      <c r="F83" s="62">
        <f ca="1">IF('Expenses w MYP'!$H50="","",IF('Cash Flow %s Yr4'!F83="","",'Cash Flow %s Yr4'!F83*'Expenses w MYP'!$H50))</f>
        <v>0</v>
      </c>
      <c r="G83" s="62">
        <f ca="1">IF('Expenses w MYP'!$H50="","",IF('Cash Flow %s Yr4'!G83="","",'Cash Flow %s Yr4'!G83*'Expenses w MYP'!$H50))</f>
        <v>0</v>
      </c>
      <c r="H83" s="62">
        <f ca="1">IF('Expenses w MYP'!$H50="","",IF('Cash Flow %s Yr4'!H83="","",'Cash Flow %s Yr4'!H83*'Expenses w MYP'!$H50))</f>
        <v>0</v>
      </c>
      <c r="I83" s="62">
        <f ca="1">IF('Expenses w MYP'!$H50="","",IF('Cash Flow %s Yr4'!I83="","",'Cash Flow %s Yr4'!I83*'Expenses w MYP'!$H50))</f>
        <v>0</v>
      </c>
      <c r="J83" s="62">
        <f ca="1">IF('Expenses w MYP'!$H50="","",IF('Cash Flow %s Yr4'!J83="","",'Cash Flow %s Yr4'!J83*'Expenses w MYP'!$H50))</f>
        <v>0</v>
      </c>
      <c r="K83" s="62">
        <f ca="1">IF('Expenses w MYP'!$H50="","",IF('Cash Flow %s Yr4'!K83="","",'Cash Flow %s Yr4'!K83*'Expenses w MYP'!$H50))</f>
        <v>0</v>
      </c>
      <c r="L83" s="62">
        <f ca="1">IF('Expenses w MYP'!$H50="","",IF('Cash Flow %s Yr4'!L83="","",'Cash Flow %s Yr4'!L83*'Expenses w MYP'!$H50))</f>
        <v>0</v>
      </c>
      <c r="M83" s="62">
        <f ca="1">IF('Expenses w MYP'!$H50="","",IF('Cash Flow %s Yr4'!M83="","",'Cash Flow %s Yr4'!M83*'Expenses w MYP'!$H50))</f>
        <v>0</v>
      </c>
      <c r="N83" s="62">
        <f ca="1">IF('Expenses w MYP'!$H50="","",IF('Cash Flow %s Yr4'!N83="","",'Cash Flow %s Yr4'!N83*'Expenses w MYP'!$H50))</f>
        <v>0</v>
      </c>
      <c r="O83" s="62">
        <f ca="1">IF('Expenses w MYP'!$H50="","",IF('Cash Flow %s Yr4'!O83="","",'Cash Flow %s Yr4'!O83*'Expenses w MYP'!$H50))</f>
        <v>0</v>
      </c>
      <c r="P83" s="113"/>
      <c r="Q83" s="113"/>
      <c r="R83" s="113"/>
      <c r="S83" s="97" t="str">
        <f ca="1">IF(SUM(D83:R83)&gt;0,SUM(D83:R83)/'Expenses w MYP'!$H50,"")</f>
        <v/>
      </c>
    </row>
    <row r="84" spans="1:19" s="31" customFormat="1" x14ac:dyDescent="0.75">
      <c r="A84" s="35"/>
      <c r="B84" s="65">
        <f>'Expenses w MYP'!C51</f>
        <v>0</v>
      </c>
      <c r="C84" s="65">
        <f>'Expenses w MYP'!D51</f>
        <v>0</v>
      </c>
      <c r="D84" s="62" t="str">
        <f>IF('Expenses w MYP'!$H51="","",IF('Cash Flow %s Yr4'!D84="","",'Cash Flow %s Yr4'!D84*'Expenses w MYP'!$H51))</f>
        <v/>
      </c>
      <c r="E84" s="62" t="str">
        <f>IF('Expenses w MYP'!$H51="","",IF('Cash Flow %s Yr4'!E84="","",'Cash Flow %s Yr4'!E84*'Expenses w MYP'!$H51))</f>
        <v/>
      </c>
      <c r="F84" s="62" t="str">
        <f>IF('Expenses w MYP'!$H51="","",IF('Cash Flow %s Yr4'!F84="","",'Cash Flow %s Yr4'!F84*'Expenses w MYP'!$H51))</f>
        <v/>
      </c>
      <c r="G84" s="62" t="str">
        <f>IF('Expenses w MYP'!$H51="","",IF('Cash Flow %s Yr4'!G84="","",'Cash Flow %s Yr4'!G84*'Expenses w MYP'!$H51))</f>
        <v/>
      </c>
      <c r="H84" s="62" t="str">
        <f>IF('Expenses w MYP'!$H51="","",IF('Cash Flow %s Yr4'!H84="","",'Cash Flow %s Yr4'!H84*'Expenses w MYP'!$H51))</f>
        <v/>
      </c>
      <c r="I84" s="62" t="str">
        <f>IF('Expenses w MYP'!$H51="","",IF('Cash Flow %s Yr4'!I84="","",'Cash Flow %s Yr4'!I84*'Expenses w MYP'!$H51))</f>
        <v/>
      </c>
      <c r="J84" s="62" t="str">
        <f>IF('Expenses w MYP'!$H51="","",IF('Cash Flow %s Yr4'!J84="","",'Cash Flow %s Yr4'!J84*'Expenses w MYP'!$H51))</f>
        <v/>
      </c>
      <c r="K84" s="62" t="str">
        <f>IF('Expenses w MYP'!$H51="","",IF('Cash Flow %s Yr4'!K84="","",'Cash Flow %s Yr4'!K84*'Expenses w MYP'!$H51))</f>
        <v/>
      </c>
      <c r="L84" s="62" t="str">
        <f>IF('Expenses w MYP'!$H51="","",IF('Cash Flow %s Yr4'!L84="","",'Cash Flow %s Yr4'!L84*'Expenses w MYP'!$H51))</f>
        <v/>
      </c>
      <c r="M84" s="62" t="str">
        <f>IF('Expenses w MYP'!$H51="","",IF('Cash Flow %s Yr4'!M84="","",'Cash Flow %s Yr4'!M84*'Expenses w MYP'!$H51))</f>
        <v/>
      </c>
      <c r="N84" s="62" t="str">
        <f>IF('Expenses w MYP'!$H51="","",IF('Cash Flow %s Yr4'!N84="","",'Cash Flow %s Yr4'!N84*'Expenses w MYP'!$H51))</f>
        <v/>
      </c>
      <c r="O84" s="62" t="str">
        <f>IF('Expenses w MYP'!$H51="","",IF('Cash Flow %s Yr4'!O84="","",'Cash Flow %s Yr4'!O84*'Expenses w MYP'!$H51))</f>
        <v/>
      </c>
      <c r="P84" s="113"/>
      <c r="Q84" s="113"/>
      <c r="R84" s="113"/>
      <c r="S84" s="97" t="str">
        <f>IF(SUM(D84:R84)&gt;0,SUM(D84:R84)/'Expenses w MYP'!$H51,"")</f>
        <v/>
      </c>
    </row>
    <row r="85" spans="1:19" s="31" customFormat="1" x14ac:dyDescent="0.75">
      <c r="A85" s="35"/>
      <c r="B85" s="65">
        <f>'Expenses w MYP'!C52</f>
        <v>0</v>
      </c>
      <c r="C85" s="65">
        <f>'Expenses w MYP'!D52</f>
        <v>0</v>
      </c>
      <c r="D85" s="62" t="str">
        <f>IF('Expenses w MYP'!$H52="","",IF('Cash Flow %s Yr4'!D85="","",'Cash Flow %s Yr4'!D85*'Expenses w MYP'!$H52))</f>
        <v/>
      </c>
      <c r="E85" s="62" t="str">
        <f>IF('Expenses w MYP'!$H52="","",IF('Cash Flow %s Yr4'!E85="","",'Cash Flow %s Yr4'!E85*'Expenses w MYP'!$H52))</f>
        <v/>
      </c>
      <c r="F85" s="62" t="str">
        <f>IF('Expenses w MYP'!$H52="","",IF('Cash Flow %s Yr4'!F85="","",'Cash Flow %s Yr4'!F85*'Expenses w MYP'!$H52))</f>
        <v/>
      </c>
      <c r="G85" s="62" t="str">
        <f>IF('Expenses w MYP'!$H52="","",IF('Cash Flow %s Yr4'!G85="","",'Cash Flow %s Yr4'!G85*'Expenses w MYP'!$H52))</f>
        <v/>
      </c>
      <c r="H85" s="62" t="str">
        <f>IF('Expenses w MYP'!$H52="","",IF('Cash Flow %s Yr4'!H85="","",'Cash Flow %s Yr4'!H85*'Expenses w MYP'!$H52))</f>
        <v/>
      </c>
      <c r="I85" s="62" t="str">
        <f>IF('Expenses w MYP'!$H52="","",IF('Cash Flow %s Yr4'!I85="","",'Cash Flow %s Yr4'!I85*'Expenses w MYP'!$H52))</f>
        <v/>
      </c>
      <c r="J85" s="62" t="str">
        <f>IF('Expenses w MYP'!$H52="","",IF('Cash Flow %s Yr4'!J85="","",'Cash Flow %s Yr4'!J85*'Expenses w MYP'!$H52))</f>
        <v/>
      </c>
      <c r="K85" s="62" t="str">
        <f>IF('Expenses w MYP'!$H52="","",IF('Cash Flow %s Yr4'!K85="","",'Cash Flow %s Yr4'!K85*'Expenses w MYP'!$H52))</f>
        <v/>
      </c>
      <c r="L85" s="62" t="str">
        <f>IF('Expenses w MYP'!$H52="","",IF('Cash Flow %s Yr4'!L85="","",'Cash Flow %s Yr4'!L85*'Expenses w MYP'!$H52))</f>
        <v/>
      </c>
      <c r="M85" s="62" t="str">
        <f>IF('Expenses w MYP'!$H52="","",IF('Cash Flow %s Yr4'!M85="","",'Cash Flow %s Yr4'!M85*'Expenses w MYP'!$H52))</f>
        <v/>
      </c>
      <c r="N85" s="62" t="str">
        <f>IF('Expenses w MYP'!$H52="","",IF('Cash Flow %s Yr4'!N85="","",'Cash Flow %s Yr4'!N85*'Expenses w MYP'!$H52))</f>
        <v/>
      </c>
      <c r="O85" s="62" t="str">
        <f>IF('Expenses w MYP'!$H52="","",IF('Cash Flow %s Yr4'!O85="","",'Cash Flow %s Yr4'!O85*'Expenses w MYP'!$H52))</f>
        <v/>
      </c>
      <c r="P85" s="113"/>
      <c r="Q85" s="113"/>
      <c r="R85" s="113"/>
      <c r="S85" s="97" t="str">
        <f>IF(SUM(D85:R85)&gt;0,SUM(D85:R85)/'Expenses w MYP'!$H52,"")</f>
        <v/>
      </c>
    </row>
    <row r="86" spans="1:19" s="31" customFormat="1" x14ac:dyDescent="0.75">
      <c r="A86" s="35"/>
      <c r="B86" s="42" t="s">
        <v>737</v>
      </c>
      <c r="C86" s="34" t="s">
        <v>719</v>
      </c>
      <c r="D86" s="153">
        <f t="shared" ref="D86:R86" ca="1" si="8">IF(SUM(D76:D85)&gt;0,SUM(D76:D85),"")</f>
        <v>19750.384946069484</v>
      </c>
      <c r="E86" s="153">
        <f t="shared" ca="1" si="8"/>
        <v>19750.384946069484</v>
      </c>
      <c r="F86" s="153">
        <f t="shared" ca="1" si="8"/>
        <v>98751.924730347426</v>
      </c>
      <c r="G86" s="153">
        <f t="shared" ca="1" si="8"/>
        <v>98751.924730347426</v>
      </c>
      <c r="H86" s="153">
        <f t="shared" ca="1" si="8"/>
        <v>98751.924730347426</v>
      </c>
      <c r="I86" s="153">
        <f t="shared" ca="1" si="8"/>
        <v>98751.924730347426</v>
      </c>
      <c r="J86" s="153">
        <f t="shared" ca="1" si="8"/>
        <v>98751.924730347426</v>
      </c>
      <c r="K86" s="153">
        <f t="shared" ca="1" si="8"/>
        <v>98751.924730347426</v>
      </c>
      <c r="L86" s="153">
        <f t="shared" ca="1" si="8"/>
        <v>98751.924730347426</v>
      </c>
      <c r="M86" s="153">
        <f t="shared" ca="1" si="8"/>
        <v>98751.924730347426</v>
      </c>
      <c r="N86" s="153">
        <f t="shared" ca="1" si="8"/>
        <v>98751.924730347426</v>
      </c>
      <c r="O86" s="153">
        <f t="shared" ca="1" si="8"/>
        <v>59251.154838208451</v>
      </c>
      <c r="P86" s="153" t="str">
        <f t="shared" si="8"/>
        <v/>
      </c>
      <c r="Q86" s="153" t="str">
        <f t="shared" si="8"/>
        <v/>
      </c>
      <c r="R86" s="153" t="str">
        <f t="shared" si="8"/>
        <v/>
      </c>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121" t="str">
        <f>'Expenses w MYP'!C58</f>
        <v>4100</v>
      </c>
      <c r="C89" s="121" t="str">
        <f>'Expenses w MYP'!D58</f>
        <v>Approved Textbooks and Core Curricula Materials</v>
      </c>
      <c r="D89" s="62">
        <f>IF('Expenses w MYP'!$H58="","",IF('Cash Flow %s Yr4'!D89="","",'Cash Flow %s Yr4'!D89*'Expenses w MYP'!$H58))</f>
        <v>0</v>
      </c>
      <c r="E89" s="62">
        <f>IF('Expenses w MYP'!$H58="","",IF('Cash Flow %s Yr4'!E89="","",'Cash Flow %s Yr4'!E89*'Expenses w MYP'!$H58))</f>
        <v>0</v>
      </c>
      <c r="F89" s="62">
        <f>IF('Expenses w MYP'!$H58="","",IF('Cash Flow %s Yr4'!F89="","",'Cash Flow %s Yr4'!F89*'Expenses w MYP'!$H58))</f>
        <v>842872.82348069397</v>
      </c>
      <c r="G89" s="62">
        <f>IF('Expenses w MYP'!$H58="","",IF('Cash Flow %s Yr4'!G89="","",'Cash Flow %s Yr4'!G89*'Expenses w MYP'!$H58))</f>
        <v>0</v>
      </c>
      <c r="H89" s="62">
        <f>IF('Expenses w MYP'!$H58="","",IF('Cash Flow %s Yr4'!H89="","",'Cash Flow %s Yr4'!H89*'Expenses w MYP'!$H58))</f>
        <v>0</v>
      </c>
      <c r="I89" s="62">
        <f>IF('Expenses w MYP'!$H58="","",IF('Cash Flow %s Yr4'!I89="","",'Cash Flow %s Yr4'!I89*'Expenses w MYP'!$H58))</f>
        <v>0</v>
      </c>
      <c r="J89" s="62">
        <f>IF('Expenses w MYP'!$H58="","",IF('Cash Flow %s Yr4'!J89="","",'Cash Flow %s Yr4'!J89*'Expenses w MYP'!$H58))</f>
        <v>561915.2156537961</v>
      </c>
      <c r="K89" s="62">
        <f>IF('Expenses w MYP'!$H58="","",IF('Cash Flow %s Yr4'!K89="","",'Cash Flow %s Yr4'!K89*'Expenses w MYP'!$H58))</f>
        <v>0</v>
      </c>
      <c r="L89" s="62">
        <f>IF('Expenses w MYP'!$H58="","",IF('Cash Flow %s Yr4'!L89="","",'Cash Flow %s Yr4'!L89*'Expenses w MYP'!$H58))</f>
        <v>0</v>
      </c>
      <c r="M89" s="62">
        <f>IF('Expenses w MYP'!$H58="","",IF('Cash Flow %s Yr4'!M89="","",'Cash Flow %s Yr4'!M89*'Expenses w MYP'!$H58))</f>
        <v>0</v>
      </c>
      <c r="N89" s="62">
        <f>IF('Expenses w MYP'!$H58="","",IF('Cash Flow %s Yr4'!N89="","",'Cash Flow %s Yr4'!N89*'Expenses w MYP'!$H58))</f>
        <v>0</v>
      </c>
      <c r="O89" s="62">
        <f>IF('Expenses w MYP'!$H58="","",IF('Cash Flow %s Yr4'!O89="","",'Cash Flow %s Yr4'!O89*'Expenses w MYP'!$H58))</f>
        <v>0</v>
      </c>
      <c r="P89" s="113"/>
      <c r="Q89" s="113"/>
      <c r="R89" s="113"/>
      <c r="S89" s="97">
        <f>IF(SUM(D89:R89)&gt;0,SUM(D89:R89)/'Expenses w MYP'!$H58,"")</f>
        <v>1</v>
      </c>
    </row>
    <row r="90" spans="1:19" x14ac:dyDescent="0.75">
      <c r="A90" s="35"/>
      <c r="B90" s="121" t="str">
        <f>'Expenses w MYP'!C61</f>
        <v>4200</v>
      </c>
      <c r="C90" s="121" t="str">
        <f>'Expenses w MYP'!D61</f>
        <v>Books and Other Reference Materials</v>
      </c>
      <c r="D90" s="62">
        <f>IF('Expenses w MYP'!$H61="","",IF('Cash Flow %s Yr4'!D90="","",'Cash Flow %s Yr4'!D90*'Expenses w MYP'!$H61))</f>
        <v>0</v>
      </c>
      <c r="E90" s="62">
        <f>IF('Expenses w MYP'!$H61="","",IF('Cash Flow %s Yr4'!E90="","",'Cash Flow %s Yr4'!E90*'Expenses w MYP'!$H61))</f>
        <v>0</v>
      </c>
      <c r="F90" s="62">
        <f>IF('Expenses w MYP'!$H61="","",IF('Cash Flow %s Yr4'!F90="","",'Cash Flow %s Yr4'!F90*'Expenses w MYP'!$H61))</f>
        <v>13334.844836342827</v>
      </c>
      <c r="G90" s="62">
        <f>IF('Expenses w MYP'!$H61="","",IF('Cash Flow %s Yr4'!G90="","",'Cash Flow %s Yr4'!G90*'Expenses w MYP'!$H61))</f>
        <v>4444.948278780942</v>
      </c>
      <c r="H90" s="62">
        <f>IF('Expenses w MYP'!$H61="","",IF('Cash Flow %s Yr4'!H90="","",'Cash Flow %s Yr4'!H90*'Expenses w MYP'!$H61))</f>
        <v>4444.948278780942</v>
      </c>
      <c r="I90" s="62">
        <f>IF('Expenses w MYP'!$H61="","",IF('Cash Flow %s Yr4'!I90="","",'Cash Flow %s Yr4'!I90*'Expenses w MYP'!$H61))</f>
        <v>4444.948278780942</v>
      </c>
      <c r="J90" s="62">
        <f>IF('Expenses w MYP'!$H61="","",IF('Cash Flow %s Yr4'!J90="","",'Cash Flow %s Yr4'!J90*'Expenses w MYP'!$H61))</f>
        <v>4444.948278780942</v>
      </c>
      <c r="K90" s="62">
        <f>IF('Expenses w MYP'!$H61="","",IF('Cash Flow %s Yr4'!K90="","",'Cash Flow %s Yr4'!K90*'Expenses w MYP'!$H61))</f>
        <v>4444.948278780942</v>
      </c>
      <c r="L90" s="62">
        <f>IF('Expenses w MYP'!$H61="","",IF('Cash Flow %s Yr4'!L90="","",'Cash Flow %s Yr4'!L90*'Expenses w MYP'!$H61))</f>
        <v>4444.948278780942</v>
      </c>
      <c r="M90" s="62">
        <f>IF('Expenses w MYP'!$H61="","",IF('Cash Flow %s Yr4'!M90="","",'Cash Flow %s Yr4'!M90*'Expenses w MYP'!$H61))</f>
        <v>4444.948278780942</v>
      </c>
      <c r="N90" s="62">
        <f>IF('Expenses w MYP'!$H61="","",IF('Cash Flow %s Yr4'!N90="","",'Cash Flow %s Yr4'!N90*'Expenses w MYP'!$H61))</f>
        <v>0</v>
      </c>
      <c r="O90" s="62">
        <f>IF('Expenses w MYP'!$H61="","",IF('Cash Flow %s Yr4'!O90="","",'Cash Flow %s Yr4'!O90*'Expenses w MYP'!$H61))</f>
        <v>0</v>
      </c>
      <c r="P90" s="113"/>
      <c r="Q90" s="113"/>
      <c r="R90" s="113"/>
      <c r="S90" s="97">
        <f>IF(SUM(D90:R90)&gt;0,SUM(D90:R90)/'Expenses w MYP'!$H61,"")</f>
        <v>0.99999999999999989</v>
      </c>
    </row>
    <row r="91" spans="1:19" x14ac:dyDescent="0.75">
      <c r="A91" s="35"/>
      <c r="B91" s="121" t="str">
        <f>'Expenses w MYP'!C63</f>
        <v>4300</v>
      </c>
      <c r="C91" s="121" t="str">
        <f>'Expenses w MYP'!D63</f>
        <v>Materials and Supplies</v>
      </c>
      <c r="D91" s="62">
        <f>IF('Expenses w MYP'!$H63="","",IF('Cash Flow %s Yr4'!D91="","",'Cash Flow %s Yr4'!D91*'Expenses w MYP'!$H63))</f>
        <v>0</v>
      </c>
      <c r="E91" s="62">
        <f>IF('Expenses w MYP'!$H63="","",IF('Cash Flow %s Yr4'!E91="","",'Cash Flow %s Yr4'!E91*'Expenses w MYP'!$H63))</f>
        <v>0</v>
      </c>
      <c r="F91" s="62">
        <f>IF('Expenses w MYP'!$H63="","",IF('Cash Flow %s Yr4'!F91="","",'Cash Flow %s Yr4'!F91*'Expenses w MYP'!$H63))</f>
        <v>3034.0434244627809</v>
      </c>
      <c r="G91" s="62">
        <f>IF('Expenses w MYP'!$H63="","",IF('Cash Flow %s Yr4'!G91="","",'Cash Flow %s Yr4'!G91*'Expenses w MYP'!$H63))</f>
        <v>2275.5325683470855</v>
      </c>
      <c r="H91" s="62">
        <f>IF('Expenses w MYP'!$H63="","",IF('Cash Flow %s Yr4'!H91="","",'Cash Flow %s Yr4'!H91*'Expenses w MYP'!$H63))</f>
        <v>0</v>
      </c>
      <c r="I91" s="62">
        <f>IF('Expenses w MYP'!$H63="","",IF('Cash Flow %s Yr4'!I91="","",'Cash Flow %s Yr4'!I91*'Expenses w MYP'!$H63))</f>
        <v>0</v>
      </c>
      <c r="J91" s="62">
        <f>IF('Expenses w MYP'!$H63="","",IF('Cash Flow %s Yr4'!J91="","",'Cash Flow %s Yr4'!J91*'Expenses w MYP'!$H63))</f>
        <v>2275.5325683470855</v>
      </c>
      <c r="K91" s="62">
        <f>IF('Expenses w MYP'!$H63="","",IF('Cash Flow %s Yr4'!K91="","",'Cash Flow %s Yr4'!K91*'Expenses w MYP'!$H63))</f>
        <v>0</v>
      </c>
      <c r="L91" s="62">
        <f>IF('Expenses w MYP'!$H63="","",IF('Cash Flow %s Yr4'!L91="","",'Cash Flow %s Yr4'!L91*'Expenses w MYP'!$H63))</f>
        <v>0</v>
      </c>
      <c r="M91" s="62">
        <f>IF('Expenses w MYP'!$H63="","",IF('Cash Flow %s Yr4'!M91="","",'Cash Flow %s Yr4'!M91*'Expenses w MYP'!$H63))</f>
        <v>0</v>
      </c>
      <c r="N91" s="62">
        <f>IF('Expenses w MYP'!$H63="","",IF('Cash Flow %s Yr4'!N91="","",'Cash Flow %s Yr4'!N91*'Expenses w MYP'!$H63))</f>
        <v>0</v>
      </c>
      <c r="O91" s="62">
        <f>IF('Expenses w MYP'!$H63="","",IF('Cash Flow %s Yr4'!O91="","",'Cash Flow %s Yr4'!O91*'Expenses w MYP'!$H63))</f>
        <v>0</v>
      </c>
      <c r="P91" s="113"/>
      <c r="Q91" s="113"/>
      <c r="R91" s="113"/>
      <c r="S91" s="97">
        <f>IF(SUM(D91:R91)&gt;0,SUM(D91:R91)/'Expenses w MYP'!$H63,"")</f>
        <v>1.0000000000000002</v>
      </c>
    </row>
    <row r="92" spans="1:19" x14ac:dyDescent="0.75">
      <c r="A92" s="35"/>
      <c r="B92" s="121" t="str">
        <f>'Expenses w MYP'!C64</f>
        <v>4315</v>
      </c>
      <c r="C92" s="121" t="str">
        <f>'Expenses w MYP'!D64</f>
        <v>Classroom Materials and Supplies</v>
      </c>
      <c r="D92" s="62">
        <f>IF('Expenses w MYP'!$H64="","",IF('Cash Flow %s Yr4'!D92="","",'Cash Flow %s Yr4'!D92*'Expenses w MYP'!$H64))</f>
        <v>0</v>
      </c>
      <c r="E92" s="62">
        <f>IF('Expenses w MYP'!$H64="","",IF('Cash Flow %s Yr4'!E92="","",'Cash Flow %s Yr4'!E92*'Expenses w MYP'!$H64))</f>
        <v>0</v>
      </c>
      <c r="F92" s="62">
        <f>IF('Expenses w MYP'!$H64="","",IF('Cash Flow %s Yr4'!F92="","",'Cash Flow %s Yr4'!F92*'Expenses w MYP'!$H64))</f>
        <v>900</v>
      </c>
      <c r="G92" s="62">
        <f>IF('Expenses w MYP'!$H64="","",IF('Cash Flow %s Yr4'!G92="","",'Cash Flow %s Yr4'!G92*'Expenses w MYP'!$H64))</f>
        <v>300</v>
      </c>
      <c r="H92" s="62">
        <f>IF('Expenses w MYP'!$H64="","",IF('Cash Flow %s Yr4'!H92="","",'Cash Flow %s Yr4'!H92*'Expenses w MYP'!$H64))</f>
        <v>300</v>
      </c>
      <c r="I92" s="62">
        <f>IF('Expenses w MYP'!$H64="","",IF('Cash Flow %s Yr4'!I92="","",'Cash Flow %s Yr4'!I92*'Expenses w MYP'!$H64))</f>
        <v>300</v>
      </c>
      <c r="J92" s="62">
        <f>IF('Expenses w MYP'!$H64="","",IF('Cash Flow %s Yr4'!J92="","",'Cash Flow %s Yr4'!J92*'Expenses w MYP'!$H64))</f>
        <v>300</v>
      </c>
      <c r="K92" s="62">
        <f>IF('Expenses w MYP'!$H64="","",IF('Cash Flow %s Yr4'!K92="","",'Cash Flow %s Yr4'!K92*'Expenses w MYP'!$H64))</f>
        <v>300</v>
      </c>
      <c r="L92" s="62">
        <f>IF('Expenses w MYP'!$H64="","",IF('Cash Flow %s Yr4'!L92="","",'Cash Flow %s Yr4'!L92*'Expenses w MYP'!$H64))</f>
        <v>300</v>
      </c>
      <c r="M92" s="62">
        <f>IF('Expenses w MYP'!$H64="","",IF('Cash Flow %s Yr4'!M92="","",'Cash Flow %s Yr4'!M92*'Expenses w MYP'!$H64))</f>
        <v>300</v>
      </c>
      <c r="N92" s="62">
        <f>IF('Expenses w MYP'!$H64="","",IF('Cash Flow %s Yr4'!N92="","",'Cash Flow %s Yr4'!N92*'Expenses w MYP'!$H64))</f>
        <v>0</v>
      </c>
      <c r="O92" s="62">
        <f>IF('Expenses w MYP'!$H64="","",IF('Cash Flow %s Yr4'!O92="","",'Cash Flow %s Yr4'!O92*'Expenses w MYP'!$H64))</f>
        <v>0</v>
      </c>
      <c r="P92" s="113"/>
      <c r="Q92" s="113"/>
      <c r="R92" s="113"/>
      <c r="S92" s="97">
        <f>IF(SUM(D92:R92)&gt;0,SUM(D92:R92)/'Expenses w MYP'!$H64,"")</f>
        <v>1</v>
      </c>
    </row>
    <row r="93" spans="1:19" x14ac:dyDescent="0.75">
      <c r="A93" s="35"/>
      <c r="B93" s="121" t="str">
        <f>'Expenses w MYP'!C65</f>
        <v>4381</v>
      </c>
      <c r="C93" s="121" t="str">
        <f>'Expenses w MYP'!D65</f>
        <v>Materials for Plant &amp; Equipment</v>
      </c>
      <c r="D93" s="62">
        <f>IF('Expenses w MYP'!$H65="","",IF('Cash Flow %s Yr4'!D93="","",'Cash Flow %s Yr4'!D93*'Expenses w MYP'!$H65))</f>
        <v>0</v>
      </c>
      <c r="E93" s="62">
        <f>IF('Expenses w MYP'!$H65="","",IF('Cash Flow %s Yr4'!E93="","",'Cash Flow %s Yr4'!E93*'Expenses w MYP'!$H65))</f>
        <v>0</v>
      </c>
      <c r="F93" s="62">
        <f>IF('Expenses w MYP'!$H65="","",IF('Cash Flow %s Yr4'!F93="","",'Cash Flow %s Yr4'!F93*'Expenses w MYP'!$H65))</f>
        <v>0</v>
      </c>
      <c r="G93" s="62">
        <f>IF('Expenses w MYP'!$H65="","",IF('Cash Flow %s Yr4'!G93="","",'Cash Flow %s Yr4'!G93*'Expenses w MYP'!$H65))</f>
        <v>0</v>
      </c>
      <c r="H93" s="62">
        <f>IF('Expenses w MYP'!$H65="","",IF('Cash Flow %s Yr4'!H93="","",'Cash Flow %s Yr4'!H93*'Expenses w MYP'!$H65))</f>
        <v>0</v>
      </c>
      <c r="I93" s="62">
        <f>IF('Expenses w MYP'!$H65="","",IF('Cash Flow %s Yr4'!I93="","",'Cash Flow %s Yr4'!I93*'Expenses w MYP'!$H65))</f>
        <v>0</v>
      </c>
      <c r="J93" s="62">
        <f>IF('Expenses w MYP'!$H65="","",IF('Cash Flow %s Yr4'!J93="","",'Cash Flow %s Yr4'!J93*'Expenses w MYP'!$H65))</f>
        <v>0</v>
      </c>
      <c r="K93" s="62">
        <f>IF('Expenses w MYP'!$H65="","",IF('Cash Flow %s Yr4'!K93="","",'Cash Flow %s Yr4'!K93*'Expenses w MYP'!$H65))</f>
        <v>0</v>
      </c>
      <c r="L93" s="62">
        <f>IF('Expenses w MYP'!$H65="","",IF('Cash Flow %s Yr4'!L93="","",'Cash Flow %s Yr4'!L93*'Expenses w MYP'!$H65))</f>
        <v>0</v>
      </c>
      <c r="M93" s="62">
        <f>IF('Expenses w MYP'!$H65="","",IF('Cash Flow %s Yr4'!M93="","",'Cash Flow %s Yr4'!M93*'Expenses w MYP'!$H65))</f>
        <v>0</v>
      </c>
      <c r="N93" s="62">
        <f>IF('Expenses w MYP'!$H65="","",IF('Cash Flow %s Yr4'!N93="","",'Cash Flow %s Yr4'!N93*'Expenses w MYP'!$H65))</f>
        <v>0</v>
      </c>
      <c r="O93" s="62">
        <f>IF('Expenses w MYP'!$H65="","",IF('Cash Flow %s Yr4'!O93="","",'Cash Flow %s Yr4'!O93*'Expenses w MYP'!$H65))</f>
        <v>0</v>
      </c>
      <c r="P93" s="113"/>
      <c r="Q93" s="113"/>
      <c r="R93" s="113"/>
      <c r="S93" s="97" t="str">
        <f>IF(SUM(D93:R93)&gt;0,SUM(D93:R93)/'Expenses w MYP'!$H65,"")</f>
        <v/>
      </c>
    </row>
    <row r="94" spans="1:19" x14ac:dyDescent="0.75">
      <c r="A94" s="35"/>
      <c r="B94" s="121" t="str">
        <f>'Expenses w MYP'!C66</f>
        <v>4400</v>
      </c>
      <c r="C94" s="121" t="str">
        <f>'Expenses w MYP'!D66</f>
        <v>Noncapitalized Equipment</v>
      </c>
      <c r="D94" s="62">
        <f>IF('Expenses w MYP'!$H66="","",IF('Cash Flow %s Yr4'!D94="","",'Cash Flow %s Yr4'!D94*'Expenses w MYP'!$H66))</f>
        <v>0</v>
      </c>
      <c r="E94" s="62">
        <f>IF('Expenses w MYP'!$H66="","",IF('Cash Flow %s Yr4'!E94="","",'Cash Flow %s Yr4'!E94*'Expenses w MYP'!$H66))</f>
        <v>0</v>
      </c>
      <c r="F94" s="62">
        <f>IF('Expenses w MYP'!$H66="","",IF('Cash Flow %s Yr4'!F94="","",'Cash Flow %s Yr4'!F94*'Expenses w MYP'!$H66))</f>
        <v>38522.885082768167</v>
      </c>
      <c r="G94" s="62">
        <f>IF('Expenses w MYP'!$H66="","",IF('Cash Flow %s Yr4'!G94="","",'Cash Flow %s Yr4'!G94*'Expenses w MYP'!$H66))</f>
        <v>0</v>
      </c>
      <c r="H94" s="62">
        <f>IF('Expenses w MYP'!$H66="","",IF('Cash Flow %s Yr4'!H94="","",'Cash Flow %s Yr4'!H94*'Expenses w MYP'!$H66))</f>
        <v>0</v>
      </c>
      <c r="I94" s="62">
        <f>IF('Expenses w MYP'!$H66="","",IF('Cash Flow %s Yr4'!I94="","",'Cash Flow %s Yr4'!I94*'Expenses w MYP'!$H66))</f>
        <v>0</v>
      </c>
      <c r="J94" s="62">
        <f>IF('Expenses w MYP'!$H66="","",IF('Cash Flow %s Yr4'!J94="","",'Cash Flow %s Yr4'!J94*'Expenses w MYP'!$H66))</f>
        <v>25681.923388512114</v>
      </c>
      <c r="K94" s="62">
        <f>IF('Expenses w MYP'!$H66="","",IF('Cash Flow %s Yr4'!K94="","",'Cash Flow %s Yr4'!K94*'Expenses w MYP'!$H66))</f>
        <v>0</v>
      </c>
      <c r="L94" s="62">
        <f>IF('Expenses w MYP'!$H66="","",IF('Cash Flow %s Yr4'!L94="","",'Cash Flow %s Yr4'!L94*'Expenses w MYP'!$H66))</f>
        <v>0</v>
      </c>
      <c r="M94" s="62">
        <f>IF('Expenses w MYP'!$H66="","",IF('Cash Flow %s Yr4'!M94="","",'Cash Flow %s Yr4'!M94*'Expenses w MYP'!$H66))</f>
        <v>0</v>
      </c>
      <c r="N94" s="62">
        <f>IF('Expenses w MYP'!$H66="","",IF('Cash Flow %s Yr4'!N94="","",'Cash Flow %s Yr4'!N94*'Expenses w MYP'!$H66))</f>
        <v>0</v>
      </c>
      <c r="O94" s="62">
        <f>IF('Expenses w MYP'!$H66="","",IF('Cash Flow %s Yr4'!O94="","",'Cash Flow %s Yr4'!O94*'Expenses w MYP'!$H66))</f>
        <v>0</v>
      </c>
      <c r="P94" s="113"/>
      <c r="Q94" s="113"/>
      <c r="R94" s="113"/>
      <c r="S94" s="97">
        <f>IF(SUM(D94:R94)&gt;0,SUM(D94:R94)/'Expenses w MYP'!$H66,"")</f>
        <v>1</v>
      </c>
    </row>
    <row r="95" spans="1:19" hidden="1" outlineLevel="1" x14ac:dyDescent="0.75">
      <c r="A95" s="35"/>
      <c r="B95" s="121" t="str">
        <f>'Expenses w MYP'!C68</f>
        <v>4430</v>
      </c>
      <c r="C95" s="121" t="str">
        <f>'Expenses w MYP'!D68</f>
        <v>General Student Equipment</v>
      </c>
      <c r="D95" s="62">
        <f>IF('Expenses w MYP'!$H68="","",IF('Cash Flow %s Yr4'!D95="","",'Cash Flow %s Yr4'!D95*'Expenses w MYP'!$H68))</f>
        <v>0</v>
      </c>
      <c r="E95" s="62">
        <f>IF('Expenses w MYP'!$H68="","",IF('Cash Flow %s Yr4'!E95="","",'Cash Flow %s Yr4'!E95*'Expenses w MYP'!$H68))</f>
        <v>0</v>
      </c>
      <c r="F95" s="62">
        <f>IF('Expenses w MYP'!$H68="","",IF('Cash Flow %s Yr4'!F95="","",'Cash Flow %s Yr4'!F95*'Expenses w MYP'!$H68))</f>
        <v>246.94157104338569</v>
      </c>
      <c r="G95" s="62">
        <f>IF('Expenses w MYP'!$H68="","",IF('Cash Flow %s Yr4'!G95="","",'Cash Flow %s Yr4'!G95*'Expenses w MYP'!$H68))</f>
        <v>246.94157104338569</v>
      </c>
      <c r="H95" s="62">
        <f>IF('Expenses w MYP'!$H68="","",IF('Cash Flow %s Yr4'!H95="","",'Cash Flow %s Yr4'!H95*'Expenses w MYP'!$H68))</f>
        <v>246.94157104338569</v>
      </c>
      <c r="I95" s="62">
        <f>IF('Expenses w MYP'!$H68="","",IF('Cash Flow %s Yr4'!I95="","",'Cash Flow %s Yr4'!I95*'Expenses w MYP'!$H68))</f>
        <v>246.94157104338569</v>
      </c>
      <c r="J95" s="62">
        <f>IF('Expenses w MYP'!$H68="","",IF('Cash Flow %s Yr4'!J95="","",'Cash Flow %s Yr4'!J95*'Expenses w MYP'!$H68))</f>
        <v>246.94157104338569</v>
      </c>
      <c r="K95" s="62">
        <f>IF('Expenses w MYP'!$H68="","",IF('Cash Flow %s Yr4'!K95="","",'Cash Flow %s Yr4'!K95*'Expenses w MYP'!$H68))</f>
        <v>246.94157104338569</v>
      </c>
      <c r="L95" s="62">
        <f>IF('Expenses w MYP'!$H68="","",IF('Cash Flow %s Yr4'!L95="","",'Cash Flow %s Yr4'!L95*'Expenses w MYP'!$H68))</f>
        <v>246.94157104338569</v>
      </c>
      <c r="M95" s="62">
        <f>IF('Expenses w MYP'!$H68="","",IF('Cash Flow %s Yr4'!M95="","",'Cash Flow %s Yr4'!M95*'Expenses w MYP'!$H68))</f>
        <v>246.94157104338569</v>
      </c>
      <c r="N95" s="62">
        <f>IF('Expenses w MYP'!$H68="","",IF('Cash Flow %s Yr4'!N95="","",'Cash Flow %s Yr4'!N95*'Expenses w MYP'!$H68))</f>
        <v>246.94157104338569</v>
      </c>
      <c r="O95" s="62">
        <f>IF('Expenses w MYP'!$H68="","",IF('Cash Flow %s Yr4'!O95="","",'Cash Flow %s Yr4'!O95*'Expenses w MYP'!$H68))</f>
        <v>246.94157104338569</v>
      </c>
      <c r="P95" s="113"/>
      <c r="Q95" s="113"/>
      <c r="R95" s="113"/>
      <c r="S95" s="97"/>
    </row>
    <row r="96" spans="1:19" hidden="1" outlineLevel="1" x14ac:dyDescent="0.75">
      <c r="A96" s="35"/>
      <c r="B96" s="121" t="e">
        <f>'Expenses w MYP'!#REF!</f>
        <v>#REF!</v>
      </c>
      <c r="C96" s="121" t="e">
        <f>'Expenses w MYP'!#REF!</f>
        <v>#REF!</v>
      </c>
      <c r="D96" s="62" t="e">
        <f>IF('Expenses w MYP'!#REF!="","",IF('Cash Flow %s Yr4'!D96="","",'Cash Flow %s Yr4'!D96*'Expenses w MYP'!#REF!))</f>
        <v>#REF!</v>
      </c>
      <c r="E96" s="62" t="e">
        <f>IF('Expenses w MYP'!#REF!="","",IF('Cash Flow %s Yr4'!E96="","",'Cash Flow %s Yr4'!E96*'Expenses w MYP'!#REF!))</f>
        <v>#REF!</v>
      </c>
      <c r="F96" s="62" t="e">
        <f>IF('Expenses w MYP'!#REF!="","",IF('Cash Flow %s Yr4'!F96="","",'Cash Flow %s Yr4'!F96*'Expenses w MYP'!#REF!))</f>
        <v>#REF!</v>
      </c>
      <c r="G96" s="62" t="e">
        <f>IF('Expenses w MYP'!#REF!="","",IF('Cash Flow %s Yr4'!G96="","",'Cash Flow %s Yr4'!G96*'Expenses w MYP'!#REF!))</f>
        <v>#REF!</v>
      </c>
      <c r="H96" s="62" t="e">
        <f>IF('Expenses w MYP'!#REF!="","",IF('Cash Flow %s Yr4'!H96="","",'Cash Flow %s Yr4'!H96*'Expenses w MYP'!#REF!))</f>
        <v>#REF!</v>
      </c>
      <c r="I96" s="62" t="e">
        <f>IF('Expenses w MYP'!#REF!="","",IF('Cash Flow %s Yr4'!I96="","",'Cash Flow %s Yr4'!I96*'Expenses w MYP'!#REF!))</f>
        <v>#REF!</v>
      </c>
      <c r="J96" s="62" t="e">
        <f>IF('Expenses w MYP'!#REF!="","",IF('Cash Flow %s Yr4'!J96="","",'Cash Flow %s Yr4'!J96*'Expenses w MYP'!#REF!))</f>
        <v>#REF!</v>
      </c>
      <c r="K96" s="62" t="e">
        <f>IF('Expenses w MYP'!#REF!="","",IF('Cash Flow %s Yr4'!K96="","",'Cash Flow %s Yr4'!K96*'Expenses w MYP'!#REF!))</f>
        <v>#REF!</v>
      </c>
      <c r="L96" s="62" t="e">
        <f>IF('Expenses w MYP'!#REF!="","",IF('Cash Flow %s Yr4'!L96="","",'Cash Flow %s Yr4'!L96*'Expenses w MYP'!#REF!))</f>
        <v>#REF!</v>
      </c>
      <c r="M96" s="62" t="e">
        <f>IF('Expenses w MYP'!#REF!="","",IF('Cash Flow %s Yr4'!M96="","",'Cash Flow %s Yr4'!M96*'Expenses w MYP'!#REF!))</f>
        <v>#REF!</v>
      </c>
      <c r="N96" s="62" t="e">
        <f>IF('Expenses w MYP'!#REF!="","",IF('Cash Flow %s Yr4'!N96="","",'Cash Flow %s Yr4'!N96*'Expenses w MYP'!#REF!))</f>
        <v>#REF!</v>
      </c>
      <c r="O96" s="62" t="e">
        <f>IF('Expenses w MYP'!#REF!="","",IF('Cash Flow %s Yr4'!O96="","",'Cash Flow %s Yr4'!O96*'Expenses w MYP'!#REF!))</f>
        <v>#REF!</v>
      </c>
      <c r="P96" s="113"/>
      <c r="Q96" s="113"/>
      <c r="R96" s="113"/>
      <c r="S96" s="97"/>
    </row>
    <row r="97" spans="1:19" hidden="1" outlineLevel="1" x14ac:dyDescent="0.75">
      <c r="A97" s="35"/>
      <c r="B97" s="121" t="e">
        <f>'Expenses w MYP'!#REF!</f>
        <v>#REF!</v>
      </c>
      <c r="C97" s="121" t="e">
        <f>'Expenses w MYP'!#REF!</f>
        <v>#REF!</v>
      </c>
      <c r="D97" s="62" t="e">
        <f>IF('Expenses w MYP'!#REF!="","",IF('Cash Flow %s Yr4'!D97="","",'Cash Flow %s Yr4'!D97*'Expenses w MYP'!#REF!))</f>
        <v>#REF!</v>
      </c>
      <c r="E97" s="62" t="e">
        <f>IF('Expenses w MYP'!#REF!="","",IF('Cash Flow %s Yr4'!E97="","",'Cash Flow %s Yr4'!E97*'Expenses w MYP'!#REF!))</f>
        <v>#REF!</v>
      </c>
      <c r="F97" s="62" t="e">
        <f>IF('Expenses w MYP'!#REF!="","",IF('Cash Flow %s Yr4'!F97="","",'Cash Flow %s Yr4'!F97*'Expenses w MYP'!#REF!))</f>
        <v>#REF!</v>
      </c>
      <c r="G97" s="62" t="e">
        <f>IF('Expenses w MYP'!#REF!="","",IF('Cash Flow %s Yr4'!G97="","",'Cash Flow %s Yr4'!G97*'Expenses w MYP'!#REF!))</f>
        <v>#REF!</v>
      </c>
      <c r="H97" s="62" t="e">
        <f>IF('Expenses w MYP'!#REF!="","",IF('Cash Flow %s Yr4'!H97="","",'Cash Flow %s Yr4'!H97*'Expenses w MYP'!#REF!))</f>
        <v>#REF!</v>
      </c>
      <c r="I97" s="62" t="e">
        <f>IF('Expenses w MYP'!#REF!="","",IF('Cash Flow %s Yr4'!I97="","",'Cash Flow %s Yr4'!I97*'Expenses w MYP'!#REF!))</f>
        <v>#REF!</v>
      </c>
      <c r="J97" s="62" t="e">
        <f>IF('Expenses w MYP'!#REF!="","",IF('Cash Flow %s Yr4'!J97="","",'Cash Flow %s Yr4'!J97*'Expenses w MYP'!#REF!))</f>
        <v>#REF!</v>
      </c>
      <c r="K97" s="62" t="e">
        <f>IF('Expenses w MYP'!#REF!="","",IF('Cash Flow %s Yr4'!K97="","",'Cash Flow %s Yr4'!K97*'Expenses w MYP'!#REF!))</f>
        <v>#REF!</v>
      </c>
      <c r="L97" s="62" t="e">
        <f>IF('Expenses w MYP'!#REF!="","",IF('Cash Flow %s Yr4'!L97="","",'Cash Flow %s Yr4'!L97*'Expenses w MYP'!#REF!))</f>
        <v>#REF!</v>
      </c>
      <c r="M97" s="62" t="e">
        <f>IF('Expenses w MYP'!#REF!="","",IF('Cash Flow %s Yr4'!M97="","",'Cash Flow %s Yr4'!M97*'Expenses w MYP'!#REF!))</f>
        <v>#REF!</v>
      </c>
      <c r="N97" s="62" t="e">
        <f>IF('Expenses w MYP'!#REF!="","",IF('Cash Flow %s Yr4'!N97="","",'Cash Flow %s Yr4'!N97*'Expenses w MYP'!#REF!))</f>
        <v>#REF!</v>
      </c>
      <c r="O97" s="62" t="e">
        <f>IF('Expenses w MYP'!#REF!="","",IF('Cash Flow %s Yr4'!O97="","",'Cash Flow %s Yr4'!O97*'Expenses w MYP'!#REF!))</f>
        <v>#REF!</v>
      </c>
      <c r="P97" s="113"/>
      <c r="Q97" s="113"/>
      <c r="R97" s="113"/>
      <c r="S97" s="97"/>
    </row>
    <row r="98" spans="1:19" hidden="1" outlineLevel="1" x14ac:dyDescent="0.75">
      <c r="A98" s="35"/>
      <c r="B98" s="121" t="e">
        <f>'Expenses w MYP'!#REF!</f>
        <v>#REF!</v>
      </c>
      <c r="C98" s="121" t="e">
        <f>'Expenses w MYP'!#REF!</f>
        <v>#REF!</v>
      </c>
      <c r="D98" s="62" t="e">
        <f>IF('Expenses w MYP'!#REF!="","",IF('Cash Flow %s Yr4'!D98="","",'Cash Flow %s Yr4'!D98*'Expenses w MYP'!#REF!))</f>
        <v>#REF!</v>
      </c>
      <c r="E98" s="62" t="e">
        <f>IF('Expenses w MYP'!#REF!="","",IF('Cash Flow %s Yr4'!E98="","",'Cash Flow %s Yr4'!E98*'Expenses w MYP'!#REF!))</f>
        <v>#REF!</v>
      </c>
      <c r="F98" s="62" t="e">
        <f>IF('Expenses w MYP'!#REF!="","",IF('Cash Flow %s Yr4'!F98="","",'Cash Flow %s Yr4'!F98*'Expenses w MYP'!#REF!))</f>
        <v>#REF!</v>
      </c>
      <c r="G98" s="62" t="e">
        <f>IF('Expenses w MYP'!#REF!="","",IF('Cash Flow %s Yr4'!G98="","",'Cash Flow %s Yr4'!G98*'Expenses w MYP'!#REF!))</f>
        <v>#REF!</v>
      </c>
      <c r="H98" s="62" t="e">
        <f>IF('Expenses w MYP'!#REF!="","",IF('Cash Flow %s Yr4'!H98="","",'Cash Flow %s Yr4'!H98*'Expenses w MYP'!#REF!))</f>
        <v>#REF!</v>
      </c>
      <c r="I98" s="62" t="e">
        <f>IF('Expenses w MYP'!#REF!="","",IF('Cash Flow %s Yr4'!I98="","",'Cash Flow %s Yr4'!I98*'Expenses w MYP'!#REF!))</f>
        <v>#REF!</v>
      </c>
      <c r="J98" s="62" t="e">
        <f>IF('Expenses w MYP'!#REF!="","",IF('Cash Flow %s Yr4'!J98="","",'Cash Flow %s Yr4'!J98*'Expenses w MYP'!#REF!))</f>
        <v>#REF!</v>
      </c>
      <c r="K98" s="62" t="e">
        <f>IF('Expenses w MYP'!#REF!="","",IF('Cash Flow %s Yr4'!K98="","",'Cash Flow %s Yr4'!K98*'Expenses w MYP'!#REF!))</f>
        <v>#REF!</v>
      </c>
      <c r="L98" s="62" t="e">
        <f>IF('Expenses w MYP'!#REF!="","",IF('Cash Flow %s Yr4'!L98="","",'Cash Flow %s Yr4'!L98*'Expenses w MYP'!#REF!))</f>
        <v>#REF!</v>
      </c>
      <c r="M98" s="62" t="e">
        <f>IF('Expenses w MYP'!#REF!="","",IF('Cash Flow %s Yr4'!M98="","",'Cash Flow %s Yr4'!M98*'Expenses w MYP'!#REF!))</f>
        <v>#REF!</v>
      </c>
      <c r="N98" s="62" t="e">
        <f>IF('Expenses w MYP'!#REF!="","",IF('Cash Flow %s Yr4'!N98="","",'Cash Flow %s Yr4'!N98*'Expenses w MYP'!#REF!))</f>
        <v>#REF!</v>
      </c>
      <c r="O98" s="62" t="e">
        <f>IF('Expenses w MYP'!#REF!="","",IF('Cash Flow %s Yr4'!O98="","",'Cash Flow %s Yr4'!O98*'Expenses w MYP'!#REF!))</f>
        <v>#REF!</v>
      </c>
      <c r="P98" s="113"/>
      <c r="Q98" s="113"/>
      <c r="R98" s="113"/>
      <c r="S98" s="97"/>
    </row>
    <row r="99" spans="1:19" hidden="1" outlineLevel="1" x14ac:dyDescent="0.75">
      <c r="A99" s="35"/>
      <c r="B99" s="121" t="e">
        <f>'Expenses w MYP'!#REF!</f>
        <v>#REF!</v>
      </c>
      <c r="C99" s="121" t="e">
        <f>'Expenses w MYP'!#REF!</f>
        <v>#REF!</v>
      </c>
      <c r="D99" s="62" t="e">
        <f>IF('Expenses w MYP'!#REF!="","",IF('Cash Flow %s Yr4'!D99="","",'Cash Flow %s Yr4'!D99*'Expenses w MYP'!#REF!))</f>
        <v>#REF!</v>
      </c>
      <c r="E99" s="62" t="e">
        <f>IF('Expenses w MYP'!#REF!="","",IF('Cash Flow %s Yr4'!E99="","",'Cash Flow %s Yr4'!E99*'Expenses w MYP'!#REF!))</f>
        <v>#REF!</v>
      </c>
      <c r="F99" s="62" t="e">
        <f>IF('Expenses w MYP'!#REF!="","",IF('Cash Flow %s Yr4'!F99="","",'Cash Flow %s Yr4'!F99*'Expenses w MYP'!#REF!))</f>
        <v>#REF!</v>
      </c>
      <c r="G99" s="62" t="e">
        <f>IF('Expenses w MYP'!#REF!="","",IF('Cash Flow %s Yr4'!G99="","",'Cash Flow %s Yr4'!G99*'Expenses w MYP'!#REF!))</f>
        <v>#REF!</v>
      </c>
      <c r="H99" s="62" t="e">
        <f>IF('Expenses w MYP'!#REF!="","",IF('Cash Flow %s Yr4'!H99="","",'Cash Flow %s Yr4'!H99*'Expenses w MYP'!#REF!))</f>
        <v>#REF!</v>
      </c>
      <c r="I99" s="62" t="e">
        <f>IF('Expenses w MYP'!#REF!="","",IF('Cash Flow %s Yr4'!I99="","",'Cash Flow %s Yr4'!I99*'Expenses w MYP'!#REF!))</f>
        <v>#REF!</v>
      </c>
      <c r="J99" s="62" t="e">
        <f>IF('Expenses w MYP'!#REF!="","",IF('Cash Flow %s Yr4'!J99="","",'Cash Flow %s Yr4'!J99*'Expenses w MYP'!#REF!))</f>
        <v>#REF!</v>
      </c>
      <c r="K99" s="62" t="e">
        <f>IF('Expenses w MYP'!#REF!="","",IF('Cash Flow %s Yr4'!K99="","",'Cash Flow %s Yr4'!K99*'Expenses w MYP'!#REF!))</f>
        <v>#REF!</v>
      </c>
      <c r="L99" s="62" t="e">
        <f>IF('Expenses w MYP'!#REF!="","",IF('Cash Flow %s Yr4'!L99="","",'Cash Flow %s Yr4'!L99*'Expenses w MYP'!#REF!))</f>
        <v>#REF!</v>
      </c>
      <c r="M99" s="62" t="e">
        <f>IF('Expenses w MYP'!#REF!="","",IF('Cash Flow %s Yr4'!M99="","",'Cash Flow %s Yr4'!M99*'Expenses w MYP'!#REF!))</f>
        <v>#REF!</v>
      </c>
      <c r="N99" s="62" t="e">
        <f>IF('Expenses w MYP'!#REF!="","",IF('Cash Flow %s Yr4'!N99="","",'Cash Flow %s Yr4'!N99*'Expenses w MYP'!#REF!))</f>
        <v>#REF!</v>
      </c>
      <c r="O99" s="62" t="e">
        <f>IF('Expenses w MYP'!#REF!="","",IF('Cash Flow %s Yr4'!O99="","",'Cash Flow %s Yr4'!O99*'Expenses w MYP'!#REF!))</f>
        <v>#REF!</v>
      </c>
      <c r="P99" s="113"/>
      <c r="Q99" s="113"/>
      <c r="R99" s="113"/>
      <c r="S99" s="97"/>
    </row>
    <row r="100" spans="1:19" hidden="1" outlineLevel="1" x14ac:dyDescent="0.75">
      <c r="A100" s="35"/>
      <c r="B100" s="121" t="e">
        <f>'Expenses w MYP'!#REF!</f>
        <v>#REF!</v>
      </c>
      <c r="C100" s="121" t="e">
        <f>'Expenses w MYP'!#REF!</f>
        <v>#REF!</v>
      </c>
      <c r="D100" s="62" t="e">
        <f>IF('Expenses w MYP'!#REF!="","",IF('Cash Flow %s Yr4'!D100="","",'Cash Flow %s Yr4'!D100*'Expenses w MYP'!#REF!))</f>
        <v>#REF!</v>
      </c>
      <c r="E100" s="62" t="e">
        <f>IF('Expenses w MYP'!#REF!="","",IF('Cash Flow %s Yr4'!E100="","",'Cash Flow %s Yr4'!E100*'Expenses w MYP'!#REF!))</f>
        <v>#REF!</v>
      </c>
      <c r="F100" s="62" t="e">
        <f>IF('Expenses w MYP'!#REF!="","",IF('Cash Flow %s Yr4'!F100="","",'Cash Flow %s Yr4'!F100*'Expenses w MYP'!#REF!))</f>
        <v>#REF!</v>
      </c>
      <c r="G100" s="62" t="e">
        <f>IF('Expenses w MYP'!#REF!="","",IF('Cash Flow %s Yr4'!G100="","",'Cash Flow %s Yr4'!G100*'Expenses w MYP'!#REF!))</f>
        <v>#REF!</v>
      </c>
      <c r="H100" s="62" t="e">
        <f>IF('Expenses w MYP'!#REF!="","",IF('Cash Flow %s Yr4'!H100="","",'Cash Flow %s Yr4'!H100*'Expenses w MYP'!#REF!))</f>
        <v>#REF!</v>
      </c>
      <c r="I100" s="62" t="e">
        <f>IF('Expenses w MYP'!#REF!="","",IF('Cash Flow %s Yr4'!I100="","",'Cash Flow %s Yr4'!I100*'Expenses w MYP'!#REF!))</f>
        <v>#REF!</v>
      </c>
      <c r="J100" s="62" t="e">
        <f>IF('Expenses w MYP'!#REF!="","",IF('Cash Flow %s Yr4'!J100="","",'Cash Flow %s Yr4'!J100*'Expenses w MYP'!#REF!))</f>
        <v>#REF!</v>
      </c>
      <c r="K100" s="62" t="e">
        <f>IF('Expenses w MYP'!#REF!="","",IF('Cash Flow %s Yr4'!K100="","",'Cash Flow %s Yr4'!K100*'Expenses w MYP'!#REF!))</f>
        <v>#REF!</v>
      </c>
      <c r="L100" s="62" t="e">
        <f>IF('Expenses w MYP'!#REF!="","",IF('Cash Flow %s Yr4'!L100="","",'Cash Flow %s Yr4'!L100*'Expenses w MYP'!#REF!))</f>
        <v>#REF!</v>
      </c>
      <c r="M100" s="62" t="e">
        <f>IF('Expenses w MYP'!#REF!="","",IF('Cash Flow %s Yr4'!M100="","",'Cash Flow %s Yr4'!M100*'Expenses w MYP'!#REF!))</f>
        <v>#REF!</v>
      </c>
      <c r="N100" s="62" t="e">
        <f>IF('Expenses w MYP'!#REF!="","",IF('Cash Flow %s Yr4'!N100="","",'Cash Flow %s Yr4'!N100*'Expenses w MYP'!#REF!))</f>
        <v>#REF!</v>
      </c>
      <c r="O100" s="62" t="e">
        <f>IF('Expenses w MYP'!#REF!="","",IF('Cash Flow %s Yr4'!O100="","",'Cash Flow %s Yr4'!O100*'Expenses w MYP'!#REF!))</f>
        <v>#REF!</v>
      </c>
      <c r="P100" s="113"/>
      <c r="Q100" s="113"/>
      <c r="R100" s="113"/>
      <c r="S100" s="97"/>
    </row>
    <row r="101" spans="1:19" hidden="1" outlineLevel="1" x14ac:dyDescent="0.75">
      <c r="A101" s="35"/>
      <c r="B101" s="121" t="e">
        <f>'Expenses w MYP'!#REF!</f>
        <v>#REF!</v>
      </c>
      <c r="C101" s="121" t="e">
        <f>'Expenses w MYP'!#REF!</f>
        <v>#REF!</v>
      </c>
      <c r="D101" s="62" t="e">
        <f>IF('Expenses w MYP'!#REF!="","",IF('Cash Flow %s Yr4'!D101="","",'Cash Flow %s Yr4'!D101*'Expenses w MYP'!#REF!))</f>
        <v>#REF!</v>
      </c>
      <c r="E101" s="62" t="e">
        <f>IF('Expenses w MYP'!#REF!="","",IF('Cash Flow %s Yr4'!E101="","",'Cash Flow %s Yr4'!E101*'Expenses w MYP'!#REF!))</f>
        <v>#REF!</v>
      </c>
      <c r="F101" s="62" t="e">
        <f>IF('Expenses w MYP'!#REF!="","",IF('Cash Flow %s Yr4'!F101="","",'Cash Flow %s Yr4'!F101*'Expenses w MYP'!#REF!))</f>
        <v>#REF!</v>
      </c>
      <c r="G101" s="62" t="e">
        <f>IF('Expenses w MYP'!#REF!="","",IF('Cash Flow %s Yr4'!G101="","",'Cash Flow %s Yr4'!G101*'Expenses w MYP'!#REF!))</f>
        <v>#REF!</v>
      </c>
      <c r="H101" s="62" t="e">
        <f>IF('Expenses w MYP'!#REF!="","",IF('Cash Flow %s Yr4'!H101="","",'Cash Flow %s Yr4'!H101*'Expenses w MYP'!#REF!))</f>
        <v>#REF!</v>
      </c>
      <c r="I101" s="62" t="e">
        <f>IF('Expenses w MYP'!#REF!="","",IF('Cash Flow %s Yr4'!I101="","",'Cash Flow %s Yr4'!I101*'Expenses w MYP'!#REF!))</f>
        <v>#REF!</v>
      </c>
      <c r="J101" s="62" t="e">
        <f>IF('Expenses w MYP'!#REF!="","",IF('Cash Flow %s Yr4'!J101="","",'Cash Flow %s Yr4'!J101*'Expenses w MYP'!#REF!))</f>
        <v>#REF!</v>
      </c>
      <c r="K101" s="62" t="e">
        <f>IF('Expenses w MYP'!#REF!="","",IF('Cash Flow %s Yr4'!K101="","",'Cash Flow %s Yr4'!K101*'Expenses w MYP'!#REF!))</f>
        <v>#REF!</v>
      </c>
      <c r="L101" s="62" t="e">
        <f>IF('Expenses w MYP'!#REF!="","",IF('Cash Flow %s Yr4'!L101="","",'Cash Flow %s Yr4'!L101*'Expenses w MYP'!#REF!))</f>
        <v>#REF!</v>
      </c>
      <c r="M101" s="62" t="e">
        <f>IF('Expenses w MYP'!#REF!="","",IF('Cash Flow %s Yr4'!M101="","",'Cash Flow %s Yr4'!M101*'Expenses w MYP'!#REF!))</f>
        <v>#REF!</v>
      </c>
      <c r="N101" s="62" t="e">
        <f>IF('Expenses w MYP'!#REF!="","",IF('Cash Flow %s Yr4'!N101="","",'Cash Flow %s Yr4'!N101*'Expenses w MYP'!#REF!))</f>
        <v>#REF!</v>
      </c>
      <c r="O101" s="62" t="e">
        <f>IF('Expenses w MYP'!#REF!="","",IF('Cash Flow %s Yr4'!O101="","",'Cash Flow %s Yr4'!O101*'Expenses w MYP'!#REF!))</f>
        <v>#REF!</v>
      </c>
      <c r="P101" s="113"/>
      <c r="Q101" s="113"/>
      <c r="R101" s="113"/>
      <c r="S101" s="97"/>
    </row>
    <row r="102" spans="1:19" hidden="1" outlineLevel="1" x14ac:dyDescent="0.75">
      <c r="A102" s="35"/>
      <c r="B102" s="121" t="e">
        <f>'Expenses w MYP'!#REF!</f>
        <v>#REF!</v>
      </c>
      <c r="C102" s="121" t="e">
        <f>'Expenses w MYP'!#REF!</f>
        <v>#REF!</v>
      </c>
      <c r="D102" s="62" t="e">
        <f>IF('Expenses w MYP'!#REF!="","",IF('Cash Flow %s Yr4'!D102="","",'Cash Flow %s Yr4'!D102*'Expenses w MYP'!#REF!))</f>
        <v>#REF!</v>
      </c>
      <c r="E102" s="62" t="e">
        <f>IF('Expenses w MYP'!#REF!="","",IF('Cash Flow %s Yr4'!E102="","",'Cash Flow %s Yr4'!E102*'Expenses w MYP'!#REF!))</f>
        <v>#REF!</v>
      </c>
      <c r="F102" s="62" t="e">
        <f>IF('Expenses w MYP'!#REF!="","",IF('Cash Flow %s Yr4'!F102="","",'Cash Flow %s Yr4'!F102*'Expenses w MYP'!#REF!))</f>
        <v>#REF!</v>
      </c>
      <c r="G102" s="62" t="e">
        <f>IF('Expenses w MYP'!#REF!="","",IF('Cash Flow %s Yr4'!G102="","",'Cash Flow %s Yr4'!G102*'Expenses w MYP'!#REF!))</f>
        <v>#REF!</v>
      </c>
      <c r="H102" s="62" t="e">
        <f>IF('Expenses w MYP'!#REF!="","",IF('Cash Flow %s Yr4'!H102="","",'Cash Flow %s Yr4'!H102*'Expenses w MYP'!#REF!))</f>
        <v>#REF!</v>
      </c>
      <c r="I102" s="62" t="e">
        <f>IF('Expenses w MYP'!#REF!="","",IF('Cash Flow %s Yr4'!I102="","",'Cash Flow %s Yr4'!I102*'Expenses w MYP'!#REF!))</f>
        <v>#REF!</v>
      </c>
      <c r="J102" s="62" t="e">
        <f>IF('Expenses w MYP'!#REF!="","",IF('Cash Flow %s Yr4'!J102="","",'Cash Flow %s Yr4'!J102*'Expenses w MYP'!#REF!))</f>
        <v>#REF!</v>
      </c>
      <c r="K102" s="62" t="e">
        <f>IF('Expenses w MYP'!#REF!="","",IF('Cash Flow %s Yr4'!K102="","",'Cash Flow %s Yr4'!K102*'Expenses w MYP'!#REF!))</f>
        <v>#REF!</v>
      </c>
      <c r="L102" s="62" t="e">
        <f>IF('Expenses w MYP'!#REF!="","",IF('Cash Flow %s Yr4'!L102="","",'Cash Flow %s Yr4'!L102*'Expenses w MYP'!#REF!))</f>
        <v>#REF!</v>
      </c>
      <c r="M102" s="62" t="e">
        <f>IF('Expenses w MYP'!#REF!="","",IF('Cash Flow %s Yr4'!M102="","",'Cash Flow %s Yr4'!M102*'Expenses w MYP'!#REF!))</f>
        <v>#REF!</v>
      </c>
      <c r="N102" s="62" t="e">
        <f>IF('Expenses w MYP'!#REF!="","",IF('Cash Flow %s Yr4'!N102="","",'Cash Flow %s Yr4'!N102*'Expenses w MYP'!#REF!))</f>
        <v>#REF!</v>
      </c>
      <c r="O102" s="62" t="e">
        <f>IF('Expenses w MYP'!#REF!="","",IF('Cash Flow %s Yr4'!O102="","",'Cash Flow %s Yr4'!O102*'Expenses w MYP'!#REF!))</f>
        <v>#REF!</v>
      </c>
      <c r="P102" s="113"/>
      <c r="Q102" s="113"/>
      <c r="R102" s="113"/>
      <c r="S102" s="97"/>
    </row>
    <row r="103" spans="1:19" hidden="1" outlineLevel="1" x14ac:dyDescent="0.75">
      <c r="A103" s="35"/>
      <c r="B103" s="121" t="e">
        <f>'Expenses w MYP'!#REF!</f>
        <v>#REF!</v>
      </c>
      <c r="C103" s="121" t="e">
        <f>'Expenses w MYP'!#REF!</f>
        <v>#REF!</v>
      </c>
      <c r="D103" s="62" t="e">
        <f>IF('Expenses w MYP'!#REF!="","",IF('Cash Flow %s Yr4'!D103="","",'Cash Flow %s Yr4'!D103*'Expenses w MYP'!#REF!))</f>
        <v>#REF!</v>
      </c>
      <c r="E103" s="62" t="e">
        <f>IF('Expenses w MYP'!#REF!="","",IF('Cash Flow %s Yr4'!E103="","",'Cash Flow %s Yr4'!E103*'Expenses w MYP'!#REF!))</f>
        <v>#REF!</v>
      </c>
      <c r="F103" s="62" t="e">
        <f>IF('Expenses w MYP'!#REF!="","",IF('Cash Flow %s Yr4'!F103="","",'Cash Flow %s Yr4'!F103*'Expenses w MYP'!#REF!))</f>
        <v>#REF!</v>
      </c>
      <c r="G103" s="62" t="e">
        <f>IF('Expenses w MYP'!#REF!="","",IF('Cash Flow %s Yr4'!G103="","",'Cash Flow %s Yr4'!G103*'Expenses w MYP'!#REF!))</f>
        <v>#REF!</v>
      </c>
      <c r="H103" s="62" t="e">
        <f>IF('Expenses w MYP'!#REF!="","",IF('Cash Flow %s Yr4'!H103="","",'Cash Flow %s Yr4'!H103*'Expenses w MYP'!#REF!))</f>
        <v>#REF!</v>
      </c>
      <c r="I103" s="62" t="e">
        <f>IF('Expenses w MYP'!#REF!="","",IF('Cash Flow %s Yr4'!I103="","",'Cash Flow %s Yr4'!I103*'Expenses w MYP'!#REF!))</f>
        <v>#REF!</v>
      </c>
      <c r="J103" s="62" t="e">
        <f>IF('Expenses w MYP'!#REF!="","",IF('Cash Flow %s Yr4'!J103="","",'Cash Flow %s Yr4'!J103*'Expenses w MYP'!#REF!))</f>
        <v>#REF!</v>
      </c>
      <c r="K103" s="62" t="e">
        <f>IF('Expenses w MYP'!#REF!="","",IF('Cash Flow %s Yr4'!K103="","",'Cash Flow %s Yr4'!K103*'Expenses w MYP'!#REF!))</f>
        <v>#REF!</v>
      </c>
      <c r="L103" s="62" t="e">
        <f>IF('Expenses w MYP'!#REF!="","",IF('Cash Flow %s Yr4'!L103="","",'Cash Flow %s Yr4'!L103*'Expenses w MYP'!#REF!))</f>
        <v>#REF!</v>
      </c>
      <c r="M103" s="62" t="e">
        <f>IF('Expenses w MYP'!#REF!="","",IF('Cash Flow %s Yr4'!M103="","",'Cash Flow %s Yr4'!M103*'Expenses w MYP'!#REF!))</f>
        <v>#REF!</v>
      </c>
      <c r="N103" s="62" t="e">
        <f>IF('Expenses w MYP'!#REF!="","",IF('Cash Flow %s Yr4'!N103="","",'Cash Flow %s Yr4'!N103*'Expenses w MYP'!#REF!))</f>
        <v>#REF!</v>
      </c>
      <c r="O103" s="62" t="e">
        <f>IF('Expenses w MYP'!#REF!="","",IF('Cash Flow %s Yr4'!O103="","",'Cash Flow %s Yr4'!O103*'Expenses w MYP'!#REF!))</f>
        <v>#REF!</v>
      </c>
      <c r="P103" s="113"/>
      <c r="Q103" s="113"/>
      <c r="R103" s="113"/>
      <c r="S103" s="97"/>
    </row>
    <row r="104" spans="1:19" hidden="1" outlineLevel="1" x14ac:dyDescent="0.75">
      <c r="A104" s="35"/>
      <c r="B104" s="121" t="e">
        <f>'Expenses w MYP'!#REF!</f>
        <v>#REF!</v>
      </c>
      <c r="C104" s="121" t="e">
        <f>'Expenses w MYP'!#REF!</f>
        <v>#REF!</v>
      </c>
      <c r="D104" s="62" t="e">
        <f>IF('Expenses w MYP'!#REF!="","",IF('Cash Flow %s Yr4'!D104="","",'Cash Flow %s Yr4'!D104*'Expenses w MYP'!#REF!))</f>
        <v>#REF!</v>
      </c>
      <c r="E104" s="62" t="e">
        <f>IF('Expenses w MYP'!#REF!="","",IF('Cash Flow %s Yr4'!E104="","",'Cash Flow %s Yr4'!E104*'Expenses w MYP'!#REF!))</f>
        <v>#REF!</v>
      </c>
      <c r="F104" s="62" t="e">
        <f>IF('Expenses w MYP'!#REF!="","",IF('Cash Flow %s Yr4'!F104="","",'Cash Flow %s Yr4'!F104*'Expenses w MYP'!#REF!))</f>
        <v>#REF!</v>
      </c>
      <c r="G104" s="62" t="e">
        <f>IF('Expenses w MYP'!#REF!="","",IF('Cash Flow %s Yr4'!G104="","",'Cash Flow %s Yr4'!G104*'Expenses w MYP'!#REF!))</f>
        <v>#REF!</v>
      </c>
      <c r="H104" s="62" t="e">
        <f>IF('Expenses w MYP'!#REF!="","",IF('Cash Flow %s Yr4'!H104="","",'Cash Flow %s Yr4'!H104*'Expenses w MYP'!#REF!))</f>
        <v>#REF!</v>
      </c>
      <c r="I104" s="62" t="e">
        <f>IF('Expenses w MYP'!#REF!="","",IF('Cash Flow %s Yr4'!I104="","",'Cash Flow %s Yr4'!I104*'Expenses w MYP'!#REF!))</f>
        <v>#REF!</v>
      </c>
      <c r="J104" s="62" t="e">
        <f>IF('Expenses w MYP'!#REF!="","",IF('Cash Flow %s Yr4'!J104="","",'Cash Flow %s Yr4'!J104*'Expenses w MYP'!#REF!))</f>
        <v>#REF!</v>
      </c>
      <c r="K104" s="62" t="e">
        <f>IF('Expenses w MYP'!#REF!="","",IF('Cash Flow %s Yr4'!K104="","",'Cash Flow %s Yr4'!K104*'Expenses w MYP'!#REF!))</f>
        <v>#REF!</v>
      </c>
      <c r="L104" s="62" t="e">
        <f>IF('Expenses w MYP'!#REF!="","",IF('Cash Flow %s Yr4'!L104="","",'Cash Flow %s Yr4'!L104*'Expenses w MYP'!#REF!))</f>
        <v>#REF!</v>
      </c>
      <c r="M104" s="62" t="e">
        <f>IF('Expenses w MYP'!#REF!="","",IF('Cash Flow %s Yr4'!M104="","",'Cash Flow %s Yr4'!M104*'Expenses w MYP'!#REF!))</f>
        <v>#REF!</v>
      </c>
      <c r="N104" s="62" t="e">
        <f>IF('Expenses w MYP'!#REF!="","",IF('Cash Flow %s Yr4'!N104="","",'Cash Flow %s Yr4'!N104*'Expenses w MYP'!#REF!))</f>
        <v>#REF!</v>
      </c>
      <c r="O104" s="62" t="e">
        <f>IF('Expenses w MYP'!#REF!="","",IF('Cash Flow %s Yr4'!O104="","",'Cash Flow %s Yr4'!O104*'Expenses w MYP'!#REF!))</f>
        <v>#REF!</v>
      </c>
      <c r="P104" s="113"/>
      <c r="Q104" s="113"/>
      <c r="R104" s="113"/>
      <c r="S104" s="97"/>
    </row>
    <row r="105" spans="1:19" s="31" customFormat="1" collapsed="1" x14ac:dyDescent="0.75">
      <c r="A105" s="35"/>
      <c r="B105" s="121" t="str">
        <f>'Expenses w MYP'!C69</f>
        <v>4700</v>
      </c>
      <c r="C105" s="121" t="str">
        <f>'Expenses w MYP'!D69</f>
        <v>Food and Food Supplies</v>
      </c>
      <c r="D105" s="62">
        <f>IF('Expenses w MYP'!$H69="","",IF('Cash Flow %s Yr4'!D105="","",'Cash Flow %s Yr4'!D105*'Expenses w MYP'!$H69))</f>
        <v>0</v>
      </c>
      <c r="E105" s="62">
        <f>IF('Expenses w MYP'!$H69="","",IF('Cash Flow %s Yr4'!E105="","",'Cash Flow %s Yr4'!E105*'Expenses w MYP'!$H69))</f>
        <v>0</v>
      </c>
      <c r="F105" s="62">
        <f>IF('Expenses w MYP'!$H69="","",IF('Cash Flow %s Yr4'!F105="","",'Cash Flow %s Yr4'!F105*'Expenses w MYP'!$H69))</f>
        <v>0</v>
      </c>
      <c r="G105" s="62">
        <f>IF('Expenses w MYP'!$H69="","",IF('Cash Flow %s Yr4'!G105="","",'Cash Flow %s Yr4'!G105*'Expenses w MYP'!$H69))</f>
        <v>0</v>
      </c>
      <c r="H105" s="62">
        <f>IF('Expenses w MYP'!$H69="","",IF('Cash Flow %s Yr4'!H105="","",'Cash Flow %s Yr4'!H105*'Expenses w MYP'!$H69))</f>
        <v>0</v>
      </c>
      <c r="I105" s="62">
        <f>IF('Expenses w MYP'!$H69="","",IF('Cash Flow %s Yr4'!I105="","",'Cash Flow %s Yr4'!I105*'Expenses w MYP'!$H69))</f>
        <v>0</v>
      </c>
      <c r="J105" s="62">
        <f>IF('Expenses w MYP'!$H69="","",IF('Cash Flow %s Yr4'!J105="","",'Cash Flow %s Yr4'!J105*'Expenses w MYP'!$H69))</f>
        <v>0</v>
      </c>
      <c r="K105" s="62">
        <f>IF('Expenses w MYP'!$H69="","",IF('Cash Flow %s Yr4'!K105="","",'Cash Flow %s Yr4'!K105*'Expenses w MYP'!$H69))</f>
        <v>0</v>
      </c>
      <c r="L105" s="62">
        <f>IF('Expenses w MYP'!$H69="","",IF('Cash Flow %s Yr4'!L105="","",'Cash Flow %s Yr4'!L105*'Expenses w MYP'!$H69))</f>
        <v>0</v>
      </c>
      <c r="M105" s="62">
        <f>IF('Expenses w MYP'!$H69="","",IF('Cash Flow %s Yr4'!M105="","",'Cash Flow %s Yr4'!M105*'Expenses w MYP'!$H69))</f>
        <v>0</v>
      </c>
      <c r="N105" s="62">
        <f>IF('Expenses w MYP'!$H69="","",IF('Cash Flow %s Yr4'!N105="","",'Cash Flow %s Yr4'!N105*'Expenses w MYP'!$H69))</f>
        <v>0</v>
      </c>
      <c r="O105" s="62">
        <f>IF('Expenses w MYP'!$H69="","",IF('Cash Flow %s Yr4'!O105="","",'Cash Flow %s Yr4'!O105*'Expenses w MYP'!$H69))</f>
        <v>0</v>
      </c>
      <c r="P105" s="113"/>
      <c r="Q105" s="113"/>
      <c r="R105" s="113"/>
      <c r="S105" s="97" t="str">
        <f>IF(SUM(D105:R105)&gt;0,SUM(D105:R105)/'Expenses w MYP'!$H69,"")</f>
        <v/>
      </c>
    </row>
    <row r="106" spans="1:19" s="31" customFormat="1" x14ac:dyDescent="0.75">
      <c r="A106" s="35"/>
      <c r="B106" s="33" t="s">
        <v>558</v>
      </c>
      <c r="C106" s="34" t="s">
        <v>719</v>
      </c>
      <c r="D106" s="153" t="e">
        <f t="shared" ref="D106:R106" si="9">IF(SUM(D88:D105)&gt;0,SUM(D88:D105),"")</f>
        <v>#REF!</v>
      </c>
      <c r="E106" s="153" t="e">
        <f t="shared" si="9"/>
        <v>#REF!</v>
      </c>
      <c r="F106" s="153" t="e">
        <f t="shared" si="9"/>
        <v>#REF!</v>
      </c>
      <c r="G106" s="153" t="e">
        <f t="shared" si="9"/>
        <v>#REF!</v>
      </c>
      <c r="H106" s="153" t="e">
        <f t="shared" si="9"/>
        <v>#REF!</v>
      </c>
      <c r="I106" s="153" t="e">
        <f t="shared" si="9"/>
        <v>#REF!</v>
      </c>
      <c r="J106" s="153" t="e">
        <f t="shared" si="9"/>
        <v>#REF!</v>
      </c>
      <c r="K106" s="153" t="e">
        <f t="shared" si="9"/>
        <v>#REF!</v>
      </c>
      <c r="L106" s="153" t="e">
        <f t="shared" si="9"/>
        <v>#REF!</v>
      </c>
      <c r="M106" s="153" t="e">
        <f t="shared" si="9"/>
        <v>#REF!</v>
      </c>
      <c r="N106" s="153" t="e">
        <f t="shared" si="9"/>
        <v>#REF!</v>
      </c>
      <c r="O106" s="153" t="e">
        <f t="shared" si="9"/>
        <v>#REF!</v>
      </c>
      <c r="P106" s="153" t="str">
        <f t="shared" si="9"/>
        <v/>
      </c>
      <c r="Q106" s="153" t="str">
        <f t="shared" si="9"/>
        <v/>
      </c>
      <c r="R106" s="153" t="str">
        <f t="shared" si="9"/>
        <v/>
      </c>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121" t="str">
        <f>'Expenses w MYP'!C73</f>
        <v>5200</v>
      </c>
      <c r="C109" s="121" t="str">
        <f>'Expenses w MYP'!D73</f>
        <v>Travel and Conferences</v>
      </c>
      <c r="D109" s="62">
        <f>IF('Expenses w MYP'!$H73="","",IF('Cash Flow %s Yr4'!D109="","",'Cash Flow %s Yr4'!D109*'Expenses w MYP'!$H73))</f>
        <v>0</v>
      </c>
      <c r="E109" s="62">
        <f>IF('Expenses w MYP'!$H73="","",IF('Cash Flow %s Yr4'!E109="","",'Cash Flow %s Yr4'!E109*'Expenses w MYP'!$H73))</f>
        <v>0</v>
      </c>
      <c r="F109" s="62">
        <f>IF('Expenses w MYP'!$H73="","",IF('Cash Flow %s Yr4'!F109="","",'Cash Flow %s Yr4'!F109*'Expenses w MYP'!$H73))</f>
        <v>9877.6628417354277</v>
      </c>
      <c r="G109" s="62">
        <f>IF('Expenses w MYP'!$H73="","",IF('Cash Flow %s Yr4'!G109="","",'Cash Flow %s Yr4'!G109*'Expenses w MYP'!$H73))</f>
        <v>3292.5542805784762</v>
      </c>
      <c r="H109" s="62">
        <f>IF('Expenses w MYP'!$H73="","",IF('Cash Flow %s Yr4'!H109="","",'Cash Flow %s Yr4'!H109*'Expenses w MYP'!$H73))</f>
        <v>3292.5542805784762</v>
      </c>
      <c r="I109" s="62">
        <f>IF('Expenses w MYP'!$H73="","",IF('Cash Flow %s Yr4'!I109="","",'Cash Flow %s Yr4'!I109*'Expenses w MYP'!$H73))</f>
        <v>3292.5542805784762</v>
      </c>
      <c r="J109" s="62">
        <f>IF('Expenses w MYP'!$H73="","",IF('Cash Flow %s Yr4'!J109="","",'Cash Flow %s Yr4'!J109*'Expenses w MYP'!$H73))</f>
        <v>3292.5542805784762</v>
      </c>
      <c r="K109" s="62">
        <f>IF('Expenses w MYP'!$H73="","",IF('Cash Flow %s Yr4'!K109="","",'Cash Flow %s Yr4'!K109*'Expenses w MYP'!$H73))</f>
        <v>3292.5542805784762</v>
      </c>
      <c r="L109" s="62">
        <f>IF('Expenses w MYP'!$H73="","",IF('Cash Flow %s Yr4'!L109="","",'Cash Flow %s Yr4'!L109*'Expenses w MYP'!$H73))</f>
        <v>3292.5542805784762</v>
      </c>
      <c r="M109" s="62">
        <f>IF('Expenses w MYP'!$H73="","",IF('Cash Flow %s Yr4'!M109="","",'Cash Flow %s Yr4'!M109*'Expenses w MYP'!$H73))</f>
        <v>3292.5542805784762</v>
      </c>
      <c r="N109" s="62">
        <f>IF('Expenses w MYP'!$H73="","",IF('Cash Flow %s Yr4'!N109="","",'Cash Flow %s Yr4'!N109*'Expenses w MYP'!$H73))</f>
        <v>0</v>
      </c>
      <c r="O109" s="62">
        <f>IF('Expenses w MYP'!$H73="","",IF('Cash Flow %s Yr4'!O109="","",'Cash Flow %s Yr4'!O109*'Expenses w MYP'!$H73))</f>
        <v>0</v>
      </c>
      <c r="P109" s="113"/>
      <c r="Q109" s="113"/>
      <c r="R109" s="113"/>
      <c r="S109" s="97">
        <f>IF(SUM(D109:R109)&gt;0,SUM(D109:R109)/'Expenses w MYP'!$H73,"")</f>
        <v>1</v>
      </c>
    </row>
    <row r="110" spans="1:19" s="31" customFormat="1" x14ac:dyDescent="0.75">
      <c r="A110" s="35"/>
      <c r="B110" s="121" t="str">
        <f>'Expenses w MYP'!C74</f>
        <v>5210</v>
      </c>
      <c r="C110" s="121" t="str">
        <f>'Expenses w MYP'!D74</f>
        <v>Training and Development Expense</v>
      </c>
      <c r="D110" s="62">
        <f>IF('Expenses w MYP'!$H74="","",IF('Cash Flow %s Yr4'!D110="","",'Cash Flow %s Yr4'!D110*'Expenses w MYP'!$H74))</f>
        <v>0</v>
      </c>
      <c r="E110" s="62">
        <f>IF('Expenses w MYP'!$H74="","",IF('Cash Flow %s Yr4'!E110="","",'Cash Flow %s Yr4'!E110*'Expenses w MYP'!$H74))</f>
        <v>0</v>
      </c>
      <c r="F110" s="62">
        <f>IF('Expenses w MYP'!$H74="","",IF('Cash Flow %s Yr4'!F110="","",'Cash Flow %s Yr4'!F110*'Expenses w MYP'!$H74))</f>
        <v>39510.651366941711</v>
      </c>
      <c r="G110" s="62">
        <f>IF('Expenses w MYP'!$H74="","",IF('Cash Flow %s Yr4'!G110="","",'Cash Flow %s Yr4'!G110*'Expenses w MYP'!$H74))</f>
        <v>13170.217122313905</v>
      </c>
      <c r="H110" s="62">
        <f>IF('Expenses w MYP'!$H74="","",IF('Cash Flow %s Yr4'!H110="","",'Cash Flow %s Yr4'!H110*'Expenses w MYP'!$H74))</f>
        <v>13170.217122313905</v>
      </c>
      <c r="I110" s="62">
        <f>IF('Expenses w MYP'!$H74="","",IF('Cash Flow %s Yr4'!I110="","",'Cash Flow %s Yr4'!I110*'Expenses w MYP'!$H74))</f>
        <v>13170.217122313905</v>
      </c>
      <c r="J110" s="62">
        <f>IF('Expenses w MYP'!$H74="","",IF('Cash Flow %s Yr4'!J110="","",'Cash Flow %s Yr4'!J110*'Expenses w MYP'!$H74))</f>
        <v>13170.217122313905</v>
      </c>
      <c r="K110" s="62">
        <f>IF('Expenses w MYP'!$H74="","",IF('Cash Flow %s Yr4'!K110="","",'Cash Flow %s Yr4'!K110*'Expenses w MYP'!$H74))</f>
        <v>13170.217122313905</v>
      </c>
      <c r="L110" s="62">
        <f>IF('Expenses w MYP'!$H74="","",IF('Cash Flow %s Yr4'!L110="","",'Cash Flow %s Yr4'!L110*'Expenses w MYP'!$H74))</f>
        <v>13170.217122313905</v>
      </c>
      <c r="M110" s="62">
        <f>IF('Expenses w MYP'!$H74="","",IF('Cash Flow %s Yr4'!M110="","",'Cash Flow %s Yr4'!M110*'Expenses w MYP'!$H74))</f>
        <v>13170.217122313905</v>
      </c>
      <c r="N110" s="62">
        <f>IF('Expenses w MYP'!$H74="","",IF('Cash Flow %s Yr4'!N110="","",'Cash Flow %s Yr4'!N110*'Expenses w MYP'!$H74))</f>
        <v>0</v>
      </c>
      <c r="O110" s="62">
        <f>IF('Expenses w MYP'!$H74="","",IF('Cash Flow %s Yr4'!O110="","",'Cash Flow %s Yr4'!O110*'Expenses w MYP'!$H74))</f>
        <v>0</v>
      </c>
      <c r="P110" s="113"/>
      <c r="Q110" s="113"/>
      <c r="R110" s="113"/>
      <c r="S110" s="97">
        <f>IF(SUM(D110:R110)&gt;0,SUM(D110:R110)/'Expenses w MYP'!$H74,"")</f>
        <v>1</v>
      </c>
    </row>
    <row r="111" spans="1:19" s="31" customFormat="1" x14ac:dyDescent="0.75">
      <c r="A111" s="35"/>
      <c r="B111" s="121" t="str">
        <f>'Expenses w MYP'!C75</f>
        <v>5300</v>
      </c>
      <c r="C111" s="121" t="str">
        <f>'Expenses w MYP'!D75</f>
        <v>Dues and Memberships</v>
      </c>
      <c r="D111" s="62">
        <f>IF('Expenses w MYP'!$H75="","",IF('Cash Flow %s Yr4'!D111="","",'Cash Flow %s Yr4'!D111*'Expenses w MYP'!$H75))</f>
        <v>0</v>
      </c>
      <c r="E111" s="62">
        <f>IF('Expenses w MYP'!$H75="","",IF('Cash Flow %s Yr4'!E111="","",'Cash Flow %s Yr4'!E111*'Expenses w MYP'!$H75))</f>
        <v>0</v>
      </c>
      <c r="F111" s="62">
        <f>IF('Expenses w MYP'!$H75="","",IF('Cash Flow %s Yr4'!F111="","",'Cash Flow %s Yr4'!F111*'Expenses w MYP'!$H75))</f>
        <v>6914.3639892147994</v>
      </c>
      <c r="G111" s="62">
        <f>IF('Expenses w MYP'!$H75="","",IF('Cash Flow %s Yr4'!G111="","",'Cash Flow %s Yr4'!G111*'Expenses w MYP'!$H75))</f>
        <v>2304.787996404933</v>
      </c>
      <c r="H111" s="62">
        <f>IF('Expenses w MYP'!$H75="","",IF('Cash Flow %s Yr4'!H111="","",'Cash Flow %s Yr4'!H111*'Expenses w MYP'!$H75))</f>
        <v>2304.787996404933</v>
      </c>
      <c r="I111" s="62">
        <f>IF('Expenses w MYP'!$H75="","",IF('Cash Flow %s Yr4'!I111="","",'Cash Flow %s Yr4'!I111*'Expenses w MYP'!$H75))</f>
        <v>2304.787996404933</v>
      </c>
      <c r="J111" s="62">
        <f>IF('Expenses w MYP'!$H75="","",IF('Cash Flow %s Yr4'!J111="","",'Cash Flow %s Yr4'!J111*'Expenses w MYP'!$H75))</f>
        <v>2304.787996404933</v>
      </c>
      <c r="K111" s="62">
        <f>IF('Expenses w MYP'!$H75="","",IF('Cash Flow %s Yr4'!K111="","",'Cash Flow %s Yr4'!K111*'Expenses w MYP'!$H75))</f>
        <v>2304.787996404933</v>
      </c>
      <c r="L111" s="62">
        <f>IF('Expenses w MYP'!$H75="","",IF('Cash Flow %s Yr4'!L111="","",'Cash Flow %s Yr4'!L111*'Expenses w MYP'!$H75))</f>
        <v>2304.787996404933</v>
      </c>
      <c r="M111" s="62">
        <f>IF('Expenses w MYP'!$H75="","",IF('Cash Flow %s Yr4'!M111="","",'Cash Flow %s Yr4'!M111*'Expenses w MYP'!$H75))</f>
        <v>2304.787996404933</v>
      </c>
      <c r="N111" s="62">
        <f>IF('Expenses w MYP'!$H75="","",IF('Cash Flow %s Yr4'!N111="","",'Cash Flow %s Yr4'!N111*'Expenses w MYP'!$H75))</f>
        <v>0</v>
      </c>
      <c r="O111" s="62">
        <f>IF('Expenses w MYP'!$H75="","",IF('Cash Flow %s Yr4'!O111="","",'Cash Flow %s Yr4'!O111*'Expenses w MYP'!$H75))</f>
        <v>0</v>
      </c>
      <c r="P111" s="113"/>
      <c r="Q111" s="113"/>
      <c r="R111" s="113"/>
      <c r="S111" s="97">
        <f>IF(SUM(D111:R111)&gt;0,SUM(D111:R111)/'Expenses w MYP'!$H75,"")</f>
        <v>0.99999999999999989</v>
      </c>
    </row>
    <row r="112" spans="1:19" s="31" customFormat="1" x14ac:dyDescent="0.75">
      <c r="A112" s="35"/>
      <c r="B112" s="121" t="str">
        <f>'Expenses w MYP'!C76</f>
        <v>5400</v>
      </c>
      <c r="C112" s="121" t="str">
        <f>'Expenses w MYP'!D76</f>
        <v>Insurance</v>
      </c>
      <c r="D112" s="62">
        <f>IF('Expenses w MYP'!$H76="","",IF('Cash Flow %s Yr4'!D112="","",'Cash Flow %s Yr4'!D112*'Expenses w MYP'!$H76))</f>
        <v>0</v>
      </c>
      <c r="E112" s="62">
        <f>IF('Expenses w MYP'!$H76="","",IF('Cash Flow %s Yr4'!E112="","",'Cash Flow %s Yr4'!E112*'Expenses w MYP'!$H76))</f>
        <v>0</v>
      </c>
      <c r="F112" s="62">
        <f>IF('Expenses w MYP'!$H76="","",IF('Cash Flow %s Yr4'!F112="","",'Cash Flow %s Yr4'!F112*'Expenses w MYP'!$H76))</f>
        <v>9383.7796996486559</v>
      </c>
      <c r="G112" s="62">
        <f>IF('Expenses w MYP'!$H76="","",IF('Cash Flow %s Yr4'!G112="","",'Cash Flow %s Yr4'!G112*'Expenses w MYP'!$H76))</f>
        <v>3127.9265665495523</v>
      </c>
      <c r="H112" s="62">
        <f>IF('Expenses w MYP'!$H76="","",IF('Cash Flow %s Yr4'!H112="","",'Cash Flow %s Yr4'!H112*'Expenses w MYP'!$H76))</f>
        <v>3127.9265665495523</v>
      </c>
      <c r="I112" s="62">
        <f>IF('Expenses w MYP'!$H76="","",IF('Cash Flow %s Yr4'!I112="","",'Cash Flow %s Yr4'!I112*'Expenses w MYP'!$H76))</f>
        <v>3127.9265665495523</v>
      </c>
      <c r="J112" s="62">
        <f>IF('Expenses w MYP'!$H76="","",IF('Cash Flow %s Yr4'!J112="","",'Cash Flow %s Yr4'!J112*'Expenses w MYP'!$H76))</f>
        <v>3127.9265665495523</v>
      </c>
      <c r="K112" s="62">
        <f>IF('Expenses w MYP'!$H76="","",IF('Cash Flow %s Yr4'!K112="","",'Cash Flow %s Yr4'!K112*'Expenses w MYP'!$H76))</f>
        <v>3127.9265665495523</v>
      </c>
      <c r="L112" s="62">
        <f>IF('Expenses w MYP'!$H76="","",IF('Cash Flow %s Yr4'!L112="","",'Cash Flow %s Yr4'!L112*'Expenses w MYP'!$H76))</f>
        <v>3127.9265665495523</v>
      </c>
      <c r="M112" s="62">
        <f>IF('Expenses w MYP'!$H76="","",IF('Cash Flow %s Yr4'!M112="","",'Cash Flow %s Yr4'!M112*'Expenses w MYP'!$H76))</f>
        <v>3127.9265665495523</v>
      </c>
      <c r="N112" s="62">
        <f>IF('Expenses w MYP'!$H76="","",IF('Cash Flow %s Yr4'!N112="","",'Cash Flow %s Yr4'!N112*'Expenses w MYP'!$H76))</f>
        <v>0</v>
      </c>
      <c r="O112" s="62">
        <f>IF('Expenses w MYP'!$H76="","",IF('Cash Flow %s Yr4'!O112="","",'Cash Flow %s Yr4'!O112*'Expenses w MYP'!$H76))</f>
        <v>0</v>
      </c>
      <c r="P112" s="113"/>
      <c r="Q112" s="113"/>
      <c r="R112" s="113"/>
      <c r="S112" s="97">
        <f>IF(SUM(D112:R112)&gt;0,SUM(D112:R112)/'Expenses w MYP'!$H76,"")</f>
        <v>0.99999999999999989</v>
      </c>
    </row>
    <row r="113" spans="1:19" s="31" customFormat="1" x14ac:dyDescent="0.75">
      <c r="A113" s="35"/>
      <c r="B113" s="121" t="str">
        <f>'Expenses w MYP'!C77</f>
        <v>5500</v>
      </c>
      <c r="C113" s="121" t="str">
        <f>'Expenses w MYP'!D77</f>
        <v>Operation and Housekeeping Services/Supplies</v>
      </c>
      <c r="D113" s="62">
        <f>IF('Expenses w MYP'!$H77="","",IF('Cash Flow %s Yr4'!D113="","",'Cash Flow %s Yr4'!D113*'Expenses w MYP'!$H77))</f>
        <v>0</v>
      </c>
      <c r="E113" s="62">
        <f>IF('Expenses w MYP'!$H77="","",IF('Cash Flow %s Yr4'!E113="","",'Cash Flow %s Yr4'!E113*'Expenses w MYP'!$H77))</f>
        <v>0</v>
      </c>
      <c r="F113" s="62">
        <f>IF('Expenses w MYP'!$H77="","",IF('Cash Flow %s Yr4'!F113="","",'Cash Flow %s Yr4'!F113*'Expenses w MYP'!$H77))</f>
        <v>1185.3195410082512</v>
      </c>
      <c r="G113" s="62">
        <f>IF('Expenses w MYP'!$H77="","",IF('Cash Flow %s Yr4'!G113="","",'Cash Flow %s Yr4'!G113*'Expenses w MYP'!$H77))</f>
        <v>0</v>
      </c>
      <c r="H113" s="62">
        <f>IF('Expenses w MYP'!$H77="","",IF('Cash Flow %s Yr4'!H113="","",'Cash Flow %s Yr4'!H113*'Expenses w MYP'!$H77))</f>
        <v>0</v>
      </c>
      <c r="I113" s="62">
        <f>IF('Expenses w MYP'!$H77="","",IF('Cash Flow %s Yr4'!I113="","",'Cash Flow %s Yr4'!I113*'Expenses w MYP'!$H77))</f>
        <v>0</v>
      </c>
      <c r="J113" s="62">
        <f>IF('Expenses w MYP'!$H77="","",IF('Cash Flow %s Yr4'!J113="","",'Cash Flow %s Yr4'!J113*'Expenses w MYP'!$H77))</f>
        <v>790.21302733883431</v>
      </c>
      <c r="K113" s="62">
        <f>IF('Expenses w MYP'!$H77="","",IF('Cash Flow %s Yr4'!K113="","",'Cash Flow %s Yr4'!K113*'Expenses w MYP'!$H77))</f>
        <v>0</v>
      </c>
      <c r="L113" s="62">
        <f>IF('Expenses w MYP'!$H77="","",IF('Cash Flow %s Yr4'!L113="","",'Cash Flow %s Yr4'!L113*'Expenses w MYP'!$H77))</f>
        <v>0</v>
      </c>
      <c r="M113" s="62">
        <f>IF('Expenses w MYP'!$H77="","",IF('Cash Flow %s Yr4'!M113="","",'Cash Flow %s Yr4'!M113*'Expenses w MYP'!$H77))</f>
        <v>0</v>
      </c>
      <c r="N113" s="62">
        <f>IF('Expenses w MYP'!$H77="","",IF('Cash Flow %s Yr4'!N113="","",'Cash Flow %s Yr4'!N113*'Expenses w MYP'!$H77))</f>
        <v>0</v>
      </c>
      <c r="O113" s="62">
        <f>IF('Expenses w MYP'!$H77="","",IF('Cash Flow %s Yr4'!O113="","",'Cash Flow %s Yr4'!O113*'Expenses w MYP'!$H77))</f>
        <v>0</v>
      </c>
      <c r="P113" s="113"/>
      <c r="Q113" s="113"/>
      <c r="R113" s="113"/>
      <c r="S113" s="97">
        <f>IF(SUM(D113:R113)&gt;0,SUM(D113:R113)/'Expenses w MYP'!$H77,"")</f>
        <v>1</v>
      </c>
    </row>
    <row r="114" spans="1:19" s="31" customFormat="1" x14ac:dyDescent="0.75">
      <c r="A114" s="35"/>
      <c r="B114" s="121" t="str">
        <f>'Expenses w MYP'!C78</f>
        <v>5501</v>
      </c>
      <c r="C114" s="121" t="str">
        <f>'Expenses w MYP'!D78</f>
        <v>Utilities</v>
      </c>
      <c r="D114" s="62">
        <f>IF('Expenses w MYP'!$H78="","",IF('Cash Flow %s Yr4'!D114="","",'Cash Flow %s Yr4'!D114*'Expenses w MYP'!$H78))</f>
        <v>0</v>
      </c>
      <c r="E114" s="62">
        <f>IF('Expenses w MYP'!$H78="","",IF('Cash Flow %s Yr4'!E114="","",'Cash Flow %s Yr4'!E114*'Expenses w MYP'!$H78))</f>
        <v>0</v>
      </c>
      <c r="F114" s="62">
        <f>IF('Expenses w MYP'!$H78="","",IF('Cash Flow %s Yr4'!F114="","",'Cash Flow %s Yr4'!F114*'Expenses w MYP'!$H78))</f>
        <v>82.313857014461902</v>
      </c>
      <c r="G114" s="62">
        <f>IF('Expenses w MYP'!$H78="","",IF('Cash Flow %s Yr4'!G114="","",'Cash Flow %s Yr4'!G114*'Expenses w MYP'!$H78))</f>
        <v>82.313857014461902</v>
      </c>
      <c r="H114" s="62">
        <f>IF('Expenses w MYP'!$H78="","",IF('Cash Flow %s Yr4'!H114="","",'Cash Flow %s Yr4'!H114*'Expenses w MYP'!$H78))</f>
        <v>82.313857014461902</v>
      </c>
      <c r="I114" s="62">
        <f>IF('Expenses w MYP'!$H78="","",IF('Cash Flow %s Yr4'!I114="","",'Cash Flow %s Yr4'!I114*'Expenses w MYP'!$H78))</f>
        <v>82.313857014461902</v>
      </c>
      <c r="J114" s="62">
        <f>IF('Expenses w MYP'!$H78="","",IF('Cash Flow %s Yr4'!J114="","",'Cash Flow %s Yr4'!J114*'Expenses w MYP'!$H78))</f>
        <v>82.313857014461902</v>
      </c>
      <c r="K114" s="62">
        <f>IF('Expenses w MYP'!$H78="","",IF('Cash Flow %s Yr4'!K114="","",'Cash Flow %s Yr4'!K114*'Expenses w MYP'!$H78))</f>
        <v>82.313857014461902</v>
      </c>
      <c r="L114" s="62">
        <f>IF('Expenses w MYP'!$H78="","",IF('Cash Flow %s Yr4'!L114="","",'Cash Flow %s Yr4'!L114*'Expenses w MYP'!$H78))</f>
        <v>82.313857014461902</v>
      </c>
      <c r="M114" s="62">
        <f>IF('Expenses w MYP'!$H78="","",IF('Cash Flow %s Yr4'!M114="","",'Cash Flow %s Yr4'!M114*'Expenses w MYP'!$H78))</f>
        <v>82.313857014461902</v>
      </c>
      <c r="N114" s="62">
        <f>IF('Expenses w MYP'!$H78="","",IF('Cash Flow %s Yr4'!N114="","",'Cash Flow %s Yr4'!N114*'Expenses w MYP'!$H78))</f>
        <v>82.313857014461902</v>
      </c>
      <c r="O114" s="62">
        <f>IF('Expenses w MYP'!$H78="","",IF('Cash Flow %s Yr4'!O114="","",'Cash Flow %s Yr4'!O114*'Expenses w MYP'!$H78))</f>
        <v>82.313857014461902</v>
      </c>
      <c r="P114" s="113"/>
      <c r="Q114" s="113"/>
      <c r="R114" s="113"/>
      <c r="S114" s="97">
        <f>IF(SUM(D114:R114)&gt;0,SUM(D114:R114)/'Expenses w MYP'!$H78,"")</f>
        <v>1</v>
      </c>
    </row>
    <row r="115" spans="1:19" s="31" customFormat="1" x14ac:dyDescent="0.75">
      <c r="A115" s="35"/>
      <c r="B115" s="121" t="str">
        <f>'Expenses w MYP'!C79</f>
        <v>5505</v>
      </c>
      <c r="C115" s="121" t="str">
        <f>'Expenses w MYP'!D79</f>
        <v>Student Transportation / Field Trips</v>
      </c>
      <c r="D115" s="62">
        <f>IF('Expenses w MYP'!$H79="","",IF('Cash Flow %s Yr4'!D115="","",'Cash Flow %s Yr4'!D115*'Expenses w MYP'!$H79))</f>
        <v>0</v>
      </c>
      <c r="E115" s="62">
        <f>IF('Expenses w MYP'!$H79="","",IF('Cash Flow %s Yr4'!E115="","",'Cash Flow %s Yr4'!E115*'Expenses w MYP'!$H79))</f>
        <v>0</v>
      </c>
      <c r="F115" s="62">
        <f>IF('Expenses w MYP'!$H79="","",IF('Cash Flow %s Yr4'!F115="","",'Cash Flow %s Yr4'!F115*'Expenses w MYP'!$H79))</f>
        <v>0</v>
      </c>
      <c r="G115" s="62">
        <f>IF('Expenses w MYP'!$H79="","",IF('Cash Flow %s Yr4'!G115="","",'Cash Flow %s Yr4'!G115*'Expenses w MYP'!$H79))</f>
        <v>0</v>
      </c>
      <c r="H115" s="62">
        <f>IF('Expenses w MYP'!$H79="","",IF('Cash Flow %s Yr4'!H115="","",'Cash Flow %s Yr4'!H115*'Expenses w MYP'!$H79))</f>
        <v>0</v>
      </c>
      <c r="I115" s="62">
        <f>IF('Expenses w MYP'!$H79="","",IF('Cash Flow %s Yr4'!I115="","",'Cash Flow %s Yr4'!I115*'Expenses w MYP'!$H79))</f>
        <v>0</v>
      </c>
      <c r="J115" s="62">
        <f>IF('Expenses w MYP'!$H79="","",IF('Cash Flow %s Yr4'!J115="","",'Cash Flow %s Yr4'!J115*'Expenses w MYP'!$H79))</f>
        <v>0</v>
      </c>
      <c r="K115" s="62">
        <f>IF('Expenses w MYP'!$H79="","",IF('Cash Flow %s Yr4'!K115="","",'Cash Flow %s Yr4'!K115*'Expenses w MYP'!$H79))</f>
        <v>0</v>
      </c>
      <c r="L115" s="62">
        <f>IF('Expenses w MYP'!$H79="","",IF('Cash Flow %s Yr4'!L115="","",'Cash Flow %s Yr4'!L115*'Expenses w MYP'!$H79))</f>
        <v>0</v>
      </c>
      <c r="M115" s="62">
        <f>IF('Expenses w MYP'!$H79="","",IF('Cash Flow %s Yr4'!M115="","",'Cash Flow %s Yr4'!M115*'Expenses w MYP'!$H79))</f>
        <v>0</v>
      </c>
      <c r="N115" s="62">
        <f>IF('Expenses w MYP'!$H79="","",IF('Cash Flow %s Yr4'!N115="","",'Cash Flow %s Yr4'!N115*'Expenses w MYP'!$H79))</f>
        <v>0</v>
      </c>
      <c r="O115" s="62">
        <f>IF('Expenses w MYP'!$H79="","",IF('Cash Flow %s Yr4'!O115="","",'Cash Flow %s Yr4'!O115*'Expenses w MYP'!$H79))</f>
        <v>0</v>
      </c>
      <c r="P115" s="113"/>
      <c r="Q115" s="113"/>
      <c r="R115" s="113"/>
      <c r="S115" s="97" t="str">
        <f>IF(SUM(D115:R115)&gt;0,SUM(D115:R115)/'Expenses w MYP'!$H79,"")</f>
        <v/>
      </c>
    </row>
    <row r="116" spans="1:19" s="31" customFormat="1" x14ac:dyDescent="0.75">
      <c r="A116" s="35"/>
      <c r="B116" s="121" t="str">
        <f>'Expenses w MYP'!C80</f>
        <v>5600</v>
      </c>
      <c r="C116" s="121" t="str">
        <f>'Expenses w MYP'!D80</f>
        <v>Space Rental/Leases Expense</v>
      </c>
      <c r="D116" s="62">
        <f>IF('Expenses w MYP'!$H80="","",IF('Cash Flow %s Yr4'!D116="","",'Cash Flow %s Yr4'!D116*'Expenses w MYP'!$H80))</f>
        <v>0</v>
      </c>
      <c r="E116" s="62">
        <f>IF('Expenses w MYP'!$H80="","",IF('Cash Flow %s Yr4'!E116="","",'Cash Flow %s Yr4'!E116*'Expenses w MYP'!$H80))</f>
        <v>0</v>
      </c>
      <c r="F116" s="62">
        <f>IF('Expenses w MYP'!$H80="","",IF('Cash Flow %s Yr4'!F116="","",'Cash Flow %s Yr4'!F116*'Expenses w MYP'!$H80))</f>
        <v>6707.7636696486588</v>
      </c>
      <c r="G116" s="62">
        <f>IF('Expenses w MYP'!$H80="","",IF('Cash Flow %s Yr4'!G116="","",'Cash Flow %s Yr4'!G116*'Expenses w MYP'!$H80))</f>
        <v>6707.7636696486588</v>
      </c>
      <c r="H116" s="62">
        <f>IF('Expenses w MYP'!$H80="","",IF('Cash Flow %s Yr4'!H116="","",'Cash Flow %s Yr4'!H116*'Expenses w MYP'!$H80))</f>
        <v>6707.7636696486588</v>
      </c>
      <c r="I116" s="62">
        <f>IF('Expenses w MYP'!$H80="","",IF('Cash Flow %s Yr4'!I116="","",'Cash Flow %s Yr4'!I116*'Expenses w MYP'!$H80))</f>
        <v>6707.7636696486588</v>
      </c>
      <c r="J116" s="62">
        <f>IF('Expenses w MYP'!$H80="","",IF('Cash Flow %s Yr4'!J116="","",'Cash Flow %s Yr4'!J116*'Expenses w MYP'!$H80))</f>
        <v>6707.7636696486588</v>
      </c>
      <c r="K116" s="62">
        <f>IF('Expenses w MYP'!$H80="","",IF('Cash Flow %s Yr4'!K116="","",'Cash Flow %s Yr4'!K116*'Expenses w MYP'!$H80))</f>
        <v>6707.7636696486588</v>
      </c>
      <c r="L116" s="62">
        <f>IF('Expenses w MYP'!$H80="","",IF('Cash Flow %s Yr4'!L116="","",'Cash Flow %s Yr4'!L116*'Expenses w MYP'!$H80))</f>
        <v>6707.7636696486588</v>
      </c>
      <c r="M116" s="62">
        <f>IF('Expenses w MYP'!$H80="","",IF('Cash Flow %s Yr4'!M116="","",'Cash Flow %s Yr4'!M116*'Expenses w MYP'!$H80))</f>
        <v>6707.7636696486588</v>
      </c>
      <c r="N116" s="62">
        <f>IF('Expenses w MYP'!$H80="","",IF('Cash Flow %s Yr4'!N116="","",'Cash Flow %s Yr4'!N116*'Expenses w MYP'!$H80))</f>
        <v>6707.7636696486588</v>
      </c>
      <c r="O116" s="62">
        <f>IF('Expenses w MYP'!$H80="","",IF('Cash Flow %s Yr4'!O116="","",'Cash Flow %s Yr4'!O116*'Expenses w MYP'!$H80))</f>
        <v>6707.7636696486588</v>
      </c>
      <c r="P116" s="113"/>
      <c r="Q116" s="113"/>
      <c r="R116" s="113"/>
      <c r="S116" s="97">
        <f>IF(SUM(D116:R116)&gt;0,SUM(D116:R116)/'Expenses w MYP'!$H80,"")</f>
        <v>1</v>
      </c>
    </row>
    <row r="117" spans="1:19" s="31" customFormat="1" x14ac:dyDescent="0.75">
      <c r="A117" s="35"/>
      <c r="B117" s="121" t="str">
        <f>'Expenses w MYP'!C81</f>
        <v>5601</v>
      </c>
      <c r="C117" s="121" t="str">
        <f>'Expenses w MYP'!D81</f>
        <v>Building Maintenance</v>
      </c>
      <c r="D117" s="62">
        <f>IF('Expenses w MYP'!$H81="","",IF('Cash Flow %s Yr4'!D117="","",'Cash Flow %s Yr4'!D117*'Expenses w MYP'!$H81))</f>
        <v>0</v>
      </c>
      <c r="E117" s="62">
        <f>IF('Expenses w MYP'!$H81="","",IF('Cash Flow %s Yr4'!E117="","",'Cash Flow %s Yr4'!E117*'Expenses w MYP'!$H81))</f>
        <v>0</v>
      </c>
      <c r="F117" s="62">
        <f>IF('Expenses w MYP'!$H81="","",IF('Cash Flow %s Yr4'!F117="","",'Cash Flow %s Yr4'!F117*'Expenses w MYP'!$H81))</f>
        <v>0</v>
      </c>
      <c r="G117" s="62">
        <f>IF('Expenses w MYP'!$H81="","",IF('Cash Flow %s Yr4'!G117="","",'Cash Flow %s Yr4'!G117*'Expenses w MYP'!$H81))</f>
        <v>0</v>
      </c>
      <c r="H117" s="62">
        <f>IF('Expenses w MYP'!$H81="","",IF('Cash Flow %s Yr4'!H117="","",'Cash Flow %s Yr4'!H117*'Expenses w MYP'!$H81))</f>
        <v>0</v>
      </c>
      <c r="I117" s="62">
        <f>IF('Expenses w MYP'!$H81="","",IF('Cash Flow %s Yr4'!I117="","",'Cash Flow %s Yr4'!I117*'Expenses w MYP'!$H81))</f>
        <v>0</v>
      </c>
      <c r="J117" s="62">
        <f>IF('Expenses w MYP'!$H81="","",IF('Cash Flow %s Yr4'!J117="","",'Cash Flow %s Yr4'!J117*'Expenses w MYP'!$H81))</f>
        <v>0</v>
      </c>
      <c r="K117" s="62">
        <f>IF('Expenses w MYP'!$H81="","",IF('Cash Flow %s Yr4'!K117="","",'Cash Flow %s Yr4'!K117*'Expenses w MYP'!$H81))</f>
        <v>0</v>
      </c>
      <c r="L117" s="62">
        <f>IF('Expenses w MYP'!$H81="","",IF('Cash Flow %s Yr4'!L117="","",'Cash Flow %s Yr4'!L117*'Expenses w MYP'!$H81))</f>
        <v>0</v>
      </c>
      <c r="M117" s="62">
        <f>IF('Expenses w MYP'!$H81="","",IF('Cash Flow %s Yr4'!M117="","",'Cash Flow %s Yr4'!M117*'Expenses w MYP'!$H81))</f>
        <v>0</v>
      </c>
      <c r="N117" s="62">
        <f>IF('Expenses w MYP'!$H81="","",IF('Cash Flow %s Yr4'!N117="","",'Cash Flow %s Yr4'!N117*'Expenses w MYP'!$H81))</f>
        <v>0</v>
      </c>
      <c r="O117" s="62">
        <f>IF('Expenses w MYP'!$H81="","",IF('Cash Flow %s Yr4'!O117="","",'Cash Flow %s Yr4'!O117*'Expenses w MYP'!$H81))</f>
        <v>0</v>
      </c>
      <c r="P117" s="113"/>
      <c r="Q117" s="113"/>
      <c r="R117" s="113"/>
      <c r="S117" s="97" t="str">
        <f>IF(SUM(D117:R117)&gt;0,SUM(D117:R117)/'Expenses w MYP'!$H81,"")</f>
        <v/>
      </c>
    </row>
    <row r="118" spans="1:19" s="31" customFormat="1" x14ac:dyDescent="0.75">
      <c r="A118" s="35"/>
      <c r="B118" s="121" t="str">
        <f>'Expenses w MYP'!C82</f>
        <v>5602</v>
      </c>
      <c r="C118" s="121" t="str">
        <f>'Expenses w MYP'!D82</f>
        <v>Other Space Rental</v>
      </c>
      <c r="D118" s="62">
        <f>IF('Expenses w MYP'!$H82="","",IF('Cash Flow %s Yr4'!D118="","",'Cash Flow %s Yr4'!D118*'Expenses w MYP'!$H82))</f>
        <v>1317.0217122313904</v>
      </c>
      <c r="E118" s="62">
        <f>IF('Expenses w MYP'!$H82="","",IF('Cash Flow %s Yr4'!E118="","",'Cash Flow %s Yr4'!E118*'Expenses w MYP'!$H82))</f>
        <v>1317.0217122313904</v>
      </c>
      <c r="F118" s="62">
        <f>IF('Expenses w MYP'!$H82="","",IF('Cash Flow %s Yr4'!F118="","",'Cash Flow %s Yr4'!F118*'Expenses w MYP'!$H82))</f>
        <v>2370.6390820165025</v>
      </c>
      <c r="G118" s="62">
        <f>IF('Expenses w MYP'!$H82="","",IF('Cash Flow %s Yr4'!G118="","",'Cash Flow %s Yr4'!G118*'Expenses w MYP'!$H82))</f>
        <v>2370.6390820165025</v>
      </c>
      <c r="H118" s="62">
        <f>IF('Expenses w MYP'!$H82="","",IF('Cash Flow %s Yr4'!H118="","",'Cash Flow %s Yr4'!H118*'Expenses w MYP'!$H82))</f>
        <v>2370.6390820165025</v>
      </c>
      <c r="I118" s="62">
        <f>IF('Expenses w MYP'!$H82="","",IF('Cash Flow %s Yr4'!I118="","",'Cash Flow %s Yr4'!I118*'Expenses w MYP'!$H82))</f>
        <v>2370.6390820165025</v>
      </c>
      <c r="J118" s="62">
        <f>IF('Expenses w MYP'!$H82="","",IF('Cash Flow %s Yr4'!J118="","",'Cash Flow %s Yr4'!J118*'Expenses w MYP'!$H82))</f>
        <v>2370.6390820165025</v>
      </c>
      <c r="K118" s="62">
        <f>IF('Expenses w MYP'!$H82="","",IF('Cash Flow %s Yr4'!K118="","",'Cash Flow %s Yr4'!K118*'Expenses w MYP'!$H82))</f>
        <v>2370.6390820165025</v>
      </c>
      <c r="L118" s="62">
        <f>IF('Expenses w MYP'!$H82="","",IF('Cash Flow %s Yr4'!L118="","",'Cash Flow %s Yr4'!L118*'Expenses w MYP'!$H82))</f>
        <v>2370.6390820165025</v>
      </c>
      <c r="M118" s="62">
        <f>IF('Expenses w MYP'!$H82="","",IF('Cash Flow %s Yr4'!M118="","",'Cash Flow %s Yr4'!M118*'Expenses w MYP'!$H82))</f>
        <v>2370.6390820165025</v>
      </c>
      <c r="N118" s="62">
        <f>IF('Expenses w MYP'!$H82="","",IF('Cash Flow %s Yr4'!N118="","",'Cash Flow %s Yr4'!N118*'Expenses w MYP'!$H82))</f>
        <v>2370.6390820165025</v>
      </c>
      <c r="O118" s="62">
        <f>IF('Expenses w MYP'!$H82="","",IF('Cash Flow %s Yr4'!O118="","",'Cash Flow %s Yr4'!O118*'Expenses w MYP'!$H82))</f>
        <v>2370.6390820165025</v>
      </c>
      <c r="P118" s="113"/>
      <c r="Q118" s="113"/>
      <c r="R118" s="113"/>
      <c r="S118" s="97">
        <f>IF(SUM(D118:R118)&gt;0,SUM(D118:R118)/'Expenses w MYP'!$H82,"")</f>
        <v>1.0000000000000002</v>
      </c>
    </row>
    <row r="119" spans="1:19" s="31" customFormat="1" x14ac:dyDescent="0.75">
      <c r="A119" s="35"/>
      <c r="B119" s="121" t="str">
        <f>'Expenses w MYP'!C83</f>
        <v>5603</v>
      </c>
      <c r="C119" s="121" t="str">
        <f>'Expenses w MYP'!D83</f>
        <v>Engagement Space Rental</v>
      </c>
      <c r="D119" s="62">
        <f>IF('Expenses w MYP'!$H83="","",IF('Cash Flow %s Yr4'!D119="","",'Cash Flow %s Yr4'!D119*'Expenses w MYP'!$H83))</f>
        <v>0</v>
      </c>
      <c r="E119" s="62">
        <f>IF('Expenses w MYP'!$H83="","",IF('Cash Flow %s Yr4'!E119="","",'Cash Flow %s Yr4'!E119*'Expenses w MYP'!$H83))</f>
        <v>0</v>
      </c>
      <c r="F119" s="62">
        <f>IF('Expenses w MYP'!$H83="","",IF('Cash Flow %s Yr4'!F119="","",'Cash Flow %s Yr4'!F119*'Expenses w MYP'!$H83))</f>
        <v>0</v>
      </c>
      <c r="G119" s="62">
        <f>IF('Expenses w MYP'!$H83="","",IF('Cash Flow %s Yr4'!G119="","",'Cash Flow %s Yr4'!G119*'Expenses w MYP'!$H83))</f>
        <v>0</v>
      </c>
      <c r="H119" s="62">
        <f>IF('Expenses w MYP'!$H83="","",IF('Cash Flow %s Yr4'!H119="","",'Cash Flow %s Yr4'!H119*'Expenses w MYP'!$H83))</f>
        <v>0</v>
      </c>
      <c r="I119" s="62">
        <f>IF('Expenses w MYP'!$H83="","",IF('Cash Flow %s Yr4'!I119="","",'Cash Flow %s Yr4'!I119*'Expenses w MYP'!$H83))</f>
        <v>0</v>
      </c>
      <c r="J119" s="62">
        <f>IF('Expenses w MYP'!$H83="","",IF('Cash Flow %s Yr4'!J119="","",'Cash Flow %s Yr4'!J119*'Expenses w MYP'!$H83))</f>
        <v>0</v>
      </c>
      <c r="K119" s="62">
        <f>IF('Expenses w MYP'!$H83="","",IF('Cash Flow %s Yr4'!K119="","",'Cash Flow %s Yr4'!K119*'Expenses w MYP'!$H83))</f>
        <v>0</v>
      </c>
      <c r="L119" s="62">
        <f>IF('Expenses w MYP'!$H83="","",IF('Cash Flow %s Yr4'!L119="","",'Cash Flow %s Yr4'!L119*'Expenses w MYP'!$H83))</f>
        <v>0</v>
      </c>
      <c r="M119" s="62">
        <f>IF('Expenses w MYP'!$H83="","",IF('Cash Flow %s Yr4'!M119="","",'Cash Flow %s Yr4'!M119*'Expenses w MYP'!$H83))</f>
        <v>0</v>
      </c>
      <c r="N119" s="62">
        <f>IF('Expenses w MYP'!$H83="","",IF('Cash Flow %s Yr4'!N119="","",'Cash Flow %s Yr4'!N119*'Expenses w MYP'!$H83))</f>
        <v>0</v>
      </c>
      <c r="O119" s="62">
        <f>IF('Expenses w MYP'!$H83="","",IF('Cash Flow %s Yr4'!O119="","",'Cash Flow %s Yr4'!O119*'Expenses w MYP'!$H83))</f>
        <v>0</v>
      </c>
      <c r="P119" s="113"/>
      <c r="Q119" s="113"/>
      <c r="R119" s="113"/>
      <c r="S119" s="97" t="str">
        <f>IF(SUM(D119:R119)&gt;0,SUM(D119:R119)/'Expenses w MYP'!$H83,"")</f>
        <v/>
      </c>
    </row>
    <row r="120" spans="1:19" s="31" customFormat="1" x14ac:dyDescent="0.75">
      <c r="A120" s="35"/>
      <c r="B120" s="121" t="str">
        <f>'Expenses w MYP'!C84</f>
        <v>5610</v>
      </c>
      <c r="C120" s="121" t="str">
        <f>'Expenses w MYP'!D84</f>
        <v>Equipment Repair</v>
      </c>
      <c r="D120" s="62">
        <f>IF('Expenses w MYP'!$H84="","",IF('Cash Flow %s Yr4'!D120="","",'Cash Flow %s Yr4'!D120*'Expenses w MYP'!$H84))</f>
        <v>0</v>
      </c>
      <c r="E120" s="62">
        <f>IF('Expenses w MYP'!$H84="","",IF('Cash Flow %s Yr4'!E120="","",'Cash Flow %s Yr4'!E120*'Expenses w MYP'!$H84))</f>
        <v>0</v>
      </c>
      <c r="F120" s="62">
        <f>IF('Expenses w MYP'!$H84="","",IF('Cash Flow %s Yr4'!F120="","",'Cash Flow %s Yr4'!F120*'Expenses w MYP'!$H84))</f>
        <v>0</v>
      </c>
      <c r="G120" s="62">
        <f>IF('Expenses w MYP'!$H84="","",IF('Cash Flow %s Yr4'!G120="","",'Cash Flow %s Yr4'!G120*'Expenses w MYP'!$H84))</f>
        <v>0</v>
      </c>
      <c r="H120" s="62">
        <f>IF('Expenses w MYP'!$H84="","",IF('Cash Flow %s Yr4'!H120="","",'Cash Flow %s Yr4'!H120*'Expenses w MYP'!$H84))</f>
        <v>0</v>
      </c>
      <c r="I120" s="62">
        <f>IF('Expenses w MYP'!$H84="","",IF('Cash Flow %s Yr4'!I120="","",'Cash Flow %s Yr4'!I120*'Expenses w MYP'!$H84))</f>
        <v>0</v>
      </c>
      <c r="J120" s="62">
        <f>IF('Expenses w MYP'!$H84="","",IF('Cash Flow %s Yr4'!J120="","",'Cash Flow %s Yr4'!J120*'Expenses w MYP'!$H84))</f>
        <v>0</v>
      </c>
      <c r="K120" s="62">
        <f>IF('Expenses w MYP'!$H84="","",IF('Cash Flow %s Yr4'!K120="","",'Cash Flow %s Yr4'!K120*'Expenses w MYP'!$H84))</f>
        <v>0</v>
      </c>
      <c r="L120" s="62">
        <f>IF('Expenses w MYP'!$H84="","",IF('Cash Flow %s Yr4'!L120="","",'Cash Flow %s Yr4'!L120*'Expenses w MYP'!$H84))</f>
        <v>0</v>
      </c>
      <c r="M120" s="62">
        <f>IF('Expenses w MYP'!$H84="","",IF('Cash Flow %s Yr4'!M120="","",'Cash Flow %s Yr4'!M120*'Expenses w MYP'!$H84))</f>
        <v>0</v>
      </c>
      <c r="N120" s="62">
        <f>IF('Expenses w MYP'!$H84="","",IF('Cash Flow %s Yr4'!N120="","",'Cash Flow %s Yr4'!N120*'Expenses w MYP'!$H84))</f>
        <v>0</v>
      </c>
      <c r="O120" s="62">
        <f>IF('Expenses w MYP'!$H84="","",IF('Cash Flow %s Yr4'!O120="","",'Cash Flow %s Yr4'!O120*'Expenses w MYP'!$H84))</f>
        <v>0</v>
      </c>
      <c r="P120" s="113"/>
      <c r="Q120" s="113"/>
      <c r="R120" s="113"/>
      <c r="S120" s="97" t="str">
        <f>IF(SUM(D120:R120)&gt;0,SUM(D120:R120)/'Expenses w MYP'!$H84,"")</f>
        <v/>
      </c>
    </row>
    <row r="121" spans="1:19" s="31" customFormat="1" x14ac:dyDescent="0.75">
      <c r="A121" s="35"/>
      <c r="B121" s="121" t="str">
        <f>'Expenses w MYP'!C85</f>
        <v>5800</v>
      </c>
      <c r="C121" s="121" t="str">
        <f>'Expenses w MYP'!D85</f>
        <v>Professional/Consulting Services and Operating Expenditures</v>
      </c>
      <c r="D121" s="62">
        <f>IF('Expenses w MYP'!$H85="","",IF('Cash Flow %s Yr4'!D121="","",'Cash Flow %s Yr4'!D121*'Expenses w MYP'!$H85))</f>
        <v>0</v>
      </c>
      <c r="E121" s="62">
        <f>IF('Expenses w MYP'!$H85="","",IF('Cash Flow %s Yr4'!E121="","",'Cash Flow %s Yr4'!E121*'Expenses w MYP'!$H85))</f>
        <v>0</v>
      </c>
      <c r="F121" s="62">
        <f>IF('Expenses w MYP'!$H85="","",IF('Cash Flow %s Yr4'!F121="","",'Cash Flow %s Yr4'!F121*'Expenses w MYP'!$H85))</f>
        <v>14157.983406487445</v>
      </c>
      <c r="G121" s="62">
        <f>IF('Expenses w MYP'!$H85="","",IF('Cash Flow %s Yr4'!G121="","",'Cash Flow %s Yr4'!G121*'Expenses w MYP'!$H85))</f>
        <v>14157.983406487445</v>
      </c>
      <c r="H121" s="62">
        <f>IF('Expenses w MYP'!$H85="","",IF('Cash Flow %s Yr4'!H121="","",'Cash Flow %s Yr4'!H121*'Expenses w MYP'!$H85))</f>
        <v>14157.983406487445</v>
      </c>
      <c r="I121" s="62">
        <f>IF('Expenses w MYP'!$H85="","",IF('Cash Flow %s Yr4'!I121="","",'Cash Flow %s Yr4'!I121*'Expenses w MYP'!$H85))</f>
        <v>14157.983406487445</v>
      </c>
      <c r="J121" s="62">
        <f>IF('Expenses w MYP'!$H85="","",IF('Cash Flow %s Yr4'!J121="","",'Cash Flow %s Yr4'!J121*'Expenses w MYP'!$H85))</f>
        <v>14157.983406487445</v>
      </c>
      <c r="K121" s="62">
        <f>IF('Expenses w MYP'!$H85="","",IF('Cash Flow %s Yr4'!K121="","",'Cash Flow %s Yr4'!K121*'Expenses w MYP'!$H85))</f>
        <v>14157.983406487445</v>
      </c>
      <c r="L121" s="62">
        <f>IF('Expenses w MYP'!$H85="","",IF('Cash Flow %s Yr4'!L121="","",'Cash Flow %s Yr4'!L121*'Expenses w MYP'!$H85))</f>
        <v>14157.983406487445</v>
      </c>
      <c r="M121" s="62">
        <f>IF('Expenses w MYP'!$H85="","",IF('Cash Flow %s Yr4'!M121="","",'Cash Flow %s Yr4'!M121*'Expenses w MYP'!$H85))</f>
        <v>14157.983406487445</v>
      </c>
      <c r="N121" s="62">
        <f>IF('Expenses w MYP'!$H85="","",IF('Cash Flow %s Yr4'!N121="","",'Cash Flow %s Yr4'!N121*'Expenses w MYP'!$H85))</f>
        <v>14157.983406487445</v>
      </c>
      <c r="O121" s="62">
        <f>IF('Expenses w MYP'!$H85="","",IF('Cash Flow %s Yr4'!O121="","",'Cash Flow %s Yr4'!O121*'Expenses w MYP'!$H85))</f>
        <v>14157.983406487445</v>
      </c>
      <c r="P121" s="113"/>
      <c r="Q121" s="113"/>
      <c r="R121" s="113"/>
      <c r="S121" s="97">
        <f>IF(SUM(D121:R121)&gt;0,SUM(D121:R121)/'Expenses w MYP'!$H85,"")</f>
        <v>1</v>
      </c>
    </row>
    <row r="122" spans="1:19" s="31" customFormat="1" x14ac:dyDescent="0.75">
      <c r="A122" s="35"/>
      <c r="B122" s="121" t="str">
        <f>'Expenses w MYP'!C86</f>
        <v>5803</v>
      </c>
      <c r="C122" s="121" t="str">
        <f>'Expenses w MYP'!D86</f>
        <v>Banking and Payroll Service Fees</v>
      </c>
      <c r="D122" s="62">
        <f>IF('Expenses w MYP'!$H86="","",IF('Cash Flow %s Yr4'!D122="","",'Cash Flow %s Yr4'!D122*'Expenses w MYP'!$H86))</f>
        <v>493.88314208677139</v>
      </c>
      <c r="E122" s="62">
        <f>IF('Expenses w MYP'!$H86="","",IF('Cash Flow %s Yr4'!E122="","",'Cash Flow %s Yr4'!E122*'Expenses w MYP'!$H86))</f>
        <v>493.88314208677139</v>
      </c>
      <c r="F122" s="62">
        <f>IF('Expenses w MYP'!$H86="","",IF('Cash Flow %s Yr4'!F122="","",'Cash Flow %s Yr4'!F122*'Expenses w MYP'!$H86))</f>
        <v>888.98965575618843</v>
      </c>
      <c r="G122" s="62">
        <f>IF('Expenses w MYP'!$H86="","",IF('Cash Flow %s Yr4'!G122="","",'Cash Flow %s Yr4'!G122*'Expenses w MYP'!$H86))</f>
        <v>888.98965575618843</v>
      </c>
      <c r="H122" s="62">
        <f>IF('Expenses w MYP'!$H86="","",IF('Cash Flow %s Yr4'!H122="","",'Cash Flow %s Yr4'!H122*'Expenses w MYP'!$H86))</f>
        <v>888.98965575618843</v>
      </c>
      <c r="I122" s="62">
        <f>IF('Expenses w MYP'!$H86="","",IF('Cash Flow %s Yr4'!I122="","",'Cash Flow %s Yr4'!I122*'Expenses w MYP'!$H86))</f>
        <v>888.98965575618843</v>
      </c>
      <c r="J122" s="62">
        <f>IF('Expenses w MYP'!$H86="","",IF('Cash Flow %s Yr4'!J122="","",'Cash Flow %s Yr4'!J122*'Expenses w MYP'!$H86))</f>
        <v>888.98965575618843</v>
      </c>
      <c r="K122" s="62">
        <f>IF('Expenses w MYP'!$H86="","",IF('Cash Flow %s Yr4'!K122="","",'Cash Flow %s Yr4'!K122*'Expenses w MYP'!$H86))</f>
        <v>888.98965575618843</v>
      </c>
      <c r="L122" s="62">
        <f>IF('Expenses w MYP'!$H86="","",IF('Cash Flow %s Yr4'!L122="","",'Cash Flow %s Yr4'!L122*'Expenses w MYP'!$H86))</f>
        <v>888.98965575618843</v>
      </c>
      <c r="M122" s="62">
        <f>IF('Expenses w MYP'!$H86="","",IF('Cash Flow %s Yr4'!M122="","",'Cash Flow %s Yr4'!M122*'Expenses w MYP'!$H86))</f>
        <v>888.98965575618843</v>
      </c>
      <c r="N122" s="62">
        <f>IF('Expenses w MYP'!$H86="","",IF('Cash Flow %s Yr4'!N122="","",'Cash Flow %s Yr4'!N122*'Expenses w MYP'!$H86))</f>
        <v>888.98965575618843</v>
      </c>
      <c r="O122" s="62">
        <f>IF('Expenses w MYP'!$H86="","",IF('Cash Flow %s Yr4'!O122="","",'Cash Flow %s Yr4'!O122*'Expenses w MYP'!$H86))</f>
        <v>888.98965575618843</v>
      </c>
      <c r="P122" s="113"/>
      <c r="Q122" s="113"/>
      <c r="R122" s="113"/>
      <c r="S122" s="97">
        <f>IF(SUM(D122:R122)&gt;0,SUM(D122:R122)/'Expenses w MYP'!$H86,"")</f>
        <v>1</v>
      </c>
    </row>
    <row r="123" spans="1:19" s="31" customFormat="1" x14ac:dyDescent="0.75">
      <c r="A123" s="35"/>
      <c r="B123" s="121" t="str">
        <f>'Expenses w MYP'!C87</f>
        <v>5805</v>
      </c>
      <c r="C123" s="121" t="str">
        <f>'Expenses w MYP'!D87</f>
        <v>Legal Fees</v>
      </c>
      <c r="D123" s="62">
        <f>IF('Expenses w MYP'!$H87="","",IF('Cash Flow %s Yr4'!D123="","",'Cash Flow %s Yr4'!D123*'Expenses w MYP'!$H87))</f>
        <v>2469.4157104338569</v>
      </c>
      <c r="E123" s="62">
        <f>IF('Expenses w MYP'!$H87="","",IF('Cash Flow %s Yr4'!E123="","",'Cash Flow %s Yr4'!E123*'Expenses w MYP'!$H87))</f>
        <v>2469.4157104338569</v>
      </c>
      <c r="F123" s="62">
        <f>IF('Expenses w MYP'!$H87="","",IF('Cash Flow %s Yr4'!F123="","",'Cash Flow %s Yr4'!F123*'Expenses w MYP'!$H87))</f>
        <v>4444.948278780942</v>
      </c>
      <c r="G123" s="62">
        <f>IF('Expenses w MYP'!$H87="","",IF('Cash Flow %s Yr4'!G123="","",'Cash Flow %s Yr4'!G123*'Expenses w MYP'!$H87))</f>
        <v>4444.948278780942</v>
      </c>
      <c r="H123" s="62">
        <f>IF('Expenses w MYP'!$H87="","",IF('Cash Flow %s Yr4'!H123="","",'Cash Flow %s Yr4'!H123*'Expenses w MYP'!$H87))</f>
        <v>4444.948278780942</v>
      </c>
      <c r="I123" s="62">
        <f>IF('Expenses w MYP'!$H87="","",IF('Cash Flow %s Yr4'!I123="","",'Cash Flow %s Yr4'!I123*'Expenses w MYP'!$H87))</f>
        <v>4444.948278780942</v>
      </c>
      <c r="J123" s="62">
        <f>IF('Expenses w MYP'!$H87="","",IF('Cash Flow %s Yr4'!J123="","",'Cash Flow %s Yr4'!J123*'Expenses w MYP'!$H87))</f>
        <v>4444.948278780942</v>
      </c>
      <c r="K123" s="62">
        <f>IF('Expenses w MYP'!$H87="","",IF('Cash Flow %s Yr4'!K123="","",'Cash Flow %s Yr4'!K123*'Expenses w MYP'!$H87))</f>
        <v>4444.948278780942</v>
      </c>
      <c r="L123" s="62">
        <f>IF('Expenses w MYP'!$H87="","",IF('Cash Flow %s Yr4'!L123="","",'Cash Flow %s Yr4'!L123*'Expenses w MYP'!$H87))</f>
        <v>4444.948278780942</v>
      </c>
      <c r="M123" s="62">
        <f>IF('Expenses w MYP'!$H87="","",IF('Cash Flow %s Yr4'!M123="","",'Cash Flow %s Yr4'!M123*'Expenses w MYP'!$H87))</f>
        <v>4444.948278780942</v>
      </c>
      <c r="N123" s="62">
        <f>IF('Expenses w MYP'!$H87="","",IF('Cash Flow %s Yr4'!N123="","",'Cash Flow %s Yr4'!N123*'Expenses w MYP'!$H87))</f>
        <v>4444.948278780942</v>
      </c>
      <c r="O123" s="62">
        <f>IF('Expenses w MYP'!$H87="","",IF('Cash Flow %s Yr4'!O123="","",'Cash Flow %s Yr4'!O123*'Expenses w MYP'!$H87))</f>
        <v>4444.948278780942</v>
      </c>
      <c r="P123" s="113"/>
      <c r="Q123" s="113"/>
      <c r="R123" s="113"/>
      <c r="S123" s="97">
        <f>IF(SUM(D123:R123)&gt;0,SUM(D123:R123)/'Expenses w MYP'!$H87,"")</f>
        <v>0.99999999999999989</v>
      </c>
    </row>
    <row r="124" spans="1:19" s="31" customFormat="1" x14ac:dyDescent="0.75">
      <c r="A124" s="35"/>
      <c r="B124" s="121" t="str">
        <f>'Expenses w MYP'!C88</f>
        <v>5806</v>
      </c>
      <c r="C124" s="121" t="str">
        <f>'Expenses w MYP'!D88</f>
        <v>Audit Services</v>
      </c>
      <c r="D124" s="62">
        <f>IF('Expenses w MYP'!$H88="","",IF('Cash Flow %s Yr4'!D124="","",'Cash Flow %s Yr4'!D124*'Expenses w MYP'!$H88))</f>
        <v>379.13762540861148</v>
      </c>
      <c r="E124" s="62">
        <f>IF('Expenses w MYP'!$H88="","",IF('Cash Flow %s Yr4'!E124="","",'Cash Flow %s Yr4'!E124*'Expenses w MYP'!$H88))</f>
        <v>379.13762540861148</v>
      </c>
      <c r="F124" s="62">
        <f>IF('Expenses w MYP'!$H88="","",IF('Cash Flow %s Yr4'!F124="","",'Cash Flow %s Yr4'!F124*'Expenses w MYP'!$H88))</f>
        <v>682.44772573550063</v>
      </c>
      <c r="G124" s="62">
        <f>IF('Expenses w MYP'!$H88="","",IF('Cash Flow %s Yr4'!G124="","",'Cash Flow %s Yr4'!G124*'Expenses w MYP'!$H88))</f>
        <v>682.44772573550063</v>
      </c>
      <c r="H124" s="62">
        <f>IF('Expenses w MYP'!$H88="","",IF('Cash Flow %s Yr4'!H124="","",'Cash Flow %s Yr4'!H124*'Expenses w MYP'!$H88))</f>
        <v>682.44772573550063</v>
      </c>
      <c r="I124" s="62">
        <f>IF('Expenses w MYP'!$H88="","",IF('Cash Flow %s Yr4'!I124="","",'Cash Flow %s Yr4'!I124*'Expenses w MYP'!$H88))</f>
        <v>682.44772573550063</v>
      </c>
      <c r="J124" s="62">
        <f>IF('Expenses w MYP'!$H88="","",IF('Cash Flow %s Yr4'!J124="","",'Cash Flow %s Yr4'!J124*'Expenses w MYP'!$H88))</f>
        <v>682.44772573550063</v>
      </c>
      <c r="K124" s="62">
        <f>IF('Expenses w MYP'!$H88="","",IF('Cash Flow %s Yr4'!K124="","",'Cash Flow %s Yr4'!K124*'Expenses w MYP'!$H88))</f>
        <v>682.44772573550063</v>
      </c>
      <c r="L124" s="62">
        <f>IF('Expenses w MYP'!$H88="","",IF('Cash Flow %s Yr4'!L124="","",'Cash Flow %s Yr4'!L124*'Expenses w MYP'!$H88))</f>
        <v>682.44772573550063</v>
      </c>
      <c r="M124" s="62">
        <f>IF('Expenses w MYP'!$H88="","",IF('Cash Flow %s Yr4'!M124="","",'Cash Flow %s Yr4'!M124*'Expenses w MYP'!$H88))</f>
        <v>682.44772573550063</v>
      </c>
      <c r="N124" s="62">
        <f>IF('Expenses w MYP'!$H88="","",IF('Cash Flow %s Yr4'!N124="","",'Cash Flow %s Yr4'!N124*'Expenses w MYP'!$H88))</f>
        <v>682.44772573550063</v>
      </c>
      <c r="O124" s="62">
        <f>IF('Expenses w MYP'!$H88="","",IF('Cash Flow %s Yr4'!O124="","",'Cash Flow %s Yr4'!O124*'Expenses w MYP'!$H88))</f>
        <v>682.44772573550063</v>
      </c>
      <c r="P124" s="113"/>
      <c r="Q124" s="113"/>
      <c r="R124" s="113"/>
      <c r="S124" s="97">
        <f>IF(SUM(D124:R124)&gt;0,SUM(D124:R124)/'Expenses w MYP'!$H88,"")</f>
        <v>1.0000000000000002</v>
      </c>
    </row>
    <row r="125" spans="1:19" s="31" customFormat="1" x14ac:dyDescent="0.75">
      <c r="A125" s="35"/>
      <c r="B125" s="121" t="str">
        <f>'Expenses w MYP'!C91</f>
        <v>5810</v>
      </c>
      <c r="C125" s="121" t="str">
        <f>'Expenses w MYP'!D91</f>
        <v>Educational Consultants</v>
      </c>
      <c r="D125" s="62">
        <f>IF('Expenses w MYP'!$H91="","",IF('Cash Flow %s Yr4'!D125="","",'Cash Flow %s Yr4'!D125*'Expenses w MYP'!$H91))</f>
        <v>39510.651366941711</v>
      </c>
      <c r="E125" s="62">
        <f>IF('Expenses w MYP'!$H91="","",IF('Cash Flow %s Yr4'!E125="","",'Cash Flow %s Yr4'!E125*'Expenses w MYP'!$H91))</f>
        <v>39510.651366941711</v>
      </c>
      <c r="F125" s="62">
        <f>IF('Expenses w MYP'!$H91="","",IF('Cash Flow %s Yr4'!F125="","",'Cash Flow %s Yr4'!F125*'Expenses w MYP'!$H91))</f>
        <v>71119.172460495072</v>
      </c>
      <c r="G125" s="62">
        <f>IF('Expenses w MYP'!$H91="","",IF('Cash Flow %s Yr4'!G125="","",'Cash Flow %s Yr4'!G125*'Expenses w MYP'!$H91))</f>
        <v>71119.172460495072</v>
      </c>
      <c r="H125" s="62">
        <f>IF('Expenses w MYP'!$H91="","",IF('Cash Flow %s Yr4'!H125="","",'Cash Flow %s Yr4'!H125*'Expenses w MYP'!$H91))</f>
        <v>71119.172460495072</v>
      </c>
      <c r="I125" s="62">
        <f>IF('Expenses w MYP'!$H91="","",IF('Cash Flow %s Yr4'!I125="","",'Cash Flow %s Yr4'!I125*'Expenses w MYP'!$H91))</f>
        <v>71119.172460495072</v>
      </c>
      <c r="J125" s="62">
        <f>IF('Expenses w MYP'!$H91="","",IF('Cash Flow %s Yr4'!J125="","",'Cash Flow %s Yr4'!J125*'Expenses w MYP'!$H91))</f>
        <v>71119.172460495072</v>
      </c>
      <c r="K125" s="62">
        <f>IF('Expenses w MYP'!$H91="","",IF('Cash Flow %s Yr4'!K125="","",'Cash Flow %s Yr4'!K125*'Expenses w MYP'!$H91))</f>
        <v>71119.172460495072</v>
      </c>
      <c r="L125" s="62">
        <f>IF('Expenses w MYP'!$H91="","",IF('Cash Flow %s Yr4'!L125="","",'Cash Flow %s Yr4'!L125*'Expenses w MYP'!$H91))</f>
        <v>71119.172460495072</v>
      </c>
      <c r="M125" s="62">
        <f>IF('Expenses w MYP'!$H91="","",IF('Cash Flow %s Yr4'!M125="","",'Cash Flow %s Yr4'!M125*'Expenses w MYP'!$H91))</f>
        <v>71119.172460495072</v>
      </c>
      <c r="N125" s="62">
        <f>IF('Expenses w MYP'!$H91="","",IF('Cash Flow %s Yr4'!N125="","",'Cash Flow %s Yr4'!N125*'Expenses w MYP'!$H91))</f>
        <v>71119.172460495072</v>
      </c>
      <c r="O125" s="62">
        <f>IF('Expenses w MYP'!$H91="","",IF('Cash Flow %s Yr4'!O125="","",'Cash Flow %s Yr4'!O125*'Expenses w MYP'!$H91))</f>
        <v>71119.172460495072</v>
      </c>
      <c r="P125" s="113"/>
      <c r="Q125" s="113"/>
      <c r="R125" s="113"/>
      <c r="S125" s="97">
        <f>IF(SUM(D125:R125)&gt;0,SUM(D125:R125)/'Expenses w MYP'!$H91,"")</f>
        <v>0.99999999999999989</v>
      </c>
    </row>
    <row r="126" spans="1:19" s="31" customFormat="1" x14ac:dyDescent="0.75">
      <c r="A126" s="35"/>
      <c r="B126" s="121" t="str">
        <f>'Expenses w MYP'!C92</f>
        <v>5811</v>
      </c>
      <c r="C126" s="121" t="str">
        <f>'Expenses w MYP'!D92</f>
        <v>Student Transportation / Field Trips</v>
      </c>
      <c r="D126" s="62">
        <f>IF('Expenses w MYP'!$H92="","",IF('Cash Flow %s Yr4'!D126="","",'Cash Flow %s Yr4'!D126*'Expenses w MYP'!$H92))</f>
        <v>0</v>
      </c>
      <c r="E126" s="62">
        <f>IF('Expenses w MYP'!$H92="","",IF('Cash Flow %s Yr4'!E126="","",'Cash Flow %s Yr4'!E126*'Expenses w MYP'!$H92))</f>
        <v>0</v>
      </c>
      <c r="F126" s="62">
        <f>IF('Expenses w MYP'!$H92="","",IF('Cash Flow %s Yr4'!F126="","",'Cash Flow %s Yr4'!F126*'Expenses w MYP'!$H92))</f>
        <v>0</v>
      </c>
      <c r="G126" s="62">
        <f>IF('Expenses w MYP'!$H92="","",IF('Cash Flow %s Yr4'!G126="","",'Cash Flow %s Yr4'!G126*'Expenses w MYP'!$H92))</f>
        <v>0</v>
      </c>
      <c r="H126" s="62">
        <f>IF('Expenses w MYP'!$H92="","",IF('Cash Flow %s Yr4'!H126="","",'Cash Flow %s Yr4'!H126*'Expenses w MYP'!$H92))</f>
        <v>0</v>
      </c>
      <c r="I126" s="62">
        <f>IF('Expenses w MYP'!$H92="","",IF('Cash Flow %s Yr4'!I126="","",'Cash Flow %s Yr4'!I126*'Expenses w MYP'!$H92))</f>
        <v>0</v>
      </c>
      <c r="J126" s="62">
        <f>IF('Expenses w MYP'!$H92="","",IF('Cash Flow %s Yr4'!J126="","",'Cash Flow %s Yr4'!J126*'Expenses w MYP'!$H92))</f>
        <v>0</v>
      </c>
      <c r="K126" s="62">
        <f>IF('Expenses w MYP'!$H92="","",IF('Cash Flow %s Yr4'!K126="","",'Cash Flow %s Yr4'!K126*'Expenses w MYP'!$H92))</f>
        <v>0</v>
      </c>
      <c r="L126" s="62">
        <f>IF('Expenses w MYP'!$H92="","",IF('Cash Flow %s Yr4'!L126="","",'Cash Flow %s Yr4'!L126*'Expenses w MYP'!$H92))</f>
        <v>0</v>
      </c>
      <c r="M126" s="62">
        <f>IF('Expenses w MYP'!$H92="","",IF('Cash Flow %s Yr4'!M126="","",'Cash Flow %s Yr4'!M126*'Expenses w MYP'!$H92))</f>
        <v>0</v>
      </c>
      <c r="N126" s="62">
        <f>IF('Expenses w MYP'!$H92="","",IF('Cash Flow %s Yr4'!N126="","",'Cash Flow %s Yr4'!N126*'Expenses w MYP'!$H92))</f>
        <v>0</v>
      </c>
      <c r="O126" s="62">
        <f>IF('Expenses w MYP'!$H92="","",IF('Cash Flow %s Yr4'!O126="","",'Cash Flow %s Yr4'!O126*'Expenses w MYP'!$H92))</f>
        <v>0</v>
      </c>
      <c r="P126" s="113"/>
      <c r="Q126" s="113"/>
      <c r="R126" s="113"/>
      <c r="S126" s="97" t="str">
        <f>IF(SUM(D126:R126)&gt;0,SUM(D126:R126)/'Expenses w MYP'!$H92,"")</f>
        <v/>
      </c>
    </row>
    <row r="127" spans="1:19" s="31" customFormat="1" x14ac:dyDescent="0.75">
      <c r="A127" s="35"/>
      <c r="B127" s="121" t="str">
        <f>'Expenses w MYP'!C94</f>
        <v>5815</v>
      </c>
      <c r="C127" s="121" t="str">
        <f>'Expenses w MYP'!D94</f>
        <v>Advertising / Recruiting</v>
      </c>
      <c r="D127" s="62">
        <f>IF('Expenses w MYP'!$H94="","",IF('Cash Flow %s Yr4'!D127="","",'Cash Flow %s Yr4'!D127*'Expenses w MYP'!$H94))</f>
        <v>0</v>
      </c>
      <c r="E127" s="62">
        <f>IF('Expenses w MYP'!$H94="","",IF('Cash Flow %s Yr4'!E127="","",'Cash Flow %s Yr4'!E127*'Expenses w MYP'!$H94))</f>
        <v>0</v>
      </c>
      <c r="F127" s="62">
        <f>IF('Expenses w MYP'!$H94="","",IF('Cash Flow %s Yr4'!F127="","",'Cash Flow %s Yr4'!F127*'Expenses w MYP'!$H94))</f>
        <v>8231.3857014461901</v>
      </c>
      <c r="G127" s="62">
        <f>IF('Expenses w MYP'!$H94="","",IF('Cash Flow %s Yr4'!G127="","",'Cash Flow %s Yr4'!G127*'Expenses w MYP'!$H94))</f>
        <v>8231.3857014461901</v>
      </c>
      <c r="H127" s="62">
        <f>IF('Expenses w MYP'!$H94="","",IF('Cash Flow %s Yr4'!H127="","",'Cash Flow %s Yr4'!H127*'Expenses w MYP'!$H94))</f>
        <v>8231.3857014461901</v>
      </c>
      <c r="I127" s="62">
        <f>IF('Expenses w MYP'!$H94="","",IF('Cash Flow %s Yr4'!I127="","",'Cash Flow %s Yr4'!I127*'Expenses w MYP'!$H94))</f>
        <v>8231.3857014461901</v>
      </c>
      <c r="J127" s="62">
        <f>IF('Expenses w MYP'!$H94="","",IF('Cash Flow %s Yr4'!J127="","",'Cash Flow %s Yr4'!J127*'Expenses w MYP'!$H94))</f>
        <v>8231.3857014461901</v>
      </c>
      <c r="K127" s="62">
        <f>IF('Expenses w MYP'!$H94="","",IF('Cash Flow %s Yr4'!K127="","",'Cash Flow %s Yr4'!K127*'Expenses w MYP'!$H94))</f>
        <v>8231.3857014461901</v>
      </c>
      <c r="L127" s="62">
        <f>IF('Expenses w MYP'!$H94="","",IF('Cash Flow %s Yr4'!L127="","",'Cash Flow %s Yr4'!L127*'Expenses w MYP'!$H94))</f>
        <v>8231.3857014461901</v>
      </c>
      <c r="M127" s="62">
        <f>IF('Expenses w MYP'!$H94="","",IF('Cash Flow %s Yr4'!M127="","",'Cash Flow %s Yr4'!M127*'Expenses w MYP'!$H94))</f>
        <v>8231.3857014461901</v>
      </c>
      <c r="N127" s="62">
        <f>IF('Expenses w MYP'!$H94="","",IF('Cash Flow %s Yr4'!N127="","",'Cash Flow %s Yr4'!N127*'Expenses w MYP'!$H94))</f>
        <v>8231.3857014461901</v>
      </c>
      <c r="O127" s="62">
        <f>IF('Expenses w MYP'!$H94="","",IF('Cash Flow %s Yr4'!O127="","",'Cash Flow %s Yr4'!O127*'Expenses w MYP'!$H94))</f>
        <v>8231.3857014461901</v>
      </c>
      <c r="P127" s="113"/>
      <c r="Q127" s="113"/>
      <c r="R127" s="113"/>
      <c r="S127" s="97">
        <f>IF(SUM(D127:R127)&gt;0,SUM(D127:R127)/'Expenses w MYP'!$H94,"")</f>
        <v>0.99999999999999978</v>
      </c>
    </row>
    <row r="128" spans="1:19" s="31" customFormat="1" x14ac:dyDescent="0.75">
      <c r="A128" s="35"/>
      <c r="B128" s="121" t="str">
        <f>'Expenses w MYP'!C95</f>
        <v>5820</v>
      </c>
      <c r="C128" s="121" t="str">
        <f>'Expenses w MYP'!D95</f>
        <v>Fundraising Expense</v>
      </c>
      <c r="D128" s="62">
        <f>IF('Expenses w MYP'!$H95="","",IF('Cash Flow %s Yr4'!D128="","",'Cash Flow %s Yr4'!D128*'Expenses w MYP'!$H95))</f>
        <v>0</v>
      </c>
      <c r="E128" s="62">
        <f>IF('Expenses w MYP'!$H95="","",IF('Cash Flow %s Yr4'!E128="","",'Cash Flow %s Yr4'!E128*'Expenses w MYP'!$H95))</f>
        <v>0</v>
      </c>
      <c r="F128" s="62">
        <f>IF('Expenses w MYP'!$H95="","",IF('Cash Flow %s Yr4'!F128="","",'Cash Flow %s Yr4'!F128*'Expenses w MYP'!$H95))</f>
        <v>0</v>
      </c>
      <c r="G128" s="62">
        <f>IF('Expenses w MYP'!$H95="","",IF('Cash Flow %s Yr4'!G128="","",'Cash Flow %s Yr4'!G128*'Expenses w MYP'!$H95))</f>
        <v>0</v>
      </c>
      <c r="H128" s="62">
        <f>IF('Expenses w MYP'!$H95="","",IF('Cash Flow %s Yr4'!H128="","",'Cash Flow %s Yr4'!H128*'Expenses w MYP'!$H95))</f>
        <v>0</v>
      </c>
      <c r="I128" s="62">
        <f>IF('Expenses w MYP'!$H95="","",IF('Cash Flow %s Yr4'!I128="","",'Cash Flow %s Yr4'!I128*'Expenses w MYP'!$H95))</f>
        <v>0</v>
      </c>
      <c r="J128" s="62">
        <f>IF('Expenses w MYP'!$H95="","",IF('Cash Flow %s Yr4'!J128="","",'Cash Flow %s Yr4'!J128*'Expenses w MYP'!$H95))</f>
        <v>0</v>
      </c>
      <c r="K128" s="62">
        <f>IF('Expenses w MYP'!$H95="","",IF('Cash Flow %s Yr4'!K128="","",'Cash Flow %s Yr4'!K128*'Expenses w MYP'!$H95))</f>
        <v>0</v>
      </c>
      <c r="L128" s="62">
        <f>IF('Expenses w MYP'!$H95="","",IF('Cash Flow %s Yr4'!L128="","",'Cash Flow %s Yr4'!L128*'Expenses w MYP'!$H95))</f>
        <v>0</v>
      </c>
      <c r="M128" s="62">
        <f>IF('Expenses w MYP'!$H95="","",IF('Cash Flow %s Yr4'!M128="","",'Cash Flow %s Yr4'!M128*'Expenses w MYP'!$H95))</f>
        <v>0</v>
      </c>
      <c r="N128" s="62">
        <f>IF('Expenses w MYP'!$H95="","",IF('Cash Flow %s Yr4'!N128="","",'Cash Flow %s Yr4'!N128*'Expenses w MYP'!$H95))</f>
        <v>0</v>
      </c>
      <c r="O128" s="62">
        <f>IF('Expenses w MYP'!$H95="","",IF('Cash Flow %s Yr4'!O128="","",'Cash Flow %s Yr4'!O128*'Expenses w MYP'!$H95))</f>
        <v>0</v>
      </c>
      <c r="P128" s="113"/>
      <c r="Q128" s="113"/>
      <c r="R128" s="113"/>
      <c r="S128" s="97" t="str">
        <f>IF(SUM(D128:R128)&gt;0,SUM(D128:R128)/'Expenses w MYP'!$H95,"")</f>
        <v/>
      </c>
    </row>
    <row r="129" spans="1:19" s="31" customFormat="1" x14ac:dyDescent="0.75">
      <c r="A129" s="35"/>
      <c r="B129" s="121" t="str">
        <f>'Expenses w MYP'!C97</f>
        <v>5873</v>
      </c>
      <c r="C129" s="121" t="str">
        <f>'Expenses w MYP'!D97</f>
        <v>Financial Services</v>
      </c>
      <c r="D129" s="62">
        <f>IF('Expenses w MYP'!$H97="","",IF('Cash Flow %s Yr4'!D129="","",'Cash Flow %s Yr4'!D129*'Expenses w MYP'!$H97))</f>
        <v>17984.88986096529</v>
      </c>
      <c r="E129" s="62">
        <f>IF('Expenses w MYP'!$H97="","",IF('Cash Flow %s Yr4'!E129="","",'Cash Flow %s Yr4'!E129*'Expenses w MYP'!$H97))</f>
        <v>17984.88986096529</v>
      </c>
      <c r="F129" s="62">
        <f>IF('Expenses w MYP'!$H97="","",IF('Cash Flow %s Yr4'!F129="","",'Cash Flow %s Yr4'!F129*'Expenses w MYP'!$H97))</f>
        <v>17984.88986096529</v>
      </c>
      <c r="G129" s="62">
        <f>IF('Expenses w MYP'!$H97="","",IF('Cash Flow %s Yr4'!G129="","",'Cash Flow %s Yr4'!G129*'Expenses w MYP'!$H97))</f>
        <v>17984.88986096529</v>
      </c>
      <c r="H129" s="62">
        <f>IF('Expenses w MYP'!$H97="","",IF('Cash Flow %s Yr4'!H129="","",'Cash Flow %s Yr4'!H129*'Expenses w MYP'!$H97))</f>
        <v>17984.88986096529</v>
      </c>
      <c r="I129" s="62">
        <f>IF('Expenses w MYP'!$H97="","",IF('Cash Flow %s Yr4'!I129="","",'Cash Flow %s Yr4'!I129*'Expenses w MYP'!$H97))</f>
        <v>17984.88986096529</v>
      </c>
      <c r="J129" s="62">
        <f>IF('Expenses w MYP'!$H97="","",IF('Cash Flow %s Yr4'!J129="","",'Cash Flow %s Yr4'!J129*'Expenses w MYP'!$H97))</f>
        <v>17984.88986096529</v>
      </c>
      <c r="K129" s="62">
        <f>IF('Expenses w MYP'!$H97="","",IF('Cash Flow %s Yr4'!K129="","",'Cash Flow %s Yr4'!K129*'Expenses w MYP'!$H97))</f>
        <v>17984.88986096529</v>
      </c>
      <c r="L129" s="62">
        <f>IF('Expenses w MYP'!$H97="","",IF('Cash Flow %s Yr4'!L129="","",'Cash Flow %s Yr4'!L129*'Expenses w MYP'!$H97))</f>
        <v>18201.575280976922</v>
      </c>
      <c r="M129" s="62">
        <f>IF('Expenses w MYP'!$H97="","",IF('Cash Flow %s Yr4'!M129="","",'Cash Flow %s Yr4'!M129*'Expenses w MYP'!$H97))</f>
        <v>18201.575280976922</v>
      </c>
      <c r="N129" s="62">
        <f>IF('Expenses w MYP'!$H97="","",IF('Cash Flow %s Yr4'!N129="","",'Cash Flow %s Yr4'!N129*'Expenses w MYP'!$H97))</f>
        <v>18201.575280976922</v>
      </c>
      <c r="O129" s="62">
        <f>IF('Expenses w MYP'!$H97="","",IF('Cash Flow %s Yr4'!O129="","",'Cash Flow %s Yr4'!O129*'Expenses w MYP'!$H97))</f>
        <v>18201.575280976922</v>
      </c>
      <c r="P129" s="113"/>
      <c r="Q129" s="113"/>
      <c r="R129" s="113"/>
      <c r="S129" s="97">
        <f>IF(SUM(D129:R129)&gt;0,SUM(D129:R129)/'Expenses w MYP'!$H97,"")</f>
        <v>0.99999999999999989</v>
      </c>
    </row>
    <row r="130" spans="1:19" s="31" customFormat="1" x14ac:dyDescent="0.75">
      <c r="A130" s="35"/>
      <c r="B130" s="121" t="str">
        <f>'Expenses w MYP'!C98</f>
        <v>5874</v>
      </c>
      <c r="C130" s="121" t="str">
        <f>'Expenses w MYP'!D98</f>
        <v>Personnel Services</v>
      </c>
      <c r="D130" s="62">
        <f>IF('Expenses w MYP'!$H98="","",IF('Cash Flow %s Yr4'!D130="","",'Cash Flow %s Yr4'!D130*'Expenses w MYP'!$H98))</f>
        <v>136.64100264400676</v>
      </c>
      <c r="E130" s="62">
        <f>IF('Expenses w MYP'!$H98="","",IF('Cash Flow %s Yr4'!E130="","",'Cash Flow %s Yr4'!E130*'Expenses w MYP'!$H98))</f>
        <v>136.64100264400676</v>
      </c>
      <c r="F130" s="62">
        <f>IF('Expenses w MYP'!$H98="","",IF('Cash Flow %s Yr4'!F130="","",'Cash Flow %s Yr4'!F130*'Expenses w MYP'!$H98))</f>
        <v>136.64100264400676</v>
      </c>
      <c r="G130" s="62">
        <f>IF('Expenses w MYP'!$H98="","",IF('Cash Flow %s Yr4'!G130="","",'Cash Flow %s Yr4'!G130*'Expenses w MYP'!$H98))</f>
        <v>136.64100264400676</v>
      </c>
      <c r="H130" s="62">
        <f>IF('Expenses w MYP'!$H98="","",IF('Cash Flow %s Yr4'!H130="","",'Cash Flow %s Yr4'!H130*'Expenses w MYP'!$H98))</f>
        <v>136.64100264400676</v>
      </c>
      <c r="I130" s="62">
        <f>IF('Expenses w MYP'!$H98="","",IF('Cash Flow %s Yr4'!I130="","",'Cash Flow %s Yr4'!I130*'Expenses w MYP'!$H98))</f>
        <v>136.64100264400676</v>
      </c>
      <c r="J130" s="62">
        <f>IF('Expenses w MYP'!$H98="","",IF('Cash Flow %s Yr4'!J130="","",'Cash Flow %s Yr4'!J130*'Expenses w MYP'!$H98))</f>
        <v>136.64100264400676</v>
      </c>
      <c r="K130" s="62">
        <f>IF('Expenses w MYP'!$H98="","",IF('Cash Flow %s Yr4'!K130="","",'Cash Flow %s Yr4'!K130*'Expenses w MYP'!$H98))</f>
        <v>136.64100264400676</v>
      </c>
      <c r="L130" s="62">
        <f>IF('Expenses w MYP'!$H98="","",IF('Cash Flow %s Yr4'!L130="","",'Cash Flow %s Yr4'!L130*'Expenses w MYP'!$H98))</f>
        <v>138.287279784296</v>
      </c>
      <c r="M130" s="62">
        <f>IF('Expenses w MYP'!$H98="","",IF('Cash Flow %s Yr4'!M130="","",'Cash Flow %s Yr4'!M130*'Expenses w MYP'!$H98))</f>
        <v>138.287279784296</v>
      </c>
      <c r="N130" s="62">
        <f>IF('Expenses w MYP'!$H98="","",IF('Cash Flow %s Yr4'!N130="","",'Cash Flow %s Yr4'!N130*'Expenses w MYP'!$H98))</f>
        <v>138.287279784296</v>
      </c>
      <c r="O130" s="62">
        <f>IF('Expenses w MYP'!$H98="","",IF('Cash Flow %s Yr4'!O130="","",'Cash Flow %s Yr4'!O130*'Expenses w MYP'!$H98))</f>
        <v>138.287279784296</v>
      </c>
      <c r="P130" s="113"/>
      <c r="Q130" s="113"/>
      <c r="R130" s="113"/>
      <c r="S130" s="97">
        <f>IF(SUM(D130:R130)&gt;0,SUM(D130:R130)/'Expenses w MYP'!$H98,"")</f>
        <v>1.0000000000000002</v>
      </c>
    </row>
    <row r="131" spans="1:19" s="31" customFormat="1" hidden="1" outlineLevel="1" x14ac:dyDescent="0.75">
      <c r="A131" s="35"/>
      <c r="B131" s="121" t="str">
        <f>'Expenses w MYP'!C99</f>
        <v>5875</v>
      </c>
      <c r="C131" s="121" t="str">
        <f>'Expenses w MYP'!D99</f>
        <v>District Oversight Fee</v>
      </c>
      <c r="D131" s="62">
        <f>IF('Expenses w MYP'!$H99="","",IF('Cash Flow %s Yr4'!D131="","",'Cash Flow %s Yr4'!D131*'Expenses w MYP'!$H99))</f>
        <v>0</v>
      </c>
      <c r="E131" s="62">
        <f>IF('Expenses w MYP'!$H99="","",IF('Cash Flow %s Yr4'!E131="","",'Cash Flow %s Yr4'!E131*'Expenses w MYP'!$H99))</f>
        <v>0</v>
      </c>
      <c r="F131" s="62">
        <f>IF('Expenses w MYP'!$H99="","",IF('Cash Flow %s Yr4'!F131="","",'Cash Flow %s Yr4'!F131*'Expenses w MYP'!$H99))</f>
        <v>9630.4631116279998</v>
      </c>
      <c r="G131" s="62">
        <f>IF('Expenses w MYP'!$H99="","",IF('Cash Flow %s Yr4'!G131="","",'Cash Flow %s Yr4'!G131*'Expenses w MYP'!$H99))</f>
        <v>9630.4631116279998</v>
      </c>
      <c r="H131" s="62">
        <f>IF('Expenses w MYP'!$H99="","",IF('Cash Flow %s Yr4'!H131="","",'Cash Flow %s Yr4'!H131*'Expenses w MYP'!$H99))</f>
        <v>9630.4631116279998</v>
      </c>
      <c r="I131" s="62">
        <f>IF('Expenses w MYP'!$H99="","",IF('Cash Flow %s Yr4'!I131="","",'Cash Flow %s Yr4'!I131*'Expenses w MYP'!$H99))</f>
        <v>9630.4631116279998</v>
      </c>
      <c r="J131" s="62">
        <f>IF('Expenses w MYP'!$H99="","",IF('Cash Flow %s Yr4'!J131="","",'Cash Flow %s Yr4'!J131*'Expenses w MYP'!$H99))</f>
        <v>9630.4631116279998</v>
      </c>
      <c r="K131" s="62">
        <f>IF('Expenses w MYP'!$H99="","",IF('Cash Flow %s Yr4'!K131="","",'Cash Flow %s Yr4'!K131*'Expenses w MYP'!$H99))</f>
        <v>9630.4631116279998</v>
      </c>
      <c r="L131" s="62">
        <f>IF('Expenses w MYP'!$H99="","",IF('Cash Flow %s Yr4'!L131="","",'Cash Flow %s Yr4'!L131*'Expenses w MYP'!$H99))</f>
        <v>9630.4631116279998</v>
      </c>
      <c r="M131" s="62">
        <f>IF('Expenses w MYP'!$H99="","",IF('Cash Flow %s Yr4'!M131="","",'Cash Flow %s Yr4'!M131*'Expenses w MYP'!$H99))</f>
        <v>9630.4631116279998</v>
      </c>
      <c r="N131" s="62">
        <f>IF('Expenses w MYP'!$H99="","",IF('Cash Flow %s Yr4'!N131="","",'Cash Flow %s Yr4'!N131*'Expenses w MYP'!$H99))</f>
        <v>9630.4631116279998</v>
      </c>
      <c r="O131" s="62">
        <f>IF('Expenses w MYP'!$H99="","",IF('Cash Flow %s Yr4'!O131="","",'Cash Flow %s Yr4'!O131*'Expenses w MYP'!$H99))</f>
        <v>9630.4631116279998</v>
      </c>
      <c r="P131" s="113"/>
      <c r="Q131" s="113"/>
      <c r="R131" s="113"/>
      <c r="S131" s="97"/>
    </row>
    <row r="132" spans="1:19" s="31" customFormat="1" hidden="1" outlineLevel="1" x14ac:dyDescent="0.75">
      <c r="A132" s="35"/>
      <c r="B132" s="121" t="str">
        <f>'Expenses w MYP'!C100</f>
        <v>5877</v>
      </c>
      <c r="C132" s="121" t="str">
        <f>'Expenses w MYP'!D100</f>
        <v>IT Services</v>
      </c>
      <c r="D132" s="62">
        <f>IF('Expenses w MYP'!$H100="","",IF('Cash Flow %s Yr4'!D132="","",'Cash Flow %s Yr4'!D132*'Expenses w MYP'!$H100))</f>
        <v>0</v>
      </c>
      <c r="E132" s="62">
        <f>IF('Expenses w MYP'!$H100="","",IF('Cash Flow %s Yr4'!E132="","",'Cash Flow %s Yr4'!E132*'Expenses w MYP'!$H100))</f>
        <v>0</v>
      </c>
      <c r="F132" s="62">
        <f>IF('Expenses w MYP'!$H100="","",IF('Cash Flow %s Yr4'!F132="","",'Cash Flow %s Yr4'!F132*'Expenses w MYP'!$H100))</f>
        <v>10865.429125908971</v>
      </c>
      <c r="G132" s="62">
        <f>IF('Expenses w MYP'!$H100="","",IF('Cash Flow %s Yr4'!G132="","",'Cash Flow %s Yr4'!G132*'Expenses w MYP'!$H100))</f>
        <v>10865.429125908971</v>
      </c>
      <c r="H132" s="62">
        <f>IF('Expenses w MYP'!$H100="","",IF('Cash Flow %s Yr4'!H132="","",'Cash Flow %s Yr4'!H132*'Expenses w MYP'!$H100))</f>
        <v>10865.429125908971</v>
      </c>
      <c r="I132" s="62">
        <f>IF('Expenses w MYP'!$H100="","",IF('Cash Flow %s Yr4'!I132="","",'Cash Flow %s Yr4'!I132*'Expenses w MYP'!$H100))</f>
        <v>10865.429125908971</v>
      </c>
      <c r="J132" s="62">
        <f>IF('Expenses w MYP'!$H100="","",IF('Cash Flow %s Yr4'!J132="","",'Cash Flow %s Yr4'!J132*'Expenses w MYP'!$H100))</f>
        <v>10865.429125908971</v>
      </c>
      <c r="K132" s="62">
        <f>IF('Expenses w MYP'!$H100="","",IF('Cash Flow %s Yr4'!K132="","",'Cash Flow %s Yr4'!K132*'Expenses w MYP'!$H100))</f>
        <v>10865.429125908971</v>
      </c>
      <c r="L132" s="62">
        <f>IF('Expenses w MYP'!$H100="","",IF('Cash Flow %s Yr4'!L132="","",'Cash Flow %s Yr4'!L132*'Expenses w MYP'!$H100))</f>
        <v>10865.429125908971</v>
      </c>
      <c r="M132" s="62">
        <f>IF('Expenses w MYP'!$H100="","",IF('Cash Flow %s Yr4'!M132="","",'Cash Flow %s Yr4'!M132*'Expenses w MYP'!$H100))</f>
        <v>10865.429125908971</v>
      </c>
      <c r="N132" s="62">
        <f>IF('Expenses w MYP'!$H100="","",IF('Cash Flow %s Yr4'!N132="","",'Cash Flow %s Yr4'!N132*'Expenses w MYP'!$H100))</f>
        <v>10865.429125908971</v>
      </c>
      <c r="O132" s="62">
        <f>IF('Expenses w MYP'!$H100="","",IF('Cash Flow %s Yr4'!O132="","",'Cash Flow %s Yr4'!O132*'Expenses w MYP'!$H100))</f>
        <v>10865.429125908971</v>
      </c>
      <c r="P132" s="113"/>
      <c r="Q132" s="113"/>
      <c r="R132" s="113"/>
      <c r="S132" s="97"/>
    </row>
    <row r="133" spans="1:19" s="31" customFormat="1" hidden="1" outlineLevel="1" x14ac:dyDescent="0.75">
      <c r="A133" s="35"/>
      <c r="B133" s="121" t="str">
        <f>'Expenses w MYP'!C101</f>
        <v>5890</v>
      </c>
      <c r="C133" s="121" t="str">
        <f>'Expenses w MYP'!D101</f>
        <v>Interest Expense / Misc. Fees</v>
      </c>
      <c r="D133" s="62">
        <f>IF('Expenses w MYP'!$H101="","",IF('Cash Flow %s Yr4'!D133="","",'Cash Flow %s Yr4'!D133*'Expenses w MYP'!$H101))</f>
        <v>0</v>
      </c>
      <c r="E133" s="62">
        <f>IF('Expenses w MYP'!$H101="","",IF('Cash Flow %s Yr4'!E133="","",'Cash Flow %s Yr4'!E133*'Expenses w MYP'!$H101))</f>
        <v>0</v>
      </c>
      <c r="F133" s="62">
        <f>IF('Expenses w MYP'!$H101="","",IF('Cash Flow %s Yr4'!F133="","",'Cash Flow %s Yr4'!F133*'Expenses w MYP'!$H101))</f>
        <v>98.776628417354289</v>
      </c>
      <c r="G133" s="62">
        <f>IF('Expenses w MYP'!$H101="","",IF('Cash Flow %s Yr4'!G133="","",'Cash Flow %s Yr4'!G133*'Expenses w MYP'!$H101))</f>
        <v>98.776628417354289</v>
      </c>
      <c r="H133" s="62">
        <f>IF('Expenses w MYP'!$H101="","",IF('Cash Flow %s Yr4'!H133="","",'Cash Flow %s Yr4'!H133*'Expenses w MYP'!$H101))</f>
        <v>98.776628417354289</v>
      </c>
      <c r="I133" s="62">
        <f>IF('Expenses w MYP'!$H101="","",IF('Cash Flow %s Yr4'!I133="","",'Cash Flow %s Yr4'!I133*'Expenses w MYP'!$H101))</f>
        <v>98.776628417354289</v>
      </c>
      <c r="J133" s="62">
        <f>IF('Expenses w MYP'!$H101="","",IF('Cash Flow %s Yr4'!J133="","",'Cash Flow %s Yr4'!J133*'Expenses w MYP'!$H101))</f>
        <v>98.776628417354289</v>
      </c>
      <c r="K133" s="62">
        <f>IF('Expenses w MYP'!$H101="","",IF('Cash Flow %s Yr4'!K133="","",'Cash Flow %s Yr4'!K133*'Expenses w MYP'!$H101))</f>
        <v>98.776628417354289</v>
      </c>
      <c r="L133" s="62">
        <f>IF('Expenses w MYP'!$H101="","",IF('Cash Flow %s Yr4'!L133="","",'Cash Flow %s Yr4'!L133*'Expenses w MYP'!$H101))</f>
        <v>98.776628417354289</v>
      </c>
      <c r="M133" s="62">
        <f>IF('Expenses w MYP'!$H101="","",IF('Cash Flow %s Yr4'!M133="","",'Cash Flow %s Yr4'!M133*'Expenses w MYP'!$H101))</f>
        <v>98.776628417354289</v>
      </c>
      <c r="N133" s="62">
        <f>IF('Expenses w MYP'!$H101="","",IF('Cash Flow %s Yr4'!N133="","",'Cash Flow %s Yr4'!N133*'Expenses w MYP'!$H101))</f>
        <v>98.776628417354289</v>
      </c>
      <c r="O133" s="62">
        <f>IF('Expenses w MYP'!$H101="","",IF('Cash Flow %s Yr4'!O133="","",'Cash Flow %s Yr4'!O133*'Expenses w MYP'!$H101))</f>
        <v>98.776628417354289</v>
      </c>
      <c r="P133" s="113"/>
      <c r="Q133" s="113"/>
      <c r="R133" s="113"/>
      <c r="S133" s="97"/>
    </row>
    <row r="134" spans="1:19" s="31" customFormat="1" hidden="1" outlineLevel="1" x14ac:dyDescent="0.75">
      <c r="A134" s="35"/>
      <c r="B134" s="121" t="str">
        <f>'Expenses w MYP'!C102</f>
        <v>5891</v>
      </c>
      <c r="C134" s="121" t="str">
        <f>'Expenses w MYP'!D102</f>
        <v>CSC Borrowing Fees</v>
      </c>
      <c r="D134" s="62">
        <f>IF('Expenses w MYP'!$H102="","",IF('Cash Flow %s Yr4'!D134="","",'Cash Flow %s Yr4'!D134*'Expenses w MYP'!$H102))</f>
        <v>0</v>
      </c>
      <c r="E134" s="62">
        <f>IF('Expenses w MYP'!$H102="","",IF('Cash Flow %s Yr4'!E134="","",'Cash Flow %s Yr4'!E134*'Expenses w MYP'!$H102))</f>
        <v>0</v>
      </c>
      <c r="F134" s="62">
        <f>IF('Expenses w MYP'!$H102="","",IF('Cash Flow %s Yr4'!F134="","",'Cash Flow %s Yr4'!F134*'Expenses w MYP'!$H102))</f>
        <v>0</v>
      </c>
      <c r="G134" s="62">
        <f>IF('Expenses w MYP'!$H102="","",IF('Cash Flow %s Yr4'!G134="","",'Cash Flow %s Yr4'!G134*'Expenses w MYP'!$H102))</f>
        <v>0</v>
      </c>
      <c r="H134" s="62">
        <f>IF('Expenses w MYP'!$H102="","",IF('Cash Flow %s Yr4'!H134="","",'Cash Flow %s Yr4'!H134*'Expenses w MYP'!$H102))</f>
        <v>0</v>
      </c>
      <c r="I134" s="62">
        <f>IF('Expenses w MYP'!$H102="","",IF('Cash Flow %s Yr4'!I134="","",'Cash Flow %s Yr4'!I134*'Expenses w MYP'!$H102))</f>
        <v>0</v>
      </c>
      <c r="J134" s="62">
        <f>IF('Expenses w MYP'!$H102="","",IF('Cash Flow %s Yr4'!J134="","",'Cash Flow %s Yr4'!J134*'Expenses w MYP'!$H102))</f>
        <v>0</v>
      </c>
      <c r="K134" s="62">
        <f>IF('Expenses w MYP'!$H102="","",IF('Cash Flow %s Yr4'!K134="","",'Cash Flow %s Yr4'!K134*'Expenses w MYP'!$H102))</f>
        <v>0</v>
      </c>
      <c r="L134" s="62">
        <f>IF('Expenses w MYP'!$H102="","",IF('Cash Flow %s Yr4'!L134="","",'Cash Flow %s Yr4'!L134*'Expenses w MYP'!$H102))</f>
        <v>0</v>
      </c>
      <c r="M134" s="62">
        <f>IF('Expenses w MYP'!$H102="","",IF('Cash Flow %s Yr4'!M134="","",'Cash Flow %s Yr4'!M134*'Expenses w MYP'!$H102))</f>
        <v>0</v>
      </c>
      <c r="N134" s="62">
        <f>IF('Expenses w MYP'!$H102="","",IF('Cash Flow %s Yr4'!N134="","",'Cash Flow %s Yr4'!N134*'Expenses w MYP'!$H102))</f>
        <v>0</v>
      </c>
      <c r="O134" s="62">
        <f>IF('Expenses w MYP'!$H102="","",IF('Cash Flow %s Yr4'!O134="","",'Cash Flow %s Yr4'!O134*'Expenses w MYP'!$H102))</f>
        <v>0</v>
      </c>
      <c r="P134" s="113"/>
      <c r="Q134" s="113"/>
      <c r="R134" s="113"/>
      <c r="S134" s="97"/>
    </row>
    <row r="135" spans="1:19" s="31" customFormat="1" hidden="1" outlineLevel="1" x14ac:dyDescent="0.75">
      <c r="A135" s="35"/>
      <c r="B135" s="121" t="str">
        <f>'Expenses w MYP'!C103</f>
        <v>5900</v>
      </c>
      <c r="C135" s="121" t="str">
        <f>'Expenses w MYP'!D103</f>
        <v>Communications</v>
      </c>
      <c r="D135" s="62">
        <f>IF('Expenses w MYP'!$H103="","",IF('Cash Flow %s Yr4'!D135="","",'Cash Flow %s Yr4'!D135*'Expenses w MYP'!$H103))</f>
        <v>0</v>
      </c>
      <c r="E135" s="62">
        <f>IF('Expenses w MYP'!$H103="","",IF('Cash Flow %s Yr4'!E135="","",'Cash Flow %s Yr4'!E135*'Expenses w MYP'!$H103))</f>
        <v>0</v>
      </c>
      <c r="F135" s="62">
        <f>IF('Expenses w MYP'!$H103="","",IF('Cash Flow %s Yr4'!F135="","",'Cash Flow %s Yr4'!F135*'Expenses w MYP'!$H103))</f>
        <v>4280.3205647520181</v>
      </c>
      <c r="G135" s="62">
        <f>IF('Expenses w MYP'!$H103="","",IF('Cash Flow %s Yr4'!G135="","",'Cash Flow %s Yr4'!G135*'Expenses w MYP'!$H103))</f>
        <v>4280.3205647520181</v>
      </c>
      <c r="H135" s="62">
        <f>IF('Expenses w MYP'!$H103="","",IF('Cash Flow %s Yr4'!H135="","",'Cash Flow %s Yr4'!H135*'Expenses w MYP'!$H103))</f>
        <v>4280.3205647520181</v>
      </c>
      <c r="I135" s="62">
        <f>IF('Expenses w MYP'!$H103="","",IF('Cash Flow %s Yr4'!I135="","",'Cash Flow %s Yr4'!I135*'Expenses w MYP'!$H103))</f>
        <v>4280.3205647520181</v>
      </c>
      <c r="J135" s="62">
        <f>IF('Expenses w MYP'!$H103="","",IF('Cash Flow %s Yr4'!J135="","",'Cash Flow %s Yr4'!J135*'Expenses w MYP'!$H103))</f>
        <v>4280.3205647520181</v>
      </c>
      <c r="K135" s="62">
        <f>IF('Expenses w MYP'!$H103="","",IF('Cash Flow %s Yr4'!K135="","",'Cash Flow %s Yr4'!K135*'Expenses w MYP'!$H103))</f>
        <v>4280.3205647520181</v>
      </c>
      <c r="L135" s="62">
        <f>IF('Expenses w MYP'!$H103="","",IF('Cash Flow %s Yr4'!L135="","",'Cash Flow %s Yr4'!L135*'Expenses w MYP'!$H103))</f>
        <v>4280.3205647520181</v>
      </c>
      <c r="M135" s="62">
        <f>IF('Expenses w MYP'!$H103="","",IF('Cash Flow %s Yr4'!M135="","",'Cash Flow %s Yr4'!M135*'Expenses w MYP'!$H103))</f>
        <v>4280.3205647520181</v>
      </c>
      <c r="N135" s="62">
        <f>IF('Expenses w MYP'!$H103="","",IF('Cash Flow %s Yr4'!N135="","",'Cash Flow %s Yr4'!N135*'Expenses w MYP'!$H103))</f>
        <v>4280.3205647520181</v>
      </c>
      <c r="O135" s="62">
        <f>IF('Expenses w MYP'!$H103="","",IF('Cash Flow %s Yr4'!O135="","",'Cash Flow %s Yr4'!O135*'Expenses w MYP'!$H103))</f>
        <v>4280.3205647520181</v>
      </c>
      <c r="P135" s="113"/>
      <c r="Q135" s="113"/>
      <c r="R135" s="113"/>
      <c r="S135" s="97"/>
    </row>
    <row r="136" spans="1:19" s="31" customFormat="1" hidden="1" outlineLevel="1" x14ac:dyDescent="0.75">
      <c r="A136" s="35"/>
      <c r="B136" s="121">
        <f>'Expenses w MYP'!C104</f>
        <v>0</v>
      </c>
      <c r="C136" s="121">
        <f>'Expenses w MYP'!D104</f>
        <v>0</v>
      </c>
      <c r="D136" s="62">
        <f>IF('Expenses w MYP'!$H104="","",IF('Cash Flow %s Yr4'!D136="","",'Cash Flow %s Yr4'!D136*'Expenses w MYP'!$H104))</f>
        <v>0</v>
      </c>
      <c r="E136" s="62">
        <f>IF('Expenses w MYP'!$H104="","",IF('Cash Flow %s Yr4'!E136="","",'Cash Flow %s Yr4'!E136*'Expenses w MYP'!$H104))</f>
        <v>0</v>
      </c>
      <c r="F136" s="62">
        <f>IF('Expenses w MYP'!$H104="","",IF('Cash Flow %s Yr4'!F136="","",'Cash Flow %s Yr4'!F136*'Expenses w MYP'!$H104))</f>
        <v>0</v>
      </c>
      <c r="G136" s="62">
        <f>IF('Expenses w MYP'!$H104="","",IF('Cash Flow %s Yr4'!G136="","",'Cash Flow %s Yr4'!G136*'Expenses w MYP'!$H104))</f>
        <v>0</v>
      </c>
      <c r="H136" s="62">
        <f>IF('Expenses w MYP'!$H104="","",IF('Cash Flow %s Yr4'!H136="","",'Cash Flow %s Yr4'!H136*'Expenses w MYP'!$H104))</f>
        <v>0</v>
      </c>
      <c r="I136" s="62">
        <f>IF('Expenses w MYP'!$H104="","",IF('Cash Flow %s Yr4'!I136="","",'Cash Flow %s Yr4'!I136*'Expenses w MYP'!$H104))</f>
        <v>0</v>
      </c>
      <c r="J136" s="62">
        <f>IF('Expenses w MYP'!$H104="","",IF('Cash Flow %s Yr4'!J136="","",'Cash Flow %s Yr4'!J136*'Expenses w MYP'!$H104))</f>
        <v>0</v>
      </c>
      <c r="K136" s="62">
        <f>IF('Expenses w MYP'!$H104="","",IF('Cash Flow %s Yr4'!K136="","",'Cash Flow %s Yr4'!K136*'Expenses w MYP'!$H104))</f>
        <v>0</v>
      </c>
      <c r="L136" s="62">
        <f>IF('Expenses w MYP'!$H104="","",IF('Cash Flow %s Yr4'!L136="","",'Cash Flow %s Yr4'!L136*'Expenses w MYP'!$H104))</f>
        <v>0</v>
      </c>
      <c r="M136" s="62">
        <f>IF('Expenses w MYP'!$H104="","",IF('Cash Flow %s Yr4'!M136="","",'Cash Flow %s Yr4'!M136*'Expenses w MYP'!$H104))</f>
        <v>0</v>
      </c>
      <c r="N136" s="62">
        <f>IF('Expenses w MYP'!$H104="","",IF('Cash Flow %s Yr4'!N136="","",'Cash Flow %s Yr4'!N136*'Expenses w MYP'!$H104))</f>
        <v>0</v>
      </c>
      <c r="O136" s="62">
        <f>IF('Expenses w MYP'!$H104="","",IF('Cash Flow %s Yr4'!O136="","",'Cash Flow %s Yr4'!O136*'Expenses w MYP'!$H104))</f>
        <v>0</v>
      </c>
      <c r="P136" s="113"/>
      <c r="Q136" s="113"/>
      <c r="R136" s="113"/>
      <c r="S136" s="97"/>
    </row>
    <row r="137" spans="1:19" s="31" customFormat="1" hidden="1" outlineLevel="1" x14ac:dyDescent="0.75">
      <c r="A137" s="35"/>
      <c r="B137" s="121">
        <f>'Expenses w MYP'!C105</f>
        <v>0</v>
      </c>
      <c r="C137" s="121">
        <f>'Expenses w MYP'!D105</f>
        <v>0</v>
      </c>
      <c r="D137" s="62">
        <f>IF('Expenses w MYP'!$H105="","",IF('Cash Flow %s Yr4'!D137="","",'Cash Flow %s Yr4'!D137*'Expenses w MYP'!$H105))</f>
        <v>0</v>
      </c>
      <c r="E137" s="62">
        <f>IF('Expenses w MYP'!$H105="","",IF('Cash Flow %s Yr4'!E137="","",'Cash Flow %s Yr4'!E137*'Expenses w MYP'!$H105))</f>
        <v>0</v>
      </c>
      <c r="F137" s="62">
        <f>IF('Expenses w MYP'!$H105="","",IF('Cash Flow %s Yr4'!F137="","",'Cash Flow %s Yr4'!F137*'Expenses w MYP'!$H105))</f>
        <v>0</v>
      </c>
      <c r="G137" s="62">
        <f>IF('Expenses w MYP'!$H105="","",IF('Cash Flow %s Yr4'!G137="","",'Cash Flow %s Yr4'!G137*'Expenses w MYP'!$H105))</f>
        <v>0</v>
      </c>
      <c r="H137" s="62">
        <f>IF('Expenses w MYP'!$H105="","",IF('Cash Flow %s Yr4'!H137="","",'Cash Flow %s Yr4'!H137*'Expenses w MYP'!$H105))</f>
        <v>0</v>
      </c>
      <c r="I137" s="62">
        <f>IF('Expenses w MYP'!$H105="","",IF('Cash Flow %s Yr4'!I137="","",'Cash Flow %s Yr4'!I137*'Expenses w MYP'!$H105))</f>
        <v>0</v>
      </c>
      <c r="J137" s="62">
        <f>IF('Expenses w MYP'!$H105="","",IF('Cash Flow %s Yr4'!J137="","",'Cash Flow %s Yr4'!J137*'Expenses w MYP'!$H105))</f>
        <v>0</v>
      </c>
      <c r="K137" s="62">
        <f>IF('Expenses w MYP'!$H105="","",IF('Cash Flow %s Yr4'!K137="","",'Cash Flow %s Yr4'!K137*'Expenses w MYP'!$H105))</f>
        <v>0</v>
      </c>
      <c r="L137" s="62">
        <f>IF('Expenses w MYP'!$H105="","",IF('Cash Flow %s Yr4'!L137="","",'Cash Flow %s Yr4'!L137*'Expenses w MYP'!$H105))</f>
        <v>0</v>
      </c>
      <c r="M137" s="62">
        <f>IF('Expenses w MYP'!$H105="","",IF('Cash Flow %s Yr4'!M137="","",'Cash Flow %s Yr4'!M137*'Expenses w MYP'!$H105))</f>
        <v>0</v>
      </c>
      <c r="N137" s="62">
        <f>IF('Expenses w MYP'!$H105="","",IF('Cash Flow %s Yr4'!N137="","",'Cash Flow %s Yr4'!N137*'Expenses w MYP'!$H105))</f>
        <v>0</v>
      </c>
      <c r="O137" s="62">
        <f>IF('Expenses w MYP'!$H105="","",IF('Cash Flow %s Yr4'!O137="","",'Cash Flow %s Yr4'!O137*'Expenses w MYP'!$H105))</f>
        <v>0</v>
      </c>
      <c r="P137" s="113"/>
      <c r="Q137" s="113"/>
      <c r="R137" s="113"/>
      <c r="S137" s="97"/>
    </row>
    <row r="138" spans="1:19" s="31" customFormat="1" hidden="1" outlineLevel="1" x14ac:dyDescent="0.75">
      <c r="A138" s="35"/>
      <c r="B138" s="121">
        <f>'Expenses w MYP'!C106</f>
        <v>0</v>
      </c>
      <c r="C138" s="121">
        <f>'Expenses w MYP'!D106</f>
        <v>0</v>
      </c>
      <c r="D138" s="62">
        <f>IF('Expenses w MYP'!$H106="","",IF('Cash Flow %s Yr4'!D138="","",'Cash Flow %s Yr4'!D138*'Expenses w MYP'!$H106))</f>
        <v>0</v>
      </c>
      <c r="E138" s="62">
        <f>IF('Expenses w MYP'!$H106="","",IF('Cash Flow %s Yr4'!E138="","",'Cash Flow %s Yr4'!E138*'Expenses w MYP'!$H106))</f>
        <v>0</v>
      </c>
      <c r="F138" s="62">
        <f>IF('Expenses w MYP'!$H106="","",IF('Cash Flow %s Yr4'!F138="","",'Cash Flow %s Yr4'!F138*'Expenses w MYP'!$H106))</f>
        <v>0</v>
      </c>
      <c r="G138" s="62">
        <f>IF('Expenses w MYP'!$H106="","",IF('Cash Flow %s Yr4'!G138="","",'Cash Flow %s Yr4'!G138*'Expenses w MYP'!$H106))</f>
        <v>0</v>
      </c>
      <c r="H138" s="62">
        <f>IF('Expenses w MYP'!$H106="","",IF('Cash Flow %s Yr4'!H138="","",'Cash Flow %s Yr4'!H138*'Expenses w MYP'!$H106))</f>
        <v>0</v>
      </c>
      <c r="I138" s="62">
        <f>IF('Expenses w MYP'!$H106="","",IF('Cash Flow %s Yr4'!I138="","",'Cash Flow %s Yr4'!I138*'Expenses w MYP'!$H106))</f>
        <v>0</v>
      </c>
      <c r="J138" s="62">
        <f>IF('Expenses w MYP'!$H106="","",IF('Cash Flow %s Yr4'!J138="","",'Cash Flow %s Yr4'!J138*'Expenses w MYP'!$H106))</f>
        <v>0</v>
      </c>
      <c r="K138" s="62">
        <f>IF('Expenses w MYP'!$H106="","",IF('Cash Flow %s Yr4'!K138="","",'Cash Flow %s Yr4'!K138*'Expenses w MYP'!$H106))</f>
        <v>0</v>
      </c>
      <c r="L138" s="62">
        <f>IF('Expenses w MYP'!$H106="","",IF('Cash Flow %s Yr4'!L138="","",'Cash Flow %s Yr4'!L138*'Expenses w MYP'!$H106))</f>
        <v>0</v>
      </c>
      <c r="M138" s="62">
        <f>IF('Expenses w MYP'!$H106="","",IF('Cash Flow %s Yr4'!M138="","",'Cash Flow %s Yr4'!M138*'Expenses w MYP'!$H106))</f>
        <v>0</v>
      </c>
      <c r="N138" s="62">
        <f>IF('Expenses w MYP'!$H106="","",IF('Cash Flow %s Yr4'!N138="","",'Cash Flow %s Yr4'!N138*'Expenses w MYP'!$H106))</f>
        <v>0</v>
      </c>
      <c r="O138" s="62">
        <f>IF('Expenses w MYP'!$H106="","",IF('Cash Flow %s Yr4'!O138="","",'Cash Flow %s Yr4'!O138*'Expenses w MYP'!$H106))</f>
        <v>0</v>
      </c>
      <c r="P138" s="113"/>
      <c r="Q138" s="113"/>
      <c r="R138" s="113"/>
      <c r="S138" s="97"/>
    </row>
    <row r="139" spans="1:19" s="31" customFormat="1" hidden="1" outlineLevel="1" x14ac:dyDescent="0.75">
      <c r="A139" s="35"/>
      <c r="B139" s="121">
        <f>'Expenses w MYP'!C107</f>
        <v>0</v>
      </c>
      <c r="C139" s="121">
        <f>'Expenses w MYP'!D107</f>
        <v>0</v>
      </c>
      <c r="D139" s="62">
        <f>IF('Expenses w MYP'!$H107="","",IF('Cash Flow %s Yr4'!D139="","",'Cash Flow %s Yr4'!D139*'Expenses w MYP'!$H107))</f>
        <v>0</v>
      </c>
      <c r="E139" s="62">
        <f>IF('Expenses w MYP'!$H107="","",IF('Cash Flow %s Yr4'!E139="","",'Cash Flow %s Yr4'!E139*'Expenses w MYP'!$H107))</f>
        <v>0</v>
      </c>
      <c r="F139" s="62">
        <f>IF('Expenses w MYP'!$H107="","",IF('Cash Flow %s Yr4'!F139="","",'Cash Flow %s Yr4'!F139*'Expenses w MYP'!$H107))</f>
        <v>0</v>
      </c>
      <c r="G139" s="62">
        <f>IF('Expenses w MYP'!$H107="","",IF('Cash Flow %s Yr4'!G139="","",'Cash Flow %s Yr4'!G139*'Expenses w MYP'!$H107))</f>
        <v>0</v>
      </c>
      <c r="H139" s="62">
        <f>IF('Expenses w MYP'!$H107="","",IF('Cash Flow %s Yr4'!H139="","",'Cash Flow %s Yr4'!H139*'Expenses w MYP'!$H107))</f>
        <v>0</v>
      </c>
      <c r="I139" s="62">
        <f>IF('Expenses w MYP'!$H107="","",IF('Cash Flow %s Yr4'!I139="","",'Cash Flow %s Yr4'!I139*'Expenses w MYP'!$H107))</f>
        <v>0</v>
      </c>
      <c r="J139" s="62">
        <f>IF('Expenses w MYP'!$H107="","",IF('Cash Flow %s Yr4'!J139="","",'Cash Flow %s Yr4'!J139*'Expenses w MYP'!$H107))</f>
        <v>0</v>
      </c>
      <c r="K139" s="62">
        <f>IF('Expenses w MYP'!$H107="","",IF('Cash Flow %s Yr4'!K139="","",'Cash Flow %s Yr4'!K139*'Expenses w MYP'!$H107))</f>
        <v>0</v>
      </c>
      <c r="L139" s="62">
        <f>IF('Expenses w MYP'!$H107="","",IF('Cash Flow %s Yr4'!L139="","",'Cash Flow %s Yr4'!L139*'Expenses w MYP'!$H107))</f>
        <v>0</v>
      </c>
      <c r="M139" s="62">
        <f>IF('Expenses w MYP'!$H107="","",IF('Cash Flow %s Yr4'!M139="","",'Cash Flow %s Yr4'!M139*'Expenses w MYP'!$H107))</f>
        <v>0</v>
      </c>
      <c r="N139" s="62">
        <f>IF('Expenses w MYP'!$H107="","",IF('Cash Flow %s Yr4'!N139="","",'Cash Flow %s Yr4'!N139*'Expenses w MYP'!$H107))</f>
        <v>0</v>
      </c>
      <c r="O139" s="62">
        <f>IF('Expenses w MYP'!$H107="","",IF('Cash Flow %s Yr4'!O139="","",'Cash Flow %s Yr4'!O139*'Expenses w MYP'!$H107))</f>
        <v>0</v>
      </c>
      <c r="P139" s="113"/>
      <c r="Q139" s="113"/>
      <c r="R139" s="113"/>
      <c r="S139" s="97"/>
    </row>
    <row r="140" spans="1:19" s="31" customFormat="1" hidden="1" outlineLevel="1" x14ac:dyDescent="0.75">
      <c r="A140" s="35"/>
      <c r="B140" s="121">
        <f>'Expenses w MYP'!C108</f>
        <v>0</v>
      </c>
      <c r="C140" s="121">
        <f>'Expenses w MYP'!D108</f>
        <v>0</v>
      </c>
      <c r="D140" s="62">
        <f>IF('Expenses w MYP'!$H108="","",IF('Cash Flow %s Yr4'!D140="","",'Cash Flow %s Yr4'!D140*'Expenses w MYP'!$H108))</f>
        <v>0</v>
      </c>
      <c r="E140" s="62">
        <f>IF('Expenses w MYP'!$H108="","",IF('Cash Flow %s Yr4'!E140="","",'Cash Flow %s Yr4'!E140*'Expenses w MYP'!$H108))</f>
        <v>0</v>
      </c>
      <c r="F140" s="62">
        <f>IF('Expenses w MYP'!$H108="","",IF('Cash Flow %s Yr4'!F140="","",'Cash Flow %s Yr4'!F140*'Expenses w MYP'!$H108))</f>
        <v>0</v>
      </c>
      <c r="G140" s="62">
        <f>IF('Expenses w MYP'!$H108="","",IF('Cash Flow %s Yr4'!G140="","",'Cash Flow %s Yr4'!G140*'Expenses w MYP'!$H108))</f>
        <v>0</v>
      </c>
      <c r="H140" s="62">
        <f>IF('Expenses w MYP'!$H108="","",IF('Cash Flow %s Yr4'!H140="","",'Cash Flow %s Yr4'!H140*'Expenses w MYP'!$H108))</f>
        <v>0</v>
      </c>
      <c r="I140" s="62">
        <f>IF('Expenses w MYP'!$H108="","",IF('Cash Flow %s Yr4'!I140="","",'Cash Flow %s Yr4'!I140*'Expenses w MYP'!$H108))</f>
        <v>0</v>
      </c>
      <c r="J140" s="62">
        <f>IF('Expenses w MYP'!$H108="","",IF('Cash Flow %s Yr4'!J140="","",'Cash Flow %s Yr4'!J140*'Expenses w MYP'!$H108))</f>
        <v>0</v>
      </c>
      <c r="K140" s="62">
        <f>IF('Expenses w MYP'!$H108="","",IF('Cash Flow %s Yr4'!K140="","",'Cash Flow %s Yr4'!K140*'Expenses w MYP'!$H108))</f>
        <v>0</v>
      </c>
      <c r="L140" s="62">
        <f>IF('Expenses w MYP'!$H108="","",IF('Cash Flow %s Yr4'!L140="","",'Cash Flow %s Yr4'!L140*'Expenses w MYP'!$H108))</f>
        <v>0</v>
      </c>
      <c r="M140" s="62">
        <f>IF('Expenses w MYP'!$H108="","",IF('Cash Flow %s Yr4'!M140="","",'Cash Flow %s Yr4'!M140*'Expenses w MYP'!$H108))</f>
        <v>0</v>
      </c>
      <c r="N140" s="62">
        <f>IF('Expenses w MYP'!$H108="","",IF('Cash Flow %s Yr4'!N140="","",'Cash Flow %s Yr4'!N140*'Expenses w MYP'!$H108))</f>
        <v>0</v>
      </c>
      <c r="O140" s="62">
        <f>IF('Expenses w MYP'!$H108="","",IF('Cash Flow %s Yr4'!O140="","",'Cash Flow %s Yr4'!O140*'Expenses w MYP'!$H108))</f>
        <v>0</v>
      </c>
      <c r="P140" s="113"/>
      <c r="Q140" s="113"/>
      <c r="R140" s="113"/>
      <c r="S140" s="97" t="str">
        <f>IF(SUM(D140:R140)&gt;0,SUM(D140:R140)/'Expenses w MYP'!$H108,"")</f>
        <v/>
      </c>
    </row>
    <row r="141" spans="1:19" s="31" customFormat="1" collapsed="1" x14ac:dyDescent="0.75">
      <c r="A141" s="35"/>
      <c r="B141" s="121" t="str">
        <f>'Expenses w MYP'!C109</f>
        <v>5901</v>
      </c>
      <c r="C141" s="121" t="str">
        <f>'Expenses w MYP'!D109</f>
        <v>Scholar Internet Reimbursement</v>
      </c>
      <c r="D141" s="62">
        <f>IF('Expenses w MYP'!$H109="","",IF('Cash Flow %s Yr4'!D141="","",'Cash Flow %s Yr4'!D141*'Expenses w MYP'!$H109))</f>
        <v>24.694157104338572</v>
      </c>
      <c r="E141" s="62">
        <f>IF('Expenses w MYP'!$H109="","",IF('Cash Flow %s Yr4'!E141="","",'Cash Flow %s Yr4'!E141*'Expenses w MYP'!$H109))</f>
        <v>24.694157104338572</v>
      </c>
      <c r="F141" s="62">
        <f>IF('Expenses w MYP'!$H109="","",IF('Cash Flow %s Yr4'!F141="","",'Cash Flow %s Yr4'!F141*'Expenses w MYP'!$H109))</f>
        <v>44.449482787809423</v>
      </c>
      <c r="G141" s="62">
        <f>IF('Expenses w MYP'!$H109="","",IF('Cash Flow %s Yr4'!G141="","",'Cash Flow %s Yr4'!G141*'Expenses w MYP'!$H109))</f>
        <v>44.449482787809423</v>
      </c>
      <c r="H141" s="62">
        <f>IF('Expenses w MYP'!$H109="","",IF('Cash Flow %s Yr4'!H141="","",'Cash Flow %s Yr4'!H141*'Expenses w MYP'!$H109))</f>
        <v>44.449482787809423</v>
      </c>
      <c r="I141" s="62">
        <f>IF('Expenses w MYP'!$H109="","",IF('Cash Flow %s Yr4'!I141="","",'Cash Flow %s Yr4'!I141*'Expenses w MYP'!$H109))</f>
        <v>44.449482787809423</v>
      </c>
      <c r="J141" s="62">
        <f>IF('Expenses w MYP'!$H109="","",IF('Cash Flow %s Yr4'!J141="","",'Cash Flow %s Yr4'!J141*'Expenses w MYP'!$H109))</f>
        <v>44.449482787809423</v>
      </c>
      <c r="K141" s="62">
        <f>IF('Expenses w MYP'!$H109="","",IF('Cash Flow %s Yr4'!K141="","",'Cash Flow %s Yr4'!K141*'Expenses w MYP'!$H109))</f>
        <v>44.449482787809423</v>
      </c>
      <c r="L141" s="62">
        <f>IF('Expenses w MYP'!$H109="","",IF('Cash Flow %s Yr4'!L141="","",'Cash Flow %s Yr4'!L141*'Expenses w MYP'!$H109))</f>
        <v>44.449482787809423</v>
      </c>
      <c r="M141" s="62">
        <f>IF('Expenses w MYP'!$H109="","",IF('Cash Flow %s Yr4'!M141="","",'Cash Flow %s Yr4'!M141*'Expenses w MYP'!$H109))</f>
        <v>44.449482787809423</v>
      </c>
      <c r="N141" s="62">
        <f>IF('Expenses w MYP'!$H109="","",IF('Cash Flow %s Yr4'!N141="","",'Cash Flow %s Yr4'!N141*'Expenses w MYP'!$H109))</f>
        <v>44.449482787809423</v>
      </c>
      <c r="O141" s="62">
        <f>IF('Expenses w MYP'!$H109="","",IF('Cash Flow %s Yr4'!O141="","",'Cash Flow %s Yr4'!O141*'Expenses w MYP'!$H109))</f>
        <v>44.449482787809423</v>
      </c>
      <c r="P141" s="113"/>
      <c r="Q141" s="113"/>
      <c r="R141" s="113"/>
      <c r="S141" s="97">
        <f>IF(SUM(D141:R141)&gt;0,SUM(D141:R141)/'Expenses w MYP'!$H109,"")</f>
        <v>0.99999999999999989</v>
      </c>
    </row>
    <row r="142" spans="1:19" s="31" customFormat="1" x14ac:dyDescent="0.75">
      <c r="A142" s="35"/>
      <c r="B142" s="33" t="s">
        <v>559</v>
      </c>
      <c r="C142" s="34" t="s">
        <v>719</v>
      </c>
      <c r="D142" s="153">
        <f>IF(SUM(D108:D141)&gt;0,SUM(D108:D141),"")</f>
        <v>62316.334577815971</v>
      </c>
      <c r="E142" s="153">
        <f t="shared" ref="E142:R142" si="10">IF(SUM(E108:E141)&gt;0,SUM(E108:E141),"")</f>
        <v>62316.334577815971</v>
      </c>
      <c r="F142" s="153">
        <f t="shared" si="10"/>
        <v>218598.39105303321</v>
      </c>
      <c r="G142" s="153">
        <f t="shared" si="10"/>
        <v>173622.09958033121</v>
      </c>
      <c r="H142" s="153">
        <f t="shared" si="10"/>
        <v>173622.09958033121</v>
      </c>
      <c r="I142" s="153">
        <f t="shared" si="10"/>
        <v>173622.09958033121</v>
      </c>
      <c r="J142" s="153">
        <f t="shared" si="10"/>
        <v>174412.31260767006</v>
      </c>
      <c r="K142" s="153">
        <f t="shared" si="10"/>
        <v>173622.09958033121</v>
      </c>
      <c r="L142" s="153">
        <f t="shared" si="10"/>
        <v>173840.43127748315</v>
      </c>
      <c r="M142" s="153">
        <f t="shared" si="10"/>
        <v>173840.43127748315</v>
      </c>
      <c r="N142" s="153">
        <f t="shared" si="10"/>
        <v>151944.94531163629</v>
      </c>
      <c r="O142" s="153">
        <f t="shared" si="10"/>
        <v>151944.94531163629</v>
      </c>
      <c r="P142" s="153" t="str">
        <f t="shared" si="10"/>
        <v/>
      </c>
      <c r="Q142" s="153" t="str">
        <f t="shared" si="10"/>
        <v/>
      </c>
      <c r="R142" s="153" t="str">
        <f t="shared" si="10"/>
        <v/>
      </c>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19" s="31" customFormat="1" x14ac:dyDescent="0.75">
      <c r="A145" s="35"/>
      <c r="B145" s="121" t="str">
        <f>'Expenses w MYP'!C113</f>
        <v>6900</v>
      </c>
      <c r="C145" s="121" t="str">
        <f>'Expenses w MYP'!D113</f>
        <v xml:space="preserve">Depreciation Expense                                                            </v>
      </c>
      <c r="D145" s="62">
        <f>IF('Expenses w MYP'!$H113="","",IF('Cash Flow %s Yr4'!D145="","",'Cash Flow %s Yr4'!D145*'Expenses w MYP'!$H113))</f>
        <v>0</v>
      </c>
      <c r="E145" s="62">
        <f>IF('Expenses w MYP'!$H113="","",IF('Cash Flow %s Yr4'!E145="","",'Cash Flow %s Yr4'!E145*'Expenses w MYP'!$H113))</f>
        <v>0</v>
      </c>
      <c r="F145" s="62">
        <f>IF('Expenses w MYP'!$H113="","",IF('Cash Flow %s Yr4'!F145="","",'Cash Flow %s Yr4'!F145*'Expenses w MYP'!$H113))</f>
        <v>0</v>
      </c>
      <c r="G145" s="62">
        <f>IF('Expenses w MYP'!$H113="","",IF('Cash Flow %s Yr4'!G145="","",'Cash Flow %s Yr4'!G145*'Expenses w MYP'!$H113))</f>
        <v>0</v>
      </c>
      <c r="H145" s="62">
        <f>IF('Expenses w MYP'!$H113="","",IF('Cash Flow %s Yr4'!H145="","",'Cash Flow %s Yr4'!H145*'Expenses w MYP'!$H113))</f>
        <v>0</v>
      </c>
      <c r="I145" s="62">
        <f>IF('Expenses w MYP'!$H113="","",IF('Cash Flow %s Yr4'!I145="","",'Cash Flow %s Yr4'!I145*'Expenses w MYP'!$H113))</f>
        <v>0</v>
      </c>
      <c r="J145" s="62">
        <f>IF('Expenses w MYP'!$H113="","",IF('Cash Flow %s Yr4'!J145="","",'Cash Flow %s Yr4'!J145*'Expenses w MYP'!$H113))</f>
        <v>0</v>
      </c>
      <c r="K145" s="62">
        <f>IF('Expenses w MYP'!$H113="","",IF('Cash Flow %s Yr4'!K145="","",'Cash Flow %s Yr4'!K145*'Expenses w MYP'!$H113))</f>
        <v>0</v>
      </c>
      <c r="L145" s="62">
        <f>IF('Expenses w MYP'!$H113="","",IF('Cash Flow %s Yr4'!L145="","",'Cash Flow %s Yr4'!L145*'Expenses w MYP'!$H113))</f>
        <v>0</v>
      </c>
      <c r="M145" s="62">
        <f>IF('Expenses w MYP'!$H113="","",IF('Cash Flow %s Yr4'!M145="","",'Cash Flow %s Yr4'!M145*'Expenses w MYP'!$H113))</f>
        <v>0</v>
      </c>
      <c r="N145" s="62">
        <f>IF('Expenses w MYP'!$H113="","",IF('Cash Flow %s Yr4'!N145="","",'Cash Flow %s Yr4'!N145*'Expenses w MYP'!$H113))</f>
        <v>0</v>
      </c>
      <c r="O145" s="62">
        <f>IF('Expenses w MYP'!$H113="","",IF('Cash Flow %s Yr4'!O145="","",'Cash Flow %s Yr4'!O145*'Expenses w MYP'!$H113))</f>
        <v>0</v>
      </c>
      <c r="P145" s="113"/>
      <c r="Q145" s="113"/>
      <c r="R145" s="113"/>
      <c r="S145" s="97" t="str">
        <f>IF(SUM(D145:R145)&gt;0,SUM(D145:R145)/'Expenses w MYP'!$H113,"")</f>
        <v/>
      </c>
    </row>
    <row r="146" spans="1:19" s="31" customFormat="1" x14ac:dyDescent="0.75">
      <c r="A146" s="35"/>
      <c r="B146" s="33" t="s">
        <v>560</v>
      </c>
      <c r="C146" s="34" t="s">
        <v>719</v>
      </c>
      <c r="D146" s="153" t="str">
        <f t="shared" ref="D146:R146" si="11">IF(SUM(D144:D145)&gt;0,SUM(D144:D145),"")</f>
        <v/>
      </c>
      <c r="E146" s="153" t="str">
        <f t="shared" si="11"/>
        <v/>
      </c>
      <c r="F146" s="153" t="str">
        <f t="shared" si="11"/>
        <v/>
      </c>
      <c r="G146" s="153" t="str">
        <f t="shared" si="11"/>
        <v/>
      </c>
      <c r="H146" s="153" t="str">
        <f t="shared" si="11"/>
        <v/>
      </c>
      <c r="I146" s="153" t="str">
        <f t="shared" si="11"/>
        <v/>
      </c>
      <c r="J146" s="153" t="str">
        <f t="shared" si="11"/>
        <v/>
      </c>
      <c r="K146" s="153" t="str">
        <f t="shared" si="11"/>
        <v/>
      </c>
      <c r="L146" s="153" t="str">
        <f t="shared" si="11"/>
        <v/>
      </c>
      <c r="M146" s="153" t="str">
        <f t="shared" si="11"/>
        <v/>
      </c>
      <c r="N146" s="153" t="str">
        <f t="shared" si="11"/>
        <v/>
      </c>
      <c r="O146" s="153" t="str">
        <f t="shared" si="11"/>
        <v/>
      </c>
      <c r="P146" s="153" t="str">
        <f t="shared" si="11"/>
        <v/>
      </c>
      <c r="Q146" s="153" t="str">
        <f t="shared" si="11"/>
        <v/>
      </c>
      <c r="R146" s="153" t="str">
        <f t="shared" si="11"/>
        <v/>
      </c>
      <c r="S146" s="94"/>
    </row>
    <row r="147" spans="1:19" s="31" customFormat="1" x14ac:dyDescent="0.75">
      <c r="A147" s="35"/>
      <c r="B147" s="3"/>
      <c r="C147" s="2"/>
      <c r="D147" s="91"/>
      <c r="E147" s="91"/>
      <c r="F147" s="91"/>
      <c r="G147" s="84"/>
      <c r="H147" s="84"/>
      <c r="I147" s="84"/>
      <c r="J147" s="84"/>
      <c r="K147" s="84"/>
      <c r="L147" s="84"/>
      <c r="M147" s="84"/>
      <c r="N147" s="84"/>
      <c r="O147" s="84"/>
      <c r="P147" s="84"/>
      <c r="Q147" s="84"/>
      <c r="R147" s="84"/>
    </row>
    <row r="148" spans="1:19" s="31" customFormat="1" x14ac:dyDescent="0.75">
      <c r="B148" s="34" t="s">
        <v>722</v>
      </c>
      <c r="C148" s="2"/>
      <c r="D148" s="91"/>
      <c r="E148" s="91"/>
      <c r="F148" s="91"/>
      <c r="G148" s="84"/>
      <c r="H148" s="84"/>
      <c r="I148" s="84"/>
      <c r="J148" s="84"/>
      <c r="K148" s="84"/>
      <c r="L148" s="84"/>
      <c r="M148" s="84"/>
      <c r="N148" s="84"/>
      <c r="O148" s="84"/>
      <c r="P148" s="84"/>
      <c r="Q148" s="84"/>
      <c r="R148" s="84"/>
    </row>
    <row r="149" spans="1:19" s="31" customFormat="1" x14ac:dyDescent="0.75">
      <c r="A149" s="35"/>
      <c r="B149" s="121" t="str">
        <f>'Expenses w MYP'!C117</f>
        <v>7010</v>
      </c>
      <c r="C149" s="121" t="str">
        <f>'Expenses w MYP'!D117</f>
        <v>Special Education Encroachment</v>
      </c>
      <c r="D149" s="62">
        <f>IF('Expenses w MYP'!$H117="","",IF('Cash Flow %s Yr4'!D149="","",'Cash Flow %s Yr4'!D149*'Expenses w MYP'!$H117))</f>
        <v>0</v>
      </c>
      <c r="E149" s="62">
        <f>IF('Expenses w MYP'!$H117="","",IF('Cash Flow %s Yr4'!E149="","",'Cash Flow %s Yr4'!E149*'Expenses w MYP'!$H117))</f>
        <v>0</v>
      </c>
      <c r="F149" s="62">
        <f>IF('Expenses w MYP'!$H117="","",IF('Cash Flow %s Yr4'!F149="","",'Cash Flow %s Yr4'!F149*'Expenses w MYP'!$H117))</f>
        <v>0</v>
      </c>
      <c r="G149" s="62">
        <f>IF('Expenses w MYP'!$H117="","",IF('Cash Flow %s Yr4'!G149="","",'Cash Flow %s Yr4'!G149*'Expenses w MYP'!$H117))</f>
        <v>0</v>
      </c>
      <c r="H149" s="62">
        <f>IF('Expenses w MYP'!$H117="","",IF('Cash Flow %s Yr4'!H149="","",'Cash Flow %s Yr4'!H149*'Expenses w MYP'!$H117))</f>
        <v>0</v>
      </c>
      <c r="I149" s="62">
        <f>IF('Expenses w MYP'!$H117="","",IF('Cash Flow %s Yr4'!I149="","",'Cash Flow %s Yr4'!I149*'Expenses w MYP'!$H117))</f>
        <v>0</v>
      </c>
      <c r="J149" s="62">
        <f>IF('Expenses w MYP'!$H117="","",IF('Cash Flow %s Yr4'!J149="","",'Cash Flow %s Yr4'!J149*'Expenses w MYP'!$H117))</f>
        <v>0</v>
      </c>
      <c r="K149" s="62">
        <f>IF('Expenses w MYP'!$H117="","",IF('Cash Flow %s Yr4'!K149="","",'Cash Flow %s Yr4'!K149*'Expenses w MYP'!$H117))</f>
        <v>0</v>
      </c>
      <c r="L149" s="62">
        <f>IF('Expenses w MYP'!$H117="","",IF('Cash Flow %s Yr4'!L149="","",'Cash Flow %s Yr4'!L149*'Expenses w MYP'!$H117))</f>
        <v>0</v>
      </c>
      <c r="M149" s="62">
        <f>IF('Expenses w MYP'!$H117="","",IF('Cash Flow %s Yr4'!M149="","",'Cash Flow %s Yr4'!M149*'Expenses w MYP'!$H117))</f>
        <v>0</v>
      </c>
      <c r="N149" s="62">
        <f>IF('Expenses w MYP'!$H117="","",IF('Cash Flow %s Yr4'!N149="","",'Cash Flow %s Yr4'!N149*'Expenses w MYP'!$H117))</f>
        <v>0</v>
      </c>
      <c r="O149" s="62">
        <f>IF('Expenses w MYP'!$H117="","",IF('Cash Flow %s Yr4'!O149="","",'Cash Flow %s Yr4'!O149*'Expenses w MYP'!$H117))</f>
        <v>0</v>
      </c>
      <c r="P149" s="113"/>
      <c r="Q149" s="113"/>
      <c r="R149" s="113"/>
      <c r="S149" s="97" t="str">
        <f>IF(SUM(D149:R149)&gt;0,SUM(D149:R149)/'Expenses w MYP'!$H117,"")</f>
        <v/>
      </c>
    </row>
    <row r="150" spans="1:19" s="31" customFormat="1" x14ac:dyDescent="0.75">
      <c r="A150" s="35"/>
      <c r="B150" s="121" t="str">
        <f>'Expenses w MYP'!C118</f>
        <v>7438</v>
      </c>
      <c r="C150" s="121" t="str">
        <f>'Expenses w MYP'!D118</f>
        <v>Debt Service - Interest</v>
      </c>
      <c r="D150" s="62" t="str">
        <f>IF('Expenses w MYP'!$H118="","",IF('Cash Flow %s Yr4'!D150="","",'Cash Flow %s Yr4'!D150*'Expenses w MYP'!$H118))</f>
        <v/>
      </c>
      <c r="E150" s="62" t="str">
        <f>IF('Expenses w MYP'!$H118="","",IF('Cash Flow %s Yr4'!E150="","",'Cash Flow %s Yr4'!E150*'Expenses w MYP'!$H118))</f>
        <v/>
      </c>
      <c r="F150" s="62" t="str">
        <f>IF('Expenses w MYP'!$H118="","",IF('Cash Flow %s Yr4'!F150="","",'Cash Flow %s Yr4'!F150*'Expenses w MYP'!$H118))</f>
        <v/>
      </c>
      <c r="G150" s="62" t="str">
        <f>IF('Expenses w MYP'!$H118="","",IF('Cash Flow %s Yr4'!G150="","",'Cash Flow %s Yr4'!G150*'Expenses w MYP'!$H118))</f>
        <v/>
      </c>
      <c r="H150" s="62" t="str">
        <f>IF('Expenses w MYP'!$H118="","",IF('Cash Flow %s Yr4'!H150="","",'Cash Flow %s Yr4'!H150*'Expenses w MYP'!$H118))</f>
        <v/>
      </c>
      <c r="I150" s="62" t="str">
        <f>IF('Expenses w MYP'!$H118="","",IF('Cash Flow %s Yr4'!I150="","",'Cash Flow %s Yr4'!I150*'Expenses w MYP'!$H118))</f>
        <v/>
      </c>
      <c r="J150" s="62" t="str">
        <f>IF('Expenses w MYP'!$H118="","",IF('Cash Flow %s Yr4'!J150="","",'Cash Flow %s Yr4'!J150*'Expenses w MYP'!$H118))</f>
        <v/>
      </c>
      <c r="K150" s="62" t="str">
        <f>IF('Expenses w MYP'!$H118="","",IF('Cash Flow %s Yr4'!K150="","",'Cash Flow %s Yr4'!K150*'Expenses w MYP'!$H118))</f>
        <v/>
      </c>
      <c r="L150" s="62" t="str">
        <f>IF('Expenses w MYP'!$H118="","",IF('Cash Flow %s Yr4'!L150="","",'Cash Flow %s Yr4'!L150*'Expenses w MYP'!$H118))</f>
        <v/>
      </c>
      <c r="M150" s="62" t="str">
        <f>IF('Expenses w MYP'!$H118="","",IF('Cash Flow %s Yr4'!M150="","",'Cash Flow %s Yr4'!M150*'Expenses w MYP'!$H118))</f>
        <v/>
      </c>
      <c r="N150" s="62" t="str">
        <f>IF('Expenses w MYP'!$H118="","",IF('Cash Flow %s Yr4'!N150="","",'Cash Flow %s Yr4'!N150*'Expenses w MYP'!$H118))</f>
        <v/>
      </c>
      <c r="O150" s="62" t="str">
        <f>IF('Expenses w MYP'!$H118="","",IF('Cash Flow %s Yr4'!O150="","",'Cash Flow %s Yr4'!O150*'Expenses w MYP'!$H118))</f>
        <v/>
      </c>
      <c r="P150" s="113"/>
      <c r="Q150" s="113"/>
      <c r="R150" s="113"/>
      <c r="S150" s="97" t="str">
        <f>IF(SUM(D150:R150)&gt;0,SUM(D150:R150)/'Expenses w MYP'!$H118,"")</f>
        <v/>
      </c>
    </row>
    <row r="151" spans="1:19" s="31" customFormat="1" x14ac:dyDescent="0.75">
      <c r="A151" s="35"/>
      <c r="B151" s="33" t="s">
        <v>683</v>
      </c>
      <c r="C151" s="34" t="s">
        <v>723</v>
      </c>
      <c r="D151" s="167" t="str">
        <f t="shared" ref="D151:R151" si="12">IF(SUM(D148:D150)&gt;0,SUM(D148:D150),"")</f>
        <v/>
      </c>
      <c r="E151" s="167" t="str">
        <f t="shared" si="12"/>
        <v/>
      </c>
      <c r="F151" s="167" t="str">
        <f t="shared" si="12"/>
        <v/>
      </c>
      <c r="G151" s="167" t="str">
        <f t="shared" si="12"/>
        <v/>
      </c>
      <c r="H151" s="167" t="str">
        <f t="shared" si="12"/>
        <v/>
      </c>
      <c r="I151" s="167" t="str">
        <f t="shared" si="12"/>
        <v/>
      </c>
      <c r="J151" s="167" t="str">
        <f t="shared" si="12"/>
        <v/>
      </c>
      <c r="K151" s="167" t="str">
        <f t="shared" si="12"/>
        <v/>
      </c>
      <c r="L151" s="167" t="str">
        <f t="shared" si="12"/>
        <v/>
      </c>
      <c r="M151" s="167" t="str">
        <f t="shared" si="12"/>
        <v/>
      </c>
      <c r="N151" s="167" t="str">
        <f t="shared" si="12"/>
        <v/>
      </c>
      <c r="O151" s="167" t="str">
        <f t="shared" si="12"/>
        <v/>
      </c>
      <c r="P151" s="167" t="str">
        <f t="shared" si="12"/>
        <v/>
      </c>
      <c r="Q151" s="167" t="str">
        <f t="shared" si="12"/>
        <v/>
      </c>
      <c r="R151" s="167" t="str">
        <f t="shared" si="12"/>
        <v/>
      </c>
    </row>
    <row r="152" spans="1:19" s="31" customFormat="1" x14ac:dyDescent="0.75">
      <c r="A152" s="34" t="s">
        <v>730</v>
      </c>
      <c r="B152" s="3"/>
      <c r="C152" s="2"/>
      <c r="D152" s="153" t="e">
        <f t="shared" ref="D152:R152" si="13">IF(SUM(D151,D146,D142,D106,D86,D74,D61)&gt;0,SUM(D151,D146,D142,D106,D86,D74,D61),0)</f>
        <v>#REF!</v>
      </c>
      <c r="E152" s="153" t="e">
        <f t="shared" si="13"/>
        <v>#REF!</v>
      </c>
      <c r="F152" s="153" t="e">
        <f t="shared" si="13"/>
        <v>#REF!</v>
      </c>
      <c r="G152" s="153" t="e">
        <f t="shared" si="13"/>
        <v>#REF!</v>
      </c>
      <c r="H152" s="153" t="e">
        <f t="shared" si="13"/>
        <v>#REF!</v>
      </c>
      <c r="I152" s="153" t="e">
        <f t="shared" si="13"/>
        <v>#REF!</v>
      </c>
      <c r="J152" s="153" t="e">
        <f t="shared" si="13"/>
        <v>#REF!</v>
      </c>
      <c r="K152" s="153" t="e">
        <f t="shared" si="13"/>
        <v>#REF!</v>
      </c>
      <c r="L152" s="153" t="e">
        <f t="shared" si="13"/>
        <v>#REF!</v>
      </c>
      <c r="M152" s="153" t="e">
        <f t="shared" si="13"/>
        <v>#REF!</v>
      </c>
      <c r="N152" s="153" t="e">
        <f t="shared" si="13"/>
        <v>#REF!</v>
      </c>
      <c r="O152" s="153" t="e">
        <f t="shared" si="13"/>
        <v>#REF!</v>
      </c>
      <c r="P152" s="153">
        <f t="shared" si="13"/>
        <v>0</v>
      </c>
      <c r="Q152" s="153">
        <f t="shared" si="13"/>
        <v>0</v>
      </c>
      <c r="R152" s="153">
        <f t="shared" si="13"/>
        <v>0</v>
      </c>
      <c r="S152" s="97" t="e">
        <f>IF(SUM(D152:R152)&gt;0,SUM(D152:R152)/'Expenses w MYP'!$E124,"")</f>
        <v>#REF!</v>
      </c>
    </row>
    <row r="153" spans="1:19" s="31" customFormat="1" x14ac:dyDescent="0.75">
      <c r="A153" s="34"/>
      <c r="B153" s="3"/>
      <c r="C153" s="2"/>
      <c r="D153" s="45"/>
      <c r="E153" s="45"/>
      <c r="F153" s="45"/>
      <c r="G153" s="45"/>
      <c r="H153" s="45"/>
      <c r="I153" s="45"/>
      <c r="J153" s="45"/>
      <c r="K153" s="45"/>
      <c r="L153" s="45"/>
      <c r="M153" s="45"/>
      <c r="N153" s="45"/>
      <c r="O153" s="45"/>
      <c r="P153" s="84"/>
      <c r="Q153" s="84"/>
      <c r="R153" s="84"/>
    </row>
    <row r="154" spans="1:19" s="31" customFormat="1" x14ac:dyDescent="0.75">
      <c r="A154" s="35"/>
      <c r="B154" s="34" t="s">
        <v>818</v>
      </c>
      <c r="C154" s="2"/>
      <c r="D154" s="91"/>
      <c r="E154" s="91"/>
      <c r="F154" s="91"/>
      <c r="G154" s="84"/>
      <c r="H154" s="84"/>
      <c r="I154" s="84"/>
      <c r="J154" s="84"/>
      <c r="K154" s="84"/>
      <c r="L154" s="84"/>
      <c r="M154" s="84"/>
      <c r="N154" s="84"/>
      <c r="O154" s="84"/>
      <c r="P154" s="84"/>
      <c r="Q154" s="84"/>
      <c r="R154" s="84"/>
    </row>
    <row r="155" spans="1:19" s="31" customFormat="1" x14ac:dyDescent="0.75">
      <c r="A155" s="35"/>
      <c r="B155" s="64"/>
      <c r="C155" s="64" t="str">
        <f>'Cash Flow %s Yr4'!C154</f>
        <v>Cash balance at previous year end</v>
      </c>
      <c r="D155" s="62" t="e">
        <f>'Cash Flow $s Yr3'!O165</f>
        <v>#REF!</v>
      </c>
      <c r="E155" s="62">
        <f>'Cash Flow %s Yr4'!E154*'Cash Flow %s Yr4'!$W154</f>
        <v>0</v>
      </c>
      <c r="F155" s="62">
        <f>'Cash Flow %s Yr4'!F154*'Cash Flow %s Yr4'!$W154</f>
        <v>0</v>
      </c>
      <c r="G155" s="62">
        <f>'Cash Flow %s Yr4'!G154*'Cash Flow %s Yr4'!$W154</f>
        <v>0</v>
      </c>
      <c r="H155" s="62">
        <f>'Cash Flow %s Yr4'!H154*'Cash Flow %s Yr4'!$W154</f>
        <v>0</v>
      </c>
      <c r="I155" s="62">
        <f>'Cash Flow %s Yr4'!I154*'Cash Flow %s Yr4'!$W154</f>
        <v>0</v>
      </c>
      <c r="J155" s="62">
        <f>'Cash Flow %s Yr4'!J154*'Cash Flow %s Yr4'!$W154</f>
        <v>0</v>
      </c>
      <c r="K155" s="62">
        <f>'Cash Flow %s Yr4'!K154*'Cash Flow %s Yr4'!$W154</f>
        <v>0</v>
      </c>
      <c r="L155" s="62">
        <f>'Cash Flow %s Yr4'!L154*'Cash Flow %s Yr4'!$W154</f>
        <v>0</v>
      </c>
      <c r="M155" s="62">
        <f>'Cash Flow %s Yr4'!M154*'Cash Flow %s Yr4'!$W154</f>
        <v>0</v>
      </c>
      <c r="N155" s="62">
        <f>'Cash Flow %s Yr4'!N154*'Cash Flow %s Yr4'!$W154</f>
        <v>0</v>
      </c>
      <c r="O155" s="62">
        <f>'Cash Flow %s Yr4'!O154*'Cash Flow %s Yr4'!$W154</f>
        <v>0</v>
      </c>
      <c r="P155" s="90"/>
      <c r="Q155" s="90"/>
      <c r="R155" s="90"/>
    </row>
    <row r="156" spans="1:19" s="31" customFormat="1" x14ac:dyDescent="0.75">
      <c r="A156" s="35"/>
      <c r="B156" s="64"/>
      <c r="C156" s="117" t="str">
        <f>'Cash Flow %s Yr4'!C155</f>
        <v>Accounts Receivable</v>
      </c>
      <c r="D156" s="62">
        <f>'Cash Flow %s Yr4'!D155*'Cash Flow $s Yr3'!$O156</f>
        <v>0</v>
      </c>
      <c r="E156" s="62">
        <f>'Cash Flow %s Yr4'!E155*'Cash Flow $s Yr3'!$O156</f>
        <v>0</v>
      </c>
      <c r="F156" s="62">
        <f>'Cash Flow %s Yr4'!F155*'Cash Flow $s Yr3'!$O156</f>
        <v>0</v>
      </c>
      <c r="G156" s="62">
        <f>'Cash Flow %s Yr4'!G155*'Cash Flow $s Yr3'!$O156</f>
        <v>0</v>
      </c>
      <c r="H156" s="62">
        <f>'Cash Flow %s Yr4'!H155*'Cash Flow $s Yr3'!$O156</f>
        <v>0</v>
      </c>
      <c r="I156" s="62">
        <f>'Cash Flow %s Yr4'!I155*'Cash Flow $s Yr3'!$O156</f>
        <v>0</v>
      </c>
      <c r="J156" s="62">
        <f>'Cash Flow %s Yr4'!J155*'Cash Flow $s Yr3'!$O156</f>
        <v>0</v>
      </c>
      <c r="K156" s="62">
        <f>'Cash Flow %s Yr4'!K155*'Cash Flow $s Yr3'!$O156</f>
        <v>0</v>
      </c>
      <c r="L156" s="62">
        <f>'Cash Flow %s Yr4'!L155*'Cash Flow $s Yr3'!$O156</f>
        <v>0</v>
      </c>
      <c r="M156" s="62">
        <f>'Cash Flow %s Yr4'!M155*'Cash Flow $s Yr3'!$O156</f>
        <v>0</v>
      </c>
      <c r="N156" s="62">
        <f>'Cash Flow %s Yr4'!N155*'Cash Flow $s Yr3'!$O156</f>
        <v>0</v>
      </c>
      <c r="O156" s="62">
        <f>'Cash Flow %s Yr4'!O155*'Cash Flow $s Yr3'!$O156</f>
        <v>0</v>
      </c>
      <c r="P156" s="152">
        <f>P49</f>
        <v>1506107.9845894102</v>
      </c>
      <c r="Q156" s="152">
        <f>Q49</f>
        <v>0</v>
      </c>
      <c r="R156" s="152">
        <f>R49</f>
        <v>0</v>
      </c>
    </row>
    <row r="157" spans="1:19" s="31" customFormat="1" x14ac:dyDescent="0.75">
      <c r="A157" s="35"/>
      <c r="B157" s="64"/>
      <c r="C157" s="117" t="str">
        <f>'Cash Flow %s Yr4'!C156</f>
        <v>Accounts Payable</v>
      </c>
      <c r="D157" s="62">
        <f>'Cash Flow %s Yr4'!D156*'Cash Flow $s Yr3'!$O157</f>
        <v>0</v>
      </c>
      <c r="E157" s="62">
        <f>'Cash Flow %s Yr4'!E156*'Cash Flow $s Yr3'!$O157</f>
        <v>0</v>
      </c>
      <c r="F157" s="62">
        <f>'Cash Flow %s Yr4'!F156*'Cash Flow $s Yr3'!$O157</f>
        <v>0</v>
      </c>
      <c r="G157" s="62">
        <f>'Cash Flow %s Yr4'!G156*'Cash Flow $s Yr3'!$O157</f>
        <v>0</v>
      </c>
      <c r="H157" s="62">
        <f>'Cash Flow %s Yr4'!H156*'Cash Flow $s Yr3'!$O157</f>
        <v>0</v>
      </c>
      <c r="I157" s="62">
        <f>'Cash Flow %s Yr4'!I156*'Cash Flow $s Yr3'!$O157</f>
        <v>0</v>
      </c>
      <c r="J157" s="62">
        <f>'Cash Flow %s Yr4'!J156*'Cash Flow $s Yr3'!$O157</f>
        <v>0</v>
      </c>
      <c r="K157" s="62">
        <f>'Cash Flow %s Yr4'!K156*'Cash Flow $s Yr3'!$O157</f>
        <v>0</v>
      </c>
      <c r="L157" s="62">
        <f>'Cash Flow %s Yr4'!L156*'Cash Flow $s Yr3'!$O157</f>
        <v>0</v>
      </c>
      <c r="M157" s="62">
        <f>'Cash Flow %s Yr4'!M156*'Cash Flow $s Yr3'!$O157</f>
        <v>0</v>
      </c>
      <c r="N157" s="62">
        <f>'Cash Flow %s Yr4'!N156*'Cash Flow $s Yr3'!$O157</f>
        <v>0</v>
      </c>
      <c r="O157" s="62">
        <f>'Cash Flow %s Yr4'!O156*'Cash Flow $s Yr3'!$O157</f>
        <v>0</v>
      </c>
      <c r="P157" s="152">
        <f>-P152</f>
        <v>0</v>
      </c>
      <c r="Q157" s="152">
        <f>-Q152</f>
        <v>0</v>
      </c>
      <c r="R157" s="152">
        <f>-R152</f>
        <v>0</v>
      </c>
    </row>
    <row r="158" spans="1:19" s="31" customFormat="1" x14ac:dyDescent="0.75">
      <c r="A158" s="35"/>
      <c r="B158" s="64"/>
      <c r="C158" s="117" t="str">
        <f>'Cash Flow %s Yr4'!C157</f>
        <v>Loan Principal Payable</v>
      </c>
      <c r="D158" s="62"/>
      <c r="E158" s="62"/>
      <c r="F158" s="62"/>
      <c r="G158" s="62"/>
      <c r="H158" s="62"/>
      <c r="I158" s="62"/>
      <c r="J158" s="62"/>
      <c r="K158" s="62"/>
      <c r="L158" s="62"/>
      <c r="M158" s="62"/>
      <c r="N158" s="62"/>
      <c r="O158" s="62"/>
      <c r="P158" s="90"/>
      <c r="Q158" s="90"/>
      <c r="R158" s="90"/>
    </row>
    <row r="159" spans="1:19" s="31" customFormat="1" x14ac:dyDescent="0.75">
      <c r="A159" s="35"/>
      <c r="B159" s="3"/>
      <c r="C159" s="34" t="s">
        <v>719</v>
      </c>
      <c r="D159" s="79" t="e">
        <f>D155+D156+D157+D158</f>
        <v>#REF!</v>
      </c>
      <c r="E159" s="79">
        <f t="shared" ref="E159:O159" si="14">E155+E156+E157+E158</f>
        <v>0</v>
      </c>
      <c r="F159" s="79">
        <f t="shared" si="14"/>
        <v>0</v>
      </c>
      <c r="G159" s="79">
        <f t="shared" si="14"/>
        <v>0</v>
      </c>
      <c r="H159" s="79">
        <f t="shared" si="14"/>
        <v>0</v>
      </c>
      <c r="I159" s="79">
        <f t="shared" si="14"/>
        <v>0</v>
      </c>
      <c r="J159" s="79">
        <f t="shared" si="14"/>
        <v>0</v>
      </c>
      <c r="K159" s="79">
        <f t="shared" si="14"/>
        <v>0</v>
      </c>
      <c r="L159" s="79">
        <f t="shared" si="14"/>
        <v>0</v>
      </c>
      <c r="M159" s="79">
        <f t="shared" si="14"/>
        <v>0</v>
      </c>
      <c r="N159" s="79">
        <f t="shared" si="14"/>
        <v>0</v>
      </c>
      <c r="O159" s="79">
        <f t="shared" si="14"/>
        <v>0</v>
      </c>
      <c r="P159" s="84"/>
      <c r="Q159" s="84"/>
      <c r="R159" s="84"/>
    </row>
    <row r="160" spans="1:19" s="39" customFormat="1" ht="16.5" thickBot="1" x14ac:dyDescent="0.9">
      <c r="A160" s="35"/>
      <c r="C160" s="1"/>
      <c r="D160" s="84"/>
      <c r="E160" s="84"/>
      <c r="F160" s="84"/>
      <c r="G160" s="84"/>
      <c r="H160" s="84"/>
      <c r="I160" s="84"/>
      <c r="J160" s="84"/>
      <c r="K160" s="84"/>
      <c r="L160" s="84"/>
      <c r="M160" s="84"/>
      <c r="N160" s="84"/>
      <c r="O160" s="84"/>
      <c r="P160" s="84"/>
      <c r="Q160" s="84"/>
      <c r="R160" s="84"/>
    </row>
    <row r="161" spans="1:18" s="39" customFormat="1" ht="16.5" thickBot="1" x14ac:dyDescent="0.9">
      <c r="A161" s="71" t="s">
        <v>825</v>
      </c>
      <c r="B161" s="114"/>
      <c r="C161" s="72"/>
      <c r="D161" s="131" t="e">
        <f t="shared" ref="D161:O161" si="15">D49-D152</f>
        <v>#VALUE!</v>
      </c>
      <c r="E161" s="131" t="e">
        <f t="shared" si="15"/>
        <v>#REF!</v>
      </c>
      <c r="F161" s="131" t="e">
        <f t="shared" si="15"/>
        <v>#REF!</v>
      </c>
      <c r="G161" s="131" t="e">
        <f t="shared" si="15"/>
        <v>#REF!</v>
      </c>
      <c r="H161" s="131" t="e">
        <f t="shared" si="15"/>
        <v>#REF!</v>
      </c>
      <c r="I161" s="131" t="e">
        <f t="shared" si="15"/>
        <v>#REF!</v>
      </c>
      <c r="J161" s="131" t="e">
        <f t="shared" si="15"/>
        <v>#REF!</v>
      </c>
      <c r="K161" s="131" t="e">
        <f t="shared" si="15"/>
        <v>#REF!</v>
      </c>
      <c r="L161" s="131" t="e">
        <f t="shared" si="15"/>
        <v>#REF!</v>
      </c>
      <c r="M161" s="131" t="e">
        <f t="shared" si="15"/>
        <v>#REF!</v>
      </c>
      <c r="N161" s="131" t="e">
        <f t="shared" si="15"/>
        <v>#REF!</v>
      </c>
      <c r="O161" s="132" t="e">
        <f t="shared" si="15"/>
        <v>#REF!</v>
      </c>
      <c r="P161" s="84"/>
      <c r="Q161" s="84"/>
      <c r="R161" s="84"/>
    </row>
    <row r="162" spans="1:18" s="39" customFormat="1" ht="16.5" thickBot="1" x14ac:dyDescent="0.9">
      <c r="A162" s="35"/>
      <c r="C162" s="1"/>
      <c r="D162" s="133"/>
      <c r="E162" s="133"/>
      <c r="F162" s="133"/>
      <c r="G162" s="133"/>
      <c r="H162" s="133"/>
      <c r="I162" s="133"/>
      <c r="J162" s="133"/>
      <c r="K162" s="133"/>
      <c r="L162" s="133"/>
      <c r="M162" s="133"/>
      <c r="N162" s="133"/>
      <c r="O162" s="133"/>
      <c r="P162" s="84"/>
      <c r="Q162" s="84"/>
      <c r="R162" s="84"/>
    </row>
    <row r="163" spans="1:18" s="39" customFormat="1" ht="16.5" thickBot="1" x14ac:dyDescent="0.9">
      <c r="A163" s="71" t="s">
        <v>816</v>
      </c>
      <c r="B163" s="114"/>
      <c r="C163" s="72"/>
      <c r="D163" s="131" t="e">
        <f>D159+D161</f>
        <v>#REF!</v>
      </c>
      <c r="E163" s="131" t="e">
        <f t="shared" ref="E163:O163" si="16">E159+E161</f>
        <v>#REF!</v>
      </c>
      <c r="F163" s="131" t="e">
        <f t="shared" si="16"/>
        <v>#REF!</v>
      </c>
      <c r="G163" s="131" t="e">
        <f t="shared" si="16"/>
        <v>#REF!</v>
      </c>
      <c r="H163" s="131" t="e">
        <f t="shared" si="16"/>
        <v>#REF!</v>
      </c>
      <c r="I163" s="131" t="e">
        <f t="shared" si="16"/>
        <v>#REF!</v>
      </c>
      <c r="J163" s="131" t="e">
        <f t="shared" si="16"/>
        <v>#REF!</v>
      </c>
      <c r="K163" s="131" t="e">
        <f t="shared" si="16"/>
        <v>#REF!</v>
      </c>
      <c r="L163" s="131" t="e">
        <f t="shared" si="16"/>
        <v>#REF!</v>
      </c>
      <c r="M163" s="131" t="e">
        <f t="shared" si="16"/>
        <v>#REF!</v>
      </c>
      <c r="N163" s="131" t="e">
        <f t="shared" si="16"/>
        <v>#REF!</v>
      </c>
      <c r="O163" s="132" t="e">
        <f t="shared" si="16"/>
        <v>#REF!</v>
      </c>
      <c r="P163" s="84"/>
      <c r="Q163" s="84"/>
      <c r="R163" s="84"/>
    </row>
    <row r="164" spans="1:18" s="39" customFormat="1" ht="16.5" thickBot="1" x14ac:dyDescent="0.9">
      <c r="A164" s="35"/>
      <c r="C164" s="1"/>
      <c r="D164" s="84"/>
      <c r="E164" s="84"/>
      <c r="F164" s="84"/>
      <c r="G164" s="84"/>
      <c r="H164" s="84"/>
      <c r="I164" s="84"/>
      <c r="J164" s="84"/>
      <c r="K164" s="84"/>
      <c r="L164" s="84"/>
      <c r="M164" s="84"/>
      <c r="N164" s="84"/>
      <c r="O164" s="84"/>
      <c r="P164" s="84"/>
      <c r="Q164" s="84"/>
      <c r="R164" s="84"/>
    </row>
    <row r="165" spans="1:18" s="39" customFormat="1" ht="16.5" thickBot="1" x14ac:dyDescent="0.9">
      <c r="A165" s="71" t="s">
        <v>826</v>
      </c>
      <c r="B165" s="114"/>
      <c r="C165" s="72"/>
      <c r="D165" s="131" t="e">
        <f>D163</f>
        <v>#REF!</v>
      </c>
      <c r="E165" s="131" t="e">
        <f>D165+E163</f>
        <v>#REF!</v>
      </c>
      <c r="F165" s="131" t="e">
        <f t="shared" ref="F165:O165" si="17">E165+F163</f>
        <v>#REF!</v>
      </c>
      <c r="G165" s="131" t="e">
        <f t="shared" si="17"/>
        <v>#REF!</v>
      </c>
      <c r="H165" s="131" t="e">
        <f t="shared" si="17"/>
        <v>#REF!</v>
      </c>
      <c r="I165" s="131" t="e">
        <f t="shared" si="17"/>
        <v>#REF!</v>
      </c>
      <c r="J165" s="131" t="e">
        <f t="shared" si="17"/>
        <v>#REF!</v>
      </c>
      <c r="K165" s="131" t="e">
        <f t="shared" si="17"/>
        <v>#REF!</v>
      </c>
      <c r="L165" s="131" t="e">
        <f t="shared" si="17"/>
        <v>#REF!</v>
      </c>
      <c r="M165" s="131" t="e">
        <f t="shared" si="17"/>
        <v>#REF!</v>
      </c>
      <c r="N165" s="131" t="e">
        <f t="shared" si="17"/>
        <v>#REF!</v>
      </c>
      <c r="O165" s="132" t="e">
        <f t="shared" si="17"/>
        <v>#REF!</v>
      </c>
      <c r="P165" s="84"/>
      <c r="Q165" s="84"/>
      <c r="R165" s="84"/>
    </row>
    <row r="166" spans="1:18" s="39" customFormat="1" x14ac:dyDescent="0.75">
      <c r="A166" s="35"/>
      <c r="C166" s="1"/>
      <c r="D166" s="84"/>
      <c r="E166" s="84"/>
      <c r="F166" s="84"/>
      <c r="G166" s="84"/>
      <c r="H166" s="84"/>
      <c r="I166" s="84"/>
      <c r="J166" s="84"/>
      <c r="K166" s="84"/>
      <c r="L166" s="84"/>
      <c r="M166" s="84"/>
      <c r="N166" s="84"/>
      <c r="O166" s="84"/>
      <c r="P166" s="84"/>
      <c r="Q166" s="84"/>
      <c r="R166" s="84"/>
    </row>
    <row r="167" spans="1:18" s="39" customFormat="1" x14ac:dyDescent="0.75">
      <c r="A167" s="35"/>
      <c r="C167" s="1"/>
      <c r="D167" s="84"/>
      <c r="E167" s="84"/>
      <c r="F167" s="84"/>
      <c r="G167" s="84"/>
      <c r="H167" s="84"/>
      <c r="I167" s="84"/>
      <c r="J167" s="84"/>
      <c r="K167" s="84"/>
      <c r="L167" s="84"/>
      <c r="M167" s="84"/>
      <c r="N167" s="84"/>
      <c r="O167" s="84"/>
      <c r="P167" s="84"/>
      <c r="Q167" s="84"/>
      <c r="R167" s="84"/>
    </row>
    <row r="168" spans="1:18" s="39" customFormat="1" x14ac:dyDescent="0.75">
      <c r="A168" s="35"/>
      <c r="C168" s="1"/>
      <c r="D168" s="84"/>
      <c r="E168" s="84"/>
      <c r="F168" s="84"/>
      <c r="G168" s="84"/>
      <c r="H168" s="84"/>
      <c r="I168" s="84"/>
      <c r="J168" s="84"/>
      <c r="K168" s="84"/>
      <c r="L168" s="84"/>
      <c r="M168" s="84"/>
      <c r="N168" s="84"/>
      <c r="O168" s="84"/>
      <c r="P168" s="84"/>
      <c r="Q168" s="84"/>
      <c r="R168" s="84"/>
    </row>
  </sheetData>
  <pageMargins left="0.25" right="0.25" top="0.5" bottom="0.5" header="0.25" footer="0.25"/>
  <pageSetup scale="53" fitToHeight="3" orientation="landscape" r:id="rId1"/>
  <headerFooter alignWithMargins="0">
    <oddHeader>&amp;A</oddHeader>
    <oddFooter>Page &amp;P</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9" tint="-0.249977111117893"/>
    <pageSetUpPr fitToPage="1"/>
  </sheetPr>
  <dimension ref="A1:S168"/>
  <sheetViews>
    <sheetView workbookViewId="0"/>
  </sheetViews>
  <sheetFormatPr defaultRowHeight="15.75" outlineLevelRow="1" x14ac:dyDescent="0.75"/>
  <cols>
    <col min="1" max="1" width="5.6796875" style="34" customWidth="1"/>
    <col min="2" max="2" width="5.08984375" style="39" customWidth="1"/>
    <col min="3" max="3" width="42.54296875" style="1" customWidth="1"/>
    <col min="4" max="18" width="12.453125" style="84" customWidth="1"/>
    <col min="19" max="19" width="10.31640625" style="1" bestFit="1" customWidth="1"/>
    <col min="20" max="255" width="9.08984375" style="1"/>
    <col min="256" max="256" width="22.86328125" style="1" customWidth="1"/>
    <col min="257" max="511" width="9.08984375" style="1"/>
    <col min="512" max="512" width="22.86328125" style="1" customWidth="1"/>
    <col min="513" max="767" width="9.08984375" style="1"/>
    <col min="768" max="768" width="22.86328125" style="1" customWidth="1"/>
    <col min="769" max="1023" width="9.08984375" style="1"/>
    <col min="1024" max="1024" width="22.86328125" style="1" customWidth="1"/>
    <col min="1025" max="1279" width="9.08984375" style="1"/>
    <col min="1280" max="1280" width="22.86328125" style="1" customWidth="1"/>
    <col min="1281" max="1535" width="9.08984375" style="1"/>
    <col min="1536" max="1536" width="22.86328125" style="1" customWidth="1"/>
    <col min="1537" max="1791" width="9.08984375" style="1"/>
    <col min="1792" max="1792" width="22.86328125" style="1" customWidth="1"/>
    <col min="1793" max="2047" width="9.08984375" style="1"/>
    <col min="2048" max="2048" width="22.86328125" style="1" customWidth="1"/>
    <col min="2049" max="2303" width="9.08984375" style="1"/>
    <col min="2304" max="2304" width="22.86328125" style="1" customWidth="1"/>
    <col min="2305" max="2559" width="9.08984375" style="1"/>
    <col min="2560" max="2560" width="22.86328125" style="1" customWidth="1"/>
    <col min="2561" max="2815" width="9.08984375" style="1"/>
    <col min="2816" max="2816" width="22.86328125" style="1" customWidth="1"/>
    <col min="2817" max="3071" width="9.08984375" style="1"/>
    <col min="3072" max="3072" width="22.86328125" style="1" customWidth="1"/>
    <col min="3073" max="3327" width="9.08984375" style="1"/>
    <col min="3328" max="3328" width="22.86328125" style="1" customWidth="1"/>
    <col min="3329" max="3583" width="9.08984375" style="1"/>
    <col min="3584" max="3584" width="22.86328125" style="1" customWidth="1"/>
    <col min="3585" max="3839" width="9.08984375" style="1"/>
    <col min="3840" max="3840" width="22.86328125" style="1" customWidth="1"/>
    <col min="3841" max="4095" width="9.08984375" style="1"/>
    <col min="4096" max="4096" width="22.86328125" style="1" customWidth="1"/>
    <col min="4097" max="4351" width="9.08984375" style="1"/>
    <col min="4352" max="4352" width="22.86328125" style="1" customWidth="1"/>
    <col min="4353" max="4607" width="9.08984375" style="1"/>
    <col min="4608" max="4608" width="22.86328125" style="1" customWidth="1"/>
    <col min="4609" max="4863" width="9.08984375" style="1"/>
    <col min="4864" max="4864" width="22.86328125" style="1" customWidth="1"/>
    <col min="4865" max="5119" width="9.08984375" style="1"/>
    <col min="5120" max="5120" width="22.86328125" style="1" customWidth="1"/>
    <col min="5121" max="5375" width="9.08984375" style="1"/>
    <col min="5376" max="5376" width="22.86328125" style="1" customWidth="1"/>
    <col min="5377" max="5631" width="9.08984375" style="1"/>
    <col min="5632" max="5632" width="22.86328125" style="1" customWidth="1"/>
    <col min="5633" max="5887" width="9.08984375" style="1"/>
    <col min="5888" max="5888" width="22.86328125" style="1" customWidth="1"/>
    <col min="5889" max="6143" width="9.08984375" style="1"/>
    <col min="6144" max="6144" width="22.86328125" style="1" customWidth="1"/>
    <col min="6145" max="6399" width="9.08984375" style="1"/>
    <col min="6400" max="6400" width="22.86328125" style="1" customWidth="1"/>
    <col min="6401" max="6655" width="9.08984375" style="1"/>
    <col min="6656" max="6656" width="22.86328125" style="1" customWidth="1"/>
    <col min="6657" max="6911" width="9.08984375" style="1"/>
    <col min="6912" max="6912" width="22.86328125" style="1" customWidth="1"/>
    <col min="6913" max="7167" width="9.08984375" style="1"/>
    <col min="7168" max="7168" width="22.86328125" style="1" customWidth="1"/>
    <col min="7169" max="7423" width="9.08984375" style="1"/>
    <col min="7424" max="7424" width="22.86328125" style="1" customWidth="1"/>
    <col min="7425" max="7679" width="9.08984375" style="1"/>
    <col min="7680" max="7680" width="22.86328125" style="1" customWidth="1"/>
    <col min="7681" max="7935" width="9.08984375" style="1"/>
    <col min="7936" max="7936" width="22.86328125" style="1" customWidth="1"/>
    <col min="7937" max="8191" width="9.08984375" style="1"/>
    <col min="8192" max="8192" width="22.86328125" style="1" customWidth="1"/>
    <col min="8193" max="8447" width="9.08984375" style="1"/>
    <col min="8448" max="8448" width="22.86328125" style="1" customWidth="1"/>
    <col min="8449" max="8703" width="9.08984375" style="1"/>
    <col min="8704" max="8704" width="22.86328125" style="1" customWidth="1"/>
    <col min="8705" max="8959" width="9.08984375" style="1"/>
    <col min="8960" max="8960" width="22.86328125" style="1" customWidth="1"/>
    <col min="8961" max="9215" width="9.08984375" style="1"/>
    <col min="9216" max="9216" width="22.86328125" style="1" customWidth="1"/>
    <col min="9217" max="9471" width="9.08984375" style="1"/>
    <col min="9472" max="9472" width="22.86328125" style="1" customWidth="1"/>
    <col min="9473" max="9727" width="9.08984375" style="1"/>
    <col min="9728" max="9728" width="22.86328125" style="1" customWidth="1"/>
    <col min="9729" max="9983" width="9.08984375" style="1"/>
    <col min="9984" max="9984" width="22.86328125" style="1" customWidth="1"/>
    <col min="9985" max="10239" width="9.08984375" style="1"/>
    <col min="10240" max="10240" width="22.86328125" style="1" customWidth="1"/>
    <col min="10241" max="10495" width="9.08984375" style="1"/>
    <col min="10496" max="10496" width="22.86328125" style="1" customWidth="1"/>
    <col min="10497" max="10751" width="9.08984375" style="1"/>
    <col min="10752" max="10752" width="22.86328125" style="1" customWidth="1"/>
    <col min="10753" max="11007" width="9.08984375" style="1"/>
    <col min="11008" max="11008" width="22.86328125" style="1" customWidth="1"/>
    <col min="11009" max="11263" width="9.08984375" style="1"/>
    <col min="11264" max="11264" width="22.86328125" style="1" customWidth="1"/>
    <col min="11265" max="11519" width="9.08984375" style="1"/>
    <col min="11520" max="11520" width="22.86328125" style="1" customWidth="1"/>
    <col min="11521" max="11775" width="9.08984375" style="1"/>
    <col min="11776" max="11776" width="22.86328125" style="1" customWidth="1"/>
    <col min="11777" max="12031" width="9.08984375" style="1"/>
    <col min="12032" max="12032" width="22.86328125" style="1" customWidth="1"/>
    <col min="12033" max="12287" width="9.08984375" style="1"/>
    <col min="12288" max="12288" width="22.86328125" style="1" customWidth="1"/>
    <col min="12289" max="12543" width="9.08984375" style="1"/>
    <col min="12544" max="12544" width="22.86328125" style="1" customWidth="1"/>
    <col min="12545" max="12799" width="9.08984375" style="1"/>
    <col min="12800" max="12800" width="22.86328125" style="1" customWidth="1"/>
    <col min="12801" max="13055" width="9.08984375" style="1"/>
    <col min="13056" max="13056" width="22.86328125" style="1" customWidth="1"/>
    <col min="13057" max="13311" width="9.08984375" style="1"/>
    <col min="13312" max="13312" width="22.86328125" style="1" customWidth="1"/>
    <col min="13313" max="13567" width="9.08984375" style="1"/>
    <col min="13568" max="13568" width="22.86328125" style="1" customWidth="1"/>
    <col min="13569" max="13823" width="9.08984375" style="1"/>
    <col min="13824" max="13824" width="22.86328125" style="1" customWidth="1"/>
    <col min="13825" max="14079" width="9.08984375" style="1"/>
    <col min="14080" max="14080" width="22.86328125" style="1" customWidth="1"/>
    <col min="14081" max="14335" width="9.08984375" style="1"/>
    <col min="14336" max="14336" width="22.86328125" style="1" customWidth="1"/>
    <col min="14337" max="14591" width="9.08984375" style="1"/>
    <col min="14592" max="14592" width="22.86328125" style="1" customWidth="1"/>
    <col min="14593" max="14847" width="9.08984375" style="1"/>
    <col min="14848" max="14848" width="22.86328125" style="1" customWidth="1"/>
    <col min="14849" max="15103" width="9.08984375" style="1"/>
    <col min="15104" max="15104" width="22.86328125" style="1" customWidth="1"/>
    <col min="15105" max="15359" width="9.08984375" style="1"/>
    <col min="15360" max="15360" width="22.86328125" style="1" customWidth="1"/>
    <col min="15361" max="15615" width="9.08984375" style="1"/>
    <col min="15616" max="15616" width="22.86328125" style="1" customWidth="1"/>
    <col min="15617" max="15871" width="9.08984375" style="1"/>
    <col min="15872" max="15872" width="22.86328125" style="1" customWidth="1"/>
    <col min="15873" max="16127" width="9.08984375" style="1"/>
    <col min="16128" max="16128" width="22.86328125" style="1" customWidth="1"/>
    <col min="16129" max="16384" width="9.08984375" style="1"/>
  </cols>
  <sheetData>
    <row r="1" spans="1:19" ht="20.25" x14ac:dyDescent="0.85">
      <c r="A1" s="22" t="str">
        <f>'Student Info w MYP'!$A$1</f>
        <v>Compass Charter Schools</v>
      </c>
    </row>
    <row r="2" spans="1:19" ht="17.75" x14ac:dyDescent="0.75">
      <c r="A2" s="21" t="s">
        <v>814</v>
      </c>
    </row>
    <row r="3" spans="1:19" ht="17.75" x14ac:dyDescent="0.75">
      <c r="A3" s="21" t="str">
        <f>'Student Info w MYP'!H6</f>
        <v>Los Angeles</v>
      </c>
    </row>
    <row r="5" spans="1:19" ht="17.75" x14ac:dyDescent="0.75">
      <c r="A5" s="29"/>
      <c r="B5" s="40"/>
      <c r="C5" s="29"/>
      <c r="D5" s="96">
        <f>'Student Info w MYP'!G63/'Student Info w MYP'!H63</f>
        <v>0.91980655624553098</v>
      </c>
      <c r="E5" s="85"/>
      <c r="F5" s="85"/>
      <c r="H5" s="85"/>
      <c r="I5" s="85"/>
      <c r="J5" s="85"/>
      <c r="K5" s="85"/>
      <c r="L5" s="85"/>
      <c r="M5" s="85"/>
      <c r="N5" s="85"/>
      <c r="O5" s="85"/>
      <c r="P5" s="85"/>
      <c r="Q5" s="85"/>
      <c r="R5" s="85"/>
    </row>
    <row r="6" spans="1:19" ht="18.5" thickBot="1" x14ac:dyDescent="0.9">
      <c r="A6" s="30"/>
      <c r="B6" s="41" t="s">
        <v>726</v>
      </c>
      <c r="C6" s="30" t="s">
        <v>727</v>
      </c>
      <c r="D6" s="93" t="s">
        <v>799</v>
      </c>
      <c r="E6" s="93" t="s">
        <v>800</v>
      </c>
      <c r="F6" s="93" t="s">
        <v>801</v>
      </c>
      <c r="G6" s="93" t="s">
        <v>802</v>
      </c>
      <c r="H6" s="93" t="s">
        <v>803</v>
      </c>
      <c r="I6" s="93" t="s">
        <v>804</v>
      </c>
      <c r="J6" s="93" t="s">
        <v>805</v>
      </c>
      <c r="K6" s="93" t="s">
        <v>806</v>
      </c>
      <c r="L6" s="93" t="s">
        <v>807</v>
      </c>
      <c r="M6" s="93" t="s">
        <v>808</v>
      </c>
      <c r="N6" s="93" t="s">
        <v>809</v>
      </c>
      <c r="O6" s="93" t="s">
        <v>810</v>
      </c>
      <c r="P6" s="93" t="s">
        <v>799</v>
      </c>
      <c r="Q6" s="93" t="s">
        <v>800</v>
      </c>
      <c r="R6" s="93" t="s">
        <v>801</v>
      </c>
      <c r="S6" s="93" t="s">
        <v>675</v>
      </c>
    </row>
    <row r="7" spans="1:19" ht="17.75" x14ac:dyDescent="0.75">
      <c r="A7" s="29" t="s">
        <v>789</v>
      </c>
      <c r="B7" s="40"/>
      <c r="D7" s="31"/>
      <c r="F7" s="85"/>
      <c r="G7" s="85"/>
      <c r="H7" s="85"/>
      <c r="I7" s="31"/>
      <c r="J7" s="31"/>
      <c r="K7" s="85"/>
      <c r="L7" s="85"/>
      <c r="M7" s="85"/>
      <c r="N7" s="85"/>
      <c r="O7" s="85"/>
      <c r="P7" s="85"/>
      <c r="Q7" s="85"/>
      <c r="R7" s="85"/>
    </row>
    <row r="8" spans="1:19" ht="17.75" hidden="1" x14ac:dyDescent="0.75">
      <c r="A8" s="29"/>
      <c r="B8" s="40"/>
      <c r="C8" s="109" t="s">
        <v>815</v>
      </c>
      <c r="D8" s="96"/>
      <c r="F8" s="85"/>
      <c r="G8" s="85"/>
      <c r="H8" s="85"/>
      <c r="I8" s="31"/>
      <c r="J8" s="31"/>
      <c r="K8" s="85"/>
      <c r="L8" s="85"/>
      <c r="M8" s="85"/>
      <c r="N8" s="85"/>
      <c r="O8" s="85"/>
      <c r="P8" s="85"/>
      <c r="Q8" s="85"/>
      <c r="R8" s="85"/>
    </row>
    <row r="9" spans="1:19" ht="17.75" hidden="1" x14ac:dyDescent="0.75">
      <c r="A9" s="29"/>
      <c r="B9" s="40"/>
      <c r="D9" s="87"/>
      <c r="E9" s="100"/>
      <c r="F9" s="100"/>
      <c r="G9" s="100"/>
      <c r="H9" s="100"/>
      <c r="I9" s="100"/>
      <c r="J9" s="100"/>
      <c r="K9" s="100"/>
      <c r="L9" s="101"/>
      <c r="M9" s="100"/>
      <c r="N9" s="100"/>
      <c r="O9" s="101"/>
      <c r="P9" s="100"/>
      <c r="Q9" s="98"/>
      <c r="R9" s="98"/>
      <c r="S9" s="97"/>
    </row>
    <row r="10" spans="1:19" ht="17.75" hidden="1" x14ac:dyDescent="0.75">
      <c r="A10" s="29"/>
      <c r="B10" s="40"/>
      <c r="D10" s="87"/>
      <c r="E10" s="102"/>
      <c r="F10" s="102"/>
      <c r="G10" s="100"/>
      <c r="H10" s="102"/>
      <c r="I10" s="102"/>
      <c r="J10" s="100"/>
      <c r="K10" s="102"/>
      <c r="L10" s="101"/>
      <c r="M10" s="103"/>
      <c r="N10" s="103"/>
      <c r="O10" s="103"/>
      <c r="P10" s="104"/>
      <c r="Q10" s="87"/>
      <c r="R10" s="98"/>
      <c r="S10" s="97"/>
    </row>
    <row r="11" spans="1:19" s="31" customFormat="1" ht="17.75" x14ac:dyDescent="0.75">
      <c r="B11" s="68" t="s">
        <v>778</v>
      </c>
      <c r="C11" s="47"/>
      <c r="D11" s="86"/>
      <c r="E11" s="86"/>
      <c r="F11" s="86"/>
      <c r="G11" s="86"/>
      <c r="H11" s="86"/>
      <c r="I11" s="86"/>
      <c r="J11" s="86"/>
      <c r="K11" s="86"/>
      <c r="L11" s="86"/>
      <c r="M11" s="86"/>
      <c r="N11" s="86"/>
      <c r="O11" s="86"/>
      <c r="P11" s="86"/>
      <c r="Q11" s="86"/>
      <c r="R11" s="86"/>
    </row>
    <row r="12" spans="1:19" s="31" customFormat="1" x14ac:dyDescent="0.75">
      <c r="A12" s="48"/>
      <c r="B12" s="63" t="str">
        <f>'Revenue w MYP'!C8</f>
        <v>8011</v>
      </c>
      <c r="C12" s="63" t="str">
        <f>'Revenue w MYP'!D8</f>
        <v>LCFF; state aid portion</v>
      </c>
      <c r="D12" s="62">
        <f>IF('Revenue w MYP'!$I8="","",IF('Cash Flow %s Yr5'!D12="","",'Cash Flow %s Yr5'!D12*'Revenue w MYP'!$I8)*$D$5)</f>
        <v>0</v>
      </c>
      <c r="E12" s="62">
        <f>IF('Revenue w MYP'!$I8="","",IF('Cash Flow %s Yr5'!E12="","",'Cash Flow %s Yr5'!E12*'Revenue w MYP'!$I8)*$D$5)</f>
        <v>456774.63890428643</v>
      </c>
      <c r="F12" s="62">
        <f>IF('Revenue w MYP'!$I8="","",IF('Cash Flow %s Yr5'!F12="","",'Cash Flow %s Yr5'!F12*'Revenue w MYP'!$I8)*$D$5)</f>
        <v>456774.63890428643</v>
      </c>
      <c r="G12" s="62">
        <f>IF('Revenue w MYP'!$I8="","",IF('Cash Flow %s Yr5'!G12="","",'Cash Flow %s Yr5'!G12*'Revenue w MYP'!$I8)*$D$5)</f>
        <v>822194.35002771555</v>
      </c>
      <c r="H12" s="62">
        <f>IF('Revenue w MYP'!$I8="","",IF('Cash Flow %s Yr5'!H12="","",'Cash Flow %s Yr5'!H12*'Revenue w MYP'!$I8)*$D$5)</f>
        <v>822194.35002771555</v>
      </c>
      <c r="I12" s="62">
        <f>IF('Revenue w MYP'!$I8="","",IF('Cash Flow %s Yr5'!I12="","",'Cash Flow %s Yr5'!I12*'Revenue w MYP'!$I8)*$D$5)</f>
        <v>822194.35002771555</v>
      </c>
      <c r="J12" s="62">
        <f>IF('Revenue w MYP'!$I8="","",IF('Cash Flow %s Yr5'!J12="","",'Cash Flow %s Yr5'!J12*'Revenue w MYP'!$I8)*$D$5)</f>
        <v>822194.35002771555</v>
      </c>
      <c r="K12" s="62">
        <f>IF('Revenue w MYP'!$I8="","",IF('Cash Flow %s Yr5'!K12="","",'Cash Flow %s Yr5'!K12*'Revenue w MYP'!$I8)*$D$5)</f>
        <v>822194.35002771555</v>
      </c>
      <c r="L12" s="62">
        <f>IF('Revenue w MYP'!$I8="","",IF('Cash Flow %s Yr5'!L12="","",'Cash Flow %s Yr5'!L12*'Revenue w MYP'!$I8)*(1/$D$5))</f>
        <v>971810.27459581452</v>
      </c>
      <c r="M12" s="62">
        <f>IF('Revenue w MYP'!$I8="","",IF('Cash Flow %s Yr5'!M12="","",'Cash Flow %s Yr5'!M12*'Revenue w MYP'!$I8)*(1/$D$5))</f>
        <v>971810.27459581452</v>
      </c>
      <c r="N12" s="62">
        <f>IF('Revenue w MYP'!$I8="","",IF('Cash Flow %s Yr5'!N12="","",'Cash Flow %s Yr5'!N12*'Revenue w MYP'!$I8)*(1/$D$5))</f>
        <v>971810.27459581452</v>
      </c>
      <c r="O12" s="62">
        <f>IF('Revenue w MYP'!$I8="","",IF('Cash Flow %s Yr5'!O12="","",'Cash Flow %s Yr5'!O12*'Revenue w MYP'!$I8)*(1/$D$5))</f>
        <v>971810.27459581452</v>
      </c>
      <c r="P12" s="62">
        <f>IF('Revenue w MYP'!$I8="","",IF('Cash Flow %s Yr5'!P12="","",'Revenue w MYP'!I8-SUM('Cash Flow $s Yr5'!D12:O12)))</f>
        <v>1020209.6736695915</v>
      </c>
      <c r="Q12" s="62"/>
      <c r="R12" s="62"/>
      <c r="S12" s="97">
        <f>IF(SUM(D12:R12)&gt;0,SUM(D12:R12)/'Revenue w MYP'!$I8,"")</f>
        <v>1</v>
      </c>
    </row>
    <row r="13" spans="1:19" s="31" customFormat="1" x14ac:dyDescent="0.75">
      <c r="A13" s="48"/>
      <c r="B13" s="63" t="str">
        <f>'Revenue w MYP'!C9</f>
        <v>8012</v>
      </c>
      <c r="C13" s="63" t="str">
        <f>'Revenue w MYP'!D9</f>
        <v>LCFF; EPA portion</v>
      </c>
      <c r="D13" s="62">
        <f>IF('Revenue w MYP'!$I9="","",IF('Cash Flow %s Yr5'!D13="","",'Cash Flow %s Yr5'!D13*'Revenue w MYP'!$I9)*$D$5)</f>
        <v>0</v>
      </c>
      <c r="E13" s="62">
        <f>IF('Revenue w MYP'!$I9="","",IF('Cash Flow %s Yr5'!E13="","",'Cash Flow %s Yr5'!E13*'Revenue w MYP'!$I9)*$D$5)</f>
        <v>0</v>
      </c>
      <c r="F13" s="62">
        <f>IF('Revenue w MYP'!$I9="","",IF('Cash Flow %s Yr5'!F13="","",'Cash Flow %s Yr5'!F13*'Revenue w MYP'!$I9)*$D$5)</f>
        <v>0</v>
      </c>
      <c r="G13" s="62">
        <f>IF('Revenue w MYP'!$I9="","",IF('Cash Flow %s Yr5'!G13="","",'Cash Flow %s Yr5'!G13*'Revenue w MYP'!$I9)*$D$5)</f>
        <v>40778.060000000005</v>
      </c>
      <c r="H13" s="62">
        <f>IF('Revenue w MYP'!$I9="","",IF('Cash Flow %s Yr5'!H13="","",'Cash Flow %s Yr5'!H13*'Revenue w MYP'!$I9)*$D$5)</f>
        <v>0</v>
      </c>
      <c r="I13" s="62">
        <f>IF('Revenue w MYP'!$I9="","",IF('Cash Flow %s Yr5'!I13="","",'Cash Flow %s Yr5'!I13*'Revenue w MYP'!$I9)*$D$5)</f>
        <v>0</v>
      </c>
      <c r="J13" s="62">
        <f>IF('Revenue w MYP'!$I9="","",IF('Cash Flow %s Yr5'!J13="","",'Cash Flow %s Yr5'!J13*'Revenue w MYP'!$I9)*$D$5)</f>
        <v>40778.060000000005</v>
      </c>
      <c r="K13" s="62">
        <f>IF('Revenue w MYP'!$I9="","",IF('Cash Flow %s Yr5'!K13="","",'Cash Flow %s Yr5'!K13*'Revenue w MYP'!$I9)*$D$5)</f>
        <v>0</v>
      </c>
      <c r="L13" s="62">
        <f>IF('Revenue w MYP'!$I9="","",IF('Cash Flow %s Yr5'!L13="","",'Cash Flow %s Yr5'!L13*'Revenue w MYP'!$I9)*(1/$D$5))</f>
        <v>0</v>
      </c>
      <c r="M13" s="62">
        <f>IF('Revenue w MYP'!$I9="","",IF('Cash Flow %s Yr5'!M13="","",'Cash Flow %s Yr5'!M13*'Revenue w MYP'!$I9)*(1/$D$5))</f>
        <v>48198.504021280081</v>
      </c>
      <c r="N13" s="62">
        <f>IF('Revenue w MYP'!$I9="","",IF('Cash Flow %s Yr5'!N13="","",'Cash Flow %s Yr5'!N13*'Revenue w MYP'!$I9)*(1/$D$5))</f>
        <v>0</v>
      </c>
      <c r="O13" s="62">
        <f>IF('Revenue w MYP'!$I9="","",IF('Cash Flow %s Yr5'!O13="","",'Cash Flow %s Yr5'!O13*'Revenue w MYP'!$I9)*(1/$D$5))</f>
        <v>0</v>
      </c>
      <c r="P13" s="62">
        <f>IF('Revenue w MYP'!$I9="","",IF('Cash Flow %s Yr5'!P13="","",'Revenue w MYP'!I9-SUM('Cash Flow $s Yr5'!D13:O13)))</f>
        <v>47578.575978719949</v>
      </c>
      <c r="Q13" s="62"/>
      <c r="R13" s="62"/>
      <c r="S13" s="97">
        <f>IF(SUM(D13:R13)&gt;0,SUM(D13:R13)/'Revenue w MYP'!$I9,"")</f>
        <v>1</v>
      </c>
    </row>
    <row r="14" spans="1:19" s="31" customFormat="1" x14ac:dyDescent="0.75">
      <c r="A14" s="48"/>
      <c r="B14" s="63" t="str">
        <f>'Revenue w MYP'!C10</f>
        <v>8096</v>
      </c>
      <c r="C14" s="63" t="str">
        <f>'Revenue w MYP'!D10</f>
        <v>In-Lieu of Property Taxes, all grades</v>
      </c>
      <c r="D14" s="62">
        <f>IF('Revenue w MYP'!$I10="","",IF('Cash Flow %s Yr5'!D14="","",'Cash Flow %s Yr5'!D14*'Revenue w MYP'!$I10)*$D$5)</f>
        <v>0</v>
      </c>
      <c r="E14" s="62">
        <f>IF('Revenue w MYP'!$I10="","",IF('Cash Flow %s Yr5'!E14="","",'Cash Flow %s Yr5'!E14*'Revenue w MYP'!$I10)*$D$5)</f>
        <v>26689.403382240002</v>
      </c>
      <c r="F14" s="62">
        <f>IF('Revenue w MYP'!$I10="","",IF('Cash Flow %s Yr5'!F14="","",'Cash Flow %s Yr5'!F14*'Revenue w MYP'!$I10)*$D$5)</f>
        <v>53378.806764480003</v>
      </c>
      <c r="G14" s="62">
        <f>IF('Revenue w MYP'!$I10="","",IF('Cash Flow %s Yr5'!G14="","",'Cash Flow %s Yr5'!G14*'Revenue w MYP'!$I10)*$D$5)</f>
        <v>35585.871176320004</v>
      </c>
      <c r="H14" s="62">
        <f>IF('Revenue w MYP'!$I10="","",IF('Cash Flow %s Yr5'!H14="","",'Cash Flow %s Yr5'!H14*'Revenue w MYP'!$I10)*$D$5)</f>
        <v>35585.871176320004</v>
      </c>
      <c r="I14" s="62">
        <f>IF('Revenue w MYP'!$I10="","",IF('Cash Flow %s Yr5'!I14="","",'Cash Flow %s Yr5'!I14*'Revenue w MYP'!$I10)*$D$5)</f>
        <v>35585.871176320004</v>
      </c>
      <c r="J14" s="62">
        <f>IF('Revenue w MYP'!$I10="","",IF('Cash Flow %s Yr5'!J14="","",'Cash Flow %s Yr5'!J14*'Revenue w MYP'!$I10)*$D$5)</f>
        <v>35585.871176320004</v>
      </c>
      <c r="K14" s="62">
        <f>IF('Revenue w MYP'!$I10="","",IF('Cash Flow %s Yr5'!K14="","",'Cash Flow %s Yr5'!K14*'Revenue w MYP'!$I10)*$D$5)</f>
        <v>35585.871176320004</v>
      </c>
      <c r="L14" s="62">
        <f>IF('Revenue w MYP'!$I10="","",IF('Cash Flow %s Yr5'!L14="","",'Cash Flow %s Yr5'!L14*'Revenue w MYP'!$I10)*(1/$D$5))</f>
        <v>73607.598577202429</v>
      </c>
      <c r="M14" s="62">
        <f>IF('Revenue w MYP'!$I10="","",IF('Cash Flow %s Yr5'!M14="","",'Cash Flow %s Yr5'!M14*'Revenue w MYP'!$I10)*(1/$D$5))</f>
        <v>36803.799288601214</v>
      </c>
      <c r="N14" s="62">
        <f>IF('Revenue w MYP'!$I10="","",IF('Cash Flow %s Yr5'!N14="","",'Cash Flow %s Yr5'!N14*'Revenue w MYP'!$I10)*(1/$D$5))</f>
        <v>36803.799288601214</v>
      </c>
      <c r="O14" s="62">
        <f>IF('Revenue w MYP'!$I10="","",IF('Cash Flow %s Yr5'!O14="","",'Cash Flow %s Yr5'!O14*'Revenue w MYP'!$I10)*(1/$D$5))</f>
        <v>36803.799288601214</v>
      </c>
      <c r="P14" s="62">
        <f>IF('Revenue w MYP'!$I10="","",IF('Cash Flow %s Yr5'!P14="","",'Revenue w MYP'!I10-SUM('Cash Flow $s Yr5'!D14:O14)))</f>
        <v>41588.807248673984</v>
      </c>
      <c r="Q14" s="62"/>
      <c r="R14" s="62"/>
      <c r="S14" s="97">
        <f>IF(SUM(D14:R14)&gt;0,SUM(D14:R14)/'Revenue w MYP'!$I10,"")</f>
        <v>1</v>
      </c>
    </row>
    <row r="15" spans="1:19" s="31" customFormat="1" x14ac:dyDescent="0.75">
      <c r="A15" s="48"/>
      <c r="B15" s="63" t="str">
        <f>'Revenue w MYP'!C11</f>
        <v>8019</v>
      </c>
      <c r="C15" s="63" t="str">
        <f>'Revenue w MYP'!D11</f>
        <v>Prior Year Income / Adjustments</v>
      </c>
      <c r="D15" s="62">
        <f>'Cash Flow $s Yr4'!P156</f>
        <v>1506107.9845894102</v>
      </c>
      <c r="E15" s="62">
        <f>'Cash Flow $s Yr4'!Q156</f>
        <v>0</v>
      </c>
      <c r="F15" s="62">
        <f>'Cash Flow $s Yr4'!R156</f>
        <v>0</v>
      </c>
      <c r="G15" s="62" t="str">
        <f>IF('Revenue w MYP'!$I11="","",IF('Cash Flow %s Yr5'!G15="","",'Cash Flow %s Yr5'!G15*'Revenue w MYP'!$I11))</f>
        <v/>
      </c>
      <c r="H15" s="62" t="str">
        <f>IF('Revenue w MYP'!$I11="","",IF('Cash Flow %s Yr5'!H15="","",'Cash Flow %s Yr5'!H15*'Revenue w MYP'!$I11))</f>
        <v/>
      </c>
      <c r="I15" s="62" t="str">
        <f>IF('Revenue w MYP'!$I11="","",IF('Cash Flow %s Yr5'!I15="","",'Cash Flow %s Yr5'!I15*'Revenue w MYP'!$I11))</f>
        <v/>
      </c>
      <c r="J15" s="62" t="str">
        <f>IF('Revenue w MYP'!$I11="","",IF('Cash Flow %s Yr5'!J15="","",'Cash Flow %s Yr5'!J15*'Revenue w MYP'!$I11))</f>
        <v/>
      </c>
      <c r="K15" s="62" t="str">
        <f>IF('Revenue w MYP'!$I11="","",IF('Cash Flow %s Yr5'!K15="","",'Cash Flow %s Yr5'!K15*'Revenue w MYP'!$I11))</f>
        <v/>
      </c>
      <c r="L15" s="62" t="str">
        <f>IF('Revenue w MYP'!$I11="","",IF('Cash Flow %s Yr5'!L15="","",'Cash Flow %s Yr5'!L15*'Revenue w MYP'!$I11))</f>
        <v/>
      </c>
      <c r="M15" s="62" t="str">
        <f>IF('Revenue w MYP'!$I11="","",IF('Cash Flow %s Yr5'!M15="","",'Cash Flow %s Yr5'!M15*'Revenue w MYP'!$I11))</f>
        <v/>
      </c>
      <c r="N15" s="62" t="str">
        <f>IF('Revenue w MYP'!$I11="","",IF('Cash Flow %s Yr5'!N15="","",'Cash Flow %s Yr5'!N15*'Revenue w MYP'!$I11))</f>
        <v/>
      </c>
      <c r="O15" s="62" t="str">
        <f>IF('Revenue w MYP'!$I11="","",IF('Cash Flow %s Yr5'!O15="","",'Cash Flow %s Yr5'!O15*'Revenue w MYP'!$I11))</f>
        <v/>
      </c>
      <c r="P15" s="62" t="str">
        <f>IF('Revenue w MYP'!$I11="","",IF('Cash Flow %s Yr5'!P15="","",'Cash Flow %s Yr5'!P15*'Revenue w MYP'!$I11))</f>
        <v/>
      </c>
      <c r="Q15" s="62" t="str">
        <f>IF('Revenue w MYP'!$I11="","",IF('Cash Flow %s Yr5'!Q15="","",'Cash Flow %s Yr5'!Q15*'Revenue w MYP'!$I11))</f>
        <v/>
      </c>
      <c r="R15" s="62" t="str">
        <f>IF('Revenue w MYP'!$I11="","",IF('Cash Flow %s Yr5'!R15="","",'Cash Flow %s Yr5'!R15*'Revenue w MYP'!$I11))</f>
        <v/>
      </c>
      <c r="S15" s="97" t="e">
        <f>IF(SUM(D15:R15)&gt;0,SUM(D15:R15)/'Revenue w MYP'!$I11,"")</f>
        <v>#DIV/0!</v>
      </c>
    </row>
    <row r="16" spans="1:19" s="31" customFormat="1" x14ac:dyDescent="0.75">
      <c r="A16" s="48"/>
      <c r="B16" s="63" t="str">
        <f>'Revenue w MYP'!C12</f>
        <v>8520</v>
      </c>
      <c r="C16" s="63" t="str">
        <f>'Revenue w MYP'!D12</f>
        <v>State Child Nutrition program</v>
      </c>
      <c r="D16" s="62" t="str">
        <f>IF('Revenue w MYP'!$I12="","",IF('Cash Flow %s Yr5'!D16="","",'Cash Flow %s Yr5'!D16*'Revenue w MYP'!$I12))</f>
        <v/>
      </c>
      <c r="E16" s="62" t="str">
        <f>IF('Revenue w MYP'!$I12="","",IF('Cash Flow %s Yr5'!E16="","",'Cash Flow %s Yr5'!E16*'Revenue w MYP'!$I12))</f>
        <v/>
      </c>
      <c r="F16" s="62" t="str">
        <f>IF('Revenue w MYP'!$I12="","",IF('Cash Flow %s Yr5'!F16="","",'Cash Flow %s Yr5'!F16*'Revenue w MYP'!$I12))</f>
        <v/>
      </c>
      <c r="G16" s="62" t="str">
        <f>IF('Revenue w MYP'!$I12="","",IF('Cash Flow %s Yr5'!G16="","",'Cash Flow %s Yr5'!G16*'Revenue w MYP'!$I12))</f>
        <v/>
      </c>
      <c r="H16" s="62" t="str">
        <f>IF('Revenue w MYP'!$I12="","",IF('Cash Flow %s Yr5'!H16="","",'Cash Flow %s Yr5'!H16*'Revenue w MYP'!$I12))</f>
        <v/>
      </c>
      <c r="I16" s="62" t="str">
        <f>IF('Revenue w MYP'!$I12="","",IF('Cash Flow %s Yr5'!I16="","",'Cash Flow %s Yr5'!I16*'Revenue w MYP'!$I12))</f>
        <v/>
      </c>
      <c r="J16" s="62" t="str">
        <f>IF('Revenue w MYP'!$I12="","",IF('Cash Flow %s Yr5'!J16="","",'Cash Flow %s Yr5'!J16*'Revenue w MYP'!$I12))</f>
        <v/>
      </c>
      <c r="K16" s="62" t="str">
        <f>IF('Revenue w MYP'!$I12="","",IF('Cash Flow %s Yr5'!K16="","",'Cash Flow %s Yr5'!K16*'Revenue w MYP'!$I12))</f>
        <v/>
      </c>
      <c r="L16" s="62" t="str">
        <f>IF('Revenue w MYP'!$I12="","",IF('Cash Flow %s Yr5'!L16="","",'Cash Flow %s Yr5'!L16*'Revenue w MYP'!$I12))</f>
        <v/>
      </c>
      <c r="M16" s="62" t="str">
        <f>IF('Revenue w MYP'!$I12="","",IF('Cash Flow %s Yr5'!M16="","",'Cash Flow %s Yr5'!M16*'Revenue w MYP'!$I12))</f>
        <v/>
      </c>
      <c r="N16" s="62" t="str">
        <f>IF('Revenue w MYP'!$I12="","",IF('Cash Flow %s Yr5'!N16="","",'Cash Flow %s Yr5'!N16*'Revenue w MYP'!$I12))</f>
        <v/>
      </c>
      <c r="O16" s="62" t="str">
        <f>IF('Revenue w MYP'!$I12="","",IF('Cash Flow %s Yr5'!O16="","",'Cash Flow %s Yr5'!O16*'Revenue w MYP'!$I12))</f>
        <v/>
      </c>
      <c r="P16" s="62" t="str">
        <f>IF('Revenue w MYP'!$I12="","",IF('Cash Flow %s Yr5'!P16="","",'Cash Flow %s Yr5'!P16*'Revenue w MYP'!$I12))</f>
        <v/>
      </c>
      <c r="Q16" s="62" t="str">
        <f>IF('Revenue w MYP'!$I12="","",IF('Cash Flow %s Yr5'!Q16="","",'Cash Flow %s Yr5'!Q16*'Revenue w MYP'!$I12))</f>
        <v/>
      </c>
      <c r="R16" s="62" t="str">
        <f>IF('Revenue w MYP'!$I12="","",IF('Cash Flow %s Yr5'!R16="","",'Cash Flow %s Yr5'!R16*'Revenue w MYP'!$I12))</f>
        <v/>
      </c>
      <c r="S16" s="97" t="str">
        <f>IF(SUM(D16:R16)&gt;0,SUM(D16:R16)/'Revenue w MYP'!$I12,"")</f>
        <v/>
      </c>
    </row>
    <row r="17" spans="1:19" s="31" customFormat="1" x14ac:dyDescent="0.75">
      <c r="A17" s="48"/>
      <c r="B17" s="63" t="str">
        <f>'Revenue w MYP'!C14</f>
        <v>8560</v>
      </c>
      <c r="C17" s="63" t="str">
        <f>'Revenue w MYP'!D14</f>
        <v>Restricted Lottery</v>
      </c>
      <c r="D17" s="62" t="str">
        <f>IF('Revenue w MYP'!$I14="","",IF('Cash Flow %s Yr5'!D17="","",'Cash Flow %s Yr5'!D17*'Revenue w MYP'!$I14))</f>
        <v/>
      </c>
      <c r="E17" s="62" t="str">
        <f>IF('Revenue w MYP'!$I14="","",IF('Cash Flow %s Yr5'!E17="","",'Cash Flow %s Yr5'!E17*'Revenue w MYP'!$I14))</f>
        <v/>
      </c>
      <c r="F17" s="62">
        <f>IF('Revenue w MYP'!$I14="","",IF('Cash Flow %s Yr5'!F17="","",'Cash Flow %s Yr5'!F17*'Revenue w MYP'!$I14))</f>
        <v>0</v>
      </c>
      <c r="G17" s="62" t="str">
        <f>IF('Revenue w MYP'!$I14="","",IF('Cash Flow %s Yr5'!G17="","",'Cash Flow %s Yr5'!G17*'Revenue w MYP'!$I14))</f>
        <v/>
      </c>
      <c r="H17" s="62" t="str">
        <f>IF('Revenue w MYP'!$I14="","",IF('Cash Flow %s Yr5'!H17="","",'Cash Flow %s Yr5'!H17*'Revenue w MYP'!$I14))</f>
        <v/>
      </c>
      <c r="I17" s="62">
        <f>IF('Revenue w MYP'!$I14="","",IF('Cash Flow %s Yr5'!I17="","",'Cash Flow %s Yr5'!I17*'Revenue w MYP'!$I14))</f>
        <v>0</v>
      </c>
      <c r="J17" s="62" t="str">
        <f>IF('Revenue w MYP'!$I14="","",IF('Cash Flow %s Yr5'!J17="","",'Cash Flow %s Yr5'!J17*'Revenue w MYP'!$I14))</f>
        <v/>
      </c>
      <c r="K17" s="62" t="str">
        <f>IF('Revenue w MYP'!$I14="","",IF('Cash Flow %s Yr5'!K17="","",'Cash Flow %s Yr5'!K17*'Revenue w MYP'!$I14))</f>
        <v/>
      </c>
      <c r="L17" s="62">
        <f>IF('Revenue w MYP'!$I14="","",IF('Cash Flow %s Yr5'!L17="","",'Cash Flow %s Yr5'!L17*'Revenue w MYP'!$I14))</f>
        <v>0</v>
      </c>
      <c r="M17" s="62" t="str">
        <f>IF('Revenue w MYP'!$I14="","",IF('Cash Flow %s Yr5'!M17="","",'Cash Flow %s Yr5'!M17*'Revenue w MYP'!$I14))</f>
        <v/>
      </c>
      <c r="N17" s="62" t="str">
        <f>IF('Revenue w MYP'!$I14="","",IF('Cash Flow %s Yr5'!N17="","",'Cash Flow %s Yr5'!N17*'Revenue w MYP'!$I14))</f>
        <v/>
      </c>
      <c r="O17" s="62">
        <f>IF('Revenue w MYP'!$I14="","",IF('Cash Flow %s Yr5'!O17="","",'Cash Flow %s Yr5'!O17*'Revenue w MYP'!$I14))</f>
        <v>0</v>
      </c>
      <c r="P17" s="62" t="str">
        <f>IF('Revenue w MYP'!$I14="","",IF('Cash Flow %s Yr5'!P17="","",'Cash Flow %s Yr5'!P17*'Revenue w MYP'!$I14))</f>
        <v/>
      </c>
      <c r="Q17" s="62" t="str">
        <f>IF('Revenue w MYP'!$I14="","",IF('Cash Flow %s Yr5'!Q17="","",'Cash Flow %s Yr5'!Q17*'Revenue w MYP'!$I14))</f>
        <v/>
      </c>
      <c r="R17" s="62">
        <f>IF('Revenue w MYP'!$I14="","",IF('Cash Flow %s Yr5'!R17="","",'Cash Flow %s Yr5'!R17*'Revenue w MYP'!$I14))</f>
        <v>0</v>
      </c>
      <c r="S17" s="97" t="str">
        <f>IF(SUM(D17:R17)&gt;0,SUM(D17:R17)/'Revenue w MYP'!$I14,"")</f>
        <v/>
      </c>
    </row>
    <row r="18" spans="1:19" s="31" customFormat="1" x14ac:dyDescent="0.75">
      <c r="A18" s="47"/>
      <c r="B18" s="63" t="str">
        <f>'Revenue w MYP'!C15</f>
        <v>8550</v>
      </c>
      <c r="C18" s="63" t="str">
        <f>'Revenue w MYP'!D15</f>
        <v>Mandate Block Grant</v>
      </c>
      <c r="D18" s="62">
        <f>IF('Revenue w MYP'!$I15="","",IF('Cash Flow %s Yr5'!D18="","",'Cash Flow %s Yr5'!D18*'Revenue w MYP'!$I15))</f>
        <v>0</v>
      </c>
      <c r="E18" s="62">
        <f>IF('Revenue w MYP'!$I15="","",IF('Cash Flow %s Yr5'!E18="","",'Cash Flow %s Yr5'!E18*'Revenue w MYP'!$I15))</f>
        <v>0</v>
      </c>
      <c r="F18" s="62">
        <f>IF('Revenue w MYP'!$I15="","",IF('Cash Flow %s Yr5'!F18="","",'Cash Flow %s Yr5'!F18*'Revenue w MYP'!$I15))</f>
        <v>0</v>
      </c>
      <c r="G18" s="62">
        <f>IF('Revenue w MYP'!$I15="","",IF('Cash Flow %s Yr5'!G18="","",'Cash Flow %s Yr5'!G18*'Revenue w MYP'!$I15))</f>
        <v>2580.4133370000004</v>
      </c>
      <c r="H18" s="62">
        <f>IF('Revenue w MYP'!$I15="","",IF('Cash Flow %s Yr5'!H18="","",'Cash Flow %s Yr5'!H18*'Revenue w MYP'!$I15))</f>
        <v>2580.4133370000004</v>
      </c>
      <c r="I18" s="62">
        <f>IF('Revenue w MYP'!$I15="","",IF('Cash Flow %s Yr5'!I18="","",'Cash Flow %s Yr5'!I18*'Revenue w MYP'!$I15))</f>
        <v>2580.4133370000004</v>
      </c>
      <c r="J18" s="62">
        <f>IF('Revenue w MYP'!$I15="","",IF('Cash Flow %s Yr5'!J18="","",'Cash Flow %s Yr5'!J18*'Revenue w MYP'!$I15))</f>
        <v>2580.4133370000004</v>
      </c>
      <c r="K18" s="62">
        <f>IF('Revenue w MYP'!$I15="","",IF('Cash Flow %s Yr5'!K18="","",'Cash Flow %s Yr5'!K18*'Revenue w MYP'!$I15))</f>
        <v>2580.4133370000004</v>
      </c>
      <c r="L18" s="62">
        <f>IF('Revenue w MYP'!$I15="","",IF('Cash Flow %s Yr5'!L18="","",'Cash Flow %s Yr5'!L18*'Revenue w MYP'!$I15))</f>
        <v>2580.4133370000004</v>
      </c>
      <c r="M18" s="62">
        <f>IF('Revenue w MYP'!$I15="","",IF('Cash Flow %s Yr5'!M18="","",'Cash Flow %s Yr5'!M18*'Revenue w MYP'!$I15))</f>
        <v>2580.4133370000004</v>
      </c>
      <c r="N18" s="62">
        <f>IF('Revenue w MYP'!$I15="","",IF('Cash Flow %s Yr5'!N18="","",'Cash Flow %s Yr5'!N18*'Revenue w MYP'!$I15))</f>
        <v>2580.4133370000004</v>
      </c>
      <c r="O18" s="62">
        <f>IF('Revenue w MYP'!$I15="","",IF('Cash Flow %s Yr5'!O18="","",'Cash Flow %s Yr5'!O18*'Revenue w MYP'!$I15))</f>
        <v>2580.4133370000004</v>
      </c>
      <c r="P18" s="62">
        <f>IF('Revenue w MYP'!$I15="","",IF('Cash Flow %s Yr5'!P18="","",'Cash Flow %s Yr5'!P18*'Revenue w MYP'!$I15))</f>
        <v>2580.4133370000004</v>
      </c>
      <c r="Q18" s="62">
        <f>IF('Revenue w MYP'!$I15="","",IF('Cash Flow %s Yr5'!Q18="","",'Cash Flow %s Yr5'!Q18*'Revenue w MYP'!$I15))</f>
        <v>0</v>
      </c>
      <c r="R18" s="62">
        <f>IF('Revenue w MYP'!$I15="","",IF('Cash Flow %s Yr5'!R18="","",'Cash Flow %s Yr5'!R18*'Revenue w MYP'!$I15))</f>
        <v>0</v>
      </c>
      <c r="S18" s="97">
        <f>IF(SUM(D18:R18)&gt;0,SUM(D18:R18)/'Revenue w MYP'!$I15,"")</f>
        <v>1.0000000000000002</v>
      </c>
    </row>
    <row r="19" spans="1:19" s="31" customFormat="1" x14ac:dyDescent="0.75">
      <c r="A19" s="48"/>
      <c r="B19" s="63" t="str">
        <f>'Revenue w MYP'!C17</f>
        <v>8590</v>
      </c>
      <c r="C19" s="63" t="str">
        <f>'Revenue w MYP'!D17</f>
        <v>CSEPDBG</v>
      </c>
      <c r="D19" s="62" t="str">
        <f>IF('Revenue w MYP'!$I17="","",IF('Cash Flow %s Yr5'!D19="","",'Cash Flow %s Yr5'!D19*'Revenue w MYP'!$I17))</f>
        <v/>
      </c>
      <c r="E19" s="62" t="str">
        <f>IF('Revenue w MYP'!$I17="","",IF('Cash Flow %s Yr5'!E19="","",'Cash Flow %s Yr5'!E19*'Revenue w MYP'!$I17))</f>
        <v/>
      </c>
      <c r="F19" s="62" t="str">
        <f>IF('Revenue w MYP'!$I17="","",IF('Cash Flow %s Yr5'!F19="","",'Cash Flow %s Yr5'!F19*'Revenue w MYP'!$I17))</f>
        <v/>
      </c>
      <c r="G19" s="62" t="str">
        <f>IF('Revenue w MYP'!$I17="","",IF('Cash Flow %s Yr5'!G19="","",'Cash Flow %s Yr5'!G19*'Revenue w MYP'!$I17))</f>
        <v/>
      </c>
      <c r="H19" s="62" t="str">
        <f>IF('Revenue w MYP'!$I17="","",IF('Cash Flow %s Yr5'!H19="","",'Cash Flow %s Yr5'!H19*'Revenue w MYP'!$I17))</f>
        <v/>
      </c>
      <c r="I19" s="62" t="str">
        <f>IF('Revenue w MYP'!$I17="","",IF('Cash Flow %s Yr5'!I19="","",'Cash Flow %s Yr5'!I19*'Revenue w MYP'!$I17))</f>
        <v/>
      </c>
      <c r="J19" s="62" t="str">
        <f>IF('Revenue w MYP'!$I17="","",IF('Cash Flow %s Yr5'!J19="","",'Cash Flow %s Yr5'!J19*'Revenue w MYP'!$I17))</f>
        <v/>
      </c>
      <c r="K19" s="62" t="str">
        <f>IF('Revenue w MYP'!$I17="","",IF('Cash Flow %s Yr5'!K19="","",'Cash Flow %s Yr5'!K19*'Revenue w MYP'!$I17))</f>
        <v/>
      </c>
      <c r="L19" s="62" t="str">
        <f>IF('Revenue w MYP'!$I17="","",IF('Cash Flow %s Yr5'!L19="","",'Cash Flow %s Yr5'!L19*'Revenue w MYP'!$I17))</f>
        <v/>
      </c>
      <c r="M19" s="62" t="str">
        <f>IF('Revenue w MYP'!$I17="","",IF('Cash Flow %s Yr5'!M19="","",'Cash Flow %s Yr5'!M19*'Revenue w MYP'!$I17))</f>
        <v/>
      </c>
      <c r="N19" s="62" t="str">
        <f>IF('Revenue w MYP'!$I17="","",IF('Cash Flow %s Yr5'!N19="","",'Cash Flow %s Yr5'!N19*'Revenue w MYP'!$I17))</f>
        <v/>
      </c>
      <c r="O19" s="62" t="str">
        <f>IF('Revenue w MYP'!$I17="","",IF('Cash Flow %s Yr5'!O19="","",'Cash Flow %s Yr5'!O19*'Revenue w MYP'!$I17))</f>
        <v/>
      </c>
      <c r="P19" s="62" t="str">
        <f>IF('Revenue w MYP'!$I17="","",IF('Cash Flow %s Yr5'!P19="","",'Cash Flow %s Yr5'!P19*'Revenue w MYP'!$I17))</f>
        <v/>
      </c>
      <c r="Q19" s="62" t="str">
        <f>IF('Revenue w MYP'!$I17="","",IF('Cash Flow %s Yr5'!Q19="","",'Cash Flow %s Yr5'!Q19*'Revenue w MYP'!$I17))</f>
        <v/>
      </c>
      <c r="R19" s="62" t="str">
        <f>IF('Revenue w MYP'!$I17="","",IF('Cash Flow %s Yr5'!R19="","",'Cash Flow %s Yr5'!R19*'Revenue w MYP'!$I17))</f>
        <v/>
      </c>
      <c r="S19" s="97" t="str">
        <f>IF(SUM(D19:R19)&gt;0,SUM(D19:R19)/'Revenue w MYP'!$I17,"")</f>
        <v/>
      </c>
    </row>
    <row r="20" spans="1:19" s="31" customFormat="1" ht="17.75" x14ac:dyDescent="0.75">
      <c r="A20" s="29"/>
      <c r="B20" s="63" t="str">
        <f>'Revenue w MYP'!C18</f>
        <v>8550</v>
      </c>
      <c r="C20" s="63" t="str">
        <f>'Revenue w MYP'!D18</f>
        <v>One Time Mandate Block Grant</v>
      </c>
      <c r="D20" s="62" t="str">
        <f>IF('Revenue w MYP'!$I18="","",IF('Cash Flow %s Yr5'!D20="","",'Cash Flow %s Yr5'!D20*'Revenue w MYP'!$I18))</f>
        <v/>
      </c>
      <c r="E20" s="62" t="str">
        <f>IF('Revenue w MYP'!$I18="","",IF('Cash Flow %s Yr5'!E20="","",'Cash Flow %s Yr5'!E20*'Revenue w MYP'!$I18))</f>
        <v/>
      </c>
      <c r="F20" s="62" t="str">
        <f>IF('Revenue w MYP'!$I18="","",IF('Cash Flow %s Yr5'!F20="","",'Cash Flow %s Yr5'!F20*'Revenue w MYP'!$I18))</f>
        <v/>
      </c>
      <c r="G20" s="62" t="str">
        <f>IF('Revenue w MYP'!$I18="","",IF('Cash Flow %s Yr5'!G20="","",'Cash Flow %s Yr5'!G20*'Revenue w MYP'!$I18))</f>
        <v/>
      </c>
      <c r="H20" s="62" t="str">
        <f>IF('Revenue w MYP'!$I18="","",IF('Cash Flow %s Yr5'!H20="","",'Cash Flow %s Yr5'!H20*'Revenue w MYP'!$I18))</f>
        <v/>
      </c>
      <c r="I20" s="62" t="str">
        <f>IF('Revenue w MYP'!$I18="","",IF('Cash Flow %s Yr5'!I20="","",'Cash Flow %s Yr5'!I20*'Revenue w MYP'!$I18))</f>
        <v/>
      </c>
      <c r="J20" s="62" t="str">
        <f>IF('Revenue w MYP'!$I18="","",IF('Cash Flow %s Yr5'!J20="","",'Cash Flow %s Yr5'!J20*'Revenue w MYP'!$I18))</f>
        <v/>
      </c>
      <c r="K20" s="62" t="str">
        <f>IF('Revenue w MYP'!$I18="","",IF('Cash Flow %s Yr5'!K20="","",'Cash Flow %s Yr5'!K20*'Revenue w MYP'!$I18))</f>
        <v/>
      </c>
      <c r="L20" s="62" t="str">
        <f>IF('Revenue w MYP'!$I18="","",IF('Cash Flow %s Yr5'!L20="","",'Cash Flow %s Yr5'!L20*'Revenue w MYP'!$I18))</f>
        <v/>
      </c>
      <c r="M20" s="62" t="str">
        <f>IF('Revenue w MYP'!$I18="","",IF('Cash Flow %s Yr5'!M20="","",'Cash Flow %s Yr5'!M20*'Revenue w MYP'!$I18))</f>
        <v/>
      </c>
      <c r="N20" s="62" t="str">
        <f>IF('Revenue w MYP'!$I18="","",IF('Cash Flow %s Yr5'!N20="","",'Cash Flow %s Yr5'!N20*'Revenue w MYP'!$I18))</f>
        <v/>
      </c>
      <c r="O20" s="62" t="str">
        <f>IF('Revenue w MYP'!$I18="","",IF('Cash Flow %s Yr5'!O20="","",'Cash Flow %s Yr5'!O20*'Revenue w MYP'!$I18))</f>
        <v/>
      </c>
      <c r="P20" s="62" t="str">
        <f>IF('Revenue w MYP'!$I18="","",IF('Cash Flow %s Yr5'!P20="","",'Cash Flow %s Yr5'!P20*'Revenue w MYP'!$I18))</f>
        <v/>
      </c>
      <c r="Q20" s="62" t="str">
        <f>IF('Revenue w MYP'!$I18="","",IF('Cash Flow %s Yr5'!Q20="","",'Cash Flow %s Yr5'!Q20*'Revenue w MYP'!$I18))</f>
        <v/>
      </c>
      <c r="R20" s="62" t="str">
        <f>IF('Revenue w MYP'!$I18="","",IF('Cash Flow %s Yr5'!R20="","",'Cash Flow %s Yr5'!R20*'Revenue w MYP'!$I18))</f>
        <v/>
      </c>
      <c r="S20" s="97" t="str">
        <f>IF(SUM(D20:R20)&gt;0,SUM(D20:R20)/'Revenue w MYP'!$I18,"")</f>
        <v/>
      </c>
    </row>
    <row r="21" spans="1:19" s="31" customFormat="1" ht="17.75" x14ac:dyDescent="0.75">
      <c r="A21" s="29"/>
      <c r="B21" s="63" t="str">
        <f>'Revenue w MYP'!C19</f>
        <v>8599</v>
      </c>
      <c r="C21" s="63" t="str">
        <f>'Revenue w MYP'!D19</f>
        <v>Prior Year State Income</v>
      </c>
      <c r="D21" s="62">
        <f>IF('Revenue w MYP'!$I19="","",IF('Cash Flow %s Yr5'!D21="","",'Cash Flow %s Yr5'!D21*'Revenue w MYP'!$I19))</f>
        <v>0</v>
      </c>
      <c r="E21" s="62">
        <f>IF('Revenue w MYP'!$I19="","",IF('Cash Flow %s Yr5'!E21="","",'Cash Flow %s Yr5'!E21*'Revenue w MYP'!$I19))</f>
        <v>0</v>
      </c>
      <c r="F21" s="62">
        <f>IF('Revenue w MYP'!$I19="","",IF('Cash Flow %s Yr5'!F21="","",'Cash Flow %s Yr5'!F21*'Revenue w MYP'!$I19))</f>
        <v>0</v>
      </c>
      <c r="G21" s="62">
        <f>IF('Revenue w MYP'!$I19="","",IF('Cash Flow %s Yr5'!G21="","",'Cash Flow %s Yr5'!G21*'Revenue w MYP'!$I19))</f>
        <v>0</v>
      </c>
      <c r="H21" s="62">
        <f>IF('Revenue w MYP'!$I19="","",IF('Cash Flow %s Yr5'!H21="","",'Cash Flow %s Yr5'!H21*'Revenue w MYP'!$I19))</f>
        <v>0</v>
      </c>
      <c r="I21" s="62">
        <f>IF('Revenue w MYP'!$I19="","",IF('Cash Flow %s Yr5'!I21="","",'Cash Flow %s Yr5'!I21*'Revenue w MYP'!$I19))</f>
        <v>0</v>
      </c>
      <c r="J21" s="62">
        <f>IF('Revenue w MYP'!$I19="","",IF('Cash Flow %s Yr5'!J21="","",'Cash Flow %s Yr5'!J21*'Revenue w MYP'!$I19))</f>
        <v>0</v>
      </c>
      <c r="K21" s="62">
        <f>IF('Revenue w MYP'!$I19="","",IF('Cash Flow %s Yr5'!K21="","",'Cash Flow %s Yr5'!K21*'Revenue w MYP'!$I19))</f>
        <v>0</v>
      </c>
      <c r="L21" s="62">
        <f>IF('Revenue w MYP'!$I19="","",IF('Cash Flow %s Yr5'!L21="","",'Cash Flow %s Yr5'!L21*'Revenue w MYP'!$I19))</f>
        <v>0</v>
      </c>
      <c r="M21" s="62">
        <f>IF('Revenue w MYP'!$I19="","",IF('Cash Flow %s Yr5'!M21="","",'Cash Flow %s Yr5'!M21*'Revenue w MYP'!$I19))</f>
        <v>0</v>
      </c>
      <c r="N21" s="62">
        <f>IF('Revenue w MYP'!$I19="","",IF('Cash Flow %s Yr5'!N21="","",'Cash Flow %s Yr5'!N21*'Revenue w MYP'!$I19))</f>
        <v>0</v>
      </c>
      <c r="O21" s="62">
        <f>IF('Revenue w MYP'!$I19="","",IF('Cash Flow %s Yr5'!O21="","",'Cash Flow %s Yr5'!O21*'Revenue w MYP'!$I19))</f>
        <v>0</v>
      </c>
      <c r="P21" s="62">
        <f>IF('Revenue w MYP'!$I19="","",IF('Cash Flow %s Yr5'!P21="","",'Cash Flow %s Yr5'!P21*'Revenue w MYP'!$I19))</f>
        <v>0</v>
      </c>
      <c r="Q21" s="62">
        <f>IF('Revenue w MYP'!$I19="","",IF('Cash Flow %s Yr5'!Q21="","",'Cash Flow %s Yr5'!Q21*'Revenue w MYP'!$I19))</f>
        <v>0</v>
      </c>
      <c r="R21" s="62">
        <f>IF('Revenue w MYP'!$I19="","",IF('Cash Flow %s Yr5'!R21="","",'Cash Flow %s Yr5'!R21*'Revenue w MYP'!$I19))</f>
        <v>0</v>
      </c>
      <c r="S21" s="97" t="str">
        <f>IF(SUM(D21:R21)&gt;0,SUM(D21:R21)/'Revenue w MYP'!$I19,"")</f>
        <v/>
      </c>
    </row>
    <row r="22" spans="1:19" s="31" customFormat="1" ht="17.75" x14ac:dyDescent="0.75">
      <c r="A22" s="29"/>
      <c r="B22" s="70"/>
      <c r="C22" s="34" t="s">
        <v>719</v>
      </c>
      <c r="D22" s="153">
        <f t="shared" ref="D22:R22" si="0">SUM(D12:D21)</f>
        <v>1506107.9845894102</v>
      </c>
      <c r="E22" s="153">
        <f t="shared" si="0"/>
        <v>483464.04228652641</v>
      </c>
      <c r="F22" s="153">
        <f t="shared" si="0"/>
        <v>510153.44566876645</v>
      </c>
      <c r="G22" s="153">
        <f t="shared" si="0"/>
        <v>901138.69454103557</v>
      </c>
      <c r="H22" s="153">
        <f t="shared" si="0"/>
        <v>860360.63454103551</v>
      </c>
      <c r="I22" s="153">
        <f t="shared" si="0"/>
        <v>860360.63454103551</v>
      </c>
      <c r="J22" s="153">
        <f t="shared" si="0"/>
        <v>901138.69454103557</v>
      </c>
      <c r="K22" s="153">
        <f t="shared" si="0"/>
        <v>860360.63454103551</v>
      </c>
      <c r="L22" s="153">
        <f t="shared" si="0"/>
        <v>1047998.2865100169</v>
      </c>
      <c r="M22" s="153">
        <f t="shared" si="0"/>
        <v>1059392.9912426958</v>
      </c>
      <c r="N22" s="153">
        <f t="shared" si="0"/>
        <v>1011194.4872214157</v>
      </c>
      <c r="O22" s="153">
        <f t="shared" si="0"/>
        <v>1011194.4872214157</v>
      </c>
      <c r="P22" s="153">
        <f t="shared" si="0"/>
        <v>1111957.4702339855</v>
      </c>
      <c r="Q22" s="153">
        <f t="shared" si="0"/>
        <v>0</v>
      </c>
      <c r="R22" s="153">
        <f t="shared" si="0"/>
        <v>0</v>
      </c>
      <c r="S22" s="97"/>
    </row>
    <row r="23" spans="1:19" s="31" customFormat="1" ht="17.75" x14ac:dyDescent="0.75">
      <c r="A23" s="29"/>
      <c r="B23" s="69"/>
      <c r="C23" s="48"/>
      <c r="D23" s="110"/>
      <c r="E23" s="110"/>
      <c r="F23" s="110"/>
      <c r="G23" s="110"/>
      <c r="H23" s="110"/>
      <c r="I23" s="110"/>
      <c r="J23" s="110"/>
      <c r="K23" s="110"/>
      <c r="L23" s="110"/>
      <c r="M23" s="110"/>
      <c r="N23" s="110"/>
      <c r="O23" s="110"/>
      <c r="P23" s="110"/>
      <c r="Q23" s="110"/>
      <c r="R23" s="110"/>
    </row>
    <row r="24" spans="1:19" s="31" customFormat="1" ht="17.75" x14ac:dyDescent="0.75">
      <c r="B24" s="29" t="s">
        <v>782</v>
      </c>
      <c r="C24" s="48"/>
      <c r="D24" s="110"/>
      <c r="E24" s="110"/>
      <c r="F24" s="110"/>
      <c r="G24" s="110"/>
      <c r="H24" s="110"/>
      <c r="I24" s="110"/>
      <c r="J24" s="110"/>
      <c r="K24" s="110"/>
      <c r="L24" s="110"/>
      <c r="M24" s="110"/>
      <c r="N24" s="110"/>
      <c r="O24" s="110"/>
      <c r="P24" s="110"/>
      <c r="Q24" s="110"/>
      <c r="R24" s="110"/>
    </row>
    <row r="25" spans="1:19" s="31" customFormat="1" ht="17.75" x14ac:dyDescent="0.75">
      <c r="A25" s="29"/>
      <c r="B25" s="63" t="str">
        <f>'Revenue w MYP'!C23</f>
        <v>8181</v>
      </c>
      <c r="C25" s="63" t="str">
        <f>'Revenue w MYP'!D23</f>
        <v>Special Education, federal</v>
      </c>
      <c r="D25" s="62">
        <f>IF('Revenue w MYP'!$I23="","",IF('Cash Flow %s Yr5'!D25="","",'Cash Flow %s Yr5'!D25*'Revenue w MYP'!$I23))</f>
        <v>0</v>
      </c>
      <c r="E25" s="62">
        <f>IF('Revenue w MYP'!$I23="","",IF('Cash Flow %s Yr5'!E25="","",'Cash Flow %s Yr5'!E25*'Revenue w MYP'!$I23))</f>
        <v>0</v>
      </c>
      <c r="F25" s="62">
        <f>IF('Revenue w MYP'!$I23="","",IF('Cash Flow %s Yr5'!F25="","",'Cash Flow %s Yr5'!F25*'Revenue w MYP'!$I23))</f>
        <v>0</v>
      </c>
      <c r="G25" s="62">
        <f>IF('Revenue w MYP'!$I23="","",IF('Cash Flow %s Yr5'!G25="","",'Cash Flow %s Yr5'!G25*'Revenue w MYP'!$I23))</f>
        <v>21038.934981240003</v>
      </c>
      <c r="H25" s="62">
        <f>IF('Revenue w MYP'!$I23="","",IF('Cash Flow %s Yr5'!H25="","",'Cash Flow %s Yr5'!H25*'Revenue w MYP'!$I23))</f>
        <v>21038.934981240003</v>
      </c>
      <c r="I25" s="62">
        <f>IF('Revenue w MYP'!$I23="","",IF('Cash Flow %s Yr5'!I25="","",'Cash Flow %s Yr5'!I25*'Revenue w MYP'!$I23))</f>
        <v>21038.934981240003</v>
      </c>
      <c r="J25" s="62">
        <f>IF('Revenue w MYP'!$I23="","",IF('Cash Flow %s Yr5'!J25="","",'Cash Flow %s Yr5'!J25*'Revenue w MYP'!$I23))</f>
        <v>21038.934981240003</v>
      </c>
      <c r="K25" s="62">
        <f>IF('Revenue w MYP'!$I23="","",IF('Cash Flow %s Yr5'!K25="","",'Cash Flow %s Yr5'!K25*'Revenue w MYP'!$I23))</f>
        <v>21038.934981240003</v>
      </c>
      <c r="L25" s="62">
        <f>IF('Revenue w MYP'!$I23="","",IF('Cash Flow %s Yr5'!L25="","",'Cash Flow %s Yr5'!L25*'Revenue w MYP'!$I23))</f>
        <v>21038.934981240003</v>
      </c>
      <c r="M25" s="62">
        <f>IF('Revenue w MYP'!$I23="","",IF('Cash Flow %s Yr5'!M25="","",'Cash Flow %s Yr5'!M25*'Revenue w MYP'!$I23))</f>
        <v>21038.934981240003</v>
      </c>
      <c r="N25" s="62">
        <f>IF('Revenue w MYP'!$I23="","",IF('Cash Flow %s Yr5'!N25="","",'Cash Flow %s Yr5'!N25*'Revenue w MYP'!$I23))</f>
        <v>21038.934981240003</v>
      </c>
      <c r="O25" s="62">
        <f>IF('Revenue w MYP'!$I23="","",IF('Cash Flow %s Yr5'!O25="","",'Cash Flow %s Yr5'!O25*'Revenue w MYP'!$I23))</f>
        <v>21038.934981240003</v>
      </c>
      <c r="P25" s="62">
        <f>IF('Revenue w MYP'!$I23="","",IF('Cash Flow %s Yr5'!P25="","",'Cash Flow %s Yr5'!P25*'Revenue w MYP'!$I23))</f>
        <v>21038.934981240003</v>
      </c>
      <c r="Q25" s="62">
        <f>IF('Revenue w MYP'!$I23="","",IF('Cash Flow %s Yr5'!Q25="","",'Cash Flow %s Yr5'!Q25*'Revenue w MYP'!$I23))</f>
        <v>0</v>
      </c>
      <c r="R25" s="62">
        <f>IF('Revenue w MYP'!$I23="","",IF('Cash Flow %s Yr5'!R25="","",'Cash Flow %s Yr5'!R25*'Revenue w MYP'!$I23))</f>
        <v>0</v>
      </c>
      <c r="S25" s="97">
        <f>IF(SUM(D25:R25)&gt;0,SUM(D25:R25)/'Revenue w MYP'!$I23,"")</f>
        <v>1.0000000000000002</v>
      </c>
    </row>
    <row r="26" spans="1:19" s="31" customFormat="1" ht="17.75" x14ac:dyDescent="0.75">
      <c r="A26" s="29"/>
      <c r="B26" s="63" t="str">
        <f>'Revenue w MYP'!C24</f>
        <v>8220</v>
      </c>
      <c r="C26" s="63" t="str">
        <f>'Revenue w MYP'!D24</f>
        <v>Federal Child Nutrition Programs</v>
      </c>
      <c r="D26" s="62" t="str">
        <f>IF('Revenue w MYP'!$I24="","",IF('Cash Flow %s Yr5'!D26="","",'Cash Flow %s Yr5'!D26*'Revenue w MYP'!$I24))</f>
        <v/>
      </c>
      <c r="E26" s="62" t="str">
        <f>IF('Revenue w MYP'!$I24="","",IF('Cash Flow %s Yr5'!E26="","",'Cash Flow %s Yr5'!E26*'Revenue w MYP'!$I24))</f>
        <v/>
      </c>
      <c r="F26" s="62" t="str">
        <f>IF('Revenue w MYP'!$I24="","",IF('Cash Flow %s Yr5'!F26="","",'Cash Flow %s Yr5'!F26*'Revenue w MYP'!$I24))</f>
        <v/>
      </c>
      <c r="G26" s="62" t="str">
        <f>IF('Revenue w MYP'!$I24="","",IF('Cash Flow %s Yr5'!G26="","",'Cash Flow %s Yr5'!G26*'Revenue w MYP'!$I24))</f>
        <v/>
      </c>
      <c r="H26" s="62" t="str">
        <f>IF('Revenue w MYP'!$I24="","",IF('Cash Flow %s Yr5'!H26="","",'Cash Flow %s Yr5'!H26*'Revenue w MYP'!$I24))</f>
        <v/>
      </c>
      <c r="I26" s="62" t="str">
        <f>IF('Revenue w MYP'!$I24="","",IF('Cash Flow %s Yr5'!I26="","",'Cash Flow %s Yr5'!I26*'Revenue w MYP'!$I24))</f>
        <v/>
      </c>
      <c r="J26" s="62" t="str">
        <f>IF('Revenue w MYP'!$I24="","",IF('Cash Flow %s Yr5'!J26="","",'Cash Flow %s Yr5'!J26*'Revenue w MYP'!$I24))</f>
        <v/>
      </c>
      <c r="K26" s="62" t="str">
        <f>IF('Revenue w MYP'!$I24="","",IF('Cash Flow %s Yr5'!K26="","",'Cash Flow %s Yr5'!K26*'Revenue w MYP'!$I24))</f>
        <v/>
      </c>
      <c r="L26" s="62" t="str">
        <f>IF('Revenue w MYP'!$I24="","",IF('Cash Flow %s Yr5'!L26="","",'Cash Flow %s Yr5'!L26*'Revenue w MYP'!$I24))</f>
        <v/>
      </c>
      <c r="M26" s="62" t="str">
        <f>IF('Revenue w MYP'!$I24="","",IF('Cash Flow %s Yr5'!M26="","",'Cash Flow %s Yr5'!M26*'Revenue w MYP'!$I24))</f>
        <v/>
      </c>
      <c r="N26" s="62" t="str">
        <f>IF('Revenue w MYP'!$I24="","",IF('Cash Flow %s Yr5'!N26="","",'Cash Flow %s Yr5'!N26*'Revenue w MYP'!$I24))</f>
        <v/>
      </c>
      <c r="O26" s="62" t="str">
        <f>IF('Revenue w MYP'!$I24="","",IF('Cash Flow %s Yr5'!O26="","",'Cash Flow %s Yr5'!O26*'Revenue w MYP'!$I24))</f>
        <v/>
      </c>
      <c r="P26" s="62" t="str">
        <f>IF('Revenue w MYP'!$I24="","",IF('Cash Flow %s Yr5'!P26="","",'Cash Flow %s Yr5'!P26*'Revenue w MYP'!$I24))</f>
        <v/>
      </c>
      <c r="Q26" s="62" t="str">
        <f>IF('Revenue w MYP'!$I24="","",IF('Cash Flow %s Yr5'!Q26="","",'Cash Flow %s Yr5'!Q26*'Revenue w MYP'!$I24))</f>
        <v/>
      </c>
      <c r="R26" s="62" t="str">
        <f>IF('Revenue w MYP'!$I24="","",IF('Cash Flow %s Yr5'!R26="","",'Cash Flow %s Yr5'!R26*'Revenue w MYP'!$I24))</f>
        <v/>
      </c>
      <c r="S26" s="97" t="str">
        <f>IF(SUM(D26:R26)&gt;0,SUM(D26:R26)/'Revenue w MYP'!$I24,"")</f>
        <v/>
      </c>
    </row>
    <row r="27" spans="1:19" s="31" customFormat="1" ht="17.75" x14ac:dyDescent="0.75">
      <c r="A27" s="29"/>
      <c r="B27" s="63" t="str">
        <f>'Revenue w MYP'!C25</f>
        <v>8290</v>
      </c>
      <c r="C27" s="63" t="str">
        <f>'Revenue w MYP'!D25</f>
        <v>All Other Federal Revenue, inc Facilities Incentive Grants program</v>
      </c>
      <c r="D27" s="62">
        <f>IF('Revenue w MYP'!$I25="","",IF('Cash Flow %s Yr5'!D27="","",'Cash Flow %s Yr5'!D27*'Revenue w MYP'!$I25))</f>
        <v>0</v>
      </c>
      <c r="E27" s="62">
        <f>IF('Revenue w MYP'!$I25="","",IF('Cash Flow %s Yr5'!E27="","",'Cash Flow %s Yr5'!E27*'Revenue w MYP'!$I25))</f>
        <v>0</v>
      </c>
      <c r="F27" s="62">
        <f>IF('Revenue w MYP'!$I25="","",IF('Cash Flow %s Yr5'!F27="","",'Cash Flow %s Yr5'!F27*'Revenue w MYP'!$I25))</f>
        <v>0</v>
      </c>
      <c r="G27" s="62">
        <f>IF('Revenue w MYP'!$I25="","",IF('Cash Flow %s Yr5'!G27="","",'Cash Flow %s Yr5'!G27*'Revenue w MYP'!$I25))</f>
        <v>0</v>
      </c>
      <c r="H27" s="62">
        <f>IF('Revenue w MYP'!$I25="","",IF('Cash Flow %s Yr5'!H27="","",'Cash Flow %s Yr5'!H27*'Revenue w MYP'!$I25))</f>
        <v>0</v>
      </c>
      <c r="I27" s="62">
        <f>IF('Revenue w MYP'!$I25="","",IF('Cash Flow %s Yr5'!I27="","",'Cash Flow %s Yr5'!I27*'Revenue w MYP'!$I25))</f>
        <v>0</v>
      </c>
      <c r="J27" s="62">
        <f>IF('Revenue w MYP'!$I25="","",IF('Cash Flow %s Yr5'!J27="","",'Cash Flow %s Yr5'!J27*'Revenue w MYP'!$I25))</f>
        <v>208370</v>
      </c>
      <c r="K27" s="62">
        <f>IF('Revenue w MYP'!$I25="","",IF('Cash Flow %s Yr5'!K27="","",'Cash Flow %s Yr5'!K27*'Revenue w MYP'!$I25))</f>
        <v>0</v>
      </c>
      <c r="L27" s="62">
        <f>IF('Revenue w MYP'!$I25="","",IF('Cash Flow %s Yr5'!L27="","",'Cash Flow %s Yr5'!L27*'Revenue w MYP'!$I25))</f>
        <v>0</v>
      </c>
      <c r="M27" s="62">
        <f>IF('Revenue w MYP'!$I25="","",IF('Cash Flow %s Yr5'!M27="","",'Cash Flow %s Yr5'!M27*'Revenue w MYP'!$I25))</f>
        <v>416740</v>
      </c>
      <c r="N27" s="62">
        <f>IF('Revenue w MYP'!$I25="","",IF('Cash Flow %s Yr5'!N27="","",'Cash Flow %s Yr5'!N27*'Revenue w MYP'!$I25))</f>
        <v>0</v>
      </c>
      <c r="O27" s="62">
        <f>IF('Revenue w MYP'!$I25="","",IF('Cash Flow %s Yr5'!O27="","",'Cash Flow %s Yr5'!O27*'Revenue w MYP'!$I25))</f>
        <v>208370</v>
      </c>
      <c r="P27" s="62">
        <f>IF('Revenue w MYP'!$I25="","",IF('Cash Flow %s Yr5'!P27="","",'Cash Flow %s Yr5'!P27*'Revenue w MYP'!$I25))</f>
        <v>0</v>
      </c>
      <c r="Q27" s="62">
        <f>IF('Revenue w MYP'!$I25="","",IF('Cash Flow %s Yr5'!Q27="","",'Cash Flow %s Yr5'!Q27*'Revenue w MYP'!$I25))</f>
        <v>0</v>
      </c>
      <c r="R27" s="62">
        <f>IF('Revenue w MYP'!$I25="","",IF('Cash Flow %s Yr5'!R27="","",'Cash Flow %s Yr5'!R27*'Revenue w MYP'!$I25))</f>
        <v>0</v>
      </c>
      <c r="S27" s="97">
        <f>IF(SUM(D27:R27)&gt;0,SUM(D27:R27)/'Revenue w MYP'!$I25,"")</f>
        <v>1</v>
      </c>
    </row>
    <row r="28" spans="1:19" s="31" customFormat="1" ht="17.75" x14ac:dyDescent="0.75">
      <c r="A28" s="29"/>
      <c r="B28" s="63" t="str">
        <f>'Revenue w MYP'!C26</f>
        <v>8291</v>
      </c>
      <c r="C28" s="63" t="str">
        <f>'Revenue w MYP'!D26</f>
        <v>Title I</v>
      </c>
      <c r="D28" s="62">
        <f>IF('Revenue w MYP'!$I26="","",IF('Cash Flow %s Yr5'!D28="","",'Cash Flow %s Yr5'!D28*'Revenue w MYP'!$I26))</f>
        <v>0</v>
      </c>
      <c r="E28" s="62">
        <f>IF('Revenue w MYP'!$I26="","",IF('Cash Flow %s Yr5'!E28="","",'Cash Flow %s Yr5'!E28*'Revenue w MYP'!$I26))</f>
        <v>0</v>
      </c>
      <c r="F28" s="62">
        <f>IF('Revenue w MYP'!$I26="","",IF('Cash Flow %s Yr5'!F28="","",'Cash Flow %s Yr5'!F28*'Revenue w MYP'!$I26))</f>
        <v>0</v>
      </c>
      <c r="G28" s="62">
        <f>IF('Revenue w MYP'!$I26="","",IF('Cash Flow %s Yr5'!G28="","",'Cash Flow %s Yr5'!G28*'Revenue w MYP'!$I26))</f>
        <v>0</v>
      </c>
      <c r="H28" s="62">
        <f>IF('Revenue w MYP'!$I26="","",IF('Cash Flow %s Yr5'!H28="","",'Cash Flow %s Yr5'!H28*'Revenue w MYP'!$I26))</f>
        <v>0</v>
      </c>
      <c r="I28" s="62">
        <f>IF('Revenue w MYP'!$I26="","",IF('Cash Flow %s Yr5'!I28="","",'Cash Flow %s Yr5'!I28*'Revenue w MYP'!$I26))</f>
        <v>0</v>
      </c>
      <c r="J28" s="62">
        <f>IF('Revenue w MYP'!$I26="","",IF('Cash Flow %s Yr5'!J28="","",'Cash Flow %s Yr5'!J28*'Revenue w MYP'!$I26))</f>
        <v>37792</v>
      </c>
      <c r="K28" s="62">
        <f>IF('Revenue w MYP'!$I26="","",IF('Cash Flow %s Yr5'!K28="","",'Cash Flow %s Yr5'!K28*'Revenue w MYP'!$I26))</f>
        <v>0</v>
      </c>
      <c r="L28" s="62">
        <f>IF('Revenue w MYP'!$I26="","",IF('Cash Flow %s Yr5'!L28="","",'Cash Flow %s Yr5'!L28*'Revenue w MYP'!$I26))</f>
        <v>0</v>
      </c>
      <c r="M28" s="62">
        <f>IF('Revenue w MYP'!$I26="","",IF('Cash Flow %s Yr5'!M28="","",'Cash Flow %s Yr5'!M28*'Revenue w MYP'!$I26))</f>
        <v>75584</v>
      </c>
      <c r="N28" s="62">
        <f>IF('Revenue w MYP'!$I26="","",IF('Cash Flow %s Yr5'!N28="","",'Cash Flow %s Yr5'!N28*'Revenue w MYP'!$I26))</f>
        <v>0</v>
      </c>
      <c r="O28" s="62">
        <f>IF('Revenue w MYP'!$I26="","",IF('Cash Flow %s Yr5'!O28="","",'Cash Flow %s Yr5'!O28*'Revenue w MYP'!$I26))</f>
        <v>37792</v>
      </c>
      <c r="P28" s="62">
        <f>IF('Revenue w MYP'!$I26="","",IF('Cash Flow %s Yr5'!P28="","",'Cash Flow %s Yr5'!P28*'Revenue w MYP'!$I26))</f>
        <v>0</v>
      </c>
      <c r="Q28" s="62">
        <f>IF('Revenue w MYP'!$I26="","",IF('Cash Flow %s Yr5'!Q28="","",'Cash Flow %s Yr5'!Q28*'Revenue w MYP'!$I26))</f>
        <v>0</v>
      </c>
      <c r="R28" s="62">
        <f>IF('Revenue w MYP'!$I26="","",IF('Cash Flow %s Yr5'!R28="","",'Cash Flow %s Yr5'!R28*'Revenue w MYP'!$I26))</f>
        <v>0</v>
      </c>
      <c r="S28" s="97">
        <f>IF(SUM(D28:R28)&gt;0,SUM(D28:R28)/'Revenue w MYP'!$I26,"")</f>
        <v>1</v>
      </c>
    </row>
    <row r="29" spans="1:19" s="31" customFormat="1" ht="17.75" x14ac:dyDescent="0.75">
      <c r="A29" s="29"/>
      <c r="B29" s="63" t="str">
        <f>'Revenue w MYP'!C27</f>
        <v>8292</v>
      </c>
      <c r="C29" s="63" t="str">
        <f>'Revenue w MYP'!D27</f>
        <v>Title II</v>
      </c>
      <c r="D29" s="62">
        <f>IF('Revenue w MYP'!$I27="","",IF('Cash Flow %s Yr5'!D29="","",'Cash Flow %s Yr5'!D29*'Revenue w MYP'!$I27))</f>
        <v>0</v>
      </c>
      <c r="E29" s="62">
        <f>IF('Revenue w MYP'!$I27="","",IF('Cash Flow %s Yr5'!E29="","",'Cash Flow %s Yr5'!E29*'Revenue w MYP'!$I27))</f>
        <v>0</v>
      </c>
      <c r="F29" s="62">
        <f>IF('Revenue w MYP'!$I27="","",IF('Cash Flow %s Yr5'!F29="","",'Cash Flow %s Yr5'!F29*'Revenue w MYP'!$I27))</f>
        <v>0</v>
      </c>
      <c r="G29" s="62">
        <f>IF('Revenue w MYP'!$I27="","",IF('Cash Flow %s Yr5'!G29="","",'Cash Flow %s Yr5'!G29*'Revenue w MYP'!$I27))</f>
        <v>0</v>
      </c>
      <c r="H29" s="62">
        <f>IF('Revenue w MYP'!$I27="","",IF('Cash Flow %s Yr5'!H29="","",'Cash Flow %s Yr5'!H29*'Revenue w MYP'!$I27))</f>
        <v>0</v>
      </c>
      <c r="I29" s="62">
        <f>IF('Revenue w MYP'!$I27="","",IF('Cash Flow %s Yr5'!I29="","",'Cash Flow %s Yr5'!I29*'Revenue w MYP'!$I27))</f>
        <v>0</v>
      </c>
      <c r="J29" s="62">
        <f>IF('Revenue w MYP'!$I27="","",IF('Cash Flow %s Yr5'!J29="","",'Cash Flow %s Yr5'!J29*'Revenue w MYP'!$I27))</f>
        <v>6162</v>
      </c>
      <c r="K29" s="62">
        <f>IF('Revenue w MYP'!$I27="","",IF('Cash Flow %s Yr5'!K29="","",'Cash Flow %s Yr5'!K29*'Revenue w MYP'!$I27))</f>
        <v>0</v>
      </c>
      <c r="L29" s="62">
        <f>IF('Revenue w MYP'!$I27="","",IF('Cash Flow %s Yr5'!L29="","",'Cash Flow %s Yr5'!L29*'Revenue w MYP'!$I27))</f>
        <v>0</v>
      </c>
      <c r="M29" s="62">
        <f>IF('Revenue w MYP'!$I27="","",IF('Cash Flow %s Yr5'!M29="","",'Cash Flow %s Yr5'!M29*'Revenue w MYP'!$I27))</f>
        <v>12324</v>
      </c>
      <c r="N29" s="62">
        <f>IF('Revenue w MYP'!$I27="","",IF('Cash Flow %s Yr5'!N29="","",'Cash Flow %s Yr5'!N29*'Revenue w MYP'!$I27))</f>
        <v>0</v>
      </c>
      <c r="O29" s="62">
        <f>IF('Revenue w MYP'!$I27="","",IF('Cash Flow %s Yr5'!O29="","",'Cash Flow %s Yr5'!O29*'Revenue w MYP'!$I27))</f>
        <v>6162</v>
      </c>
      <c r="P29" s="62">
        <f>IF('Revenue w MYP'!$I27="","",IF('Cash Flow %s Yr5'!P29="","",'Cash Flow %s Yr5'!P29*'Revenue w MYP'!$I27))</f>
        <v>0</v>
      </c>
      <c r="Q29" s="62">
        <f>IF('Revenue w MYP'!$I27="","",IF('Cash Flow %s Yr5'!Q29="","",'Cash Flow %s Yr5'!Q29*'Revenue w MYP'!$I27))</f>
        <v>0</v>
      </c>
      <c r="R29" s="62">
        <f>IF('Revenue w MYP'!$I27="","",IF('Cash Flow %s Yr5'!R29="","",'Cash Flow %s Yr5'!R29*'Revenue w MYP'!$I27))</f>
        <v>0</v>
      </c>
      <c r="S29" s="97">
        <f>IF(SUM(D29:R29)&gt;0,SUM(D29:R29)/'Revenue w MYP'!$I27,"")</f>
        <v>1</v>
      </c>
    </row>
    <row r="30" spans="1:19" s="31" customFormat="1" ht="17.75" x14ac:dyDescent="0.75">
      <c r="A30" s="29"/>
      <c r="B30" s="63" t="str">
        <f>'Revenue w MYP'!C28</f>
        <v>8293</v>
      </c>
      <c r="C30" s="63" t="str">
        <f>'Revenue w MYP'!D28</f>
        <v>Title III</v>
      </c>
      <c r="D30" s="62" t="str">
        <f>IF('Revenue w MYP'!$I28="","",IF('Cash Flow %s Yr5'!D30="","",'Cash Flow %s Yr5'!D30*'Revenue w MYP'!$I28))</f>
        <v/>
      </c>
      <c r="E30" s="62" t="str">
        <f>IF('Revenue w MYP'!$I28="","",IF('Cash Flow %s Yr5'!E30="","",'Cash Flow %s Yr5'!E30*'Revenue w MYP'!$I28))</f>
        <v/>
      </c>
      <c r="F30" s="62" t="str">
        <f>IF('Revenue w MYP'!$I28="","",IF('Cash Flow %s Yr5'!F30="","",'Cash Flow %s Yr5'!F30*'Revenue w MYP'!$I28))</f>
        <v/>
      </c>
      <c r="G30" s="62" t="str">
        <f>IF('Revenue w MYP'!$I28="","",IF('Cash Flow %s Yr5'!G30="","",'Cash Flow %s Yr5'!G30*'Revenue w MYP'!$I28))</f>
        <v/>
      </c>
      <c r="H30" s="62" t="str">
        <f>IF('Revenue w MYP'!$I28="","",IF('Cash Flow %s Yr5'!H30="","",'Cash Flow %s Yr5'!H30*'Revenue w MYP'!$I28))</f>
        <v/>
      </c>
      <c r="I30" s="62" t="str">
        <f>IF('Revenue w MYP'!$I28="","",IF('Cash Flow %s Yr5'!I30="","",'Cash Flow %s Yr5'!I30*'Revenue w MYP'!$I28))</f>
        <v/>
      </c>
      <c r="J30" s="62" t="str">
        <f>IF('Revenue w MYP'!$I28="","",IF('Cash Flow %s Yr5'!J30="","",'Cash Flow %s Yr5'!J30*'Revenue w MYP'!$I28))</f>
        <v/>
      </c>
      <c r="K30" s="62" t="str">
        <f>IF('Revenue w MYP'!$I28="","",IF('Cash Flow %s Yr5'!K30="","",'Cash Flow %s Yr5'!K30*'Revenue w MYP'!$I28))</f>
        <v/>
      </c>
      <c r="L30" s="62" t="str">
        <f>IF('Revenue w MYP'!$I28="","",IF('Cash Flow %s Yr5'!L30="","",'Cash Flow %s Yr5'!L30*'Revenue w MYP'!$I28))</f>
        <v/>
      </c>
      <c r="M30" s="62" t="str">
        <f>IF('Revenue w MYP'!$I28="","",IF('Cash Flow %s Yr5'!M30="","",'Cash Flow %s Yr5'!M30*'Revenue w MYP'!$I28))</f>
        <v/>
      </c>
      <c r="N30" s="62" t="str">
        <f>IF('Revenue w MYP'!$I28="","",IF('Cash Flow %s Yr5'!N30="","",'Cash Flow %s Yr5'!N30*'Revenue w MYP'!$I28))</f>
        <v/>
      </c>
      <c r="O30" s="62" t="str">
        <f>IF('Revenue w MYP'!$I28="","",IF('Cash Flow %s Yr5'!O30="","",'Cash Flow %s Yr5'!O30*'Revenue w MYP'!$I28))</f>
        <v/>
      </c>
      <c r="P30" s="62" t="str">
        <f>IF('Revenue w MYP'!$I28="","",IF('Cash Flow %s Yr5'!P30="","",'Cash Flow %s Yr5'!P30*'Revenue w MYP'!$I28))</f>
        <v/>
      </c>
      <c r="Q30" s="62" t="str">
        <f>IF('Revenue w MYP'!$I28="","",IF('Cash Flow %s Yr5'!Q30="","",'Cash Flow %s Yr5'!Q30*'Revenue w MYP'!$I28))</f>
        <v/>
      </c>
      <c r="R30" s="62" t="str">
        <f>IF('Revenue w MYP'!$I28="","",IF('Cash Flow %s Yr5'!R30="","",'Cash Flow %s Yr5'!R30*'Revenue w MYP'!$I28))</f>
        <v/>
      </c>
      <c r="S30" s="97" t="str">
        <f>IF(SUM(D30:R30)&gt;0,SUM(D30:R30)/'Revenue w MYP'!$I28,"")</f>
        <v/>
      </c>
    </row>
    <row r="31" spans="1:19" s="31" customFormat="1" ht="17.75" x14ac:dyDescent="0.75">
      <c r="A31" s="29"/>
      <c r="B31" s="63" t="str">
        <f>'Revenue w MYP'!C30</f>
        <v>8295</v>
      </c>
      <c r="C31" s="63" t="str">
        <f>'Revenue w MYP'!D30</f>
        <v>Title V</v>
      </c>
      <c r="D31" s="62" t="str">
        <f>IF('Revenue w MYP'!$I30="","",IF('Cash Flow %s Yr5'!D31="","",'Cash Flow %s Yr5'!D31*'Revenue w MYP'!$I30))</f>
        <v/>
      </c>
      <c r="E31" s="62" t="str">
        <f>IF('Revenue w MYP'!$I30="","",IF('Cash Flow %s Yr5'!E31="","",'Cash Flow %s Yr5'!E31*'Revenue w MYP'!$I30))</f>
        <v/>
      </c>
      <c r="F31" s="62" t="str">
        <f>IF('Revenue w MYP'!$I30="","",IF('Cash Flow %s Yr5'!F31="","",'Cash Flow %s Yr5'!F31*'Revenue w MYP'!$I30))</f>
        <v/>
      </c>
      <c r="G31" s="62" t="str">
        <f>IF('Revenue w MYP'!$I30="","",IF('Cash Flow %s Yr5'!G31="","",'Cash Flow %s Yr5'!G31*'Revenue w MYP'!$I30))</f>
        <v/>
      </c>
      <c r="H31" s="62" t="str">
        <f>IF('Revenue w MYP'!$I30="","",IF('Cash Flow %s Yr5'!H31="","",'Cash Flow %s Yr5'!H31*'Revenue w MYP'!$I30))</f>
        <v/>
      </c>
      <c r="I31" s="62" t="str">
        <f>IF('Revenue w MYP'!$I30="","",IF('Cash Flow %s Yr5'!I31="","",'Cash Flow %s Yr5'!I31*'Revenue w MYP'!$I30))</f>
        <v/>
      </c>
      <c r="J31" s="62" t="str">
        <f>IF('Revenue w MYP'!$I30="","",IF('Cash Flow %s Yr5'!J31="","",'Cash Flow %s Yr5'!J31*'Revenue w MYP'!$I30))</f>
        <v/>
      </c>
      <c r="K31" s="62" t="str">
        <f>IF('Revenue w MYP'!$I30="","",IF('Cash Flow %s Yr5'!K31="","",'Cash Flow %s Yr5'!K31*'Revenue w MYP'!$I30))</f>
        <v/>
      </c>
      <c r="L31" s="62" t="str">
        <f>IF('Revenue w MYP'!$I30="","",IF('Cash Flow %s Yr5'!L31="","",'Cash Flow %s Yr5'!L31*'Revenue w MYP'!$I30))</f>
        <v/>
      </c>
      <c r="M31" s="62" t="str">
        <f>IF('Revenue w MYP'!$I30="","",IF('Cash Flow %s Yr5'!M31="","",'Cash Flow %s Yr5'!M31*'Revenue w MYP'!$I30))</f>
        <v/>
      </c>
      <c r="N31" s="62" t="str">
        <f>IF('Revenue w MYP'!$I30="","",IF('Cash Flow %s Yr5'!N31="","",'Cash Flow %s Yr5'!N31*'Revenue w MYP'!$I30))</f>
        <v/>
      </c>
      <c r="O31" s="62" t="str">
        <f>IF('Revenue w MYP'!$I30="","",IF('Cash Flow %s Yr5'!O31="","",'Cash Flow %s Yr5'!O31*'Revenue w MYP'!$I30))</f>
        <v/>
      </c>
      <c r="P31" s="62" t="str">
        <f>IF('Revenue w MYP'!$I30="","",IF('Cash Flow %s Yr5'!P31="","",'Cash Flow %s Yr5'!P31*'Revenue w MYP'!$I30))</f>
        <v/>
      </c>
      <c r="Q31" s="62" t="str">
        <f>IF('Revenue w MYP'!$I30="","",IF('Cash Flow %s Yr5'!Q31="","",'Cash Flow %s Yr5'!Q31*'Revenue w MYP'!$I30))</f>
        <v/>
      </c>
      <c r="R31" s="62" t="str">
        <f>IF('Revenue w MYP'!$I30="","",IF('Cash Flow %s Yr5'!R31="","",'Cash Flow %s Yr5'!R31*'Revenue w MYP'!$I30))</f>
        <v/>
      </c>
      <c r="S31" s="97" t="str">
        <f>IF(SUM(D31:R31)&gt;0,SUM(D31:R31)/'Revenue w MYP'!$I30,"")</f>
        <v/>
      </c>
    </row>
    <row r="32" spans="1:19" s="31" customFormat="1" ht="17.75" x14ac:dyDescent="0.75">
      <c r="A32" s="29"/>
      <c r="B32" s="63" t="str">
        <f>'Revenue w MYP'!C31</f>
        <v>8299</v>
      </c>
      <c r="C32" s="63" t="str">
        <f>'Revenue w MYP'!D31</f>
        <v>Prior Year Federal Revenue</v>
      </c>
      <c r="D32" s="62" t="str">
        <f>IF('Revenue w MYP'!$I31="","",IF('Cash Flow %s Yr5'!D32="","",'Cash Flow %s Yr5'!D32*'Revenue w MYP'!$I31))</f>
        <v/>
      </c>
      <c r="E32" s="62" t="str">
        <f>IF('Revenue w MYP'!$I31="","",IF('Cash Flow %s Yr5'!E32="","",'Cash Flow %s Yr5'!E32*'Revenue w MYP'!$I31))</f>
        <v/>
      </c>
      <c r="F32" s="62" t="str">
        <f>IF('Revenue w MYP'!$I31="","",IF('Cash Flow %s Yr5'!F32="","",'Cash Flow %s Yr5'!F32*'Revenue w MYP'!$I31))</f>
        <v/>
      </c>
      <c r="G32" s="62" t="str">
        <f>IF('Revenue w MYP'!$I31="","",IF('Cash Flow %s Yr5'!G32="","",'Cash Flow %s Yr5'!G32*'Revenue w MYP'!$I31))</f>
        <v/>
      </c>
      <c r="H32" s="62" t="str">
        <f>IF('Revenue w MYP'!$I31="","",IF('Cash Flow %s Yr5'!H32="","",'Cash Flow %s Yr5'!H32*'Revenue w MYP'!$I31))</f>
        <v/>
      </c>
      <c r="I32" s="62" t="str">
        <f>IF('Revenue w MYP'!$I31="","",IF('Cash Flow %s Yr5'!I32="","",'Cash Flow %s Yr5'!I32*'Revenue w MYP'!$I31))</f>
        <v/>
      </c>
      <c r="J32" s="62" t="str">
        <f>IF('Revenue w MYP'!$I31="","",IF('Cash Flow %s Yr5'!J32="","",'Cash Flow %s Yr5'!J32*'Revenue w MYP'!$I31))</f>
        <v/>
      </c>
      <c r="K32" s="62" t="str">
        <f>IF('Revenue w MYP'!$I31="","",IF('Cash Flow %s Yr5'!K32="","",'Cash Flow %s Yr5'!K32*'Revenue w MYP'!$I31))</f>
        <v/>
      </c>
      <c r="L32" s="62" t="str">
        <f>IF('Revenue w MYP'!$I31="","",IF('Cash Flow %s Yr5'!L32="","",'Cash Flow %s Yr5'!L32*'Revenue w MYP'!$I31))</f>
        <v/>
      </c>
      <c r="M32" s="62" t="str">
        <f>IF('Revenue w MYP'!$I31="","",IF('Cash Flow %s Yr5'!M32="","",'Cash Flow %s Yr5'!M32*'Revenue w MYP'!$I31))</f>
        <v/>
      </c>
      <c r="N32" s="62" t="str">
        <f>IF('Revenue w MYP'!$I31="","",IF('Cash Flow %s Yr5'!N32="","",'Cash Flow %s Yr5'!N32*'Revenue w MYP'!$I31))</f>
        <v/>
      </c>
      <c r="O32" s="62" t="str">
        <f>IF('Revenue w MYP'!$I31="","",IF('Cash Flow %s Yr5'!O32="","",'Cash Flow %s Yr5'!O32*'Revenue w MYP'!$I31))</f>
        <v/>
      </c>
      <c r="P32" s="62" t="str">
        <f>IF('Revenue w MYP'!$I31="","",IF('Cash Flow %s Yr5'!P32="","",'Cash Flow %s Yr5'!P32*'Revenue w MYP'!$I31))</f>
        <v/>
      </c>
      <c r="Q32" s="62" t="str">
        <f>IF('Revenue w MYP'!$I31="","",IF('Cash Flow %s Yr5'!Q32="","",'Cash Flow %s Yr5'!Q32*'Revenue w MYP'!$I31))</f>
        <v/>
      </c>
      <c r="R32" s="62" t="str">
        <f>IF('Revenue w MYP'!$I31="","",IF('Cash Flow %s Yr5'!R32="","",'Cash Flow %s Yr5'!R32*'Revenue w MYP'!$I31))</f>
        <v/>
      </c>
      <c r="S32" s="97" t="str">
        <f>IF(SUM(D32:R32)&gt;0,SUM(D32:R32)/'Revenue w MYP'!$I31,"")</f>
        <v/>
      </c>
    </row>
    <row r="33" spans="1:19" s="31" customFormat="1" ht="17.75" x14ac:dyDescent="0.75">
      <c r="A33" s="29"/>
      <c r="B33" s="70"/>
      <c r="C33" s="34" t="s">
        <v>719</v>
      </c>
      <c r="D33" s="153">
        <f>SUM(D25:D32)</f>
        <v>0</v>
      </c>
      <c r="E33" s="153">
        <f t="shared" ref="E33:R33" si="1">SUM(E25:E32)</f>
        <v>0</v>
      </c>
      <c r="F33" s="153">
        <f t="shared" si="1"/>
        <v>0</v>
      </c>
      <c r="G33" s="153">
        <f t="shared" si="1"/>
        <v>21038.934981240003</v>
      </c>
      <c r="H33" s="153">
        <f t="shared" si="1"/>
        <v>21038.934981240003</v>
      </c>
      <c r="I33" s="153">
        <f t="shared" si="1"/>
        <v>21038.934981240003</v>
      </c>
      <c r="J33" s="153">
        <f t="shared" si="1"/>
        <v>273362.93498124002</v>
      </c>
      <c r="K33" s="153">
        <f t="shared" si="1"/>
        <v>21038.934981240003</v>
      </c>
      <c r="L33" s="153">
        <f t="shared" si="1"/>
        <v>21038.934981240003</v>
      </c>
      <c r="M33" s="153">
        <f t="shared" si="1"/>
        <v>525686.93498123996</v>
      </c>
      <c r="N33" s="153">
        <f t="shared" si="1"/>
        <v>21038.934981240003</v>
      </c>
      <c r="O33" s="153">
        <f t="shared" si="1"/>
        <v>273362.93498124002</v>
      </c>
      <c r="P33" s="153">
        <f t="shared" si="1"/>
        <v>21038.934981240003</v>
      </c>
      <c r="Q33" s="153">
        <f t="shared" si="1"/>
        <v>0</v>
      </c>
      <c r="R33" s="153">
        <f t="shared" si="1"/>
        <v>0</v>
      </c>
      <c r="S33" s="94"/>
    </row>
    <row r="34" spans="1:19" s="31" customFormat="1" ht="17.75" x14ac:dyDescent="0.75">
      <c r="A34" s="29"/>
      <c r="B34" s="69"/>
      <c r="C34" s="48"/>
      <c r="D34" s="110"/>
      <c r="E34" s="110"/>
      <c r="F34" s="110"/>
      <c r="G34" s="110"/>
      <c r="H34" s="110"/>
      <c r="I34" s="110"/>
      <c r="J34" s="110"/>
      <c r="K34" s="110"/>
      <c r="L34" s="110"/>
      <c r="M34" s="110"/>
      <c r="N34" s="110"/>
      <c r="O34" s="110"/>
      <c r="P34" s="110"/>
      <c r="Q34" s="110"/>
      <c r="R34" s="110"/>
    </row>
    <row r="35" spans="1:19" s="31" customFormat="1" ht="17.75" x14ac:dyDescent="0.75">
      <c r="B35" s="29" t="s">
        <v>790</v>
      </c>
      <c r="C35" s="48"/>
      <c r="D35" s="110"/>
      <c r="E35" s="110"/>
      <c r="F35" s="110"/>
      <c r="G35" s="110"/>
      <c r="H35" s="110"/>
      <c r="I35" s="110"/>
      <c r="J35" s="110"/>
      <c r="K35" s="110"/>
      <c r="L35" s="110"/>
      <c r="M35" s="110"/>
      <c r="N35" s="110"/>
      <c r="O35" s="110"/>
      <c r="P35" s="110"/>
      <c r="Q35" s="110"/>
      <c r="R35" s="110"/>
    </row>
    <row r="36" spans="1:19" s="31" customFormat="1" ht="17.75" x14ac:dyDescent="0.75">
      <c r="A36" s="29"/>
      <c r="B36" s="63" t="str">
        <f>'Revenue w MYP'!C35</f>
        <v>8660</v>
      </c>
      <c r="C36" s="63" t="str">
        <f>'Revenue w MYP'!D35</f>
        <v>Interest</v>
      </c>
      <c r="D36" s="62">
        <f>IF('Revenue w MYP'!$I35="","",IF('Cash Flow %s Yr5'!D36="","",'Cash Flow %s Yr5'!D36*'Revenue w MYP'!$I35))</f>
        <v>8.3000000000000007</v>
      </c>
      <c r="E36" s="62">
        <f>IF('Revenue w MYP'!$I35="","",IF('Cash Flow %s Yr5'!E36="","",'Cash Flow %s Yr5'!E36*'Revenue w MYP'!$I35))</f>
        <v>8.3000000000000007</v>
      </c>
      <c r="F36" s="62">
        <f>IF('Revenue w MYP'!$I35="","",IF('Cash Flow %s Yr5'!F36="","",'Cash Flow %s Yr5'!F36*'Revenue w MYP'!$I35))</f>
        <v>8.3000000000000007</v>
      </c>
      <c r="G36" s="62">
        <f>IF('Revenue w MYP'!$I35="","",IF('Cash Flow %s Yr5'!G36="","",'Cash Flow %s Yr5'!G36*'Revenue w MYP'!$I35))</f>
        <v>8.3000000000000007</v>
      </c>
      <c r="H36" s="62">
        <f>IF('Revenue w MYP'!$I35="","",IF('Cash Flow %s Yr5'!H36="","",'Cash Flow %s Yr5'!H36*'Revenue w MYP'!$I35))</f>
        <v>8.3000000000000007</v>
      </c>
      <c r="I36" s="62">
        <f>IF('Revenue w MYP'!$I35="","",IF('Cash Flow %s Yr5'!I36="","",'Cash Flow %s Yr5'!I36*'Revenue w MYP'!$I35))</f>
        <v>8.3000000000000007</v>
      </c>
      <c r="J36" s="62">
        <f>IF('Revenue w MYP'!$I35="","",IF('Cash Flow %s Yr5'!J36="","",'Cash Flow %s Yr5'!J36*'Revenue w MYP'!$I35))</f>
        <v>8.3000000000000007</v>
      </c>
      <c r="K36" s="62">
        <f>IF('Revenue w MYP'!$I35="","",IF('Cash Flow %s Yr5'!K36="","",'Cash Flow %s Yr5'!K36*'Revenue w MYP'!$I35))</f>
        <v>8.3000000000000007</v>
      </c>
      <c r="L36" s="62">
        <f>IF('Revenue w MYP'!$I35="","",IF('Cash Flow %s Yr5'!L36="","",'Cash Flow %s Yr5'!L36*'Revenue w MYP'!$I35))</f>
        <v>8.4</v>
      </c>
      <c r="M36" s="62">
        <f>IF('Revenue w MYP'!$I35="","",IF('Cash Flow %s Yr5'!M36="","",'Cash Flow %s Yr5'!M36*'Revenue w MYP'!$I35))</f>
        <v>8.4</v>
      </c>
      <c r="N36" s="62">
        <f>IF('Revenue w MYP'!$I35="","",IF('Cash Flow %s Yr5'!N36="","",'Cash Flow %s Yr5'!N36*'Revenue w MYP'!$I35))</f>
        <v>8.4</v>
      </c>
      <c r="O36" s="62">
        <f>IF('Revenue w MYP'!$I35="","",IF('Cash Flow %s Yr5'!O36="","",'Cash Flow %s Yr5'!O36*'Revenue w MYP'!$I35))</f>
        <v>8.4</v>
      </c>
      <c r="P36" s="62">
        <f>IF('Revenue w MYP'!$I35="","",IF('Cash Flow %s Yr5'!P36="","",'Cash Flow %s Yr5'!P36*'Revenue w MYP'!$I35))</f>
        <v>0</v>
      </c>
      <c r="Q36" s="62">
        <f>IF('Revenue w MYP'!$I35="","",IF('Cash Flow %s Yr5'!Q36="","",'Cash Flow %s Yr5'!Q36*'Revenue w MYP'!$I35))</f>
        <v>0</v>
      </c>
      <c r="R36" s="62">
        <f>IF('Revenue w MYP'!$I35="","",IF('Cash Flow %s Yr5'!R36="","",'Cash Flow %s Yr5'!R36*'Revenue w MYP'!$I35))</f>
        <v>0</v>
      </c>
      <c r="S36" s="97">
        <f>IF(SUM(D36:R36)&gt;0,SUM(D36:R36)/'Revenue w MYP'!$I35,"")</f>
        <v>1.0000000000000002</v>
      </c>
    </row>
    <row r="37" spans="1:19" s="31" customFormat="1" ht="17.75" x14ac:dyDescent="0.75">
      <c r="A37" s="29"/>
      <c r="B37" s="63" t="str">
        <f>'Revenue w MYP'!C36</f>
        <v>8682</v>
      </c>
      <c r="C37" s="63" t="str">
        <f>'Revenue w MYP'!D36</f>
        <v>Foundation Grants / Donations</v>
      </c>
      <c r="D37" s="62">
        <f>IF('Revenue w MYP'!$I36="","",IF('Cash Flow %s Yr5'!D37="","",'Cash Flow %s Yr5'!D37*'Revenue w MYP'!$I36))</f>
        <v>0</v>
      </c>
      <c r="E37" s="62">
        <f>IF('Revenue w MYP'!$I36="","",IF('Cash Flow %s Yr5'!E37="","",'Cash Flow %s Yr5'!E37*'Revenue w MYP'!$I36))</f>
        <v>0</v>
      </c>
      <c r="F37" s="62">
        <f>IF('Revenue w MYP'!$I36="","",IF('Cash Flow %s Yr5'!F37="","",'Cash Flow %s Yr5'!F37*'Revenue w MYP'!$I36))</f>
        <v>156.881</v>
      </c>
      <c r="G37" s="62">
        <f>IF('Revenue w MYP'!$I36="","",IF('Cash Flow %s Yr5'!G37="","",'Cash Flow %s Yr5'!G37*'Revenue w MYP'!$I36))</f>
        <v>156.881</v>
      </c>
      <c r="H37" s="62">
        <f>IF('Revenue w MYP'!$I36="","",IF('Cash Flow %s Yr5'!H37="","",'Cash Flow %s Yr5'!H37*'Revenue w MYP'!$I36))</f>
        <v>156.881</v>
      </c>
      <c r="I37" s="62">
        <f>IF('Revenue w MYP'!$I36="","",IF('Cash Flow %s Yr5'!I37="","",'Cash Flow %s Yr5'!I37*'Revenue w MYP'!$I36))</f>
        <v>156.881</v>
      </c>
      <c r="J37" s="62">
        <f>IF('Revenue w MYP'!$I36="","",IF('Cash Flow %s Yr5'!J37="","",'Cash Flow %s Yr5'!J37*'Revenue w MYP'!$I36))</f>
        <v>156.881</v>
      </c>
      <c r="K37" s="62">
        <f>IF('Revenue w MYP'!$I36="","",IF('Cash Flow %s Yr5'!K37="","",'Cash Flow %s Yr5'!K37*'Revenue w MYP'!$I36))</f>
        <v>156.881</v>
      </c>
      <c r="L37" s="62">
        <f>IF('Revenue w MYP'!$I36="","",IF('Cash Flow %s Yr5'!L37="","",'Cash Flow %s Yr5'!L37*'Revenue w MYP'!$I36))</f>
        <v>156.881</v>
      </c>
      <c r="M37" s="62">
        <f>IF('Revenue w MYP'!$I36="","",IF('Cash Flow %s Yr5'!M37="","",'Cash Flow %s Yr5'!M37*'Revenue w MYP'!$I36))</f>
        <v>156.881</v>
      </c>
      <c r="N37" s="62">
        <f>IF('Revenue w MYP'!$I36="","",IF('Cash Flow %s Yr5'!N37="","",'Cash Flow %s Yr5'!N37*'Revenue w MYP'!$I36))</f>
        <v>156.881</v>
      </c>
      <c r="O37" s="62">
        <f>IF('Revenue w MYP'!$I36="","",IF('Cash Flow %s Yr5'!O37="","",'Cash Flow %s Yr5'!O37*'Revenue w MYP'!$I36))</f>
        <v>156.881</v>
      </c>
      <c r="P37" s="62">
        <f>IF('Revenue w MYP'!$I36="","",IF('Cash Flow %s Yr5'!P37="","",'Cash Flow %s Yr5'!P37*'Revenue w MYP'!$I36))</f>
        <v>0</v>
      </c>
      <c r="Q37" s="62">
        <f>IF('Revenue w MYP'!$I36="","",IF('Cash Flow %s Yr5'!Q37="","",'Cash Flow %s Yr5'!Q37*'Revenue w MYP'!$I36))</f>
        <v>0</v>
      </c>
      <c r="R37" s="62">
        <f>IF('Revenue w MYP'!$I36="","",IF('Cash Flow %s Yr5'!R37="","",'Cash Flow %s Yr5'!R37*'Revenue w MYP'!$I36))</f>
        <v>0</v>
      </c>
      <c r="S37" s="97">
        <f>IF(SUM(D37:R37)&gt;0,SUM(D37:R37)/'Revenue w MYP'!$I36,"")</f>
        <v>1.0000000000000002</v>
      </c>
    </row>
    <row r="38" spans="1:19" s="31" customFormat="1" ht="17.75" x14ac:dyDescent="0.75">
      <c r="A38" s="29"/>
      <c r="B38" s="63" t="str">
        <f>'Revenue w MYP'!C37</f>
        <v>8683</v>
      </c>
      <c r="C38" s="63" t="str">
        <f>'Revenue w MYP'!D37</f>
        <v>All Other Local Revenue</v>
      </c>
      <c r="D38" s="62">
        <f>IF('Revenue w MYP'!$I37="","",IF('Cash Flow %s Yr5'!D38="","",'Cash Flow %s Yr5'!D38*'Revenue w MYP'!$I37))</f>
        <v>0</v>
      </c>
      <c r="E38" s="62">
        <f>IF('Revenue w MYP'!$I37="","",IF('Cash Flow %s Yr5'!E38="","",'Cash Flow %s Yr5'!E38*'Revenue w MYP'!$I37))</f>
        <v>0</v>
      </c>
      <c r="F38" s="62">
        <f>IF('Revenue w MYP'!$I37="","",IF('Cash Flow %s Yr5'!F38="","",'Cash Flow %s Yr5'!F38*'Revenue w MYP'!$I37))</f>
        <v>0</v>
      </c>
      <c r="G38" s="62">
        <f>IF('Revenue w MYP'!$I37="","",IF('Cash Flow %s Yr5'!G38="","",'Cash Flow %s Yr5'!G38*'Revenue w MYP'!$I37))</f>
        <v>0</v>
      </c>
      <c r="H38" s="62">
        <f>IF('Revenue w MYP'!$I37="","",IF('Cash Flow %s Yr5'!H38="","",'Cash Flow %s Yr5'!H38*'Revenue w MYP'!$I37))</f>
        <v>0</v>
      </c>
      <c r="I38" s="62">
        <f>IF('Revenue w MYP'!$I37="","",IF('Cash Flow %s Yr5'!I38="","",'Cash Flow %s Yr5'!I38*'Revenue w MYP'!$I37))</f>
        <v>0</v>
      </c>
      <c r="J38" s="62">
        <f>IF('Revenue w MYP'!$I37="","",IF('Cash Flow %s Yr5'!J38="","",'Cash Flow %s Yr5'!J38*'Revenue w MYP'!$I37))</f>
        <v>0</v>
      </c>
      <c r="K38" s="62">
        <f>IF('Revenue w MYP'!$I37="","",IF('Cash Flow %s Yr5'!K38="","",'Cash Flow %s Yr5'!K38*'Revenue w MYP'!$I37))</f>
        <v>0</v>
      </c>
      <c r="L38" s="62">
        <f>IF('Revenue w MYP'!$I37="","",IF('Cash Flow %s Yr5'!L38="","",'Cash Flow %s Yr5'!L38*'Revenue w MYP'!$I37))</f>
        <v>0</v>
      </c>
      <c r="M38" s="62">
        <f>IF('Revenue w MYP'!$I37="","",IF('Cash Flow %s Yr5'!M38="","",'Cash Flow %s Yr5'!M38*'Revenue w MYP'!$I37))</f>
        <v>0</v>
      </c>
      <c r="N38" s="62">
        <f>IF('Revenue w MYP'!$I37="","",IF('Cash Flow %s Yr5'!N38="","",'Cash Flow %s Yr5'!N38*'Revenue w MYP'!$I37))</f>
        <v>0</v>
      </c>
      <c r="O38" s="62">
        <f>IF('Revenue w MYP'!$I37="","",IF('Cash Flow %s Yr5'!O38="","",'Cash Flow %s Yr5'!O38*'Revenue w MYP'!$I37))</f>
        <v>0</v>
      </c>
      <c r="P38" s="62">
        <f>IF('Revenue w MYP'!$I37="","",IF('Cash Flow %s Yr5'!P38="","",'Cash Flow %s Yr5'!P38*'Revenue w MYP'!$I37))</f>
        <v>0</v>
      </c>
      <c r="Q38" s="62">
        <f>IF('Revenue w MYP'!$I37="","",IF('Cash Flow %s Yr5'!Q38="","",'Cash Flow %s Yr5'!Q38*'Revenue w MYP'!$I37))</f>
        <v>0</v>
      </c>
      <c r="R38" s="62">
        <f>IF('Revenue w MYP'!$I37="","",IF('Cash Flow %s Yr5'!R38="","",'Cash Flow %s Yr5'!R38*'Revenue w MYP'!$I37))</f>
        <v>0</v>
      </c>
      <c r="S38" s="97" t="str">
        <f>IF(SUM(D38:R38)&gt;0,SUM(D38:R38)/'Revenue w MYP'!$I37,"")</f>
        <v/>
      </c>
    </row>
    <row r="39" spans="1:19" s="31" customFormat="1" x14ac:dyDescent="0.75">
      <c r="A39" s="47"/>
      <c r="B39" s="63" t="str">
        <f>'Revenue w MYP'!C38</f>
        <v>8684</v>
      </c>
      <c r="C39" s="63" t="str">
        <f>'Revenue w MYP'!D38</f>
        <v>Student Body (ASB) Fundraising Revenue</v>
      </c>
      <c r="D39" s="62">
        <f>IF('Revenue w MYP'!$I38="","",IF('Cash Flow %s Yr5'!D39="","",'Cash Flow %s Yr5'!D39*'Revenue w MYP'!$I38))</f>
        <v>0</v>
      </c>
      <c r="E39" s="62">
        <f>IF('Revenue w MYP'!$I38="","",IF('Cash Flow %s Yr5'!E39="","",'Cash Flow %s Yr5'!E39*'Revenue w MYP'!$I38))</f>
        <v>0</v>
      </c>
      <c r="F39" s="62">
        <f>IF('Revenue w MYP'!$I38="","",IF('Cash Flow %s Yr5'!F39="","",'Cash Flow %s Yr5'!F39*'Revenue w MYP'!$I38))</f>
        <v>0</v>
      </c>
      <c r="G39" s="62">
        <f>IF('Revenue w MYP'!$I38="","",IF('Cash Flow %s Yr5'!G39="","",'Cash Flow %s Yr5'!G39*'Revenue w MYP'!$I38))</f>
        <v>0</v>
      </c>
      <c r="H39" s="62">
        <f>IF('Revenue w MYP'!$I38="","",IF('Cash Flow %s Yr5'!H39="","",'Cash Flow %s Yr5'!H39*'Revenue w MYP'!$I38))</f>
        <v>0</v>
      </c>
      <c r="I39" s="62">
        <f>IF('Revenue w MYP'!$I38="","",IF('Cash Flow %s Yr5'!I39="","",'Cash Flow %s Yr5'!I39*'Revenue w MYP'!$I38))</f>
        <v>0</v>
      </c>
      <c r="J39" s="62">
        <f>IF('Revenue w MYP'!$I38="","",IF('Cash Flow %s Yr5'!J39="","",'Cash Flow %s Yr5'!J39*'Revenue w MYP'!$I38))</f>
        <v>0</v>
      </c>
      <c r="K39" s="62">
        <f>IF('Revenue w MYP'!$I38="","",IF('Cash Flow %s Yr5'!K39="","",'Cash Flow %s Yr5'!K39*'Revenue w MYP'!$I38))</f>
        <v>0</v>
      </c>
      <c r="L39" s="62">
        <f>IF('Revenue w MYP'!$I38="","",IF('Cash Flow %s Yr5'!L39="","",'Cash Flow %s Yr5'!L39*'Revenue w MYP'!$I38))</f>
        <v>0</v>
      </c>
      <c r="M39" s="62">
        <f>IF('Revenue w MYP'!$I38="","",IF('Cash Flow %s Yr5'!M39="","",'Cash Flow %s Yr5'!M39*'Revenue w MYP'!$I38))</f>
        <v>0</v>
      </c>
      <c r="N39" s="62">
        <f>IF('Revenue w MYP'!$I38="","",IF('Cash Flow %s Yr5'!N39="","",'Cash Flow %s Yr5'!N39*'Revenue w MYP'!$I38))</f>
        <v>0</v>
      </c>
      <c r="O39" s="62">
        <f>IF('Revenue w MYP'!$I38="","",IF('Cash Flow %s Yr5'!O39="","",'Cash Flow %s Yr5'!O39*'Revenue w MYP'!$I38))</f>
        <v>0</v>
      </c>
      <c r="P39" s="62">
        <f>IF('Revenue w MYP'!$I38="","",IF('Cash Flow %s Yr5'!P39="","",'Cash Flow %s Yr5'!P39*'Revenue w MYP'!$I38))</f>
        <v>0</v>
      </c>
      <c r="Q39" s="62">
        <f>IF('Revenue w MYP'!$I38="","",IF('Cash Flow %s Yr5'!Q39="","",'Cash Flow %s Yr5'!Q39*'Revenue w MYP'!$I38))</f>
        <v>0</v>
      </c>
      <c r="R39" s="62">
        <f>IF('Revenue w MYP'!$I38="","",IF('Cash Flow %s Yr5'!R39="","",'Cash Flow %s Yr5'!R39*'Revenue w MYP'!$I38))</f>
        <v>0</v>
      </c>
      <c r="S39" s="97" t="str">
        <f>IF(SUM(D39:R39)&gt;0,SUM(D39:R39)/'Revenue w MYP'!$I38,"")</f>
        <v/>
      </c>
    </row>
    <row r="40" spans="1:19" s="31" customFormat="1" x14ac:dyDescent="0.75">
      <c r="A40" s="48"/>
      <c r="B40" s="63" t="str">
        <f>'Revenue w MYP'!C39</f>
        <v>8685</v>
      </c>
      <c r="C40" s="63" t="str">
        <f>'Revenue w MYP'!D39</f>
        <v>School Site Fundraising</v>
      </c>
      <c r="D40" s="62">
        <f>IF('Revenue w MYP'!$I39="","",IF('Cash Flow %s Yr5'!D40="","",'Cash Flow %s Yr5'!D40*'Revenue w MYP'!$I39))</f>
        <v>0</v>
      </c>
      <c r="E40" s="62">
        <f>IF('Revenue w MYP'!$I39="","",IF('Cash Flow %s Yr5'!E40="","",'Cash Flow %s Yr5'!E40*'Revenue w MYP'!$I39))</f>
        <v>0</v>
      </c>
      <c r="F40" s="62">
        <f>IF('Revenue w MYP'!$I39="","",IF('Cash Flow %s Yr5'!F40="","",'Cash Flow %s Yr5'!F40*'Revenue w MYP'!$I39))</f>
        <v>0</v>
      </c>
      <c r="G40" s="62">
        <f>IF('Revenue w MYP'!$I39="","",IF('Cash Flow %s Yr5'!G40="","",'Cash Flow %s Yr5'!G40*'Revenue w MYP'!$I39))</f>
        <v>0</v>
      </c>
      <c r="H40" s="62">
        <f>IF('Revenue w MYP'!$I39="","",IF('Cash Flow %s Yr5'!H40="","",'Cash Flow %s Yr5'!H40*'Revenue w MYP'!$I39))</f>
        <v>0</v>
      </c>
      <c r="I40" s="62">
        <f>IF('Revenue w MYP'!$I39="","",IF('Cash Flow %s Yr5'!I40="","",'Cash Flow %s Yr5'!I40*'Revenue w MYP'!$I39))</f>
        <v>0</v>
      </c>
      <c r="J40" s="62">
        <f>IF('Revenue w MYP'!$I39="","",IF('Cash Flow %s Yr5'!J40="","",'Cash Flow %s Yr5'!J40*'Revenue w MYP'!$I39))</f>
        <v>0</v>
      </c>
      <c r="K40" s="62">
        <f>IF('Revenue w MYP'!$I39="","",IF('Cash Flow %s Yr5'!K40="","",'Cash Flow %s Yr5'!K40*'Revenue w MYP'!$I39))</f>
        <v>0</v>
      </c>
      <c r="L40" s="62">
        <f>IF('Revenue w MYP'!$I39="","",IF('Cash Flow %s Yr5'!L40="","",'Cash Flow %s Yr5'!L40*'Revenue w MYP'!$I39))</f>
        <v>0</v>
      </c>
      <c r="M40" s="62">
        <f>IF('Revenue w MYP'!$I39="","",IF('Cash Flow %s Yr5'!M40="","",'Cash Flow %s Yr5'!M40*'Revenue w MYP'!$I39))</f>
        <v>0</v>
      </c>
      <c r="N40" s="62">
        <f>IF('Revenue w MYP'!$I39="","",IF('Cash Flow %s Yr5'!N40="","",'Cash Flow %s Yr5'!N40*'Revenue w MYP'!$I39))</f>
        <v>0</v>
      </c>
      <c r="O40" s="62">
        <f>IF('Revenue w MYP'!$I39="","",IF('Cash Flow %s Yr5'!O40="","",'Cash Flow %s Yr5'!O40*'Revenue w MYP'!$I39))</f>
        <v>0</v>
      </c>
      <c r="P40" s="62">
        <f>IF('Revenue w MYP'!$I39="","",IF('Cash Flow %s Yr5'!P40="","",'Cash Flow %s Yr5'!P40*'Revenue w MYP'!$I39))</f>
        <v>0</v>
      </c>
      <c r="Q40" s="62">
        <f>IF('Revenue w MYP'!$I39="","",IF('Cash Flow %s Yr5'!Q40="","",'Cash Flow %s Yr5'!Q40*'Revenue w MYP'!$I39))</f>
        <v>0</v>
      </c>
      <c r="R40" s="62">
        <f>IF('Revenue w MYP'!$I39="","",IF('Cash Flow %s Yr5'!R40="","",'Cash Flow %s Yr5'!R40*'Revenue w MYP'!$I39))</f>
        <v>0</v>
      </c>
      <c r="S40" s="97" t="str">
        <f>IF(SUM(D40:R40)&gt;0,SUM(D40:R40)/'Revenue w MYP'!$I39,"")</f>
        <v/>
      </c>
    </row>
    <row r="41" spans="1:19" s="31" customFormat="1" ht="17.75" x14ac:dyDescent="0.75">
      <c r="A41" s="29"/>
      <c r="B41" s="63" t="str">
        <f>'Revenue w MYP'!C40</f>
        <v>8698</v>
      </c>
      <c r="C41" s="63" t="str">
        <f>'Revenue w MYP'!D40</f>
        <v>E-Rate</v>
      </c>
      <c r="D41" s="62">
        <f>IF('Revenue w MYP'!$I40="","",IF('Cash Flow %s Yr5'!D41="","",'Cash Flow %s Yr5'!D41*'Revenue w MYP'!$I40))</f>
        <v>0</v>
      </c>
      <c r="E41" s="62">
        <f>IF('Revenue w MYP'!$I40="","",IF('Cash Flow %s Yr5'!E41="","",'Cash Flow %s Yr5'!E41*'Revenue w MYP'!$I40))</f>
        <v>0</v>
      </c>
      <c r="F41" s="62">
        <f>IF('Revenue w MYP'!$I40="","",IF('Cash Flow %s Yr5'!F41="","",'Cash Flow %s Yr5'!F41*'Revenue w MYP'!$I40))</f>
        <v>0</v>
      </c>
      <c r="G41" s="62">
        <f>IF('Revenue w MYP'!$I40="","",IF('Cash Flow %s Yr5'!G41="","",'Cash Flow %s Yr5'!G41*'Revenue w MYP'!$I40))</f>
        <v>0</v>
      </c>
      <c r="H41" s="62">
        <f>IF('Revenue w MYP'!$I40="","",IF('Cash Flow %s Yr5'!H41="","",'Cash Flow %s Yr5'!H41*'Revenue w MYP'!$I40))</f>
        <v>0</v>
      </c>
      <c r="I41" s="62">
        <f>IF('Revenue w MYP'!$I40="","",IF('Cash Flow %s Yr5'!I41="","",'Cash Flow %s Yr5'!I41*'Revenue w MYP'!$I40))</f>
        <v>0</v>
      </c>
      <c r="J41" s="62">
        <f>IF('Revenue w MYP'!$I40="","",IF('Cash Flow %s Yr5'!J41="","",'Cash Flow %s Yr5'!J41*'Revenue w MYP'!$I40))</f>
        <v>0</v>
      </c>
      <c r="K41" s="62">
        <f>IF('Revenue w MYP'!$I40="","",IF('Cash Flow %s Yr5'!K41="","",'Cash Flow %s Yr5'!K41*'Revenue w MYP'!$I40))</f>
        <v>0</v>
      </c>
      <c r="L41" s="62">
        <f>IF('Revenue w MYP'!$I40="","",IF('Cash Flow %s Yr5'!L41="","",'Cash Flow %s Yr5'!L41*'Revenue w MYP'!$I40))</f>
        <v>0</v>
      </c>
      <c r="M41" s="62">
        <f>IF('Revenue w MYP'!$I40="","",IF('Cash Flow %s Yr5'!M41="","",'Cash Flow %s Yr5'!M41*'Revenue w MYP'!$I40))</f>
        <v>0</v>
      </c>
      <c r="N41" s="62">
        <f>IF('Revenue w MYP'!$I40="","",IF('Cash Flow %s Yr5'!N41="","",'Cash Flow %s Yr5'!N41*'Revenue w MYP'!$I40))</f>
        <v>0</v>
      </c>
      <c r="O41" s="62">
        <f>IF('Revenue w MYP'!$I40="","",IF('Cash Flow %s Yr5'!O41="","",'Cash Flow %s Yr5'!O41*'Revenue w MYP'!$I40))</f>
        <v>0</v>
      </c>
      <c r="P41" s="62">
        <f>IF('Revenue w MYP'!$I40="","",IF('Cash Flow %s Yr5'!P41="","",'Cash Flow %s Yr5'!P41*'Revenue w MYP'!$I40))</f>
        <v>0</v>
      </c>
      <c r="Q41" s="62">
        <f>IF('Revenue w MYP'!$I40="","",IF('Cash Flow %s Yr5'!Q41="","",'Cash Flow %s Yr5'!Q41*'Revenue w MYP'!$I40))</f>
        <v>0</v>
      </c>
      <c r="R41" s="62">
        <f>IF('Revenue w MYP'!$I40="","",IF('Cash Flow %s Yr5'!R41="","",'Cash Flow %s Yr5'!R41*'Revenue w MYP'!$I40))</f>
        <v>0</v>
      </c>
      <c r="S41" s="97" t="str">
        <f>IF(SUM(D41:R41)&gt;0,SUM(D41:R41)/'Revenue w MYP'!$I40,"")</f>
        <v/>
      </c>
    </row>
    <row r="42" spans="1:19" s="31" customFormat="1" ht="17.75" x14ac:dyDescent="0.75">
      <c r="A42" s="29"/>
      <c r="B42" s="63" t="str">
        <f>'Revenue w MYP'!C41</f>
        <v>8699</v>
      </c>
      <c r="C42" s="63" t="str">
        <f>'Revenue w MYP'!D41</f>
        <v>All Other Local Revenue</v>
      </c>
      <c r="D42" s="62">
        <f>IF('Revenue w MYP'!$I41="","",IF('Cash Flow %s Yr5'!D42="","",'Cash Flow %s Yr5'!D42*'Revenue w MYP'!$I41))</f>
        <v>0</v>
      </c>
      <c r="E42" s="62">
        <f>IF('Revenue w MYP'!$I41="","",IF('Cash Flow %s Yr5'!E42="","",'Cash Flow %s Yr5'!E42*'Revenue w MYP'!$I41))</f>
        <v>0</v>
      </c>
      <c r="F42" s="62">
        <f>IF('Revenue w MYP'!$I41="","",IF('Cash Flow %s Yr5'!F42="","",'Cash Flow %s Yr5'!F42*'Revenue w MYP'!$I41))</f>
        <v>2125.8160000000003</v>
      </c>
      <c r="G42" s="62">
        <f>IF('Revenue w MYP'!$I41="","",IF('Cash Flow %s Yr5'!G42="","",'Cash Flow %s Yr5'!G42*'Revenue w MYP'!$I41))</f>
        <v>2125.8160000000003</v>
      </c>
      <c r="H42" s="62">
        <f>IF('Revenue w MYP'!$I41="","",IF('Cash Flow %s Yr5'!H42="","",'Cash Flow %s Yr5'!H42*'Revenue w MYP'!$I41))</f>
        <v>2125.8160000000003</v>
      </c>
      <c r="I42" s="62">
        <f>IF('Revenue w MYP'!$I41="","",IF('Cash Flow %s Yr5'!I42="","",'Cash Flow %s Yr5'!I42*'Revenue w MYP'!$I41))</f>
        <v>2125.8160000000003</v>
      </c>
      <c r="J42" s="62">
        <f>IF('Revenue w MYP'!$I41="","",IF('Cash Flow %s Yr5'!J42="","",'Cash Flow %s Yr5'!J42*'Revenue w MYP'!$I41))</f>
        <v>2125.8160000000003</v>
      </c>
      <c r="K42" s="62">
        <f>IF('Revenue w MYP'!$I41="","",IF('Cash Flow %s Yr5'!K42="","",'Cash Flow %s Yr5'!K42*'Revenue w MYP'!$I41))</f>
        <v>2125.8160000000003</v>
      </c>
      <c r="L42" s="62">
        <f>IF('Revenue w MYP'!$I41="","",IF('Cash Flow %s Yr5'!L42="","",'Cash Flow %s Yr5'!L42*'Revenue w MYP'!$I41))</f>
        <v>2125.8160000000003</v>
      </c>
      <c r="M42" s="62">
        <f>IF('Revenue w MYP'!$I41="","",IF('Cash Flow %s Yr5'!M42="","",'Cash Flow %s Yr5'!M42*'Revenue w MYP'!$I41))</f>
        <v>2125.8160000000003</v>
      </c>
      <c r="N42" s="62">
        <f>IF('Revenue w MYP'!$I41="","",IF('Cash Flow %s Yr5'!N42="","",'Cash Flow %s Yr5'!N42*'Revenue w MYP'!$I41))</f>
        <v>2125.8160000000003</v>
      </c>
      <c r="O42" s="62">
        <f>IF('Revenue w MYP'!$I41="","",IF('Cash Flow %s Yr5'!O42="","",'Cash Flow %s Yr5'!O42*'Revenue w MYP'!$I41))</f>
        <v>2125.8160000000003</v>
      </c>
      <c r="P42" s="62">
        <f>IF('Revenue w MYP'!$I41="","",IF('Cash Flow %s Yr5'!P42="","",'Cash Flow %s Yr5'!P42*'Revenue w MYP'!$I41))</f>
        <v>0</v>
      </c>
      <c r="Q42" s="62">
        <f>IF('Revenue w MYP'!$I41="","",IF('Cash Flow %s Yr5'!Q42="","",'Cash Flow %s Yr5'!Q42*'Revenue w MYP'!$I41))</f>
        <v>0</v>
      </c>
      <c r="R42" s="62">
        <f>IF('Revenue w MYP'!$I41="","",IF('Cash Flow %s Yr5'!R42="","",'Cash Flow %s Yr5'!R42*'Revenue w MYP'!$I41))</f>
        <v>0</v>
      </c>
      <c r="S42" s="97">
        <f>IF(SUM(D42:R42)&gt;0,SUM(D42:R42)/'Revenue w MYP'!$I41,"")</f>
        <v>1</v>
      </c>
    </row>
    <row r="43" spans="1:19" s="31" customFormat="1" ht="17.75" x14ac:dyDescent="0.75">
      <c r="A43" s="29"/>
      <c r="B43" s="63" t="str">
        <f>'Revenue w MYP'!C42</f>
        <v>8785</v>
      </c>
      <c r="C43" s="63" t="str">
        <f>'Revenue w MYP'!D42</f>
        <v>CMO Management fee</v>
      </c>
      <c r="D43" s="62">
        <f>IF('Revenue w MYP'!$I42="","",IF('Cash Flow %s Yr5'!D43="","",'Cash Flow %s Yr5'!D43*'Revenue w MYP'!$I42))</f>
        <v>0</v>
      </c>
      <c r="E43" s="62">
        <f>IF('Revenue w MYP'!$I42="","",IF('Cash Flow %s Yr5'!E43="","",'Cash Flow %s Yr5'!E43*'Revenue w MYP'!$I42))</f>
        <v>0</v>
      </c>
      <c r="F43" s="62">
        <f>IF('Revenue w MYP'!$I42="","",IF('Cash Flow %s Yr5'!F43="","",'Cash Flow %s Yr5'!F43*'Revenue w MYP'!$I42))</f>
        <v>0</v>
      </c>
      <c r="G43" s="62">
        <f>IF('Revenue w MYP'!$I42="","",IF('Cash Flow %s Yr5'!G43="","",'Cash Flow %s Yr5'!G43*'Revenue w MYP'!$I42))</f>
        <v>0</v>
      </c>
      <c r="H43" s="62">
        <f>IF('Revenue w MYP'!$I42="","",IF('Cash Flow %s Yr5'!H43="","",'Cash Flow %s Yr5'!H43*'Revenue w MYP'!$I42))</f>
        <v>0</v>
      </c>
      <c r="I43" s="62">
        <f>IF('Revenue w MYP'!$I42="","",IF('Cash Flow %s Yr5'!I43="","",'Cash Flow %s Yr5'!I43*'Revenue w MYP'!$I42))</f>
        <v>0</v>
      </c>
      <c r="J43" s="62">
        <f>IF('Revenue w MYP'!$I42="","",IF('Cash Flow %s Yr5'!J43="","",'Cash Flow %s Yr5'!J43*'Revenue w MYP'!$I42))</f>
        <v>0</v>
      </c>
      <c r="K43" s="62">
        <f>IF('Revenue w MYP'!$I42="","",IF('Cash Flow %s Yr5'!K43="","",'Cash Flow %s Yr5'!K43*'Revenue w MYP'!$I42))</f>
        <v>0</v>
      </c>
      <c r="L43" s="62">
        <f>IF('Revenue w MYP'!$I42="","",IF('Cash Flow %s Yr5'!L43="","",'Cash Flow %s Yr5'!L43*'Revenue w MYP'!$I42))</f>
        <v>0</v>
      </c>
      <c r="M43" s="62">
        <f>IF('Revenue w MYP'!$I42="","",IF('Cash Flow %s Yr5'!M43="","",'Cash Flow %s Yr5'!M43*'Revenue w MYP'!$I42))</f>
        <v>0</v>
      </c>
      <c r="N43" s="62">
        <f>IF('Revenue w MYP'!$I42="","",IF('Cash Flow %s Yr5'!N43="","",'Cash Flow %s Yr5'!N43*'Revenue w MYP'!$I42))</f>
        <v>0</v>
      </c>
      <c r="O43" s="62">
        <f>IF('Revenue w MYP'!$I42="","",IF('Cash Flow %s Yr5'!O43="","",'Cash Flow %s Yr5'!O43*'Revenue w MYP'!$I42))</f>
        <v>0</v>
      </c>
      <c r="P43" s="62">
        <f>IF('Revenue w MYP'!$I42="","",IF('Cash Flow %s Yr5'!P43="","",'Cash Flow %s Yr5'!P43*'Revenue w MYP'!$I42))</f>
        <v>0</v>
      </c>
      <c r="Q43" s="62">
        <f>IF('Revenue w MYP'!$I42="","",IF('Cash Flow %s Yr5'!Q43="","",'Cash Flow %s Yr5'!Q43*'Revenue w MYP'!$I42))</f>
        <v>0</v>
      </c>
      <c r="R43" s="62">
        <f>IF('Revenue w MYP'!$I42="","",IF('Cash Flow %s Yr5'!R43="","",'Cash Flow %s Yr5'!R43*'Revenue w MYP'!$I42))</f>
        <v>0</v>
      </c>
      <c r="S43" s="97" t="str">
        <f>IF(SUM(D43:R43)&gt;0,SUM(D43:R43)/'Revenue w MYP'!$I42,"")</f>
        <v/>
      </c>
    </row>
    <row r="44" spans="1:19" s="31" customFormat="1" ht="17.75" x14ac:dyDescent="0.75">
      <c r="A44" s="29"/>
      <c r="B44" s="63" t="str">
        <f>'Revenue w MYP'!C43</f>
        <v>8792</v>
      </c>
      <c r="C44" s="63" t="str">
        <f>'Revenue w MYP'!D43</f>
        <v>SPED State / Other Transfers from County</v>
      </c>
      <c r="D44" s="62">
        <f>IF('Revenue w MYP'!$I43="","",IF('Cash Flow %s Yr5'!D44="","",'Cash Flow %s Yr5'!D44*'Revenue w MYP'!$I43))</f>
        <v>0</v>
      </c>
      <c r="E44" s="62">
        <f>IF('Revenue w MYP'!$I43="","",IF('Cash Flow %s Yr5'!E44="","",'Cash Flow %s Yr5'!E44*'Revenue w MYP'!$I43))</f>
        <v>0</v>
      </c>
      <c r="F44" s="62">
        <f>IF('Revenue w MYP'!$I43="","",IF('Cash Flow %s Yr5'!F44="","",'Cash Flow %s Yr5'!F44*'Revenue w MYP'!$I43))</f>
        <v>87215.581509440017</v>
      </c>
      <c r="G44" s="62">
        <f>IF('Revenue w MYP'!$I43="","",IF('Cash Flow %s Yr5'!G44="","",'Cash Flow %s Yr5'!G44*'Revenue w MYP'!$I43))</f>
        <v>87215.581509440017</v>
      </c>
      <c r="H44" s="62">
        <f>IF('Revenue w MYP'!$I43="","",IF('Cash Flow %s Yr5'!H44="","",'Cash Flow %s Yr5'!H44*'Revenue w MYP'!$I43))</f>
        <v>87215.581509440017</v>
      </c>
      <c r="I44" s="62">
        <f>IF('Revenue w MYP'!$I43="","",IF('Cash Flow %s Yr5'!I44="","",'Cash Flow %s Yr5'!I44*'Revenue w MYP'!$I43))</f>
        <v>87215.581509440017</v>
      </c>
      <c r="J44" s="62">
        <f>IF('Revenue w MYP'!$I43="","",IF('Cash Flow %s Yr5'!J44="","",'Cash Flow %s Yr5'!J44*'Revenue w MYP'!$I43))</f>
        <v>87215.581509440017</v>
      </c>
      <c r="K44" s="62">
        <f>IF('Revenue w MYP'!$I43="","",IF('Cash Flow %s Yr5'!K44="","",'Cash Flow %s Yr5'!K44*'Revenue w MYP'!$I43))</f>
        <v>87215.581509440017</v>
      </c>
      <c r="L44" s="62">
        <f>IF('Revenue w MYP'!$I43="","",IF('Cash Flow %s Yr5'!L44="","",'Cash Flow %s Yr5'!L44*'Revenue w MYP'!$I43))</f>
        <v>87215.581509440017</v>
      </c>
      <c r="M44" s="62">
        <f>IF('Revenue w MYP'!$I43="","",IF('Cash Flow %s Yr5'!M44="","",'Cash Flow %s Yr5'!M44*'Revenue w MYP'!$I43))</f>
        <v>87215.581509440017</v>
      </c>
      <c r="N44" s="62">
        <f>IF('Revenue w MYP'!$I43="","",IF('Cash Flow %s Yr5'!N44="","",'Cash Flow %s Yr5'!N44*'Revenue w MYP'!$I43))</f>
        <v>87215.581509440017</v>
      </c>
      <c r="O44" s="62">
        <f>IF('Revenue w MYP'!$I43="","",IF('Cash Flow %s Yr5'!O44="","",'Cash Flow %s Yr5'!O44*'Revenue w MYP'!$I43))</f>
        <v>87215.581509440017</v>
      </c>
      <c r="P44" s="62">
        <f>IF('Revenue w MYP'!$I43="","",IF('Cash Flow %s Yr5'!P44="","",'Cash Flow %s Yr5'!P44*'Revenue w MYP'!$I43))</f>
        <v>0</v>
      </c>
      <c r="Q44" s="62">
        <f>IF('Revenue w MYP'!$I43="","",IF('Cash Flow %s Yr5'!Q44="","",'Cash Flow %s Yr5'!Q44*'Revenue w MYP'!$I43))</f>
        <v>0</v>
      </c>
      <c r="R44" s="62">
        <f>IF('Revenue w MYP'!$I43="","",IF('Cash Flow %s Yr5'!R44="","",'Cash Flow %s Yr5'!R44*'Revenue w MYP'!$I43))</f>
        <v>0</v>
      </c>
      <c r="S44" s="97">
        <f>IF(SUM(D44:R44)&gt;0,SUM(D44:R44)/'Revenue w MYP'!$I43,"")</f>
        <v>1</v>
      </c>
    </row>
    <row r="45" spans="1:19" s="31" customFormat="1" ht="17.75" x14ac:dyDescent="0.75">
      <c r="A45" s="29"/>
      <c r="B45" s="63" t="str">
        <f>'Revenue w MYP'!C44</f>
        <v>8639</v>
      </c>
      <c r="C45" s="63" t="str">
        <f>'Revenue w MYP'!D44</f>
        <v>Student Lunch Revenue</v>
      </c>
      <c r="D45" s="62">
        <f>IF('Revenue w MYP'!$I44="","",IF('Cash Flow %s Yr5'!D47="","",'Cash Flow %s Yr5'!D47*'Revenue w MYP'!$I44))</f>
        <v>0</v>
      </c>
      <c r="E45" s="62">
        <f>IF('Revenue w MYP'!$I44="","",IF('Cash Flow %s Yr5'!E47="","",'Cash Flow %s Yr5'!E47*'Revenue w MYP'!$I44))</f>
        <v>0</v>
      </c>
      <c r="F45" s="62">
        <f>IF('Revenue w MYP'!$I44="","",IF('Cash Flow %s Yr5'!F47="","",'Cash Flow %s Yr5'!F47*'Revenue w MYP'!$I44))</f>
        <v>0</v>
      </c>
      <c r="G45" s="62">
        <f>IF('Revenue w MYP'!$I44="","",IF('Cash Flow %s Yr5'!G47="","",'Cash Flow %s Yr5'!G47*'Revenue w MYP'!$I44))</f>
        <v>0</v>
      </c>
      <c r="H45" s="62">
        <f>IF('Revenue w MYP'!$I44="","",IF('Cash Flow %s Yr5'!H47="","",'Cash Flow %s Yr5'!H47*'Revenue w MYP'!$I44))</f>
        <v>0</v>
      </c>
      <c r="I45" s="62">
        <f>IF('Revenue w MYP'!$I44="","",IF('Cash Flow %s Yr5'!I47="","",'Cash Flow %s Yr5'!I47*'Revenue w MYP'!$I44))</f>
        <v>0</v>
      </c>
      <c r="J45" s="62">
        <f>IF('Revenue w MYP'!$I44="","",IF('Cash Flow %s Yr5'!J47="","",'Cash Flow %s Yr5'!J47*'Revenue w MYP'!$I44))</f>
        <v>0</v>
      </c>
      <c r="K45" s="62">
        <f>IF('Revenue w MYP'!$I44="","",IF('Cash Flow %s Yr5'!K47="","",'Cash Flow %s Yr5'!K47*'Revenue w MYP'!$I44))</f>
        <v>0</v>
      </c>
      <c r="L45" s="62">
        <f>IF('Revenue w MYP'!$I44="","",IF('Cash Flow %s Yr5'!L47="","",'Cash Flow %s Yr5'!L47*'Revenue w MYP'!$I44))</f>
        <v>0</v>
      </c>
      <c r="M45" s="62">
        <f>IF('Revenue w MYP'!$I44="","",IF('Cash Flow %s Yr5'!M47="","",'Cash Flow %s Yr5'!M47*'Revenue w MYP'!$I44))</f>
        <v>0</v>
      </c>
      <c r="N45" s="62">
        <f>IF('Revenue w MYP'!$I44="","",IF('Cash Flow %s Yr5'!N47="","",'Cash Flow %s Yr5'!N47*'Revenue w MYP'!$I44))</f>
        <v>0</v>
      </c>
      <c r="O45" s="62">
        <f>IF('Revenue w MYP'!$I44="","",IF('Cash Flow %s Yr5'!O47="","",'Cash Flow %s Yr5'!O47*'Revenue w MYP'!$I44))</f>
        <v>0</v>
      </c>
      <c r="P45" s="62">
        <f>IF('Revenue w MYP'!$I44="","",IF('Cash Flow %s Yr5'!P47="","",'Cash Flow %s Yr5'!P47*'Revenue w MYP'!$I44))</f>
        <v>0</v>
      </c>
      <c r="Q45" s="62">
        <f>IF('Revenue w MYP'!$I44="","",IF('Cash Flow %s Yr5'!Q47="","",'Cash Flow %s Yr5'!Q47*'Revenue w MYP'!$I44))</f>
        <v>0</v>
      </c>
      <c r="R45" s="62">
        <f>IF('Revenue w MYP'!$I44="","",IF('Cash Flow %s Yr5'!R47="","",'Cash Flow %s Yr5'!R47*'Revenue w MYP'!$I44))</f>
        <v>0</v>
      </c>
      <c r="S45" s="97" t="str">
        <f>IF(SUM(D45:R45)&gt;0,SUM(D45:R45)/'Revenue w MYP'!$I44,"")</f>
        <v/>
      </c>
    </row>
    <row r="46" spans="1:19" s="31" customFormat="1" ht="17.75" x14ac:dyDescent="0.75">
      <c r="A46" s="29"/>
      <c r="B46" s="63" t="str">
        <f>'Revenue w MYP'!C45</f>
        <v>8986</v>
      </c>
      <c r="C46" s="63" t="str">
        <f>'Revenue w MYP'!D45</f>
        <v>Rental Income</v>
      </c>
      <c r="D46" s="62" t="str">
        <f>IF('Revenue w MYP'!$I45="","",IF('Cash Flow %s Yr5'!D48="","",'Cash Flow %s Yr5'!D48*'Revenue w MYP'!$I45))</f>
        <v/>
      </c>
      <c r="E46" s="62" t="str">
        <f>IF('Revenue w MYP'!$I45="","",IF('Cash Flow %s Yr5'!E48="","",'Cash Flow %s Yr5'!E48*'Revenue w MYP'!$I45))</f>
        <v/>
      </c>
      <c r="F46" s="62" t="str">
        <f>IF('Revenue w MYP'!$I45="","",IF('Cash Flow %s Yr5'!F48="","",'Cash Flow %s Yr5'!F48*'Revenue w MYP'!$I45))</f>
        <v/>
      </c>
      <c r="G46" s="62" t="str">
        <f>IF('Revenue w MYP'!$I45="","",IF('Cash Flow %s Yr5'!G48="","",'Cash Flow %s Yr5'!G48*'Revenue w MYP'!$I45))</f>
        <v/>
      </c>
      <c r="H46" s="62" t="str">
        <f>IF('Revenue w MYP'!$I45="","",IF('Cash Flow %s Yr5'!H48="","",'Cash Flow %s Yr5'!H48*'Revenue w MYP'!$I45))</f>
        <v/>
      </c>
      <c r="I46" s="62" t="str">
        <f>IF('Revenue w MYP'!$I45="","",IF('Cash Flow %s Yr5'!I48="","",'Cash Flow %s Yr5'!I48*'Revenue w MYP'!$I45))</f>
        <v/>
      </c>
      <c r="J46" s="62" t="str">
        <f>IF('Revenue w MYP'!$I45="","",IF('Cash Flow %s Yr5'!J48="","",'Cash Flow %s Yr5'!J48*'Revenue w MYP'!$I45))</f>
        <v/>
      </c>
      <c r="K46" s="62" t="str">
        <f>IF('Revenue w MYP'!$I45="","",IF('Cash Flow %s Yr5'!K48="","",'Cash Flow %s Yr5'!K48*'Revenue w MYP'!$I45))</f>
        <v/>
      </c>
      <c r="L46" s="62" t="str">
        <f>IF('Revenue w MYP'!$I45="","",IF('Cash Flow %s Yr5'!L48="","",'Cash Flow %s Yr5'!L48*'Revenue w MYP'!$I45))</f>
        <v/>
      </c>
      <c r="M46" s="62" t="str">
        <f>IF('Revenue w MYP'!$I45="","",IF('Cash Flow %s Yr5'!M48="","",'Cash Flow %s Yr5'!M48*'Revenue w MYP'!$I45))</f>
        <v/>
      </c>
      <c r="N46" s="62" t="str">
        <f>IF('Revenue w MYP'!$I45="","",IF('Cash Flow %s Yr5'!N48="","",'Cash Flow %s Yr5'!N48*'Revenue w MYP'!$I45))</f>
        <v/>
      </c>
      <c r="O46" s="62" t="str">
        <f>IF('Revenue w MYP'!$I45="","",IF('Cash Flow %s Yr5'!O48="","",'Cash Flow %s Yr5'!O48*'Revenue w MYP'!$I45))</f>
        <v/>
      </c>
      <c r="P46" s="62" t="str">
        <f>IF('Revenue w MYP'!$I45="","",IF('Cash Flow %s Yr5'!P48="","",'Cash Flow %s Yr5'!P48*'Revenue w MYP'!$I45))</f>
        <v/>
      </c>
      <c r="Q46" s="62" t="str">
        <f>IF('Revenue w MYP'!$I45="","",IF('Cash Flow %s Yr5'!Q48="","",'Cash Flow %s Yr5'!Q48*'Revenue w MYP'!$I45))</f>
        <v/>
      </c>
      <c r="R46" s="62" t="str">
        <f>IF('Revenue w MYP'!$I45="","",IF('Cash Flow %s Yr5'!R48="","",'Cash Flow %s Yr5'!R48*'Revenue w MYP'!$I45))</f>
        <v/>
      </c>
      <c r="S46" s="97" t="str">
        <f>IF(SUM(D46:R46)&gt;0,SUM(D46:R46)/'Revenue w MYP'!$I45,"")</f>
        <v/>
      </c>
    </row>
    <row r="47" spans="1:19" s="31" customFormat="1" ht="17.75" x14ac:dyDescent="0.75">
      <c r="A47" s="29"/>
      <c r="B47" s="63" t="str">
        <f>'Revenue w MYP'!C47</f>
        <v>8662</v>
      </c>
      <c r="C47" s="63" t="str">
        <f>'Revenue w MYP'!D47</f>
        <v>Increase/Decrease in Investment</v>
      </c>
      <c r="D47" s="62" t="str">
        <f>IF('Revenue w MYP'!$I47="","",IF('Cash Flow %s Yr5'!D50="","",'Cash Flow %s Yr5'!D50*'Revenue w MYP'!$I47))</f>
        <v/>
      </c>
      <c r="E47" s="62" t="str">
        <f>IF('Revenue w MYP'!$I47="","",IF('Cash Flow %s Yr5'!E50="","",'Cash Flow %s Yr5'!E50*'Revenue w MYP'!$I47))</f>
        <v/>
      </c>
      <c r="F47" s="62" t="str">
        <f>IF('Revenue w MYP'!$I47="","",IF('Cash Flow %s Yr5'!F50="","",'Cash Flow %s Yr5'!F50*'Revenue w MYP'!$I47))</f>
        <v/>
      </c>
      <c r="G47" s="62" t="str">
        <f>IF('Revenue w MYP'!$I47="","",IF('Cash Flow %s Yr5'!G50="","",'Cash Flow %s Yr5'!G50*'Revenue w MYP'!$I47))</f>
        <v/>
      </c>
      <c r="H47" s="62" t="str">
        <f>IF('Revenue w MYP'!$I47="","",IF('Cash Flow %s Yr5'!H50="","",'Cash Flow %s Yr5'!H50*'Revenue w MYP'!$I47))</f>
        <v/>
      </c>
      <c r="I47" s="62" t="str">
        <f>IF('Revenue w MYP'!$I47="","",IF('Cash Flow %s Yr5'!I50="","",'Cash Flow %s Yr5'!I50*'Revenue w MYP'!$I47))</f>
        <v/>
      </c>
      <c r="J47" s="62" t="str">
        <f>IF('Revenue w MYP'!$I47="","",IF('Cash Flow %s Yr5'!J50="","",'Cash Flow %s Yr5'!J50*'Revenue w MYP'!$I47))</f>
        <v/>
      </c>
      <c r="K47" s="62" t="str">
        <f>IF('Revenue w MYP'!$I47="","",IF('Cash Flow %s Yr5'!K50="","",'Cash Flow %s Yr5'!K50*'Revenue w MYP'!$I47))</f>
        <v/>
      </c>
      <c r="L47" s="62" t="str">
        <f>IF('Revenue w MYP'!$I47="","",IF('Cash Flow %s Yr5'!L50="","",'Cash Flow %s Yr5'!L50*'Revenue w MYP'!$I47))</f>
        <v/>
      </c>
      <c r="M47" s="62" t="str">
        <f>IF('Revenue w MYP'!$I47="","",IF('Cash Flow %s Yr5'!M50="","",'Cash Flow %s Yr5'!M50*'Revenue w MYP'!$I47))</f>
        <v/>
      </c>
      <c r="N47" s="62" t="str">
        <f>IF('Revenue w MYP'!$I47="","",IF('Cash Flow %s Yr5'!N50="","",'Cash Flow %s Yr5'!N50*'Revenue w MYP'!$I47))</f>
        <v/>
      </c>
      <c r="O47" s="62" t="str">
        <f>IF('Revenue w MYP'!$I47="","",IF('Cash Flow %s Yr5'!O50="","",'Cash Flow %s Yr5'!O50*'Revenue w MYP'!$I47))</f>
        <v/>
      </c>
      <c r="P47" s="62" t="str">
        <f>IF('Revenue w MYP'!$I47="","",IF('Cash Flow %s Yr5'!P50="","",'Cash Flow %s Yr5'!P50*'Revenue w MYP'!$I47))</f>
        <v/>
      </c>
      <c r="Q47" s="62" t="str">
        <f>IF('Revenue w MYP'!$I47="","",IF('Cash Flow %s Yr5'!Q50="","",'Cash Flow %s Yr5'!Q50*'Revenue w MYP'!$I47))</f>
        <v/>
      </c>
      <c r="R47" s="62" t="str">
        <f>IF('Revenue w MYP'!$I47="","",IF('Cash Flow %s Yr5'!R50="","",'Cash Flow %s Yr5'!R50*'Revenue w MYP'!$I47))</f>
        <v/>
      </c>
      <c r="S47" s="97" t="str">
        <f>IF(SUM(D47:R47)&gt;0,SUM(D47:R47)/'Revenue w MYP'!$I47,"")</f>
        <v/>
      </c>
    </row>
    <row r="48" spans="1:19" s="31" customFormat="1" ht="17.75" x14ac:dyDescent="0.75">
      <c r="A48" s="29"/>
      <c r="B48" s="69"/>
      <c r="C48" s="34" t="s">
        <v>719</v>
      </c>
      <c r="D48" s="167">
        <f t="shared" ref="D48:R48" si="2">SUM(D36:D47)</f>
        <v>8.3000000000000007</v>
      </c>
      <c r="E48" s="167">
        <f t="shared" si="2"/>
        <v>8.3000000000000007</v>
      </c>
      <c r="F48" s="167">
        <f t="shared" si="2"/>
        <v>89506.57850944002</v>
      </c>
      <c r="G48" s="167">
        <f t="shared" si="2"/>
        <v>89506.57850944002</v>
      </c>
      <c r="H48" s="167">
        <f t="shared" si="2"/>
        <v>89506.57850944002</v>
      </c>
      <c r="I48" s="167">
        <f t="shared" si="2"/>
        <v>89506.57850944002</v>
      </c>
      <c r="J48" s="167">
        <f t="shared" si="2"/>
        <v>89506.57850944002</v>
      </c>
      <c r="K48" s="167">
        <f t="shared" si="2"/>
        <v>89506.57850944002</v>
      </c>
      <c r="L48" s="167">
        <f t="shared" si="2"/>
        <v>89506.678509440011</v>
      </c>
      <c r="M48" s="167">
        <f t="shared" si="2"/>
        <v>89506.678509440011</v>
      </c>
      <c r="N48" s="167">
        <f t="shared" si="2"/>
        <v>89506.678509440011</v>
      </c>
      <c r="O48" s="167">
        <f t="shared" si="2"/>
        <v>89506.678509440011</v>
      </c>
      <c r="P48" s="167">
        <f t="shared" si="2"/>
        <v>0</v>
      </c>
      <c r="Q48" s="167">
        <f t="shared" si="2"/>
        <v>0</v>
      </c>
      <c r="R48" s="167">
        <f t="shared" si="2"/>
        <v>0</v>
      </c>
      <c r="S48" s="94"/>
    </row>
    <row r="49" spans="1:19" s="31" customFormat="1" ht="17.75" x14ac:dyDescent="0.75">
      <c r="A49" s="29"/>
      <c r="B49" s="47" t="s">
        <v>675</v>
      </c>
      <c r="C49" s="48"/>
      <c r="D49" s="168">
        <f t="shared" ref="D49:R49" si="3">SUM(D48,D33,D22)</f>
        <v>1506116.2845894103</v>
      </c>
      <c r="E49" s="168">
        <f t="shared" si="3"/>
        <v>483472.3422865264</v>
      </c>
      <c r="F49" s="168">
        <f t="shared" si="3"/>
        <v>599660.02417820645</v>
      </c>
      <c r="G49" s="168">
        <f t="shared" si="3"/>
        <v>1011684.2080317156</v>
      </c>
      <c r="H49" s="168">
        <f t="shared" si="3"/>
        <v>970906.14803171554</v>
      </c>
      <c r="I49" s="168">
        <f t="shared" si="3"/>
        <v>970906.14803171554</v>
      </c>
      <c r="J49" s="168">
        <f t="shared" si="3"/>
        <v>1264008.2080317156</v>
      </c>
      <c r="K49" s="168">
        <f t="shared" si="3"/>
        <v>970906.14803171554</v>
      </c>
      <c r="L49" s="168">
        <f t="shared" si="3"/>
        <v>1158543.900000697</v>
      </c>
      <c r="M49" s="168">
        <f t="shared" si="3"/>
        <v>1674586.6047333758</v>
      </c>
      <c r="N49" s="168">
        <f t="shared" si="3"/>
        <v>1121740.1007120959</v>
      </c>
      <c r="O49" s="168">
        <f t="shared" si="3"/>
        <v>1374064.1007120959</v>
      </c>
      <c r="P49" s="168">
        <f t="shared" si="3"/>
        <v>1132996.4052152254</v>
      </c>
      <c r="Q49" s="168">
        <f t="shared" si="3"/>
        <v>0</v>
      </c>
      <c r="R49" s="168">
        <f t="shared" si="3"/>
        <v>0</v>
      </c>
      <c r="S49" s="94"/>
    </row>
    <row r="50" spans="1:19" s="31" customFormat="1" ht="17.75" x14ac:dyDescent="0.75">
      <c r="A50" s="29"/>
      <c r="B50" s="69"/>
      <c r="C50" s="48"/>
      <c r="D50" s="111"/>
      <c r="E50" s="111"/>
      <c r="F50" s="111"/>
      <c r="G50" s="111"/>
      <c r="H50" s="111"/>
      <c r="I50" s="111"/>
      <c r="J50" s="111"/>
      <c r="K50" s="111"/>
      <c r="L50" s="111"/>
      <c r="M50" s="111"/>
      <c r="N50" s="111"/>
      <c r="O50" s="111"/>
      <c r="P50" s="111"/>
      <c r="Q50" s="111"/>
      <c r="R50" s="111"/>
    </row>
    <row r="51" spans="1:19" s="31" customFormat="1" ht="17.75" x14ac:dyDescent="0.75">
      <c r="A51" s="29" t="s">
        <v>796</v>
      </c>
      <c r="B51" s="70"/>
      <c r="C51" s="34"/>
      <c r="D51" s="112"/>
      <c r="E51" s="112"/>
      <c r="F51" s="112"/>
      <c r="G51" s="112"/>
      <c r="H51" s="112"/>
      <c r="I51" s="112"/>
      <c r="J51" s="112"/>
      <c r="K51" s="112"/>
      <c r="L51" s="112"/>
      <c r="M51" s="112"/>
      <c r="N51" s="112"/>
      <c r="O51" s="112"/>
      <c r="P51" s="112"/>
      <c r="Q51" s="112"/>
      <c r="R51" s="112"/>
    </row>
    <row r="52" spans="1:19" x14ac:dyDescent="0.75">
      <c r="A52" s="1"/>
      <c r="B52" s="34" t="s">
        <v>731</v>
      </c>
      <c r="C52" s="2"/>
      <c r="D52" s="94"/>
      <c r="E52" s="94"/>
      <c r="F52" s="94"/>
      <c r="G52" s="94"/>
      <c r="H52" s="94"/>
      <c r="I52" s="94"/>
      <c r="J52" s="94"/>
      <c r="K52" s="94"/>
      <c r="L52" s="94"/>
      <c r="M52" s="94"/>
      <c r="N52" s="94"/>
      <c r="O52" s="94"/>
      <c r="P52" s="94"/>
      <c r="Q52" s="94"/>
      <c r="R52" s="94"/>
    </row>
    <row r="53" spans="1:19" x14ac:dyDescent="0.75">
      <c r="A53" s="35"/>
      <c r="B53" s="65" t="str">
        <f>'Expenses w MYP'!C8</f>
        <v>1100</v>
      </c>
      <c r="C53" s="65" t="str">
        <f>'Expenses w MYP'!D8</f>
        <v>Teachers' Salaries</v>
      </c>
      <c r="D53" s="62">
        <f ca="1">IF('Expenses w MYP'!$I8="","",IF('Cash Flow %s Yr5'!D53="","",'Cash Flow %s Yr5'!D53*'Expenses w MYP'!$I8))</f>
        <v>0</v>
      </c>
      <c r="E53" s="62">
        <f ca="1">IF('Expenses w MYP'!$I8="","",IF('Cash Flow %s Yr5'!E53="","",'Cash Flow %s Yr5'!E53*'Expenses w MYP'!$I8))</f>
        <v>0</v>
      </c>
      <c r="F53" s="62">
        <f ca="1">IF('Expenses w MYP'!$I8="","",IF('Cash Flow %s Yr5'!F53="","",'Cash Flow %s Yr5'!F53*'Expenses w MYP'!$I8))</f>
        <v>397715.6321208225</v>
      </c>
      <c r="G53" s="62">
        <f ca="1">IF('Expenses w MYP'!$I8="","",IF('Cash Flow %s Yr5'!G53="","",'Cash Flow %s Yr5'!G53*'Expenses w MYP'!$I8))</f>
        <v>397715.6321208225</v>
      </c>
      <c r="H53" s="62">
        <f ca="1">IF('Expenses w MYP'!$I8="","",IF('Cash Flow %s Yr5'!H53="","",'Cash Flow %s Yr5'!H53*'Expenses w MYP'!$I8))</f>
        <v>397715.6321208225</v>
      </c>
      <c r="I53" s="62">
        <f ca="1">IF('Expenses w MYP'!$I8="","",IF('Cash Flow %s Yr5'!I53="","",'Cash Flow %s Yr5'!I53*'Expenses w MYP'!$I8))</f>
        <v>397715.6321208225</v>
      </c>
      <c r="J53" s="62">
        <f ca="1">IF('Expenses w MYP'!$I8="","",IF('Cash Flow %s Yr5'!J53="","",'Cash Flow %s Yr5'!J53*'Expenses w MYP'!$I8))</f>
        <v>397715.6321208225</v>
      </c>
      <c r="K53" s="62">
        <f ca="1">IF('Expenses w MYP'!$I8="","",IF('Cash Flow %s Yr5'!K53="","",'Cash Flow %s Yr5'!K53*'Expenses w MYP'!$I8))</f>
        <v>397715.6321208225</v>
      </c>
      <c r="L53" s="62">
        <f ca="1">IF('Expenses w MYP'!$I8="","",IF('Cash Flow %s Yr5'!L53="","",'Cash Flow %s Yr5'!L53*'Expenses w MYP'!$I8))</f>
        <v>397715.6321208225</v>
      </c>
      <c r="M53" s="62">
        <f ca="1">IF('Expenses w MYP'!$I8="","",IF('Cash Flow %s Yr5'!M53="","",'Cash Flow %s Yr5'!M53*'Expenses w MYP'!$I8))</f>
        <v>397715.6321208225</v>
      </c>
      <c r="N53" s="62">
        <f ca="1">IF('Expenses w MYP'!$I8="","",IF('Cash Flow %s Yr5'!N53="","",'Cash Flow %s Yr5'!N53*'Expenses w MYP'!$I8))</f>
        <v>397715.6321208225</v>
      </c>
      <c r="O53" s="62">
        <f ca="1">IF('Expenses w MYP'!$I8="","",IF('Cash Flow %s Yr5'!O53="","",'Cash Flow %s Yr5'!O53*'Expenses w MYP'!$I8))</f>
        <v>397715.6321208225</v>
      </c>
      <c r="P53" s="113"/>
      <c r="Q53" s="113"/>
      <c r="R53" s="113"/>
      <c r="S53" s="97">
        <f ca="1">IF(SUM(D53:R53)&gt;0,SUM(D53:R53)/'Expenses w MYP'!$I8,"")</f>
        <v>1.0000000000000002</v>
      </c>
    </row>
    <row r="54" spans="1:19" x14ac:dyDescent="0.75">
      <c r="A54" s="35"/>
      <c r="B54" s="65" t="str">
        <f>'Expenses w MYP'!C9</f>
        <v>1105</v>
      </c>
      <c r="C54" s="65" t="str">
        <f>'Expenses w MYP'!D9</f>
        <v>Teachers' Stipends / Bonus</v>
      </c>
      <c r="D54" s="62">
        <f ca="1">IF('Expenses w MYP'!$I9="","",IF('Cash Flow %s Yr5'!D54="","",'Cash Flow %s Yr5'!D54*'Expenses w MYP'!$I9))</f>
        <v>0</v>
      </c>
      <c r="E54" s="62">
        <f ca="1">IF('Expenses w MYP'!$I9="","",IF('Cash Flow %s Yr5'!E54="","",'Cash Flow %s Yr5'!E54*'Expenses w MYP'!$I9))</f>
        <v>0</v>
      </c>
      <c r="F54" s="62">
        <f ca="1">IF('Expenses w MYP'!$I9="","",IF('Cash Flow %s Yr5'!F54="","",'Cash Flow %s Yr5'!F54*'Expenses w MYP'!$I9))</f>
        <v>0</v>
      </c>
      <c r="G54" s="62">
        <f ca="1">IF('Expenses w MYP'!$I9="","",IF('Cash Flow %s Yr5'!G54="","",'Cash Flow %s Yr5'!G54*'Expenses w MYP'!$I9))</f>
        <v>0</v>
      </c>
      <c r="H54" s="62">
        <f ca="1">IF('Expenses w MYP'!$I9="","",IF('Cash Flow %s Yr5'!H54="","",'Cash Flow %s Yr5'!H54*'Expenses w MYP'!$I9))</f>
        <v>0</v>
      </c>
      <c r="I54" s="62">
        <f ca="1">IF('Expenses w MYP'!$I9="","",IF('Cash Flow %s Yr5'!I54="","",'Cash Flow %s Yr5'!I54*'Expenses w MYP'!$I9))</f>
        <v>0</v>
      </c>
      <c r="J54" s="62">
        <f ca="1">IF('Expenses w MYP'!$I9="","",IF('Cash Flow %s Yr5'!J54="","",'Cash Flow %s Yr5'!J54*'Expenses w MYP'!$I9))</f>
        <v>0</v>
      </c>
      <c r="K54" s="62">
        <f ca="1">IF('Expenses w MYP'!$I9="","",IF('Cash Flow %s Yr5'!K54="","",'Cash Flow %s Yr5'!K54*'Expenses w MYP'!$I9))</f>
        <v>0</v>
      </c>
      <c r="L54" s="62">
        <f ca="1">IF('Expenses w MYP'!$I9="","",IF('Cash Flow %s Yr5'!L54="","",'Cash Flow %s Yr5'!L54*'Expenses w MYP'!$I9))</f>
        <v>0</v>
      </c>
      <c r="M54" s="62">
        <f ca="1">IF('Expenses w MYP'!$I9="","",IF('Cash Flow %s Yr5'!M54="","",'Cash Flow %s Yr5'!M54*'Expenses w MYP'!$I9))</f>
        <v>0</v>
      </c>
      <c r="N54" s="62">
        <f ca="1">IF('Expenses w MYP'!$I9="","",IF('Cash Flow %s Yr5'!N54="","",'Cash Flow %s Yr5'!N54*'Expenses w MYP'!$I9))</f>
        <v>0</v>
      </c>
      <c r="O54" s="62">
        <f ca="1">IF('Expenses w MYP'!$I9="","",IF('Cash Flow %s Yr5'!O54="","",'Cash Flow %s Yr5'!O54*'Expenses w MYP'!$I9))</f>
        <v>0</v>
      </c>
      <c r="P54" s="113"/>
      <c r="Q54" s="113"/>
      <c r="R54" s="113"/>
      <c r="S54" s="97" t="str">
        <f ca="1">IF(SUM(D54:R54)&gt;0,SUM(D54:R54)/'Expenses w MYP'!$I9,"")</f>
        <v/>
      </c>
    </row>
    <row r="55" spans="1:19" x14ac:dyDescent="0.75">
      <c r="A55" s="35"/>
      <c r="B55" s="65" t="str">
        <f>'Expenses w MYP'!C10</f>
        <v>1120</v>
      </c>
      <c r="C55" s="65" t="str">
        <f>'Expenses w MYP'!D10</f>
        <v>Substitute Expense</v>
      </c>
      <c r="D55" s="62">
        <f ca="1">IF('Expenses w MYP'!$I10="","",IF('Cash Flow %s Yr5'!D55="","",'Cash Flow %s Yr5'!D55*'Expenses w MYP'!$I10))</f>
        <v>0</v>
      </c>
      <c r="E55" s="62">
        <f ca="1">IF('Expenses w MYP'!$I10="","",IF('Cash Flow %s Yr5'!E55="","",'Cash Flow %s Yr5'!E55*'Expenses w MYP'!$I10))</f>
        <v>0</v>
      </c>
      <c r="F55" s="62">
        <f ca="1">IF('Expenses w MYP'!$I10="","",IF('Cash Flow %s Yr5'!F55="","",'Cash Flow %s Yr5'!F55*'Expenses w MYP'!$I10))</f>
        <v>0</v>
      </c>
      <c r="G55" s="62">
        <f ca="1">IF('Expenses w MYP'!$I10="","",IF('Cash Flow %s Yr5'!G55="","",'Cash Flow %s Yr5'!G55*'Expenses w MYP'!$I10))</f>
        <v>0</v>
      </c>
      <c r="H55" s="62">
        <f ca="1">IF('Expenses w MYP'!$I10="","",IF('Cash Flow %s Yr5'!H55="","",'Cash Flow %s Yr5'!H55*'Expenses w MYP'!$I10))</f>
        <v>0</v>
      </c>
      <c r="I55" s="62">
        <f ca="1">IF('Expenses w MYP'!$I10="","",IF('Cash Flow %s Yr5'!I55="","",'Cash Flow %s Yr5'!I55*'Expenses w MYP'!$I10))</f>
        <v>0</v>
      </c>
      <c r="J55" s="62">
        <f ca="1">IF('Expenses w MYP'!$I10="","",IF('Cash Flow %s Yr5'!J55="","",'Cash Flow %s Yr5'!J55*'Expenses w MYP'!$I10))</f>
        <v>0</v>
      </c>
      <c r="K55" s="62">
        <f ca="1">IF('Expenses w MYP'!$I10="","",IF('Cash Flow %s Yr5'!K55="","",'Cash Flow %s Yr5'!K55*'Expenses w MYP'!$I10))</f>
        <v>0</v>
      </c>
      <c r="L55" s="62">
        <f ca="1">IF('Expenses w MYP'!$I10="","",IF('Cash Flow %s Yr5'!L55="","",'Cash Flow %s Yr5'!L55*'Expenses w MYP'!$I10))</f>
        <v>0</v>
      </c>
      <c r="M55" s="62">
        <f ca="1">IF('Expenses w MYP'!$I10="","",IF('Cash Flow %s Yr5'!M55="","",'Cash Flow %s Yr5'!M55*'Expenses w MYP'!$I10))</f>
        <v>0</v>
      </c>
      <c r="N55" s="62">
        <f ca="1">IF('Expenses w MYP'!$I10="","",IF('Cash Flow %s Yr5'!N55="","",'Cash Flow %s Yr5'!N55*'Expenses w MYP'!$I10))</f>
        <v>0</v>
      </c>
      <c r="O55" s="62">
        <f ca="1">IF('Expenses w MYP'!$I10="","",IF('Cash Flow %s Yr5'!O55="","",'Cash Flow %s Yr5'!O55*'Expenses w MYP'!$I10))</f>
        <v>0</v>
      </c>
      <c r="P55" s="113"/>
      <c r="Q55" s="113"/>
      <c r="R55" s="113"/>
      <c r="S55" s="97" t="str">
        <f ca="1">IF(SUM(D55:R55)&gt;0,SUM(D55:R55)/'Expenses w MYP'!$I10,"")</f>
        <v/>
      </c>
    </row>
    <row r="56" spans="1:19" x14ac:dyDescent="0.75">
      <c r="A56" s="35"/>
      <c r="B56" s="65" t="str">
        <f>'Expenses w MYP'!C11</f>
        <v>1200</v>
      </c>
      <c r="C56" s="65" t="str">
        <f>'Expenses w MYP'!D11</f>
        <v>Certificated Pupil Support Salaries</v>
      </c>
      <c r="D56" s="62">
        <f ca="1">IF('Expenses w MYP'!$I11="","",IF('Cash Flow %s Yr5'!D56="","",'Cash Flow %s Yr5'!D56*'Expenses w MYP'!$I11))</f>
        <v>0</v>
      </c>
      <c r="E56" s="62">
        <f ca="1">IF('Expenses w MYP'!$I11="","",IF('Cash Flow %s Yr5'!E56="","",'Cash Flow %s Yr5'!E56*'Expenses w MYP'!$I11))</f>
        <v>0</v>
      </c>
      <c r="F56" s="62">
        <f ca="1">IF('Expenses w MYP'!$I11="","",IF('Cash Flow %s Yr5'!F56="","",'Cash Flow %s Yr5'!F56*'Expenses w MYP'!$I11))</f>
        <v>43551.008274742999</v>
      </c>
      <c r="G56" s="62">
        <f ca="1">IF('Expenses w MYP'!$I11="","",IF('Cash Flow %s Yr5'!G56="","",'Cash Flow %s Yr5'!G56*'Expenses w MYP'!$I11))</f>
        <v>43551.008274742999</v>
      </c>
      <c r="H56" s="62">
        <f ca="1">IF('Expenses w MYP'!$I11="","",IF('Cash Flow %s Yr5'!H56="","",'Cash Flow %s Yr5'!H56*'Expenses w MYP'!$I11))</f>
        <v>43551.008274742999</v>
      </c>
      <c r="I56" s="62">
        <f ca="1">IF('Expenses w MYP'!$I11="","",IF('Cash Flow %s Yr5'!I56="","",'Cash Flow %s Yr5'!I56*'Expenses w MYP'!$I11))</f>
        <v>43551.008274742999</v>
      </c>
      <c r="J56" s="62">
        <f ca="1">IF('Expenses w MYP'!$I11="","",IF('Cash Flow %s Yr5'!J56="","",'Cash Flow %s Yr5'!J56*'Expenses w MYP'!$I11))</f>
        <v>43551.008274742999</v>
      </c>
      <c r="K56" s="62">
        <f ca="1">IF('Expenses w MYP'!$I11="","",IF('Cash Flow %s Yr5'!K56="","",'Cash Flow %s Yr5'!K56*'Expenses w MYP'!$I11))</f>
        <v>43551.008274742999</v>
      </c>
      <c r="L56" s="62">
        <f ca="1">IF('Expenses w MYP'!$I11="","",IF('Cash Flow %s Yr5'!L56="","",'Cash Flow %s Yr5'!L56*'Expenses w MYP'!$I11))</f>
        <v>43551.008274742999</v>
      </c>
      <c r="M56" s="62">
        <f ca="1">IF('Expenses w MYP'!$I11="","",IF('Cash Flow %s Yr5'!M56="","",'Cash Flow %s Yr5'!M56*'Expenses w MYP'!$I11))</f>
        <v>43551.008274742999</v>
      </c>
      <c r="N56" s="62">
        <f ca="1">IF('Expenses w MYP'!$I11="","",IF('Cash Flow %s Yr5'!N56="","",'Cash Flow %s Yr5'!N56*'Expenses w MYP'!$I11))</f>
        <v>43551.008274742999</v>
      </c>
      <c r="O56" s="62">
        <f ca="1">IF('Expenses w MYP'!$I11="","",IF('Cash Flow %s Yr5'!O56="","",'Cash Flow %s Yr5'!O56*'Expenses w MYP'!$I11))</f>
        <v>43551.008274742999</v>
      </c>
      <c r="P56" s="113"/>
      <c r="Q56" s="113"/>
      <c r="R56" s="113"/>
      <c r="S56" s="97">
        <f ca="1">IF(SUM(D56:R56)&gt;0,SUM(D56:R56)/'Expenses w MYP'!$I11,"")</f>
        <v>0.99999999999999989</v>
      </c>
    </row>
    <row r="57" spans="1:19" x14ac:dyDescent="0.75">
      <c r="A57" s="35"/>
      <c r="B57" s="65" t="str">
        <f>'Expenses w MYP'!C12</f>
        <v>1300</v>
      </c>
      <c r="C57" s="65" t="str">
        <f>'Expenses w MYP'!D12</f>
        <v>Certificated Supervisor and Administrator Salaries</v>
      </c>
      <c r="D57" s="62">
        <f ca="1">IF('Expenses w MYP'!$I12="","",IF('Cash Flow %s Yr5'!D57="","",'Cash Flow %s Yr5'!D57*'Expenses w MYP'!$I12))</f>
        <v>61074.450247078916</v>
      </c>
      <c r="E57" s="62">
        <f ca="1">IF('Expenses w MYP'!$I12="","",IF('Cash Flow %s Yr5'!E57="","",'Cash Flow %s Yr5'!E57*'Expenses w MYP'!$I12))</f>
        <v>61074.450247078916</v>
      </c>
      <c r="F57" s="62">
        <f ca="1">IF('Expenses w MYP'!$I12="","",IF('Cash Flow %s Yr5'!F57="","",'Cash Flow %s Yr5'!F57*'Expenses w MYP'!$I12))</f>
        <v>61074.450247078916</v>
      </c>
      <c r="G57" s="62">
        <f ca="1">IF('Expenses w MYP'!$I12="","",IF('Cash Flow %s Yr5'!G57="","",'Cash Flow %s Yr5'!G57*'Expenses w MYP'!$I12))</f>
        <v>61074.450247078916</v>
      </c>
      <c r="H57" s="62">
        <f ca="1">IF('Expenses w MYP'!$I12="","",IF('Cash Flow %s Yr5'!H57="","",'Cash Flow %s Yr5'!H57*'Expenses w MYP'!$I12))</f>
        <v>61074.450247078916</v>
      </c>
      <c r="I57" s="62">
        <f ca="1">IF('Expenses w MYP'!$I12="","",IF('Cash Flow %s Yr5'!I57="","",'Cash Flow %s Yr5'!I57*'Expenses w MYP'!$I12))</f>
        <v>61074.450247078916</v>
      </c>
      <c r="J57" s="62">
        <f ca="1">IF('Expenses w MYP'!$I12="","",IF('Cash Flow %s Yr5'!J57="","",'Cash Flow %s Yr5'!J57*'Expenses w MYP'!$I12))</f>
        <v>61074.450247078916</v>
      </c>
      <c r="K57" s="62">
        <f ca="1">IF('Expenses w MYP'!$I12="","",IF('Cash Flow %s Yr5'!K57="","",'Cash Flow %s Yr5'!K57*'Expenses w MYP'!$I12))</f>
        <v>61074.450247078916</v>
      </c>
      <c r="L57" s="62">
        <f ca="1">IF('Expenses w MYP'!$I12="","",IF('Cash Flow %s Yr5'!L57="","",'Cash Flow %s Yr5'!L57*'Expenses w MYP'!$I12))</f>
        <v>61810.286997043717</v>
      </c>
      <c r="M57" s="62">
        <f ca="1">IF('Expenses w MYP'!$I12="","",IF('Cash Flow %s Yr5'!M57="","",'Cash Flow %s Yr5'!M57*'Expenses w MYP'!$I12))</f>
        <v>61810.286997043717</v>
      </c>
      <c r="N57" s="62">
        <f ca="1">IF('Expenses w MYP'!$I12="","",IF('Cash Flow %s Yr5'!N57="","",'Cash Flow %s Yr5'!N57*'Expenses w MYP'!$I12))</f>
        <v>61810.286997043717</v>
      </c>
      <c r="O57" s="62">
        <f ca="1">IF('Expenses w MYP'!$I12="","",IF('Cash Flow %s Yr5'!O57="","",'Cash Flow %s Yr5'!O57*'Expenses w MYP'!$I12))</f>
        <v>61810.286997043717</v>
      </c>
      <c r="P57" s="113"/>
      <c r="Q57" s="113"/>
      <c r="R57" s="113"/>
      <c r="S57" s="97">
        <f ca="1">IF(SUM(D57:R57)&gt;0,SUM(D57:R57)/'Expenses w MYP'!$I12,"")</f>
        <v>1.0000000000000002</v>
      </c>
    </row>
    <row r="58" spans="1:19" x14ac:dyDescent="0.75">
      <c r="A58" s="35"/>
      <c r="B58" s="65" t="str">
        <f>'Expenses w MYP'!C13</f>
        <v>1305</v>
      </c>
      <c r="C58" s="65" t="str">
        <f>'Expenses w MYP'!D13</f>
        <v>Certificated Sup. and Admin. Stipends / Bonus</v>
      </c>
      <c r="D58" s="62">
        <f ca="1">IF('Expenses w MYP'!$I13="","",IF('Cash Flow %s Yr5'!D58="","",'Cash Flow %s Yr5'!D58*'Expenses w MYP'!$I13))</f>
        <v>0</v>
      </c>
      <c r="E58" s="62">
        <f ca="1">IF('Expenses w MYP'!$I13="","",IF('Cash Flow %s Yr5'!E58="","",'Cash Flow %s Yr5'!E58*'Expenses w MYP'!$I13))</f>
        <v>0</v>
      </c>
      <c r="F58" s="62">
        <f ca="1">IF('Expenses w MYP'!$I13="","",IF('Cash Flow %s Yr5'!F58="","",'Cash Flow %s Yr5'!F58*'Expenses w MYP'!$I13))</f>
        <v>0</v>
      </c>
      <c r="G58" s="62">
        <f ca="1">IF('Expenses w MYP'!$I13="","",IF('Cash Flow %s Yr5'!G58="","",'Cash Flow %s Yr5'!G58*'Expenses w MYP'!$I13))</f>
        <v>0</v>
      </c>
      <c r="H58" s="62">
        <f ca="1">IF('Expenses w MYP'!$I13="","",IF('Cash Flow %s Yr5'!H58="","",'Cash Flow %s Yr5'!H58*'Expenses w MYP'!$I13))</f>
        <v>0</v>
      </c>
      <c r="I58" s="62">
        <f ca="1">IF('Expenses w MYP'!$I13="","",IF('Cash Flow %s Yr5'!I58="","",'Cash Flow %s Yr5'!I58*'Expenses w MYP'!$I13))</f>
        <v>0</v>
      </c>
      <c r="J58" s="62">
        <f ca="1">IF('Expenses w MYP'!$I13="","",IF('Cash Flow %s Yr5'!J58="","",'Cash Flow %s Yr5'!J58*'Expenses w MYP'!$I13))</f>
        <v>0</v>
      </c>
      <c r="K58" s="62">
        <f ca="1">IF('Expenses w MYP'!$I13="","",IF('Cash Flow %s Yr5'!K58="","",'Cash Flow %s Yr5'!K58*'Expenses w MYP'!$I13))</f>
        <v>0</v>
      </c>
      <c r="L58" s="62">
        <f ca="1">IF('Expenses w MYP'!$I13="","",IF('Cash Flow %s Yr5'!L58="","",'Cash Flow %s Yr5'!L58*'Expenses w MYP'!$I13))</f>
        <v>0</v>
      </c>
      <c r="M58" s="62">
        <f ca="1">IF('Expenses w MYP'!$I13="","",IF('Cash Flow %s Yr5'!M58="","",'Cash Flow %s Yr5'!M58*'Expenses w MYP'!$I13))</f>
        <v>0</v>
      </c>
      <c r="N58" s="62">
        <f ca="1">IF('Expenses w MYP'!$I13="","",IF('Cash Flow %s Yr5'!N58="","",'Cash Flow %s Yr5'!N58*'Expenses w MYP'!$I13))</f>
        <v>0</v>
      </c>
      <c r="O58" s="62">
        <f ca="1">IF('Expenses w MYP'!$I13="","",IF('Cash Flow %s Yr5'!O58="","",'Cash Flow %s Yr5'!O58*'Expenses w MYP'!$I13))</f>
        <v>0</v>
      </c>
      <c r="P58" s="113"/>
      <c r="Q58" s="113"/>
      <c r="R58" s="113"/>
      <c r="S58" s="97" t="str">
        <f ca="1">IF(SUM(D58:R58)&gt;0,SUM(D58:R58)/'Expenses w MYP'!$I13,"")</f>
        <v/>
      </c>
    </row>
    <row r="59" spans="1:19" x14ac:dyDescent="0.75">
      <c r="A59" s="35"/>
      <c r="B59" s="65" t="str">
        <f>'Expenses w MYP'!C14</f>
        <v>1900</v>
      </c>
      <c r="C59" s="65" t="str">
        <f>'Expenses w MYP'!D14</f>
        <v>Other Certificated Salaries</v>
      </c>
      <c r="D59" s="62">
        <f ca="1">IF('Expenses w MYP'!$I14="","",IF('Cash Flow %s Yr5'!D59="","",'Cash Flow %s Yr5'!D59*'Expenses w MYP'!$I14))</f>
        <v>0</v>
      </c>
      <c r="E59" s="62">
        <f ca="1">IF('Expenses w MYP'!$I14="","",IF('Cash Flow %s Yr5'!E59="","",'Cash Flow %s Yr5'!E59*'Expenses w MYP'!$I14))</f>
        <v>0</v>
      </c>
      <c r="F59" s="62">
        <f ca="1">IF('Expenses w MYP'!$I14="","",IF('Cash Flow %s Yr5'!F59="","",'Cash Flow %s Yr5'!F59*'Expenses w MYP'!$I14))</f>
        <v>0</v>
      </c>
      <c r="G59" s="62">
        <f ca="1">IF('Expenses w MYP'!$I14="","",IF('Cash Flow %s Yr5'!G59="","",'Cash Flow %s Yr5'!G59*'Expenses w MYP'!$I14))</f>
        <v>0</v>
      </c>
      <c r="H59" s="62">
        <f ca="1">IF('Expenses w MYP'!$I14="","",IF('Cash Flow %s Yr5'!H59="","",'Cash Flow %s Yr5'!H59*'Expenses w MYP'!$I14))</f>
        <v>0</v>
      </c>
      <c r="I59" s="62">
        <f ca="1">IF('Expenses w MYP'!$I14="","",IF('Cash Flow %s Yr5'!I59="","",'Cash Flow %s Yr5'!I59*'Expenses w MYP'!$I14))</f>
        <v>0</v>
      </c>
      <c r="J59" s="62">
        <f ca="1">IF('Expenses w MYP'!$I14="","",IF('Cash Flow %s Yr5'!J59="","",'Cash Flow %s Yr5'!J59*'Expenses w MYP'!$I14))</f>
        <v>0</v>
      </c>
      <c r="K59" s="62">
        <f ca="1">IF('Expenses w MYP'!$I14="","",IF('Cash Flow %s Yr5'!K59="","",'Cash Flow %s Yr5'!K59*'Expenses w MYP'!$I14))</f>
        <v>0</v>
      </c>
      <c r="L59" s="62">
        <f ca="1">IF('Expenses w MYP'!$I14="","",IF('Cash Flow %s Yr5'!L59="","",'Cash Flow %s Yr5'!L59*'Expenses w MYP'!$I14))</f>
        <v>0</v>
      </c>
      <c r="M59" s="62">
        <f ca="1">IF('Expenses w MYP'!$I14="","",IF('Cash Flow %s Yr5'!M59="","",'Cash Flow %s Yr5'!M59*'Expenses w MYP'!$I14))</f>
        <v>0</v>
      </c>
      <c r="N59" s="62">
        <f ca="1">IF('Expenses w MYP'!$I14="","",IF('Cash Flow %s Yr5'!N59="","",'Cash Flow %s Yr5'!N59*'Expenses w MYP'!$I14))</f>
        <v>0</v>
      </c>
      <c r="O59" s="62">
        <f ca="1">IF('Expenses w MYP'!$I14="","",IF('Cash Flow %s Yr5'!O59="","",'Cash Flow %s Yr5'!O59*'Expenses w MYP'!$I14))</f>
        <v>0</v>
      </c>
      <c r="P59" s="113"/>
      <c r="Q59" s="113"/>
      <c r="R59" s="113"/>
      <c r="S59" s="97" t="str">
        <f ca="1">IF(SUM(D59:R59)&gt;0,SUM(D59:R59)/'Expenses w MYP'!$I14,"")</f>
        <v/>
      </c>
    </row>
    <row r="60" spans="1:19" x14ac:dyDescent="0.75">
      <c r="A60" s="35"/>
      <c r="B60" s="65" t="str">
        <f>'Expenses w MYP'!C15</f>
        <v>1910</v>
      </c>
      <c r="C60" s="65" t="str">
        <f>'Expenses w MYP'!D15</f>
        <v>Other Certificated Overtime</v>
      </c>
      <c r="D60" s="62">
        <f ca="1">IF('Expenses w MYP'!$I15="","",IF('Cash Flow %s Yr5'!D60="","",'Cash Flow %s Yr5'!D60*'Expenses w MYP'!$I15))</f>
        <v>0</v>
      </c>
      <c r="E60" s="62">
        <f ca="1">IF('Expenses w MYP'!$I15="","",IF('Cash Flow %s Yr5'!E60="","",'Cash Flow %s Yr5'!E60*'Expenses w MYP'!$I15))</f>
        <v>0</v>
      </c>
      <c r="F60" s="62">
        <f ca="1">IF('Expenses w MYP'!$I15="","",IF('Cash Flow %s Yr5'!F60="","",'Cash Flow %s Yr5'!F60*'Expenses w MYP'!$I15))</f>
        <v>0</v>
      </c>
      <c r="G60" s="62">
        <f ca="1">IF('Expenses w MYP'!$I15="","",IF('Cash Flow %s Yr5'!G60="","",'Cash Flow %s Yr5'!G60*'Expenses w MYP'!$I15))</f>
        <v>0</v>
      </c>
      <c r="H60" s="62">
        <f ca="1">IF('Expenses w MYP'!$I15="","",IF('Cash Flow %s Yr5'!H60="","",'Cash Flow %s Yr5'!H60*'Expenses w MYP'!$I15))</f>
        <v>0</v>
      </c>
      <c r="I60" s="62">
        <f ca="1">IF('Expenses w MYP'!$I15="","",IF('Cash Flow %s Yr5'!I60="","",'Cash Flow %s Yr5'!I60*'Expenses w MYP'!$I15))</f>
        <v>0</v>
      </c>
      <c r="J60" s="62">
        <f ca="1">IF('Expenses w MYP'!$I15="","",IF('Cash Flow %s Yr5'!J60="","",'Cash Flow %s Yr5'!J60*'Expenses w MYP'!$I15))</f>
        <v>0</v>
      </c>
      <c r="K60" s="62">
        <f ca="1">IF('Expenses w MYP'!$I15="","",IF('Cash Flow %s Yr5'!K60="","",'Cash Flow %s Yr5'!K60*'Expenses w MYP'!$I15))</f>
        <v>0</v>
      </c>
      <c r="L60" s="62">
        <f ca="1">IF('Expenses w MYP'!$I15="","",IF('Cash Flow %s Yr5'!L60="","",'Cash Flow %s Yr5'!L60*'Expenses w MYP'!$I15))</f>
        <v>0</v>
      </c>
      <c r="M60" s="62">
        <f ca="1">IF('Expenses w MYP'!$I15="","",IF('Cash Flow %s Yr5'!M60="","",'Cash Flow %s Yr5'!M60*'Expenses w MYP'!$I15))</f>
        <v>0</v>
      </c>
      <c r="N60" s="62">
        <f ca="1">IF('Expenses w MYP'!$I15="","",IF('Cash Flow %s Yr5'!N60="","",'Cash Flow %s Yr5'!N60*'Expenses w MYP'!$I15))</f>
        <v>0</v>
      </c>
      <c r="O60" s="62">
        <f ca="1">IF('Expenses w MYP'!$I15="","",IF('Cash Flow %s Yr5'!O60="","",'Cash Flow %s Yr5'!O60*'Expenses w MYP'!$I15))</f>
        <v>0</v>
      </c>
      <c r="P60" s="113"/>
      <c r="Q60" s="113"/>
      <c r="R60" s="113"/>
      <c r="S60" s="97" t="str">
        <f ca="1">IF(SUM(D60:R60)&gt;0,SUM(D60:R60)/'Expenses w MYP'!$I15,"")</f>
        <v/>
      </c>
    </row>
    <row r="61" spans="1:19" x14ac:dyDescent="0.75">
      <c r="A61" s="35"/>
      <c r="B61" s="35" t="s">
        <v>555</v>
      </c>
      <c r="C61" s="34" t="s">
        <v>719</v>
      </c>
      <c r="D61" s="153">
        <f t="shared" ref="D61:I61" ca="1" si="4">IF(SUM(D52:D60)&gt;0,SUM(D52:D60),"")</f>
        <v>61074.450247078916</v>
      </c>
      <c r="E61" s="153">
        <f t="shared" ca="1" si="4"/>
        <v>61074.450247078916</v>
      </c>
      <c r="F61" s="153">
        <f t="shared" ca="1" si="4"/>
        <v>502341.09064264438</v>
      </c>
      <c r="G61" s="153">
        <f t="shared" ca="1" si="4"/>
        <v>502341.09064264438</v>
      </c>
      <c r="H61" s="153">
        <f t="shared" ca="1" si="4"/>
        <v>502341.09064264438</v>
      </c>
      <c r="I61" s="153">
        <f t="shared" ca="1" si="4"/>
        <v>502341.09064264438</v>
      </c>
      <c r="J61" s="153">
        <f t="shared" ref="J61:R61" ca="1" si="5">IF(SUM(J52:J60)&gt;0,SUM(J52:J60),"")</f>
        <v>502341.09064264438</v>
      </c>
      <c r="K61" s="153">
        <f t="shared" ca="1" si="5"/>
        <v>502341.09064264438</v>
      </c>
      <c r="L61" s="153">
        <f t="shared" ca="1" si="5"/>
        <v>503076.92739260918</v>
      </c>
      <c r="M61" s="153">
        <f t="shared" ca="1" si="5"/>
        <v>503076.92739260918</v>
      </c>
      <c r="N61" s="153">
        <f t="shared" ca="1" si="5"/>
        <v>503076.92739260918</v>
      </c>
      <c r="O61" s="153">
        <f t="shared" ca="1" si="5"/>
        <v>503076.92739260918</v>
      </c>
      <c r="P61" s="153" t="str">
        <f t="shared" si="5"/>
        <v/>
      </c>
      <c r="Q61" s="153" t="str">
        <f t="shared" si="5"/>
        <v/>
      </c>
      <c r="R61" s="153" t="str">
        <f t="shared" si="5"/>
        <v/>
      </c>
      <c r="S61" s="94"/>
    </row>
    <row r="62" spans="1:19" s="31" customFormat="1" x14ac:dyDescent="0.75">
      <c r="A62" s="35"/>
      <c r="B62" s="39"/>
      <c r="C62" s="2"/>
      <c r="D62" s="111"/>
      <c r="E62" s="111"/>
      <c r="F62" s="111"/>
      <c r="G62" s="111"/>
      <c r="H62" s="111"/>
      <c r="I62" s="111"/>
      <c r="J62" s="111"/>
      <c r="K62" s="111"/>
      <c r="L62" s="111"/>
      <c r="M62" s="111"/>
      <c r="N62" s="111"/>
      <c r="O62" s="111"/>
      <c r="P62" s="111"/>
      <c r="Q62" s="111"/>
      <c r="R62" s="111"/>
    </row>
    <row r="63" spans="1:19" s="31" customFormat="1" x14ac:dyDescent="0.75">
      <c r="B63" s="4" t="s">
        <v>732</v>
      </c>
      <c r="C63" s="2"/>
      <c r="D63" s="111"/>
      <c r="E63" s="111"/>
      <c r="F63" s="111"/>
      <c r="G63" s="111"/>
      <c r="H63" s="111"/>
      <c r="I63" s="111"/>
      <c r="J63" s="111"/>
      <c r="K63" s="111"/>
      <c r="L63" s="111"/>
      <c r="M63" s="111"/>
      <c r="N63" s="111"/>
      <c r="O63" s="111"/>
      <c r="P63" s="111"/>
      <c r="Q63" s="111"/>
      <c r="R63" s="111"/>
    </row>
    <row r="64" spans="1:19" s="31" customFormat="1" x14ac:dyDescent="0.75">
      <c r="A64" s="35"/>
      <c r="B64" s="65" t="str">
        <f>'Expenses w MYP'!C19</f>
        <v>2100</v>
      </c>
      <c r="C64" s="65" t="str">
        <f>'Expenses w MYP'!D19</f>
        <v>Instructional Aide Salaries</v>
      </c>
      <c r="D64" s="62">
        <f ca="1">IF('Expenses w MYP'!$I19="","",IF('Cash Flow %s Yr5'!D64="","",'Cash Flow %s Yr5'!D64*'Expenses w MYP'!$I19))</f>
        <v>0</v>
      </c>
      <c r="E64" s="62">
        <f ca="1">IF('Expenses w MYP'!$I19="","",IF('Cash Flow %s Yr5'!E64="","",'Cash Flow %s Yr5'!E64*'Expenses w MYP'!$I19))</f>
        <v>0</v>
      </c>
      <c r="F64" s="62">
        <f ca="1">IF('Expenses w MYP'!$I19="","",IF('Cash Flow %s Yr5'!F64="","",'Cash Flow %s Yr5'!F64*'Expenses w MYP'!$I19))</f>
        <v>14475.864893092614</v>
      </c>
      <c r="G64" s="62">
        <f ca="1">IF('Expenses w MYP'!$I19="","",IF('Cash Flow %s Yr5'!G64="","",'Cash Flow %s Yr5'!G64*'Expenses w MYP'!$I19))</f>
        <v>14475.864893092614</v>
      </c>
      <c r="H64" s="62">
        <f ca="1">IF('Expenses w MYP'!$I19="","",IF('Cash Flow %s Yr5'!H64="","",'Cash Flow %s Yr5'!H64*'Expenses w MYP'!$I19))</f>
        <v>14475.864893092614</v>
      </c>
      <c r="I64" s="62">
        <f ca="1">IF('Expenses w MYP'!$I19="","",IF('Cash Flow %s Yr5'!I64="","",'Cash Flow %s Yr5'!I64*'Expenses w MYP'!$I19))</f>
        <v>14475.864893092614</v>
      </c>
      <c r="J64" s="62">
        <f ca="1">IF('Expenses w MYP'!$I19="","",IF('Cash Flow %s Yr5'!J64="","",'Cash Flow %s Yr5'!J64*'Expenses w MYP'!$I19))</f>
        <v>14475.864893092614</v>
      </c>
      <c r="K64" s="62">
        <f ca="1">IF('Expenses w MYP'!$I19="","",IF('Cash Flow %s Yr5'!K64="","",'Cash Flow %s Yr5'!K64*'Expenses w MYP'!$I19))</f>
        <v>14475.864893092614</v>
      </c>
      <c r="L64" s="62">
        <f ca="1">IF('Expenses w MYP'!$I19="","",IF('Cash Flow %s Yr5'!L64="","",'Cash Flow %s Yr5'!L64*'Expenses w MYP'!$I19))</f>
        <v>14475.864893092614</v>
      </c>
      <c r="M64" s="62">
        <f ca="1">IF('Expenses w MYP'!$I19="","",IF('Cash Flow %s Yr5'!M64="","",'Cash Flow %s Yr5'!M64*'Expenses w MYP'!$I19))</f>
        <v>14475.864893092614</v>
      </c>
      <c r="N64" s="62">
        <f ca="1">IF('Expenses w MYP'!$I19="","",IF('Cash Flow %s Yr5'!N64="","",'Cash Flow %s Yr5'!N64*'Expenses w MYP'!$I19))</f>
        <v>14475.864893092614</v>
      </c>
      <c r="O64" s="62">
        <f ca="1">IF('Expenses w MYP'!$I19="","",IF('Cash Flow %s Yr5'!O64="","",'Cash Flow %s Yr5'!O64*'Expenses w MYP'!$I19))</f>
        <v>14475.864893092614</v>
      </c>
      <c r="P64" s="113"/>
      <c r="Q64" s="113"/>
      <c r="R64" s="113"/>
      <c r="S64" s="97">
        <f ca="1">IF(SUM(D64:R64)&gt;0,SUM(D64:R64)/'Expenses w MYP'!$I19,"")</f>
        <v>1</v>
      </c>
    </row>
    <row r="65" spans="1:19" s="31" customFormat="1" x14ac:dyDescent="0.75">
      <c r="A65" s="35"/>
      <c r="B65" s="65" t="str">
        <f>'Expenses w MYP'!C20</f>
        <v>2110</v>
      </c>
      <c r="C65" s="65" t="str">
        <f>'Expenses w MYP'!D20</f>
        <v>Instructional Aide Overtime</v>
      </c>
      <c r="D65" s="62">
        <f ca="1">IF('Expenses w MYP'!$I20="","",IF('Cash Flow %s Yr5'!D65="","",'Cash Flow %s Yr5'!D65*'Expenses w MYP'!$I20))</f>
        <v>0</v>
      </c>
      <c r="E65" s="62">
        <f ca="1">IF('Expenses w MYP'!$I20="","",IF('Cash Flow %s Yr5'!E65="","",'Cash Flow %s Yr5'!E65*'Expenses w MYP'!$I20))</f>
        <v>0</v>
      </c>
      <c r="F65" s="62">
        <f ca="1">IF('Expenses w MYP'!$I20="","",IF('Cash Flow %s Yr5'!F65="","",'Cash Flow %s Yr5'!F65*'Expenses w MYP'!$I20))</f>
        <v>0</v>
      </c>
      <c r="G65" s="62">
        <f ca="1">IF('Expenses w MYP'!$I20="","",IF('Cash Flow %s Yr5'!G65="","",'Cash Flow %s Yr5'!G65*'Expenses w MYP'!$I20))</f>
        <v>0</v>
      </c>
      <c r="H65" s="62">
        <f ca="1">IF('Expenses w MYP'!$I20="","",IF('Cash Flow %s Yr5'!H65="","",'Cash Flow %s Yr5'!H65*'Expenses w MYP'!$I20))</f>
        <v>0</v>
      </c>
      <c r="I65" s="62">
        <f ca="1">IF('Expenses w MYP'!$I20="","",IF('Cash Flow %s Yr5'!I65="","",'Cash Flow %s Yr5'!I65*'Expenses w MYP'!$I20))</f>
        <v>0</v>
      </c>
      <c r="J65" s="62">
        <f ca="1">IF('Expenses w MYP'!$I20="","",IF('Cash Flow %s Yr5'!J65="","",'Cash Flow %s Yr5'!J65*'Expenses w MYP'!$I20))</f>
        <v>0</v>
      </c>
      <c r="K65" s="62">
        <f ca="1">IF('Expenses w MYP'!$I20="","",IF('Cash Flow %s Yr5'!K65="","",'Cash Flow %s Yr5'!K65*'Expenses w MYP'!$I20))</f>
        <v>0</v>
      </c>
      <c r="L65" s="62">
        <f ca="1">IF('Expenses w MYP'!$I20="","",IF('Cash Flow %s Yr5'!L65="","",'Cash Flow %s Yr5'!L65*'Expenses w MYP'!$I20))</f>
        <v>0</v>
      </c>
      <c r="M65" s="62">
        <f ca="1">IF('Expenses w MYP'!$I20="","",IF('Cash Flow %s Yr5'!M65="","",'Cash Flow %s Yr5'!M65*'Expenses w MYP'!$I20))</f>
        <v>0</v>
      </c>
      <c r="N65" s="62">
        <f ca="1">IF('Expenses w MYP'!$I20="","",IF('Cash Flow %s Yr5'!N65="","",'Cash Flow %s Yr5'!N65*'Expenses w MYP'!$I20))</f>
        <v>0</v>
      </c>
      <c r="O65" s="62">
        <f ca="1">IF('Expenses w MYP'!$I20="","",IF('Cash Flow %s Yr5'!O65="","",'Cash Flow %s Yr5'!O65*'Expenses w MYP'!$I20))</f>
        <v>0</v>
      </c>
      <c r="P65" s="113"/>
      <c r="Q65" s="113"/>
      <c r="R65" s="113"/>
      <c r="S65" s="97" t="str">
        <f ca="1">IF(SUM(D65:R65)&gt;0,SUM(D65:R65)/'Expenses w MYP'!$I20,"")</f>
        <v/>
      </c>
    </row>
    <row r="66" spans="1:19" s="31" customFormat="1" x14ac:dyDescent="0.75">
      <c r="A66" s="35"/>
      <c r="B66" s="65" t="str">
        <f>'Expenses w MYP'!C21</f>
        <v>2200</v>
      </c>
      <c r="C66" s="65" t="str">
        <f>'Expenses w MYP'!D21</f>
        <v>Classified Support Salaries (Maintenance / Food)</v>
      </c>
      <c r="D66" s="62">
        <f ca="1">IF('Expenses w MYP'!$I21="","",IF('Cash Flow %s Yr5'!D66="","",'Cash Flow %s Yr5'!D66*'Expenses w MYP'!$I21))</f>
        <v>0</v>
      </c>
      <c r="E66" s="62">
        <f ca="1">IF('Expenses w MYP'!$I21="","",IF('Cash Flow %s Yr5'!E66="","",'Cash Flow %s Yr5'!E66*'Expenses w MYP'!$I21))</f>
        <v>0</v>
      </c>
      <c r="F66" s="62">
        <f ca="1">IF('Expenses w MYP'!$I21="","",IF('Cash Flow %s Yr5'!F66="","",'Cash Flow %s Yr5'!F66*'Expenses w MYP'!$I21))</f>
        <v>64390.367495511498</v>
      </c>
      <c r="G66" s="62">
        <f ca="1">IF('Expenses w MYP'!$I21="","",IF('Cash Flow %s Yr5'!G66="","",'Cash Flow %s Yr5'!G66*'Expenses w MYP'!$I21))</f>
        <v>64390.367495511498</v>
      </c>
      <c r="H66" s="62">
        <f ca="1">IF('Expenses w MYP'!$I21="","",IF('Cash Flow %s Yr5'!H66="","",'Cash Flow %s Yr5'!H66*'Expenses w MYP'!$I21))</f>
        <v>64390.367495511498</v>
      </c>
      <c r="I66" s="62">
        <f ca="1">IF('Expenses w MYP'!$I21="","",IF('Cash Flow %s Yr5'!I66="","",'Cash Flow %s Yr5'!I66*'Expenses w MYP'!$I21))</f>
        <v>64390.367495511498</v>
      </c>
      <c r="J66" s="62">
        <f ca="1">IF('Expenses w MYP'!$I21="","",IF('Cash Flow %s Yr5'!J66="","",'Cash Flow %s Yr5'!J66*'Expenses w MYP'!$I21))</f>
        <v>64390.367495511498</v>
      </c>
      <c r="K66" s="62">
        <f ca="1">IF('Expenses w MYP'!$I21="","",IF('Cash Flow %s Yr5'!K66="","",'Cash Flow %s Yr5'!K66*'Expenses w MYP'!$I21))</f>
        <v>64390.367495511498</v>
      </c>
      <c r="L66" s="62">
        <f ca="1">IF('Expenses w MYP'!$I21="","",IF('Cash Flow %s Yr5'!L66="","",'Cash Flow %s Yr5'!L66*'Expenses w MYP'!$I21))</f>
        <v>64390.367495511498</v>
      </c>
      <c r="M66" s="62">
        <f ca="1">IF('Expenses w MYP'!$I21="","",IF('Cash Flow %s Yr5'!M66="","",'Cash Flow %s Yr5'!M66*'Expenses w MYP'!$I21))</f>
        <v>64390.367495511498</v>
      </c>
      <c r="N66" s="62">
        <f ca="1">IF('Expenses w MYP'!$I21="","",IF('Cash Flow %s Yr5'!N66="","",'Cash Flow %s Yr5'!N66*'Expenses w MYP'!$I21))</f>
        <v>64390.367495511498</v>
      </c>
      <c r="O66" s="62">
        <f ca="1">IF('Expenses w MYP'!$I21="","",IF('Cash Flow %s Yr5'!O66="","",'Cash Flow %s Yr5'!O66*'Expenses w MYP'!$I21))</f>
        <v>64390.367495511498</v>
      </c>
      <c r="P66" s="113"/>
      <c r="Q66" s="113"/>
      <c r="R66" s="113"/>
      <c r="S66" s="97">
        <f ca="1">IF(SUM(D66:R66)&gt;0,SUM(D66:R66)/'Expenses w MYP'!$I21,"")</f>
        <v>1</v>
      </c>
    </row>
    <row r="67" spans="1:19" s="31" customFormat="1" x14ac:dyDescent="0.75">
      <c r="A67" s="35"/>
      <c r="B67" s="65" t="str">
        <f>'Expenses w MYP'!C22</f>
        <v>2210</v>
      </c>
      <c r="C67" s="65" t="str">
        <f>'Expenses w MYP'!D22</f>
        <v>Classified Support Overtime</v>
      </c>
      <c r="D67" s="62">
        <f ca="1">IF('Expenses w MYP'!$I22="","",IF('Cash Flow %s Yr5'!D67="","",'Cash Flow %s Yr5'!D67*'Expenses w MYP'!$I22))</f>
        <v>0</v>
      </c>
      <c r="E67" s="62">
        <f ca="1">IF('Expenses w MYP'!$I22="","",IF('Cash Flow %s Yr5'!E67="","",'Cash Flow %s Yr5'!E67*'Expenses w MYP'!$I22))</f>
        <v>0</v>
      </c>
      <c r="F67" s="62">
        <f ca="1">IF('Expenses w MYP'!$I22="","",IF('Cash Flow %s Yr5'!F67="","",'Cash Flow %s Yr5'!F67*'Expenses w MYP'!$I22))</f>
        <v>0</v>
      </c>
      <c r="G67" s="62">
        <f ca="1">IF('Expenses w MYP'!$I22="","",IF('Cash Flow %s Yr5'!G67="","",'Cash Flow %s Yr5'!G67*'Expenses w MYP'!$I22))</f>
        <v>0</v>
      </c>
      <c r="H67" s="62">
        <f ca="1">IF('Expenses w MYP'!$I22="","",IF('Cash Flow %s Yr5'!H67="","",'Cash Flow %s Yr5'!H67*'Expenses w MYP'!$I22))</f>
        <v>0</v>
      </c>
      <c r="I67" s="62">
        <f ca="1">IF('Expenses w MYP'!$I22="","",IF('Cash Flow %s Yr5'!I67="","",'Cash Flow %s Yr5'!I67*'Expenses w MYP'!$I22))</f>
        <v>0</v>
      </c>
      <c r="J67" s="62">
        <f ca="1">IF('Expenses w MYP'!$I22="","",IF('Cash Flow %s Yr5'!J67="","",'Cash Flow %s Yr5'!J67*'Expenses w MYP'!$I22))</f>
        <v>0</v>
      </c>
      <c r="K67" s="62">
        <f ca="1">IF('Expenses w MYP'!$I22="","",IF('Cash Flow %s Yr5'!K67="","",'Cash Flow %s Yr5'!K67*'Expenses w MYP'!$I22))</f>
        <v>0</v>
      </c>
      <c r="L67" s="62">
        <f ca="1">IF('Expenses w MYP'!$I22="","",IF('Cash Flow %s Yr5'!L67="","",'Cash Flow %s Yr5'!L67*'Expenses w MYP'!$I22))</f>
        <v>0</v>
      </c>
      <c r="M67" s="62">
        <f ca="1">IF('Expenses w MYP'!$I22="","",IF('Cash Flow %s Yr5'!M67="","",'Cash Flow %s Yr5'!M67*'Expenses w MYP'!$I22))</f>
        <v>0</v>
      </c>
      <c r="N67" s="62">
        <f ca="1">IF('Expenses w MYP'!$I22="","",IF('Cash Flow %s Yr5'!N67="","",'Cash Flow %s Yr5'!N67*'Expenses w MYP'!$I22))</f>
        <v>0</v>
      </c>
      <c r="O67" s="62">
        <f ca="1">IF('Expenses w MYP'!$I22="","",IF('Cash Flow %s Yr5'!O67="","",'Cash Flow %s Yr5'!O67*'Expenses w MYP'!$I22))</f>
        <v>0</v>
      </c>
      <c r="P67" s="113"/>
      <c r="Q67" s="113"/>
      <c r="R67" s="113"/>
      <c r="S67" s="97" t="str">
        <f ca="1">IF(SUM(D67:R67)&gt;0,SUM(D67:R67)/'Expenses w MYP'!$I22,"")</f>
        <v/>
      </c>
    </row>
    <row r="68" spans="1:19" s="31" customFormat="1" x14ac:dyDescent="0.75">
      <c r="A68" s="35"/>
      <c r="B68" s="65" t="str">
        <f>'Expenses w MYP'!C23</f>
        <v>2300</v>
      </c>
      <c r="C68" s="65" t="str">
        <f>'Expenses w MYP'!D23</f>
        <v>Classified Supervisor and Administrator Salaries</v>
      </c>
      <c r="D68" s="62">
        <f ca="1">IF('Expenses w MYP'!$I23="","",IF('Cash Flow %s Yr5'!D68="","",'Cash Flow %s Yr5'!D68*'Expenses w MYP'!$I23))</f>
        <v>19433.555749252588</v>
      </c>
      <c r="E68" s="62">
        <f ca="1">IF('Expenses w MYP'!$I23="","",IF('Cash Flow %s Yr5'!E68="","",'Cash Flow %s Yr5'!E68*'Expenses w MYP'!$I23))</f>
        <v>19433.555749252588</v>
      </c>
      <c r="F68" s="62">
        <f ca="1">IF('Expenses w MYP'!$I23="","",IF('Cash Flow %s Yr5'!F68="","",'Cash Flow %s Yr5'!F68*'Expenses w MYP'!$I23))</f>
        <v>19433.555749252588</v>
      </c>
      <c r="G68" s="62">
        <f ca="1">IF('Expenses w MYP'!$I23="","",IF('Cash Flow %s Yr5'!G68="","",'Cash Flow %s Yr5'!G68*'Expenses w MYP'!$I23))</f>
        <v>19433.555749252588</v>
      </c>
      <c r="H68" s="62">
        <f ca="1">IF('Expenses w MYP'!$I23="","",IF('Cash Flow %s Yr5'!H68="","",'Cash Flow %s Yr5'!H68*'Expenses w MYP'!$I23))</f>
        <v>19433.555749252588</v>
      </c>
      <c r="I68" s="62">
        <f ca="1">IF('Expenses w MYP'!$I23="","",IF('Cash Flow %s Yr5'!I68="","",'Cash Flow %s Yr5'!I68*'Expenses w MYP'!$I23))</f>
        <v>19433.555749252588</v>
      </c>
      <c r="J68" s="62">
        <f ca="1">IF('Expenses w MYP'!$I23="","",IF('Cash Flow %s Yr5'!J68="","",'Cash Flow %s Yr5'!J68*'Expenses w MYP'!$I23))</f>
        <v>19433.555749252588</v>
      </c>
      <c r="K68" s="62">
        <f ca="1">IF('Expenses w MYP'!$I23="","",IF('Cash Flow %s Yr5'!K68="","",'Cash Flow %s Yr5'!K68*'Expenses w MYP'!$I23))</f>
        <v>19433.555749252588</v>
      </c>
      <c r="L68" s="62">
        <f ca="1">IF('Expenses w MYP'!$I23="","",IF('Cash Flow %s Yr5'!L68="","",'Cash Flow %s Yr5'!L68*'Expenses w MYP'!$I23))</f>
        <v>19667.694975147195</v>
      </c>
      <c r="M68" s="62">
        <f ca="1">IF('Expenses w MYP'!$I23="","",IF('Cash Flow %s Yr5'!M68="","",'Cash Flow %s Yr5'!M68*'Expenses w MYP'!$I23))</f>
        <v>19667.694975147195</v>
      </c>
      <c r="N68" s="62">
        <f ca="1">IF('Expenses w MYP'!$I23="","",IF('Cash Flow %s Yr5'!N68="","",'Cash Flow %s Yr5'!N68*'Expenses w MYP'!$I23))</f>
        <v>19667.694975147195</v>
      </c>
      <c r="O68" s="62">
        <f ca="1">IF('Expenses w MYP'!$I23="","",IF('Cash Flow %s Yr5'!O68="","",'Cash Flow %s Yr5'!O68*'Expenses w MYP'!$I23))</f>
        <v>19667.694975147195</v>
      </c>
      <c r="P68" s="113"/>
      <c r="Q68" s="113"/>
      <c r="R68" s="113"/>
      <c r="S68" s="97">
        <f ca="1">IF(SUM(D68:R68)&gt;0,SUM(D68:R68)/'Expenses w MYP'!$I23,"")</f>
        <v>1.0000000000000002</v>
      </c>
    </row>
    <row r="69" spans="1:19" s="31" customFormat="1" x14ac:dyDescent="0.75">
      <c r="A69" s="35"/>
      <c r="B69" s="65" t="str">
        <f>'Expenses w MYP'!C24</f>
        <v>2400</v>
      </c>
      <c r="C69" s="65" t="str">
        <f>'Expenses w MYP'!D24</f>
        <v>Clerical, Technical, and Office Staff Salaries</v>
      </c>
      <c r="D69" s="62">
        <f ca="1">IF('Expenses w MYP'!$I24="","",IF('Cash Flow %s Yr5'!D69="","",'Cash Flow %s Yr5'!D69*'Expenses w MYP'!$I24))</f>
        <v>23495.036775508277</v>
      </c>
      <c r="E69" s="62">
        <f ca="1">IF('Expenses w MYP'!$I24="","",IF('Cash Flow %s Yr5'!E69="","",'Cash Flow %s Yr5'!E69*'Expenses w MYP'!$I24))</f>
        <v>23495.036775508277</v>
      </c>
      <c r="F69" s="62">
        <f ca="1">IF('Expenses w MYP'!$I24="","",IF('Cash Flow %s Yr5'!F69="","",'Cash Flow %s Yr5'!F69*'Expenses w MYP'!$I24))</f>
        <v>23495.036775508277</v>
      </c>
      <c r="G69" s="62">
        <f ca="1">IF('Expenses w MYP'!$I24="","",IF('Cash Flow %s Yr5'!G69="","",'Cash Flow %s Yr5'!G69*'Expenses w MYP'!$I24))</f>
        <v>23495.036775508277</v>
      </c>
      <c r="H69" s="62">
        <f ca="1">IF('Expenses w MYP'!$I24="","",IF('Cash Flow %s Yr5'!H69="","",'Cash Flow %s Yr5'!H69*'Expenses w MYP'!$I24))</f>
        <v>23495.036775508277</v>
      </c>
      <c r="I69" s="62">
        <f ca="1">IF('Expenses w MYP'!$I24="","",IF('Cash Flow %s Yr5'!I69="","",'Cash Flow %s Yr5'!I69*'Expenses w MYP'!$I24))</f>
        <v>23495.036775508277</v>
      </c>
      <c r="J69" s="62">
        <f ca="1">IF('Expenses w MYP'!$I24="","",IF('Cash Flow %s Yr5'!J69="","",'Cash Flow %s Yr5'!J69*'Expenses w MYP'!$I24))</f>
        <v>23495.036775508277</v>
      </c>
      <c r="K69" s="62">
        <f ca="1">IF('Expenses w MYP'!$I24="","",IF('Cash Flow %s Yr5'!K69="","",'Cash Flow %s Yr5'!K69*'Expenses w MYP'!$I24))</f>
        <v>23495.036775508277</v>
      </c>
      <c r="L69" s="62">
        <f ca="1">IF('Expenses w MYP'!$I24="","",IF('Cash Flow %s Yr5'!L69="","",'Cash Flow %s Yr5'!L69*'Expenses w MYP'!$I24))</f>
        <v>23778.109507743316</v>
      </c>
      <c r="M69" s="62">
        <f ca="1">IF('Expenses w MYP'!$I24="","",IF('Cash Flow %s Yr5'!M69="","",'Cash Flow %s Yr5'!M69*'Expenses w MYP'!$I24))</f>
        <v>23778.109507743316</v>
      </c>
      <c r="N69" s="62">
        <f ca="1">IF('Expenses w MYP'!$I24="","",IF('Cash Flow %s Yr5'!N69="","",'Cash Flow %s Yr5'!N69*'Expenses w MYP'!$I24))</f>
        <v>23778.109507743316</v>
      </c>
      <c r="O69" s="62">
        <f ca="1">IF('Expenses w MYP'!$I24="","",IF('Cash Flow %s Yr5'!O69="","",'Cash Flow %s Yr5'!O69*'Expenses w MYP'!$I24))</f>
        <v>23778.109507743316</v>
      </c>
      <c r="P69" s="113"/>
      <c r="Q69" s="113"/>
      <c r="R69" s="113"/>
      <c r="S69" s="97">
        <f ca="1">IF(SUM(D69:R69)&gt;0,SUM(D69:R69)/'Expenses w MYP'!$I24,"")</f>
        <v>1.0000000000000002</v>
      </c>
    </row>
    <row r="70" spans="1:19" s="31" customFormat="1" x14ac:dyDescent="0.75">
      <c r="A70" s="35"/>
      <c r="B70" s="65" t="str">
        <f>'Expenses w MYP'!C25</f>
        <v>2410</v>
      </c>
      <c r="C70" s="65" t="str">
        <f>'Expenses w MYP'!D25</f>
        <v>Clerical, Technical, and Office Staff Overtime</v>
      </c>
      <c r="D70" s="62">
        <f ca="1">IF('Expenses w MYP'!$I25="","",IF('Cash Flow %s Yr5'!D70="","",'Cash Flow %s Yr5'!D70*'Expenses w MYP'!$I25))</f>
        <v>0</v>
      </c>
      <c r="E70" s="62">
        <f ca="1">IF('Expenses w MYP'!$I25="","",IF('Cash Flow %s Yr5'!E70="","",'Cash Flow %s Yr5'!E70*'Expenses w MYP'!$I25))</f>
        <v>0</v>
      </c>
      <c r="F70" s="62">
        <f ca="1">IF('Expenses w MYP'!$I25="","",IF('Cash Flow %s Yr5'!F70="","",'Cash Flow %s Yr5'!F70*'Expenses w MYP'!$I25))</f>
        <v>0</v>
      </c>
      <c r="G70" s="62">
        <f ca="1">IF('Expenses w MYP'!$I25="","",IF('Cash Flow %s Yr5'!G70="","",'Cash Flow %s Yr5'!G70*'Expenses w MYP'!$I25))</f>
        <v>0</v>
      </c>
      <c r="H70" s="62">
        <f ca="1">IF('Expenses w MYP'!$I25="","",IF('Cash Flow %s Yr5'!H70="","",'Cash Flow %s Yr5'!H70*'Expenses w MYP'!$I25))</f>
        <v>0</v>
      </c>
      <c r="I70" s="62">
        <f ca="1">IF('Expenses w MYP'!$I25="","",IF('Cash Flow %s Yr5'!I70="","",'Cash Flow %s Yr5'!I70*'Expenses w MYP'!$I25))</f>
        <v>0</v>
      </c>
      <c r="J70" s="62">
        <f ca="1">IF('Expenses w MYP'!$I25="","",IF('Cash Flow %s Yr5'!J70="","",'Cash Flow %s Yr5'!J70*'Expenses w MYP'!$I25))</f>
        <v>0</v>
      </c>
      <c r="K70" s="62">
        <f ca="1">IF('Expenses w MYP'!$I25="","",IF('Cash Flow %s Yr5'!K70="","",'Cash Flow %s Yr5'!K70*'Expenses w MYP'!$I25))</f>
        <v>0</v>
      </c>
      <c r="L70" s="62">
        <f ca="1">IF('Expenses w MYP'!$I25="","",IF('Cash Flow %s Yr5'!L70="","",'Cash Flow %s Yr5'!L70*'Expenses w MYP'!$I25))</f>
        <v>0</v>
      </c>
      <c r="M70" s="62">
        <f ca="1">IF('Expenses w MYP'!$I25="","",IF('Cash Flow %s Yr5'!M70="","",'Cash Flow %s Yr5'!M70*'Expenses w MYP'!$I25))</f>
        <v>0</v>
      </c>
      <c r="N70" s="62">
        <f ca="1">IF('Expenses w MYP'!$I25="","",IF('Cash Flow %s Yr5'!N70="","",'Cash Flow %s Yr5'!N70*'Expenses w MYP'!$I25))</f>
        <v>0</v>
      </c>
      <c r="O70" s="62">
        <f ca="1">IF('Expenses w MYP'!$I25="","",IF('Cash Flow %s Yr5'!O70="","",'Cash Flow %s Yr5'!O70*'Expenses w MYP'!$I25))</f>
        <v>0</v>
      </c>
      <c r="P70" s="113"/>
      <c r="Q70" s="113"/>
      <c r="R70" s="113"/>
      <c r="S70" s="97" t="str">
        <f ca="1">IF(SUM(D70:R70)&gt;0,SUM(D70:R70)/'Expenses w MYP'!$I25,"")</f>
        <v/>
      </c>
    </row>
    <row r="71" spans="1:19" s="31" customFormat="1" x14ac:dyDescent="0.75">
      <c r="A71" s="35"/>
      <c r="B71" s="65" t="str">
        <f>'Expenses w MYP'!C26</f>
        <v>2900</v>
      </c>
      <c r="C71" s="65" t="str">
        <f>'Expenses w MYP'!D26</f>
        <v>Other Classified Salaries</v>
      </c>
      <c r="D71" s="62">
        <f ca="1">IF('Expenses w MYP'!$I26="","",IF('Cash Flow %s Yr5'!D71="","",'Cash Flow %s Yr5'!D71*'Expenses w MYP'!$I26))</f>
        <v>0</v>
      </c>
      <c r="E71" s="62">
        <f ca="1">IF('Expenses w MYP'!$I26="","",IF('Cash Flow %s Yr5'!E71="","",'Cash Flow %s Yr5'!E71*'Expenses w MYP'!$I26))</f>
        <v>0</v>
      </c>
      <c r="F71" s="62">
        <f ca="1">IF('Expenses w MYP'!$I26="","",IF('Cash Flow %s Yr5'!F71="","",'Cash Flow %s Yr5'!F71*'Expenses w MYP'!$I26))</f>
        <v>0</v>
      </c>
      <c r="G71" s="62">
        <f ca="1">IF('Expenses w MYP'!$I26="","",IF('Cash Flow %s Yr5'!G71="","",'Cash Flow %s Yr5'!G71*'Expenses w MYP'!$I26))</f>
        <v>0</v>
      </c>
      <c r="H71" s="62">
        <f ca="1">IF('Expenses w MYP'!$I26="","",IF('Cash Flow %s Yr5'!H71="","",'Cash Flow %s Yr5'!H71*'Expenses w MYP'!$I26))</f>
        <v>0</v>
      </c>
      <c r="I71" s="62">
        <f ca="1">IF('Expenses w MYP'!$I26="","",IF('Cash Flow %s Yr5'!I71="","",'Cash Flow %s Yr5'!I71*'Expenses w MYP'!$I26))</f>
        <v>0</v>
      </c>
      <c r="J71" s="62">
        <f ca="1">IF('Expenses w MYP'!$I26="","",IF('Cash Flow %s Yr5'!J71="","",'Cash Flow %s Yr5'!J71*'Expenses w MYP'!$I26))</f>
        <v>0</v>
      </c>
      <c r="K71" s="62">
        <f ca="1">IF('Expenses w MYP'!$I26="","",IF('Cash Flow %s Yr5'!K71="","",'Cash Flow %s Yr5'!K71*'Expenses w MYP'!$I26))</f>
        <v>0</v>
      </c>
      <c r="L71" s="62">
        <f ca="1">IF('Expenses w MYP'!$I26="","",IF('Cash Flow %s Yr5'!L71="","",'Cash Flow %s Yr5'!L71*'Expenses w MYP'!$I26))</f>
        <v>0</v>
      </c>
      <c r="M71" s="62">
        <f ca="1">IF('Expenses w MYP'!$I26="","",IF('Cash Flow %s Yr5'!M71="","",'Cash Flow %s Yr5'!M71*'Expenses w MYP'!$I26))</f>
        <v>0</v>
      </c>
      <c r="N71" s="62">
        <f ca="1">IF('Expenses w MYP'!$I26="","",IF('Cash Flow %s Yr5'!N71="","",'Cash Flow %s Yr5'!N71*'Expenses w MYP'!$I26))</f>
        <v>0</v>
      </c>
      <c r="O71" s="62">
        <f ca="1">IF('Expenses w MYP'!$I26="","",IF('Cash Flow %s Yr5'!O71="","",'Cash Flow %s Yr5'!O71*'Expenses w MYP'!$I26))</f>
        <v>0</v>
      </c>
      <c r="P71" s="113"/>
      <c r="Q71" s="113"/>
      <c r="R71" s="113"/>
      <c r="S71" s="97" t="str">
        <f ca="1">IF(SUM(D71:R71)&gt;0,SUM(D71:R71)/'Expenses w MYP'!$I26,"")</f>
        <v/>
      </c>
    </row>
    <row r="72" spans="1:19" s="31" customFormat="1" x14ac:dyDescent="0.75">
      <c r="A72" s="35"/>
      <c r="B72" s="65" t="str">
        <f>'Expenses w MYP'!C27</f>
        <v>2905</v>
      </c>
      <c r="C72" s="65" t="str">
        <f>'Expenses w MYP'!D27</f>
        <v>Other Stipends</v>
      </c>
      <c r="D72" s="62">
        <f ca="1">IF('Expenses w MYP'!$I27="","",IF('Cash Flow %s Yr5'!D72="","",'Cash Flow %s Yr5'!D72*'Expenses w MYP'!$I27))</f>
        <v>0</v>
      </c>
      <c r="E72" s="62">
        <f ca="1">IF('Expenses w MYP'!$I27="","",IF('Cash Flow %s Yr5'!E72="","",'Cash Flow %s Yr5'!E72*'Expenses w MYP'!$I27))</f>
        <v>0</v>
      </c>
      <c r="F72" s="62">
        <f ca="1">IF('Expenses w MYP'!$I27="","",IF('Cash Flow %s Yr5'!F72="","",'Cash Flow %s Yr5'!F72*'Expenses w MYP'!$I27))</f>
        <v>0</v>
      </c>
      <c r="G72" s="62">
        <f ca="1">IF('Expenses w MYP'!$I27="","",IF('Cash Flow %s Yr5'!G72="","",'Cash Flow %s Yr5'!G72*'Expenses w MYP'!$I27))</f>
        <v>0</v>
      </c>
      <c r="H72" s="62">
        <f ca="1">IF('Expenses w MYP'!$I27="","",IF('Cash Flow %s Yr5'!H72="","",'Cash Flow %s Yr5'!H72*'Expenses w MYP'!$I27))</f>
        <v>0</v>
      </c>
      <c r="I72" s="62">
        <f ca="1">IF('Expenses w MYP'!$I27="","",IF('Cash Flow %s Yr5'!I72="","",'Cash Flow %s Yr5'!I72*'Expenses w MYP'!$I27))</f>
        <v>0</v>
      </c>
      <c r="J72" s="62">
        <f ca="1">IF('Expenses w MYP'!$I27="","",IF('Cash Flow %s Yr5'!J72="","",'Cash Flow %s Yr5'!J72*'Expenses w MYP'!$I27))</f>
        <v>0</v>
      </c>
      <c r="K72" s="62">
        <f ca="1">IF('Expenses w MYP'!$I27="","",IF('Cash Flow %s Yr5'!K72="","",'Cash Flow %s Yr5'!K72*'Expenses w MYP'!$I27))</f>
        <v>0</v>
      </c>
      <c r="L72" s="62">
        <f ca="1">IF('Expenses w MYP'!$I27="","",IF('Cash Flow %s Yr5'!L72="","",'Cash Flow %s Yr5'!L72*'Expenses w MYP'!$I27))</f>
        <v>0</v>
      </c>
      <c r="M72" s="62">
        <f ca="1">IF('Expenses w MYP'!$I27="","",IF('Cash Flow %s Yr5'!M72="","",'Cash Flow %s Yr5'!M72*'Expenses w MYP'!$I27))</f>
        <v>0</v>
      </c>
      <c r="N72" s="62">
        <f ca="1">IF('Expenses w MYP'!$I27="","",IF('Cash Flow %s Yr5'!N72="","",'Cash Flow %s Yr5'!N72*'Expenses w MYP'!$I27))</f>
        <v>0</v>
      </c>
      <c r="O72" s="62">
        <f ca="1">IF('Expenses w MYP'!$I27="","",IF('Cash Flow %s Yr5'!O72="","",'Cash Flow %s Yr5'!O72*'Expenses w MYP'!$I27))</f>
        <v>0</v>
      </c>
      <c r="P72" s="113"/>
      <c r="Q72" s="113"/>
      <c r="R72" s="113"/>
      <c r="S72" s="97" t="str">
        <f ca="1">IF(SUM(D72:R72)&gt;0,SUM(D72:R72)/'Expenses w MYP'!$I27,"")</f>
        <v/>
      </c>
    </row>
    <row r="73" spans="1:19" s="31" customFormat="1" x14ac:dyDescent="0.75">
      <c r="A73" s="35"/>
      <c r="B73" s="65" t="str">
        <f>'Expenses w MYP'!C28</f>
        <v>2910</v>
      </c>
      <c r="C73" s="65" t="str">
        <f>'Expenses w MYP'!D28</f>
        <v>Other Classified Overtime</v>
      </c>
      <c r="D73" s="62">
        <f ca="1">IF('Expenses w MYP'!$I28="","",IF('Cash Flow %s Yr5'!D73="","",'Cash Flow %s Yr5'!D73*'Expenses w MYP'!$I28))</f>
        <v>0</v>
      </c>
      <c r="E73" s="62">
        <f ca="1">IF('Expenses w MYP'!$I28="","",IF('Cash Flow %s Yr5'!E73="","",'Cash Flow %s Yr5'!E73*'Expenses w MYP'!$I28))</f>
        <v>0</v>
      </c>
      <c r="F73" s="62">
        <f ca="1">IF('Expenses w MYP'!$I28="","",IF('Cash Flow %s Yr5'!F73="","",'Cash Flow %s Yr5'!F73*'Expenses w MYP'!$I28))</f>
        <v>0</v>
      </c>
      <c r="G73" s="62">
        <f ca="1">IF('Expenses w MYP'!$I28="","",IF('Cash Flow %s Yr5'!G73="","",'Cash Flow %s Yr5'!G73*'Expenses w MYP'!$I28))</f>
        <v>0</v>
      </c>
      <c r="H73" s="62">
        <f ca="1">IF('Expenses w MYP'!$I28="","",IF('Cash Flow %s Yr5'!H73="","",'Cash Flow %s Yr5'!H73*'Expenses w MYP'!$I28))</f>
        <v>0</v>
      </c>
      <c r="I73" s="62">
        <f ca="1">IF('Expenses w MYP'!$I28="","",IF('Cash Flow %s Yr5'!I73="","",'Cash Flow %s Yr5'!I73*'Expenses w MYP'!$I28))</f>
        <v>0</v>
      </c>
      <c r="J73" s="62">
        <f ca="1">IF('Expenses w MYP'!$I28="","",IF('Cash Flow %s Yr5'!J73="","",'Cash Flow %s Yr5'!J73*'Expenses w MYP'!$I28))</f>
        <v>0</v>
      </c>
      <c r="K73" s="62">
        <f ca="1">IF('Expenses w MYP'!$I28="","",IF('Cash Flow %s Yr5'!K73="","",'Cash Flow %s Yr5'!K73*'Expenses w MYP'!$I28))</f>
        <v>0</v>
      </c>
      <c r="L73" s="62">
        <f ca="1">IF('Expenses w MYP'!$I28="","",IF('Cash Flow %s Yr5'!L73="","",'Cash Flow %s Yr5'!L73*'Expenses w MYP'!$I28))</f>
        <v>0</v>
      </c>
      <c r="M73" s="62">
        <f ca="1">IF('Expenses w MYP'!$I28="","",IF('Cash Flow %s Yr5'!M73="","",'Cash Flow %s Yr5'!M73*'Expenses w MYP'!$I28))</f>
        <v>0</v>
      </c>
      <c r="N73" s="62">
        <f ca="1">IF('Expenses w MYP'!$I28="","",IF('Cash Flow %s Yr5'!N73="","",'Cash Flow %s Yr5'!N73*'Expenses w MYP'!$I28))</f>
        <v>0</v>
      </c>
      <c r="O73" s="62">
        <f ca="1">IF('Expenses w MYP'!$I28="","",IF('Cash Flow %s Yr5'!O73="","",'Cash Flow %s Yr5'!O73*'Expenses w MYP'!$I28))</f>
        <v>0</v>
      </c>
      <c r="P73" s="113"/>
      <c r="Q73" s="113"/>
      <c r="R73" s="113"/>
      <c r="S73" s="97" t="str">
        <f ca="1">IF(SUM(D73:R73)&gt;0,SUM(D73:R73)/'Expenses w MYP'!$I28,"")</f>
        <v/>
      </c>
    </row>
    <row r="74" spans="1:19" s="31" customFormat="1" x14ac:dyDescent="0.75">
      <c r="A74" s="35"/>
      <c r="B74" s="42" t="s">
        <v>736</v>
      </c>
      <c r="C74" s="34" t="s">
        <v>719</v>
      </c>
      <c r="D74" s="153">
        <f t="shared" ref="D74:I74" ca="1" si="6">IF(SUM(D63:D73)&gt;0,SUM(D63:D73),"")</f>
        <v>42928.592524760868</v>
      </c>
      <c r="E74" s="153">
        <f t="shared" ca="1" si="6"/>
        <v>42928.592524760868</v>
      </c>
      <c r="F74" s="153">
        <f t="shared" ca="1" si="6"/>
        <v>121794.82491336498</v>
      </c>
      <c r="G74" s="153">
        <f t="shared" ca="1" si="6"/>
        <v>121794.82491336498</v>
      </c>
      <c r="H74" s="153">
        <f t="shared" ca="1" si="6"/>
        <v>121794.82491336498</v>
      </c>
      <c r="I74" s="153">
        <f t="shared" ca="1" si="6"/>
        <v>121794.82491336498</v>
      </c>
      <c r="J74" s="153">
        <f t="shared" ref="J74:R74" ca="1" si="7">IF(SUM(J63:J73)&gt;0,SUM(J63:J73),"")</f>
        <v>121794.82491336498</v>
      </c>
      <c r="K74" s="153">
        <f t="shared" ca="1" si="7"/>
        <v>121794.82491336498</v>
      </c>
      <c r="L74" s="153">
        <f t="shared" ca="1" si="7"/>
        <v>122312.03687149462</v>
      </c>
      <c r="M74" s="153">
        <f t="shared" ca="1" si="7"/>
        <v>122312.03687149462</v>
      </c>
      <c r="N74" s="153">
        <f t="shared" ca="1" si="7"/>
        <v>122312.03687149462</v>
      </c>
      <c r="O74" s="153">
        <f t="shared" ca="1" si="7"/>
        <v>122312.03687149462</v>
      </c>
      <c r="P74" s="153" t="str">
        <f t="shared" si="7"/>
        <v/>
      </c>
      <c r="Q74" s="153" t="str">
        <f t="shared" si="7"/>
        <v/>
      </c>
      <c r="R74" s="153" t="str">
        <f t="shared" si="7"/>
        <v/>
      </c>
      <c r="S74" s="94"/>
    </row>
    <row r="75" spans="1:19" s="31" customFormat="1" x14ac:dyDescent="0.75">
      <c r="A75" s="35"/>
      <c r="B75" s="39"/>
      <c r="C75" s="2"/>
      <c r="D75" s="88"/>
      <c r="E75" s="88"/>
      <c r="F75" s="88"/>
      <c r="G75" s="88"/>
      <c r="H75" s="88"/>
      <c r="I75" s="88"/>
      <c r="J75" s="88"/>
      <c r="K75" s="88"/>
      <c r="L75" s="88"/>
      <c r="M75" s="88"/>
      <c r="N75" s="88"/>
      <c r="O75" s="88"/>
      <c r="P75" s="88"/>
      <c r="Q75" s="88"/>
      <c r="R75" s="88"/>
    </row>
    <row r="76" spans="1:19" s="31" customFormat="1" x14ac:dyDescent="0.75">
      <c r="B76" s="34" t="s">
        <v>733</v>
      </c>
      <c r="C76" s="2"/>
      <c r="D76" s="88"/>
      <c r="E76" s="88"/>
      <c r="F76" s="88"/>
      <c r="G76" s="88"/>
      <c r="H76" s="88"/>
      <c r="I76" s="88"/>
      <c r="J76" s="88"/>
      <c r="K76" s="88"/>
      <c r="L76" s="88"/>
      <c r="M76" s="88"/>
      <c r="N76" s="88"/>
      <c r="O76" s="88"/>
      <c r="P76" s="88"/>
      <c r="Q76" s="88"/>
      <c r="R76" s="88"/>
    </row>
    <row r="77" spans="1:19" s="31" customFormat="1" x14ac:dyDescent="0.75">
      <c r="A77" s="35"/>
      <c r="B77" s="65" t="str">
        <f>'Expenses w MYP'!C32</f>
        <v>3101</v>
      </c>
      <c r="C77" s="65" t="str">
        <f>'Expenses w MYP'!D32</f>
        <v>State Teachers' Retirement System, certificated positions</v>
      </c>
      <c r="D77" s="62">
        <f ca="1">IF('Expenses w MYP'!$I32="","",IF('Cash Flow %s Yr5'!D77="","",'Cash Flow %s Yr5'!D77*'Expenses w MYP'!$I32))</f>
        <v>19667.282047976161</v>
      </c>
      <c r="E77" s="62">
        <f ca="1">IF('Expenses w MYP'!$I32="","",IF('Cash Flow %s Yr5'!E77="","",'Cash Flow %s Yr5'!E77*'Expenses w MYP'!$I32))</f>
        <v>19667.282047976161</v>
      </c>
      <c r="F77" s="62">
        <f ca="1">IF('Expenses w MYP'!$I32="","",IF('Cash Flow %s Yr5'!F77="","",'Cash Flow %s Yr5'!F77*'Expenses w MYP'!$I32))</f>
        <v>98336.410239880803</v>
      </c>
      <c r="G77" s="62">
        <f ca="1">IF('Expenses w MYP'!$I32="","",IF('Cash Flow %s Yr5'!G77="","",'Cash Flow %s Yr5'!G77*'Expenses w MYP'!$I32))</f>
        <v>98336.410239880803</v>
      </c>
      <c r="H77" s="62">
        <f ca="1">IF('Expenses w MYP'!$I32="","",IF('Cash Flow %s Yr5'!H77="","",'Cash Flow %s Yr5'!H77*'Expenses w MYP'!$I32))</f>
        <v>98336.410239880803</v>
      </c>
      <c r="I77" s="62">
        <f ca="1">IF('Expenses w MYP'!$I32="","",IF('Cash Flow %s Yr5'!I77="","",'Cash Flow %s Yr5'!I77*'Expenses w MYP'!$I32))</f>
        <v>98336.410239880803</v>
      </c>
      <c r="J77" s="62">
        <f ca="1">IF('Expenses w MYP'!$I32="","",IF('Cash Flow %s Yr5'!J77="","",'Cash Flow %s Yr5'!J77*'Expenses w MYP'!$I32))</f>
        <v>98336.410239880803</v>
      </c>
      <c r="K77" s="62">
        <f ca="1">IF('Expenses w MYP'!$I32="","",IF('Cash Flow %s Yr5'!K77="","",'Cash Flow %s Yr5'!K77*'Expenses w MYP'!$I32))</f>
        <v>98336.410239880803</v>
      </c>
      <c r="L77" s="62">
        <f ca="1">IF('Expenses w MYP'!$I32="","",IF('Cash Flow %s Yr5'!L77="","",'Cash Flow %s Yr5'!L77*'Expenses w MYP'!$I32))</f>
        <v>98336.410239880803</v>
      </c>
      <c r="M77" s="62">
        <f ca="1">IF('Expenses w MYP'!$I32="","",IF('Cash Flow %s Yr5'!M77="","",'Cash Flow %s Yr5'!M77*'Expenses w MYP'!$I32))</f>
        <v>98336.410239880803</v>
      </c>
      <c r="N77" s="62">
        <f ca="1">IF('Expenses w MYP'!$I32="","",IF('Cash Flow %s Yr5'!N77="","",'Cash Flow %s Yr5'!N77*'Expenses w MYP'!$I32))</f>
        <v>98336.410239880803</v>
      </c>
      <c r="O77" s="62">
        <f ca="1">IF('Expenses w MYP'!$I32="","",IF('Cash Flow %s Yr5'!O77="","",'Cash Flow %s Yr5'!O77*'Expenses w MYP'!$I32))</f>
        <v>59001.84614392848</v>
      </c>
      <c r="P77" s="113"/>
      <c r="Q77" s="113"/>
      <c r="R77" s="113"/>
      <c r="S77" s="97">
        <f ca="1">IF(SUM(D77:R77)&gt;0,SUM(D77:R77)/'Expenses w MYP'!$I32,"")</f>
        <v>1</v>
      </c>
    </row>
    <row r="78" spans="1:19" s="31" customFormat="1" x14ac:dyDescent="0.75">
      <c r="A78" s="35"/>
      <c r="B78" s="65" t="str">
        <f>'Expenses w MYP'!C45</f>
        <v>3602</v>
      </c>
      <c r="C78" s="65" t="str">
        <f>'Expenses w MYP'!D45</f>
        <v>Worker's Comp - Classified</v>
      </c>
      <c r="D78" s="62">
        <f ca="1">IF('Expenses w MYP'!$I45="","",IF('Cash Flow %s Yr5'!D78="","",'Cash Flow %s Yr5'!D78*'Expenses w MYP'!$I45))</f>
        <v>548.46719844658992</v>
      </c>
      <c r="E78" s="62">
        <f ca="1">IF('Expenses w MYP'!$I45="","",IF('Cash Flow %s Yr5'!E78="","",'Cash Flow %s Yr5'!E78*'Expenses w MYP'!$I45))</f>
        <v>548.46719844658992</v>
      </c>
      <c r="F78" s="62">
        <f ca="1">IF('Expenses w MYP'!$I45="","",IF('Cash Flow %s Yr5'!F78="","",'Cash Flow %s Yr5'!F78*'Expenses w MYP'!$I45))</f>
        <v>2742.3359922329496</v>
      </c>
      <c r="G78" s="62">
        <f ca="1">IF('Expenses w MYP'!$I45="","",IF('Cash Flow %s Yr5'!G78="","",'Cash Flow %s Yr5'!G78*'Expenses w MYP'!$I45))</f>
        <v>2742.3359922329496</v>
      </c>
      <c r="H78" s="62">
        <f ca="1">IF('Expenses w MYP'!$I45="","",IF('Cash Flow %s Yr5'!H78="","",'Cash Flow %s Yr5'!H78*'Expenses w MYP'!$I45))</f>
        <v>2742.3359922329496</v>
      </c>
      <c r="I78" s="62">
        <f ca="1">IF('Expenses w MYP'!$I45="","",IF('Cash Flow %s Yr5'!I78="","",'Cash Flow %s Yr5'!I78*'Expenses w MYP'!$I45))</f>
        <v>2742.3359922329496</v>
      </c>
      <c r="J78" s="62">
        <f ca="1">IF('Expenses w MYP'!$I45="","",IF('Cash Flow %s Yr5'!J78="","",'Cash Flow %s Yr5'!J78*'Expenses w MYP'!$I45))</f>
        <v>2742.3359922329496</v>
      </c>
      <c r="K78" s="62">
        <f ca="1">IF('Expenses w MYP'!$I45="","",IF('Cash Flow %s Yr5'!K78="","",'Cash Flow %s Yr5'!K78*'Expenses w MYP'!$I45))</f>
        <v>2742.3359922329496</v>
      </c>
      <c r="L78" s="62">
        <f ca="1">IF('Expenses w MYP'!$I45="","",IF('Cash Flow %s Yr5'!L78="","",'Cash Flow %s Yr5'!L78*'Expenses w MYP'!$I45))</f>
        <v>2742.3359922329496</v>
      </c>
      <c r="M78" s="62">
        <f ca="1">IF('Expenses w MYP'!$I45="","",IF('Cash Flow %s Yr5'!M78="","",'Cash Flow %s Yr5'!M78*'Expenses w MYP'!$I45))</f>
        <v>2742.3359922329496</v>
      </c>
      <c r="N78" s="62">
        <f ca="1">IF('Expenses w MYP'!$I45="","",IF('Cash Flow %s Yr5'!N78="","",'Cash Flow %s Yr5'!N78*'Expenses w MYP'!$I45))</f>
        <v>2742.3359922329496</v>
      </c>
      <c r="O78" s="62">
        <f ca="1">IF('Expenses w MYP'!$I45="","",IF('Cash Flow %s Yr5'!O78="","",'Cash Flow %s Yr5'!O78*'Expenses w MYP'!$I45))</f>
        <v>1645.4015953397695</v>
      </c>
      <c r="P78" s="113"/>
      <c r="Q78" s="113"/>
      <c r="R78" s="113"/>
      <c r="S78" s="97">
        <f ca="1">IF(SUM(D78:R78)&gt;0,SUM(D78:R78)/'Expenses w MYP'!$I45,"")</f>
        <v>1.0000000000000002</v>
      </c>
    </row>
    <row r="79" spans="1:19" s="31" customFormat="1" x14ac:dyDescent="0.75">
      <c r="A79" s="35"/>
      <c r="B79" s="65" t="str">
        <f>'Expenses w MYP'!C46</f>
        <v>3603</v>
      </c>
      <c r="C79" s="65" t="str">
        <f>'Expenses w MYP'!D46</f>
        <v>Worker Compensation Insurance</v>
      </c>
      <c r="D79" s="62">
        <f ca="1">IF('Expenses w MYP'!$I46="","",IF('Cash Flow %s Yr5'!D79="","",'Cash Flow %s Yr5'!D79*'Expenses w MYP'!$I46))</f>
        <v>0</v>
      </c>
      <c r="E79" s="62">
        <f ca="1">IF('Expenses w MYP'!$I46="","",IF('Cash Flow %s Yr5'!E79="","",'Cash Flow %s Yr5'!E79*'Expenses w MYP'!$I46))</f>
        <v>0</v>
      </c>
      <c r="F79" s="62">
        <f ca="1">IF('Expenses w MYP'!$I46="","",IF('Cash Flow %s Yr5'!F79="","",'Cash Flow %s Yr5'!F79*'Expenses w MYP'!$I46))</f>
        <v>0</v>
      </c>
      <c r="G79" s="62">
        <f ca="1">IF('Expenses w MYP'!$I46="","",IF('Cash Flow %s Yr5'!G79="","",'Cash Flow %s Yr5'!G79*'Expenses w MYP'!$I46))</f>
        <v>0</v>
      </c>
      <c r="H79" s="62">
        <f ca="1">IF('Expenses w MYP'!$I46="","",IF('Cash Flow %s Yr5'!H79="","",'Cash Flow %s Yr5'!H79*'Expenses w MYP'!$I46))</f>
        <v>0</v>
      </c>
      <c r="I79" s="62">
        <f ca="1">IF('Expenses w MYP'!$I46="","",IF('Cash Flow %s Yr5'!I79="","",'Cash Flow %s Yr5'!I79*'Expenses w MYP'!$I46))</f>
        <v>0</v>
      </c>
      <c r="J79" s="62">
        <f ca="1">IF('Expenses w MYP'!$I46="","",IF('Cash Flow %s Yr5'!J79="","",'Cash Flow %s Yr5'!J79*'Expenses w MYP'!$I46))</f>
        <v>0</v>
      </c>
      <c r="K79" s="62">
        <f ca="1">IF('Expenses w MYP'!$I46="","",IF('Cash Flow %s Yr5'!K79="","",'Cash Flow %s Yr5'!K79*'Expenses w MYP'!$I46))</f>
        <v>0</v>
      </c>
      <c r="L79" s="62">
        <f ca="1">IF('Expenses w MYP'!$I46="","",IF('Cash Flow %s Yr5'!L79="","",'Cash Flow %s Yr5'!L79*'Expenses w MYP'!$I46))</f>
        <v>0</v>
      </c>
      <c r="M79" s="62">
        <f ca="1">IF('Expenses w MYP'!$I46="","",IF('Cash Flow %s Yr5'!M79="","",'Cash Flow %s Yr5'!M79*'Expenses w MYP'!$I46))</f>
        <v>0</v>
      </c>
      <c r="N79" s="62">
        <f ca="1">IF('Expenses w MYP'!$I46="","",IF('Cash Flow %s Yr5'!N79="","",'Cash Flow %s Yr5'!N79*'Expenses w MYP'!$I46))</f>
        <v>0</v>
      </c>
      <c r="O79" s="62">
        <f ca="1">IF('Expenses w MYP'!$I46="","",IF('Cash Flow %s Yr5'!O79="","",'Cash Flow %s Yr5'!O79*'Expenses w MYP'!$I46))</f>
        <v>0</v>
      </c>
      <c r="P79" s="113"/>
      <c r="Q79" s="113"/>
      <c r="R79" s="113"/>
      <c r="S79" s="97" t="str">
        <f ca="1">IF(SUM(D79:R79)&gt;0,SUM(D79:R79)/'Expenses w MYP'!$I46,"")</f>
        <v/>
      </c>
    </row>
    <row r="80" spans="1:19" s="31" customFormat="1" x14ac:dyDescent="0.75">
      <c r="A80" s="35"/>
      <c r="B80" s="65" t="str">
        <f>'Expenses w MYP'!C47</f>
        <v>3703</v>
      </c>
      <c r="C80" s="65">
        <f>'Expenses w MYP'!D47</f>
        <v>0</v>
      </c>
      <c r="D80" s="62">
        <f ca="1">IF('Expenses w MYP'!$I47="","",IF('Cash Flow %s Yr5'!D80="","",'Cash Flow %s Yr5'!D80*'Expenses w MYP'!$I47))</f>
        <v>0</v>
      </c>
      <c r="E80" s="62">
        <f ca="1">IF('Expenses w MYP'!$I47="","",IF('Cash Flow %s Yr5'!E80="","",'Cash Flow %s Yr5'!E80*'Expenses w MYP'!$I47))</f>
        <v>0</v>
      </c>
      <c r="F80" s="62">
        <f ca="1">IF('Expenses w MYP'!$I47="","",IF('Cash Flow %s Yr5'!F80="","",'Cash Flow %s Yr5'!F80*'Expenses w MYP'!$I47))</f>
        <v>0</v>
      </c>
      <c r="G80" s="62">
        <f ca="1">IF('Expenses w MYP'!$I47="","",IF('Cash Flow %s Yr5'!G80="","",'Cash Flow %s Yr5'!G80*'Expenses w MYP'!$I47))</f>
        <v>0</v>
      </c>
      <c r="H80" s="62">
        <f ca="1">IF('Expenses w MYP'!$I47="","",IF('Cash Flow %s Yr5'!H80="","",'Cash Flow %s Yr5'!H80*'Expenses w MYP'!$I47))</f>
        <v>0</v>
      </c>
      <c r="I80" s="62">
        <f ca="1">IF('Expenses w MYP'!$I47="","",IF('Cash Flow %s Yr5'!I80="","",'Cash Flow %s Yr5'!I80*'Expenses w MYP'!$I47))</f>
        <v>0</v>
      </c>
      <c r="J80" s="62">
        <f ca="1">IF('Expenses w MYP'!$I47="","",IF('Cash Flow %s Yr5'!J80="","",'Cash Flow %s Yr5'!J80*'Expenses w MYP'!$I47))</f>
        <v>0</v>
      </c>
      <c r="K80" s="62">
        <f ca="1">IF('Expenses w MYP'!$I47="","",IF('Cash Flow %s Yr5'!K80="","",'Cash Flow %s Yr5'!K80*'Expenses w MYP'!$I47))</f>
        <v>0</v>
      </c>
      <c r="L80" s="62">
        <f ca="1">IF('Expenses w MYP'!$I47="","",IF('Cash Flow %s Yr5'!L80="","",'Cash Flow %s Yr5'!L80*'Expenses w MYP'!$I47))</f>
        <v>0</v>
      </c>
      <c r="M80" s="62">
        <f ca="1">IF('Expenses w MYP'!$I47="","",IF('Cash Flow %s Yr5'!M80="","",'Cash Flow %s Yr5'!M80*'Expenses w MYP'!$I47))</f>
        <v>0</v>
      </c>
      <c r="N80" s="62">
        <f ca="1">IF('Expenses w MYP'!$I47="","",IF('Cash Flow %s Yr5'!N80="","",'Cash Flow %s Yr5'!N80*'Expenses w MYP'!$I47))</f>
        <v>0</v>
      </c>
      <c r="O80" s="62">
        <f ca="1">IF('Expenses w MYP'!$I47="","",IF('Cash Flow %s Yr5'!O80="","",'Cash Flow %s Yr5'!O80*'Expenses w MYP'!$I47))</f>
        <v>0</v>
      </c>
      <c r="P80" s="113"/>
      <c r="Q80" s="113"/>
      <c r="R80" s="113"/>
      <c r="S80" s="97" t="str">
        <f ca="1">IF(SUM(D80:R80)&gt;0,SUM(D80:R80)/'Expenses w MYP'!$I47,"")</f>
        <v/>
      </c>
    </row>
    <row r="81" spans="1:19" s="31" customFormat="1" x14ac:dyDescent="0.75">
      <c r="A81" s="35"/>
      <c r="B81" s="65" t="str">
        <f>'Expenses w MYP'!C48</f>
        <v>3901</v>
      </c>
      <c r="C81" s="65" t="str">
        <f>'Expenses w MYP'!D48</f>
        <v>Other Employee Benefits - Certificated</v>
      </c>
      <c r="D81" s="62">
        <f ca="1">IF('Expenses w MYP'!$I48="","",IF('Cash Flow %s Yr5'!D81="","",'Cash Flow %s Yr5'!D81*'Expenses w MYP'!$I48))</f>
        <v>707.24706885745934</v>
      </c>
      <c r="E81" s="62">
        <f ca="1">IF('Expenses w MYP'!$I48="","",IF('Cash Flow %s Yr5'!E81="","",'Cash Flow %s Yr5'!E81*'Expenses w MYP'!$I48))</f>
        <v>707.24706885745934</v>
      </c>
      <c r="F81" s="62">
        <f ca="1">IF('Expenses w MYP'!$I48="","",IF('Cash Flow %s Yr5'!F81="","",'Cash Flow %s Yr5'!F81*'Expenses w MYP'!$I48))</f>
        <v>3536.2353442872973</v>
      </c>
      <c r="G81" s="62">
        <f ca="1">IF('Expenses w MYP'!$I48="","",IF('Cash Flow %s Yr5'!G81="","",'Cash Flow %s Yr5'!G81*'Expenses w MYP'!$I48))</f>
        <v>3536.2353442872973</v>
      </c>
      <c r="H81" s="62">
        <f ca="1">IF('Expenses w MYP'!$I48="","",IF('Cash Flow %s Yr5'!H81="","",'Cash Flow %s Yr5'!H81*'Expenses w MYP'!$I48))</f>
        <v>3536.2353442872973</v>
      </c>
      <c r="I81" s="62">
        <f ca="1">IF('Expenses w MYP'!$I48="","",IF('Cash Flow %s Yr5'!I81="","",'Cash Flow %s Yr5'!I81*'Expenses w MYP'!$I48))</f>
        <v>3536.2353442872973</v>
      </c>
      <c r="J81" s="62">
        <f ca="1">IF('Expenses w MYP'!$I48="","",IF('Cash Flow %s Yr5'!J81="","",'Cash Flow %s Yr5'!J81*'Expenses w MYP'!$I48))</f>
        <v>3536.2353442872973</v>
      </c>
      <c r="K81" s="62">
        <f ca="1">IF('Expenses w MYP'!$I48="","",IF('Cash Flow %s Yr5'!K81="","",'Cash Flow %s Yr5'!K81*'Expenses w MYP'!$I48))</f>
        <v>3536.2353442872973</v>
      </c>
      <c r="L81" s="62">
        <f ca="1">IF('Expenses w MYP'!$I48="","",IF('Cash Flow %s Yr5'!L81="","",'Cash Flow %s Yr5'!L81*'Expenses w MYP'!$I48))</f>
        <v>3536.2353442872973</v>
      </c>
      <c r="M81" s="62">
        <f ca="1">IF('Expenses w MYP'!$I48="","",IF('Cash Flow %s Yr5'!M81="","",'Cash Flow %s Yr5'!M81*'Expenses w MYP'!$I48))</f>
        <v>3536.2353442872973</v>
      </c>
      <c r="N81" s="62">
        <f ca="1">IF('Expenses w MYP'!$I48="","",IF('Cash Flow %s Yr5'!N81="","",'Cash Flow %s Yr5'!N81*'Expenses w MYP'!$I48))</f>
        <v>3536.2353442872973</v>
      </c>
      <c r="O81" s="62">
        <f ca="1">IF('Expenses w MYP'!$I48="","",IF('Cash Flow %s Yr5'!O81="","",'Cash Flow %s Yr5'!O81*'Expenses w MYP'!$I48))</f>
        <v>2121.7412065723779</v>
      </c>
      <c r="P81" s="113"/>
      <c r="Q81" s="113"/>
      <c r="R81" s="113"/>
      <c r="S81" s="97">
        <f ca="1">IF(SUM(D81:R81)&gt;0,SUM(D81:R81)/'Expenses w MYP'!$I48,"")</f>
        <v>1.0000000000000002</v>
      </c>
    </row>
    <row r="82" spans="1:19" s="31" customFormat="1" x14ac:dyDescent="0.75">
      <c r="A82" s="35"/>
      <c r="B82" s="65" t="str">
        <f>'Expenses w MYP'!C49</f>
        <v>3902</v>
      </c>
      <c r="C82" s="65" t="str">
        <f>'Expenses w MYP'!D49</f>
        <v>Other Employee Benefits - Classified</v>
      </c>
      <c r="D82" s="62">
        <f ca="1">IF('Expenses w MYP'!$I49="","",IF('Cash Flow %s Yr5'!D82="","",'Cash Flow %s Yr5'!D82*'Expenses w MYP'!$I49))</f>
        <v>0</v>
      </c>
      <c r="E82" s="62">
        <f ca="1">IF('Expenses w MYP'!$I49="","",IF('Cash Flow %s Yr5'!E82="","",'Cash Flow %s Yr5'!E82*'Expenses w MYP'!$I49))</f>
        <v>0</v>
      </c>
      <c r="F82" s="62">
        <f ca="1">IF('Expenses w MYP'!$I49="","",IF('Cash Flow %s Yr5'!F82="","",'Cash Flow %s Yr5'!F82*'Expenses w MYP'!$I49))</f>
        <v>0</v>
      </c>
      <c r="G82" s="62">
        <f ca="1">IF('Expenses w MYP'!$I49="","",IF('Cash Flow %s Yr5'!G82="","",'Cash Flow %s Yr5'!G82*'Expenses w MYP'!$I49))</f>
        <v>0</v>
      </c>
      <c r="H82" s="62">
        <f ca="1">IF('Expenses w MYP'!$I49="","",IF('Cash Flow %s Yr5'!H82="","",'Cash Flow %s Yr5'!H82*'Expenses w MYP'!$I49))</f>
        <v>0</v>
      </c>
      <c r="I82" s="62">
        <f ca="1">IF('Expenses w MYP'!$I49="","",IF('Cash Flow %s Yr5'!I82="","",'Cash Flow %s Yr5'!I82*'Expenses w MYP'!$I49))</f>
        <v>0</v>
      </c>
      <c r="J82" s="62">
        <f ca="1">IF('Expenses w MYP'!$I49="","",IF('Cash Flow %s Yr5'!J82="","",'Cash Flow %s Yr5'!J82*'Expenses w MYP'!$I49))</f>
        <v>0</v>
      </c>
      <c r="K82" s="62">
        <f ca="1">IF('Expenses w MYP'!$I49="","",IF('Cash Flow %s Yr5'!K82="","",'Cash Flow %s Yr5'!K82*'Expenses w MYP'!$I49))</f>
        <v>0</v>
      </c>
      <c r="L82" s="62">
        <f ca="1">IF('Expenses w MYP'!$I49="","",IF('Cash Flow %s Yr5'!L82="","",'Cash Flow %s Yr5'!L82*'Expenses w MYP'!$I49))</f>
        <v>0</v>
      </c>
      <c r="M82" s="62">
        <f ca="1">IF('Expenses w MYP'!$I49="","",IF('Cash Flow %s Yr5'!M82="","",'Cash Flow %s Yr5'!M82*'Expenses w MYP'!$I49))</f>
        <v>0</v>
      </c>
      <c r="N82" s="62">
        <f ca="1">IF('Expenses w MYP'!$I49="","",IF('Cash Flow %s Yr5'!N82="","",'Cash Flow %s Yr5'!N82*'Expenses w MYP'!$I49))</f>
        <v>0</v>
      </c>
      <c r="O82" s="62">
        <f ca="1">IF('Expenses w MYP'!$I49="","",IF('Cash Flow %s Yr5'!O82="","",'Cash Flow %s Yr5'!O82*'Expenses w MYP'!$I49))</f>
        <v>0</v>
      </c>
      <c r="P82" s="113"/>
      <c r="Q82" s="113"/>
      <c r="R82" s="113"/>
      <c r="S82" s="97" t="str">
        <f ca="1">IF(SUM(D82:R82)&gt;0,SUM(D82:R82)/'Expenses w MYP'!$I49,"")</f>
        <v/>
      </c>
    </row>
    <row r="83" spans="1:19" s="31" customFormat="1" x14ac:dyDescent="0.75">
      <c r="A83" s="35"/>
      <c r="B83" s="65" t="str">
        <f>'Expenses w MYP'!C50</f>
        <v>3903</v>
      </c>
      <c r="C83" s="65" t="str">
        <f>'Expenses w MYP'!D50</f>
        <v>Other Post Employment Benefits</v>
      </c>
      <c r="D83" s="62">
        <f ca="1">IF('Expenses w MYP'!$I50="","",IF('Cash Flow %s Yr5'!D83="","",'Cash Flow %s Yr5'!D83*'Expenses w MYP'!$I50))</f>
        <v>0</v>
      </c>
      <c r="E83" s="62">
        <f ca="1">IF('Expenses w MYP'!$I50="","",IF('Cash Flow %s Yr5'!E83="","",'Cash Flow %s Yr5'!E83*'Expenses w MYP'!$I50))</f>
        <v>0</v>
      </c>
      <c r="F83" s="62">
        <f ca="1">IF('Expenses w MYP'!$I50="","",IF('Cash Flow %s Yr5'!F83="","",'Cash Flow %s Yr5'!F83*'Expenses w MYP'!$I50))</f>
        <v>0</v>
      </c>
      <c r="G83" s="62">
        <f ca="1">IF('Expenses w MYP'!$I50="","",IF('Cash Flow %s Yr5'!G83="","",'Cash Flow %s Yr5'!G83*'Expenses w MYP'!$I50))</f>
        <v>0</v>
      </c>
      <c r="H83" s="62">
        <f ca="1">IF('Expenses w MYP'!$I50="","",IF('Cash Flow %s Yr5'!H83="","",'Cash Flow %s Yr5'!H83*'Expenses w MYP'!$I50))</f>
        <v>0</v>
      </c>
      <c r="I83" s="62">
        <f ca="1">IF('Expenses w MYP'!$I50="","",IF('Cash Flow %s Yr5'!I83="","",'Cash Flow %s Yr5'!I83*'Expenses w MYP'!$I50))</f>
        <v>0</v>
      </c>
      <c r="J83" s="62">
        <f ca="1">IF('Expenses w MYP'!$I50="","",IF('Cash Flow %s Yr5'!J83="","",'Cash Flow %s Yr5'!J83*'Expenses w MYP'!$I50))</f>
        <v>0</v>
      </c>
      <c r="K83" s="62">
        <f ca="1">IF('Expenses w MYP'!$I50="","",IF('Cash Flow %s Yr5'!K83="","",'Cash Flow %s Yr5'!K83*'Expenses w MYP'!$I50))</f>
        <v>0</v>
      </c>
      <c r="L83" s="62">
        <f ca="1">IF('Expenses w MYP'!$I50="","",IF('Cash Flow %s Yr5'!L83="","",'Cash Flow %s Yr5'!L83*'Expenses w MYP'!$I50))</f>
        <v>0</v>
      </c>
      <c r="M83" s="62">
        <f ca="1">IF('Expenses w MYP'!$I50="","",IF('Cash Flow %s Yr5'!M83="","",'Cash Flow %s Yr5'!M83*'Expenses w MYP'!$I50))</f>
        <v>0</v>
      </c>
      <c r="N83" s="62">
        <f ca="1">IF('Expenses w MYP'!$I50="","",IF('Cash Flow %s Yr5'!N83="","",'Cash Flow %s Yr5'!N83*'Expenses w MYP'!$I50))</f>
        <v>0</v>
      </c>
      <c r="O83" s="62">
        <f ca="1">IF('Expenses w MYP'!$I50="","",IF('Cash Flow %s Yr5'!O83="","",'Cash Flow %s Yr5'!O83*'Expenses w MYP'!$I50))</f>
        <v>0</v>
      </c>
      <c r="P83" s="113"/>
      <c r="Q83" s="113"/>
      <c r="R83" s="113"/>
      <c r="S83" s="97" t="str">
        <f ca="1">IF(SUM(D83:R83)&gt;0,SUM(D83:R83)/'Expenses w MYP'!$I50,"")</f>
        <v/>
      </c>
    </row>
    <row r="84" spans="1:19" s="31" customFormat="1" x14ac:dyDescent="0.75">
      <c r="A84" s="35"/>
      <c r="B84" s="65">
        <f>'Expenses w MYP'!C51</f>
        <v>0</v>
      </c>
      <c r="C84" s="65">
        <f>'Expenses w MYP'!D51</f>
        <v>0</v>
      </c>
      <c r="D84" s="62" t="str">
        <f>IF('Expenses w MYP'!$I51="","",IF('Cash Flow %s Yr5'!D84="","",'Cash Flow %s Yr5'!D84*'Expenses w MYP'!$I51))</f>
        <v/>
      </c>
      <c r="E84" s="62" t="str">
        <f>IF('Expenses w MYP'!$I51="","",IF('Cash Flow %s Yr5'!E84="","",'Cash Flow %s Yr5'!E84*'Expenses w MYP'!$I51))</f>
        <v/>
      </c>
      <c r="F84" s="62" t="str">
        <f>IF('Expenses w MYP'!$I51="","",IF('Cash Flow %s Yr5'!F84="","",'Cash Flow %s Yr5'!F84*'Expenses w MYP'!$I51))</f>
        <v/>
      </c>
      <c r="G84" s="62" t="str">
        <f>IF('Expenses w MYP'!$I51="","",IF('Cash Flow %s Yr5'!G84="","",'Cash Flow %s Yr5'!G84*'Expenses w MYP'!$I51))</f>
        <v/>
      </c>
      <c r="H84" s="62" t="str">
        <f>IF('Expenses w MYP'!$I51="","",IF('Cash Flow %s Yr5'!H84="","",'Cash Flow %s Yr5'!H84*'Expenses w MYP'!$I51))</f>
        <v/>
      </c>
      <c r="I84" s="62" t="str">
        <f>IF('Expenses w MYP'!$I51="","",IF('Cash Flow %s Yr5'!I84="","",'Cash Flow %s Yr5'!I84*'Expenses w MYP'!$I51))</f>
        <v/>
      </c>
      <c r="J84" s="62" t="str">
        <f>IF('Expenses w MYP'!$I51="","",IF('Cash Flow %s Yr5'!J84="","",'Cash Flow %s Yr5'!J84*'Expenses w MYP'!$I51))</f>
        <v/>
      </c>
      <c r="K84" s="62" t="str">
        <f>IF('Expenses w MYP'!$I51="","",IF('Cash Flow %s Yr5'!K84="","",'Cash Flow %s Yr5'!K84*'Expenses w MYP'!$I51))</f>
        <v/>
      </c>
      <c r="L84" s="62" t="str">
        <f>IF('Expenses w MYP'!$I51="","",IF('Cash Flow %s Yr5'!L84="","",'Cash Flow %s Yr5'!L84*'Expenses w MYP'!$I51))</f>
        <v/>
      </c>
      <c r="M84" s="62" t="str">
        <f>IF('Expenses w MYP'!$I51="","",IF('Cash Flow %s Yr5'!M84="","",'Cash Flow %s Yr5'!M84*'Expenses w MYP'!$I51))</f>
        <v/>
      </c>
      <c r="N84" s="62" t="str">
        <f>IF('Expenses w MYP'!$I51="","",IF('Cash Flow %s Yr5'!N84="","",'Cash Flow %s Yr5'!N84*'Expenses w MYP'!$I51))</f>
        <v/>
      </c>
      <c r="O84" s="62" t="str">
        <f>IF('Expenses w MYP'!$I51="","",IF('Cash Flow %s Yr5'!O84="","",'Cash Flow %s Yr5'!O84*'Expenses w MYP'!$I51))</f>
        <v/>
      </c>
      <c r="P84" s="113"/>
      <c r="Q84" s="113"/>
      <c r="R84" s="113"/>
      <c r="S84" s="97" t="str">
        <f>IF(SUM(D84:R84)&gt;0,SUM(D84:R84)/'Expenses w MYP'!$I51,"")</f>
        <v/>
      </c>
    </row>
    <row r="85" spans="1:19" s="31" customFormat="1" x14ac:dyDescent="0.75">
      <c r="A85" s="35"/>
      <c r="B85" s="65">
        <f>'Expenses w MYP'!C52</f>
        <v>0</v>
      </c>
      <c r="C85" s="65">
        <f>'Expenses w MYP'!D52</f>
        <v>0</v>
      </c>
      <c r="D85" s="62" t="str">
        <f>IF('Expenses w MYP'!$I52="","",IF('Cash Flow %s Yr5'!D85="","",'Cash Flow %s Yr5'!D85*'Expenses w MYP'!$I52))</f>
        <v/>
      </c>
      <c r="E85" s="62" t="str">
        <f>IF('Expenses w MYP'!$I52="","",IF('Cash Flow %s Yr5'!E85="","",'Cash Flow %s Yr5'!E85*'Expenses w MYP'!$I52))</f>
        <v/>
      </c>
      <c r="F85" s="62" t="str">
        <f>IF('Expenses w MYP'!$I52="","",IF('Cash Flow %s Yr5'!F85="","",'Cash Flow %s Yr5'!F85*'Expenses w MYP'!$I52))</f>
        <v/>
      </c>
      <c r="G85" s="62" t="str">
        <f>IF('Expenses w MYP'!$I52="","",IF('Cash Flow %s Yr5'!G85="","",'Cash Flow %s Yr5'!G85*'Expenses w MYP'!$I52))</f>
        <v/>
      </c>
      <c r="H85" s="62" t="str">
        <f>IF('Expenses w MYP'!$I52="","",IF('Cash Flow %s Yr5'!H85="","",'Cash Flow %s Yr5'!H85*'Expenses w MYP'!$I52))</f>
        <v/>
      </c>
      <c r="I85" s="62" t="str">
        <f>IF('Expenses w MYP'!$I52="","",IF('Cash Flow %s Yr5'!I85="","",'Cash Flow %s Yr5'!I85*'Expenses w MYP'!$I52))</f>
        <v/>
      </c>
      <c r="J85" s="62" t="str">
        <f>IF('Expenses w MYP'!$I52="","",IF('Cash Flow %s Yr5'!J85="","",'Cash Flow %s Yr5'!J85*'Expenses w MYP'!$I52))</f>
        <v/>
      </c>
      <c r="K85" s="62" t="str">
        <f>IF('Expenses w MYP'!$I52="","",IF('Cash Flow %s Yr5'!K85="","",'Cash Flow %s Yr5'!K85*'Expenses w MYP'!$I52))</f>
        <v/>
      </c>
      <c r="L85" s="62" t="str">
        <f>IF('Expenses w MYP'!$I52="","",IF('Cash Flow %s Yr5'!L85="","",'Cash Flow %s Yr5'!L85*'Expenses w MYP'!$I52))</f>
        <v/>
      </c>
      <c r="M85" s="62" t="str">
        <f>IF('Expenses w MYP'!$I52="","",IF('Cash Flow %s Yr5'!M85="","",'Cash Flow %s Yr5'!M85*'Expenses w MYP'!$I52))</f>
        <v/>
      </c>
      <c r="N85" s="62" t="str">
        <f>IF('Expenses w MYP'!$I52="","",IF('Cash Flow %s Yr5'!N85="","",'Cash Flow %s Yr5'!N85*'Expenses w MYP'!$I52))</f>
        <v/>
      </c>
      <c r="O85" s="62" t="str">
        <f>IF('Expenses w MYP'!$I52="","",IF('Cash Flow %s Yr5'!O85="","",'Cash Flow %s Yr5'!O85*'Expenses w MYP'!$I52))</f>
        <v/>
      </c>
      <c r="P85" s="113"/>
      <c r="Q85" s="113"/>
      <c r="R85" s="113"/>
      <c r="S85" s="97" t="str">
        <f>IF(SUM(D85:R85)&gt;0,SUM(D85:R85)/'Expenses w MYP'!$I52,"")</f>
        <v/>
      </c>
    </row>
    <row r="86" spans="1:19" s="31" customFormat="1" x14ac:dyDescent="0.75">
      <c r="A86" s="35"/>
      <c r="B86" s="42" t="s">
        <v>737</v>
      </c>
      <c r="C86" s="34" t="s">
        <v>719</v>
      </c>
      <c r="D86" s="153">
        <f t="shared" ref="D86:R86" ca="1" si="8">IF(SUM(D76:D85)&gt;0,SUM(D76:D85),"")</f>
        <v>20922.996315280208</v>
      </c>
      <c r="E86" s="153">
        <f t="shared" ca="1" si="8"/>
        <v>20922.996315280208</v>
      </c>
      <c r="F86" s="153">
        <f t="shared" ca="1" si="8"/>
        <v>104614.98157640106</v>
      </c>
      <c r="G86" s="153">
        <f t="shared" ca="1" si="8"/>
        <v>104614.98157640106</v>
      </c>
      <c r="H86" s="153">
        <f t="shared" ca="1" si="8"/>
        <v>104614.98157640106</v>
      </c>
      <c r="I86" s="153">
        <f t="shared" ca="1" si="8"/>
        <v>104614.98157640106</v>
      </c>
      <c r="J86" s="153">
        <f t="shared" ca="1" si="8"/>
        <v>104614.98157640106</v>
      </c>
      <c r="K86" s="153">
        <f t="shared" ca="1" si="8"/>
        <v>104614.98157640106</v>
      </c>
      <c r="L86" s="153">
        <f t="shared" ca="1" si="8"/>
        <v>104614.98157640106</v>
      </c>
      <c r="M86" s="153">
        <f t="shared" ca="1" si="8"/>
        <v>104614.98157640106</v>
      </c>
      <c r="N86" s="153">
        <f t="shared" ca="1" si="8"/>
        <v>104614.98157640106</v>
      </c>
      <c r="O86" s="153">
        <f t="shared" ca="1" si="8"/>
        <v>62768.988945840625</v>
      </c>
      <c r="P86" s="153" t="str">
        <f t="shared" si="8"/>
        <v/>
      </c>
      <c r="Q86" s="153" t="str">
        <f t="shared" si="8"/>
        <v/>
      </c>
      <c r="R86" s="153" t="str">
        <f t="shared" si="8"/>
        <v/>
      </c>
      <c r="S86" s="97"/>
    </row>
    <row r="87" spans="1:19" s="31" customFormat="1" x14ac:dyDescent="0.75">
      <c r="A87" s="35"/>
      <c r="B87" s="39"/>
      <c r="C87" s="1"/>
      <c r="D87" s="84"/>
      <c r="E87" s="84"/>
      <c r="F87" s="84"/>
      <c r="G87" s="84"/>
      <c r="H87" s="84"/>
      <c r="I87" s="84"/>
      <c r="J87" s="84"/>
      <c r="K87" s="84"/>
      <c r="L87" s="84"/>
      <c r="M87" s="84"/>
      <c r="N87" s="84"/>
      <c r="O87" s="84"/>
      <c r="P87" s="84"/>
      <c r="Q87" s="84"/>
      <c r="R87" s="84"/>
    </row>
    <row r="88" spans="1:19" s="31" customFormat="1" x14ac:dyDescent="0.75">
      <c r="B88" s="34" t="s">
        <v>676</v>
      </c>
      <c r="C88" s="2"/>
      <c r="D88" s="84"/>
      <c r="E88" s="84"/>
      <c r="F88" s="84"/>
      <c r="G88" s="84"/>
      <c r="H88" s="84"/>
      <c r="I88" s="84"/>
      <c r="J88" s="84"/>
      <c r="K88" s="84"/>
      <c r="L88" s="84"/>
      <c r="M88" s="84"/>
      <c r="N88" s="84"/>
      <c r="O88" s="84"/>
      <c r="P88" s="84"/>
      <c r="Q88" s="84"/>
      <c r="R88" s="84"/>
    </row>
    <row r="89" spans="1:19" s="31" customFormat="1" x14ac:dyDescent="0.75">
      <c r="A89" s="35"/>
      <c r="B89" s="121" t="str">
        <f>'Expenses w MYP'!C58</f>
        <v>4100</v>
      </c>
      <c r="C89" s="121" t="str">
        <f>'Expenses w MYP'!D58</f>
        <v>Approved Textbooks and Core Curricula Materials</v>
      </c>
      <c r="D89" s="62">
        <f>IF('Expenses w MYP'!$I58="","",IF('Cash Flow %s Yr5'!D89="","",'Cash Flow %s Yr5'!D89*'Expenses w MYP'!$I58))</f>
        <v>0</v>
      </c>
      <c r="E89" s="62">
        <f>IF('Expenses w MYP'!$I58="","",IF('Cash Flow %s Yr5'!E89="","",'Cash Flow %s Yr5'!E89*'Expenses w MYP'!$I58))</f>
        <v>0</v>
      </c>
      <c r="F89" s="62">
        <f>IF('Expenses w MYP'!$I58="","",IF('Cash Flow %s Yr5'!F89="","",'Cash Flow %s Yr5'!F89*'Expenses w MYP'!$I58))</f>
        <v>1020420.2793814825</v>
      </c>
      <c r="G89" s="62">
        <f>IF('Expenses w MYP'!$I58="","",IF('Cash Flow %s Yr5'!G89="","",'Cash Flow %s Yr5'!G89*'Expenses w MYP'!$I58))</f>
        <v>0</v>
      </c>
      <c r="H89" s="62">
        <f>IF('Expenses w MYP'!$I58="","",IF('Cash Flow %s Yr5'!H89="","",'Cash Flow %s Yr5'!H89*'Expenses w MYP'!$I58))</f>
        <v>0</v>
      </c>
      <c r="I89" s="62">
        <f>IF('Expenses w MYP'!$I58="","",IF('Cash Flow %s Yr5'!I89="","",'Cash Flow %s Yr5'!I89*'Expenses w MYP'!$I58))</f>
        <v>0</v>
      </c>
      <c r="J89" s="62">
        <f>IF('Expenses w MYP'!$I58="","",IF('Cash Flow %s Yr5'!J89="","",'Cash Flow %s Yr5'!J89*'Expenses w MYP'!$I58))</f>
        <v>680280.18625432171</v>
      </c>
      <c r="K89" s="62">
        <f>IF('Expenses w MYP'!$I58="","",IF('Cash Flow %s Yr5'!K89="","",'Cash Flow %s Yr5'!K89*'Expenses w MYP'!$I58))</f>
        <v>0</v>
      </c>
      <c r="L89" s="62">
        <f>IF('Expenses w MYP'!$I58="","",IF('Cash Flow %s Yr5'!L89="","",'Cash Flow %s Yr5'!L89*'Expenses w MYP'!$I58))</f>
        <v>0</v>
      </c>
      <c r="M89" s="62">
        <f>IF('Expenses w MYP'!$I58="","",IF('Cash Flow %s Yr5'!M89="","",'Cash Flow %s Yr5'!M89*'Expenses w MYP'!$I58))</f>
        <v>0</v>
      </c>
      <c r="N89" s="62">
        <f>IF('Expenses w MYP'!$I58="","",IF('Cash Flow %s Yr5'!N89="","",'Cash Flow %s Yr5'!N89*'Expenses w MYP'!$I58))</f>
        <v>0</v>
      </c>
      <c r="O89" s="62">
        <f>IF('Expenses w MYP'!$I58="","",IF('Cash Flow %s Yr5'!O89="","",'Cash Flow %s Yr5'!O89*'Expenses w MYP'!$I58))</f>
        <v>0</v>
      </c>
      <c r="P89" s="113"/>
      <c r="Q89" s="113"/>
      <c r="R89" s="113"/>
      <c r="S89" s="97">
        <f>IF(SUM(D89:R89)&gt;0,SUM(D89:R89)/'Expenses w MYP'!$I58,"")</f>
        <v>1</v>
      </c>
    </row>
    <row r="90" spans="1:19" x14ac:dyDescent="0.75">
      <c r="A90" s="35"/>
      <c r="B90" s="121" t="str">
        <f>'Expenses w MYP'!C61</f>
        <v>4200</v>
      </c>
      <c r="C90" s="121" t="str">
        <f>'Expenses w MYP'!D61</f>
        <v>Books and Other Reference Materials</v>
      </c>
      <c r="D90" s="62">
        <f>IF('Expenses w MYP'!$I61="","",IF('Cash Flow %s Yr5'!D90="","",'Cash Flow %s Yr5'!D90*'Expenses w MYP'!$I61))</f>
        <v>0</v>
      </c>
      <c r="E90" s="62">
        <f>IF('Expenses w MYP'!$I61="","",IF('Cash Flow %s Yr5'!E90="","",'Cash Flow %s Yr5'!E90*'Expenses w MYP'!$I61))</f>
        <v>0</v>
      </c>
      <c r="F90" s="62">
        <f>IF('Expenses w MYP'!$I61="","",IF('Cash Flow %s Yr5'!F90="","",'Cash Flow %s Yr5'!F90*'Expenses w MYP'!$I61))</f>
        <v>16143.771295434746</v>
      </c>
      <c r="G90" s="62">
        <f>IF('Expenses w MYP'!$I61="","",IF('Cash Flow %s Yr5'!G90="","",'Cash Flow %s Yr5'!G90*'Expenses w MYP'!$I61))</f>
        <v>5381.2570984782496</v>
      </c>
      <c r="H90" s="62">
        <f>IF('Expenses w MYP'!$I61="","",IF('Cash Flow %s Yr5'!H90="","",'Cash Flow %s Yr5'!H90*'Expenses w MYP'!$I61))</f>
        <v>5381.2570984782496</v>
      </c>
      <c r="I90" s="62">
        <f>IF('Expenses w MYP'!$I61="","",IF('Cash Flow %s Yr5'!I90="","",'Cash Flow %s Yr5'!I90*'Expenses w MYP'!$I61))</f>
        <v>5381.2570984782496</v>
      </c>
      <c r="J90" s="62">
        <f>IF('Expenses w MYP'!$I61="","",IF('Cash Flow %s Yr5'!J90="","",'Cash Flow %s Yr5'!J90*'Expenses w MYP'!$I61))</f>
        <v>5381.2570984782496</v>
      </c>
      <c r="K90" s="62">
        <f>IF('Expenses w MYP'!$I61="","",IF('Cash Flow %s Yr5'!K90="","",'Cash Flow %s Yr5'!K90*'Expenses w MYP'!$I61))</f>
        <v>5381.2570984782496</v>
      </c>
      <c r="L90" s="62">
        <f>IF('Expenses w MYP'!$I61="","",IF('Cash Flow %s Yr5'!L90="","",'Cash Flow %s Yr5'!L90*'Expenses w MYP'!$I61))</f>
        <v>5381.2570984782496</v>
      </c>
      <c r="M90" s="62">
        <f>IF('Expenses w MYP'!$I61="","",IF('Cash Flow %s Yr5'!M90="","",'Cash Flow %s Yr5'!M90*'Expenses w MYP'!$I61))</f>
        <v>5381.2570984782496</v>
      </c>
      <c r="N90" s="62">
        <f>IF('Expenses w MYP'!$I61="","",IF('Cash Flow %s Yr5'!N90="","",'Cash Flow %s Yr5'!N90*'Expenses w MYP'!$I61))</f>
        <v>0</v>
      </c>
      <c r="O90" s="62">
        <f>IF('Expenses w MYP'!$I61="","",IF('Cash Flow %s Yr5'!O90="","",'Cash Flow %s Yr5'!O90*'Expenses w MYP'!$I61))</f>
        <v>0</v>
      </c>
      <c r="P90" s="113"/>
      <c r="Q90" s="113"/>
      <c r="R90" s="113"/>
      <c r="S90" s="97">
        <f>IF(SUM(D90:R90)&gt;0,SUM(D90:R90)/'Expenses w MYP'!$I61,"")</f>
        <v>1.0000000000000002</v>
      </c>
    </row>
    <row r="91" spans="1:19" x14ac:dyDescent="0.75">
      <c r="A91" s="35"/>
      <c r="B91" s="121" t="str">
        <f>'Expenses w MYP'!C63</f>
        <v>4300</v>
      </c>
      <c r="C91" s="121" t="str">
        <f>'Expenses w MYP'!D63</f>
        <v>Materials and Supplies</v>
      </c>
      <c r="D91" s="62">
        <f>IF('Expenses w MYP'!$I63="","",IF('Cash Flow %s Yr5'!D91="","",'Cash Flow %s Yr5'!D91*'Expenses w MYP'!$I63))</f>
        <v>0</v>
      </c>
      <c r="E91" s="62">
        <f>IF('Expenses w MYP'!$I63="","",IF('Cash Flow %s Yr5'!E91="","",'Cash Flow %s Yr5'!E91*'Expenses w MYP'!$I63))</f>
        <v>0</v>
      </c>
      <c r="F91" s="62">
        <f>IF('Expenses w MYP'!$I63="","",IF('Cash Flow %s Yr5'!F91="","",'Cash Flow %s Yr5'!F91*'Expenses w MYP'!$I63))</f>
        <v>3188.8930953945182</v>
      </c>
      <c r="G91" s="62">
        <f>IF('Expenses w MYP'!$I63="","",IF('Cash Flow %s Yr5'!G91="","",'Cash Flow %s Yr5'!G91*'Expenses w MYP'!$I63))</f>
        <v>2391.6698215458882</v>
      </c>
      <c r="H91" s="62">
        <f>IF('Expenses w MYP'!$I63="","",IF('Cash Flow %s Yr5'!H91="","",'Cash Flow %s Yr5'!H91*'Expenses w MYP'!$I63))</f>
        <v>0</v>
      </c>
      <c r="I91" s="62">
        <f>IF('Expenses w MYP'!$I63="","",IF('Cash Flow %s Yr5'!I91="","",'Cash Flow %s Yr5'!I91*'Expenses w MYP'!$I63))</f>
        <v>0</v>
      </c>
      <c r="J91" s="62">
        <f>IF('Expenses w MYP'!$I63="","",IF('Cash Flow %s Yr5'!J91="","",'Cash Flow %s Yr5'!J91*'Expenses w MYP'!$I63))</f>
        <v>2391.6698215458882</v>
      </c>
      <c r="K91" s="62">
        <f>IF('Expenses w MYP'!$I63="","",IF('Cash Flow %s Yr5'!K91="","",'Cash Flow %s Yr5'!K91*'Expenses w MYP'!$I63))</f>
        <v>0</v>
      </c>
      <c r="L91" s="62">
        <f>IF('Expenses w MYP'!$I63="","",IF('Cash Flow %s Yr5'!L91="","",'Cash Flow %s Yr5'!L91*'Expenses w MYP'!$I63))</f>
        <v>0</v>
      </c>
      <c r="M91" s="62">
        <f>IF('Expenses w MYP'!$I63="","",IF('Cash Flow %s Yr5'!M91="","",'Cash Flow %s Yr5'!M91*'Expenses w MYP'!$I63))</f>
        <v>0</v>
      </c>
      <c r="N91" s="62">
        <f>IF('Expenses w MYP'!$I63="","",IF('Cash Flow %s Yr5'!N91="","",'Cash Flow %s Yr5'!N91*'Expenses w MYP'!$I63))</f>
        <v>0</v>
      </c>
      <c r="O91" s="62">
        <f>IF('Expenses w MYP'!$I63="","",IF('Cash Flow %s Yr5'!O91="","",'Cash Flow %s Yr5'!O91*'Expenses w MYP'!$I63))</f>
        <v>0</v>
      </c>
      <c r="P91" s="113"/>
      <c r="Q91" s="113"/>
      <c r="R91" s="113"/>
      <c r="S91" s="97">
        <f>IF(SUM(D91:R91)&gt;0,SUM(D91:R91)/'Expenses w MYP'!$I63,"")</f>
        <v>1</v>
      </c>
    </row>
    <row r="92" spans="1:19" x14ac:dyDescent="0.75">
      <c r="A92" s="35"/>
      <c r="B92" s="121" t="str">
        <f>'Expenses w MYP'!C64</f>
        <v>4315</v>
      </c>
      <c r="C92" s="121" t="str">
        <f>'Expenses w MYP'!D64</f>
        <v>Classroom Materials and Supplies</v>
      </c>
      <c r="D92" s="62">
        <f>IF('Expenses w MYP'!$I64="","",IF('Cash Flow %s Yr5'!D92="","",'Cash Flow %s Yr5'!D92*'Expenses w MYP'!$I64))</f>
        <v>0</v>
      </c>
      <c r="E92" s="62">
        <f>IF('Expenses w MYP'!$I64="","",IF('Cash Flow %s Yr5'!E92="","",'Cash Flow %s Yr5'!E92*'Expenses w MYP'!$I64))</f>
        <v>0</v>
      </c>
      <c r="F92" s="62">
        <f>IF('Expenses w MYP'!$I64="","",IF('Cash Flow %s Yr5'!F92="","",'Cash Flow %s Yr5'!F92*'Expenses w MYP'!$I64))</f>
        <v>0</v>
      </c>
      <c r="G92" s="62">
        <f>IF('Expenses w MYP'!$I64="","",IF('Cash Flow %s Yr5'!G92="","",'Cash Flow %s Yr5'!G92*'Expenses w MYP'!$I64))</f>
        <v>0</v>
      </c>
      <c r="H92" s="62">
        <f>IF('Expenses w MYP'!$I64="","",IF('Cash Flow %s Yr5'!H92="","",'Cash Flow %s Yr5'!H92*'Expenses w MYP'!$I64))</f>
        <v>0</v>
      </c>
      <c r="I92" s="62">
        <f>IF('Expenses w MYP'!$I64="","",IF('Cash Flow %s Yr5'!I92="","",'Cash Flow %s Yr5'!I92*'Expenses w MYP'!$I64))</f>
        <v>0</v>
      </c>
      <c r="J92" s="62">
        <f>IF('Expenses w MYP'!$I64="","",IF('Cash Flow %s Yr5'!J92="","",'Cash Flow %s Yr5'!J92*'Expenses w MYP'!$I64))</f>
        <v>0</v>
      </c>
      <c r="K92" s="62">
        <f>IF('Expenses w MYP'!$I64="","",IF('Cash Flow %s Yr5'!K92="","",'Cash Flow %s Yr5'!K92*'Expenses w MYP'!$I64))</f>
        <v>0</v>
      </c>
      <c r="L92" s="62">
        <f>IF('Expenses w MYP'!$I64="","",IF('Cash Flow %s Yr5'!L92="","",'Cash Flow %s Yr5'!L92*'Expenses w MYP'!$I64))</f>
        <v>0</v>
      </c>
      <c r="M92" s="62">
        <f>IF('Expenses w MYP'!$I64="","",IF('Cash Flow %s Yr5'!M92="","",'Cash Flow %s Yr5'!M92*'Expenses w MYP'!$I64))</f>
        <v>0</v>
      </c>
      <c r="N92" s="62">
        <f>IF('Expenses w MYP'!$I64="","",IF('Cash Flow %s Yr5'!N92="","",'Cash Flow %s Yr5'!N92*'Expenses w MYP'!$I64))</f>
        <v>0</v>
      </c>
      <c r="O92" s="62">
        <f>IF('Expenses w MYP'!$I64="","",IF('Cash Flow %s Yr5'!O92="","",'Cash Flow %s Yr5'!O92*'Expenses w MYP'!$I64))</f>
        <v>0</v>
      </c>
      <c r="P92" s="113"/>
      <c r="Q92" s="113"/>
      <c r="R92" s="113"/>
      <c r="S92" s="97" t="str">
        <f>IF(SUM(D92:R92)&gt;0,SUM(D92:R92)/'Expenses w MYP'!$I64,"")</f>
        <v/>
      </c>
    </row>
    <row r="93" spans="1:19" x14ac:dyDescent="0.75">
      <c r="A93" s="35"/>
      <c r="B93" s="121" t="str">
        <f>'Expenses w MYP'!C65</f>
        <v>4381</v>
      </c>
      <c r="C93" s="121" t="str">
        <f>'Expenses w MYP'!D65</f>
        <v>Materials for Plant &amp; Equipment</v>
      </c>
      <c r="D93" s="62">
        <f>IF('Expenses w MYP'!$I65="","",IF('Cash Flow %s Yr5'!D93="","",'Cash Flow %s Yr5'!D93*'Expenses w MYP'!$I65))</f>
        <v>0</v>
      </c>
      <c r="E93" s="62">
        <f>IF('Expenses w MYP'!$I65="","",IF('Cash Flow %s Yr5'!E93="","",'Cash Flow %s Yr5'!E93*'Expenses w MYP'!$I65))</f>
        <v>0</v>
      </c>
      <c r="F93" s="62">
        <f>IF('Expenses w MYP'!$I65="","",IF('Cash Flow %s Yr5'!F93="","",'Cash Flow %s Yr5'!F93*'Expenses w MYP'!$I65))</f>
        <v>0</v>
      </c>
      <c r="G93" s="62">
        <f>IF('Expenses w MYP'!$I65="","",IF('Cash Flow %s Yr5'!G93="","",'Cash Flow %s Yr5'!G93*'Expenses w MYP'!$I65))</f>
        <v>0</v>
      </c>
      <c r="H93" s="62">
        <f>IF('Expenses w MYP'!$I65="","",IF('Cash Flow %s Yr5'!H93="","",'Cash Flow %s Yr5'!H93*'Expenses w MYP'!$I65))</f>
        <v>0</v>
      </c>
      <c r="I93" s="62">
        <f>IF('Expenses w MYP'!$I65="","",IF('Cash Flow %s Yr5'!I93="","",'Cash Flow %s Yr5'!I93*'Expenses w MYP'!$I65))</f>
        <v>0</v>
      </c>
      <c r="J93" s="62">
        <f>IF('Expenses w MYP'!$I65="","",IF('Cash Flow %s Yr5'!J93="","",'Cash Flow %s Yr5'!J93*'Expenses w MYP'!$I65))</f>
        <v>0</v>
      </c>
      <c r="K93" s="62">
        <f>IF('Expenses w MYP'!$I65="","",IF('Cash Flow %s Yr5'!K93="","",'Cash Flow %s Yr5'!K93*'Expenses w MYP'!$I65))</f>
        <v>0</v>
      </c>
      <c r="L93" s="62">
        <f>IF('Expenses w MYP'!$I65="","",IF('Cash Flow %s Yr5'!L93="","",'Cash Flow %s Yr5'!L93*'Expenses w MYP'!$I65))</f>
        <v>0</v>
      </c>
      <c r="M93" s="62">
        <f>IF('Expenses w MYP'!$I65="","",IF('Cash Flow %s Yr5'!M93="","",'Cash Flow %s Yr5'!M93*'Expenses w MYP'!$I65))</f>
        <v>0</v>
      </c>
      <c r="N93" s="62">
        <f>IF('Expenses w MYP'!$I65="","",IF('Cash Flow %s Yr5'!N93="","",'Cash Flow %s Yr5'!N93*'Expenses w MYP'!$I65))</f>
        <v>0</v>
      </c>
      <c r="O93" s="62">
        <f>IF('Expenses w MYP'!$I65="","",IF('Cash Flow %s Yr5'!O93="","",'Cash Flow %s Yr5'!O93*'Expenses w MYP'!$I65))</f>
        <v>0</v>
      </c>
      <c r="P93" s="113"/>
      <c r="Q93" s="113"/>
      <c r="R93" s="113"/>
      <c r="S93" s="97" t="str">
        <f>IF(SUM(D93:R93)&gt;0,SUM(D93:R93)/'Expenses w MYP'!$I65,"")</f>
        <v/>
      </c>
    </row>
    <row r="94" spans="1:19" x14ac:dyDescent="0.75">
      <c r="A94" s="35"/>
      <c r="B94" s="121" t="str">
        <f>'Expenses w MYP'!C66</f>
        <v>4400</v>
      </c>
      <c r="C94" s="121" t="str">
        <f>'Expenses w MYP'!D66</f>
        <v>Noncapitalized Equipment</v>
      </c>
      <c r="D94" s="62">
        <f>IF('Expenses w MYP'!$I66="","",IF('Cash Flow %s Yr5'!D94="","",'Cash Flow %s Yr5'!D94*'Expenses w MYP'!$I66))</f>
        <v>0</v>
      </c>
      <c r="E94" s="62">
        <f>IF('Expenses w MYP'!$I66="","",IF('Cash Flow %s Yr5'!E94="","",'Cash Flow %s Yr5'!E94*'Expenses w MYP'!$I66))</f>
        <v>0</v>
      </c>
      <c r="F94" s="62">
        <f>IF('Expenses w MYP'!$I66="","",IF('Cash Flow %s Yr5'!F94="","",'Cash Flow %s Yr5'!F94*'Expenses w MYP'!$I66))</f>
        <v>46637.561520144816</v>
      </c>
      <c r="G94" s="62">
        <f>IF('Expenses w MYP'!$I66="","",IF('Cash Flow %s Yr5'!G94="","",'Cash Flow %s Yr5'!G94*'Expenses w MYP'!$I66))</f>
        <v>0</v>
      </c>
      <c r="H94" s="62">
        <f>IF('Expenses w MYP'!$I66="","",IF('Cash Flow %s Yr5'!H94="","",'Cash Flow %s Yr5'!H94*'Expenses w MYP'!$I66))</f>
        <v>0</v>
      </c>
      <c r="I94" s="62">
        <f>IF('Expenses w MYP'!$I66="","",IF('Cash Flow %s Yr5'!I94="","",'Cash Flow %s Yr5'!I94*'Expenses w MYP'!$I66))</f>
        <v>0</v>
      </c>
      <c r="J94" s="62">
        <f>IF('Expenses w MYP'!$I66="","",IF('Cash Flow %s Yr5'!J94="","",'Cash Flow %s Yr5'!J94*'Expenses w MYP'!$I66))</f>
        <v>31091.707680096548</v>
      </c>
      <c r="K94" s="62">
        <f>IF('Expenses w MYP'!$I66="","",IF('Cash Flow %s Yr5'!K94="","",'Cash Flow %s Yr5'!K94*'Expenses w MYP'!$I66))</f>
        <v>0</v>
      </c>
      <c r="L94" s="62">
        <f>IF('Expenses w MYP'!$I66="","",IF('Cash Flow %s Yr5'!L94="","",'Cash Flow %s Yr5'!L94*'Expenses w MYP'!$I66))</f>
        <v>0</v>
      </c>
      <c r="M94" s="62">
        <f>IF('Expenses w MYP'!$I66="","",IF('Cash Flow %s Yr5'!M94="","",'Cash Flow %s Yr5'!M94*'Expenses w MYP'!$I66))</f>
        <v>0</v>
      </c>
      <c r="N94" s="62">
        <f>IF('Expenses w MYP'!$I66="","",IF('Cash Flow %s Yr5'!N94="","",'Cash Flow %s Yr5'!N94*'Expenses w MYP'!$I66))</f>
        <v>0</v>
      </c>
      <c r="O94" s="62">
        <f>IF('Expenses w MYP'!$I66="","",IF('Cash Flow %s Yr5'!O94="","",'Cash Flow %s Yr5'!O94*'Expenses w MYP'!$I66))</f>
        <v>0</v>
      </c>
      <c r="P94" s="113"/>
      <c r="Q94" s="113"/>
      <c r="R94" s="113"/>
      <c r="S94" s="97">
        <f>IF(SUM(D94:R94)&gt;0,SUM(D94:R94)/'Expenses w MYP'!$I66,"")</f>
        <v>1</v>
      </c>
    </row>
    <row r="95" spans="1:19" hidden="1" outlineLevel="1" x14ac:dyDescent="0.75">
      <c r="A95" s="35"/>
      <c r="B95" s="121" t="str">
        <f>'Expenses w MYP'!C68</f>
        <v>4430</v>
      </c>
      <c r="C95" s="121" t="str">
        <f>'Expenses w MYP'!D68</f>
        <v>General Student Equipment</v>
      </c>
      <c r="D95" s="62">
        <f>IF('Expenses w MYP'!$I68="","",IF('Cash Flow %s Yr5'!D95="","",'Cash Flow %s Yr5'!D95*'Expenses w MYP'!$I68))</f>
        <v>0</v>
      </c>
      <c r="E95" s="62">
        <f>IF('Expenses w MYP'!$I68="","",IF('Cash Flow %s Yr5'!E95="","",'Cash Flow %s Yr5'!E95*'Expenses w MYP'!$I68))</f>
        <v>0</v>
      </c>
      <c r="F95" s="62">
        <f>IF('Expenses w MYP'!$I68="","",IF('Cash Flow %s Yr5'!F95="","",'Cash Flow %s Yr5'!F95*'Expenses w MYP'!$I68))</f>
        <v>298.95872769323609</v>
      </c>
      <c r="G95" s="62">
        <f>IF('Expenses w MYP'!$I68="","",IF('Cash Flow %s Yr5'!G95="","",'Cash Flow %s Yr5'!G95*'Expenses w MYP'!$I68))</f>
        <v>298.95872769323609</v>
      </c>
      <c r="H95" s="62">
        <f>IF('Expenses w MYP'!$I68="","",IF('Cash Flow %s Yr5'!H95="","",'Cash Flow %s Yr5'!H95*'Expenses w MYP'!$I68))</f>
        <v>298.95872769323609</v>
      </c>
      <c r="I95" s="62">
        <f>IF('Expenses w MYP'!$I68="","",IF('Cash Flow %s Yr5'!I95="","",'Cash Flow %s Yr5'!I95*'Expenses w MYP'!$I68))</f>
        <v>298.95872769323609</v>
      </c>
      <c r="J95" s="62">
        <f>IF('Expenses w MYP'!$I68="","",IF('Cash Flow %s Yr5'!J95="","",'Cash Flow %s Yr5'!J95*'Expenses w MYP'!$I68))</f>
        <v>298.95872769323609</v>
      </c>
      <c r="K95" s="62">
        <f>IF('Expenses w MYP'!$I68="","",IF('Cash Flow %s Yr5'!K95="","",'Cash Flow %s Yr5'!K95*'Expenses w MYP'!$I68))</f>
        <v>298.95872769323609</v>
      </c>
      <c r="L95" s="62">
        <f>IF('Expenses w MYP'!$I68="","",IF('Cash Flow %s Yr5'!L95="","",'Cash Flow %s Yr5'!L95*'Expenses w MYP'!$I68))</f>
        <v>298.95872769323609</v>
      </c>
      <c r="M95" s="62">
        <f>IF('Expenses w MYP'!$I68="","",IF('Cash Flow %s Yr5'!M95="","",'Cash Flow %s Yr5'!M95*'Expenses w MYP'!$I68))</f>
        <v>298.95872769323609</v>
      </c>
      <c r="N95" s="62">
        <f>IF('Expenses w MYP'!$I68="","",IF('Cash Flow %s Yr5'!N95="","",'Cash Flow %s Yr5'!N95*'Expenses w MYP'!$I68))</f>
        <v>298.95872769323609</v>
      </c>
      <c r="O95" s="62">
        <f>IF('Expenses w MYP'!$I68="","",IF('Cash Flow %s Yr5'!O95="","",'Cash Flow %s Yr5'!O95*'Expenses w MYP'!$I68))</f>
        <v>298.95872769323609</v>
      </c>
      <c r="P95" s="113"/>
      <c r="Q95" s="113"/>
      <c r="R95" s="113"/>
      <c r="S95" s="97"/>
    </row>
    <row r="96" spans="1:19" hidden="1" outlineLevel="1" x14ac:dyDescent="0.75">
      <c r="A96" s="35"/>
      <c r="B96" s="121" t="e">
        <f>'Expenses w MYP'!#REF!</f>
        <v>#REF!</v>
      </c>
      <c r="C96" s="121" t="e">
        <f>'Expenses w MYP'!#REF!</f>
        <v>#REF!</v>
      </c>
      <c r="D96" s="62" t="e">
        <f>IF('Expenses w MYP'!#REF!="","",IF('Cash Flow %s Yr5'!D96="","",'Cash Flow %s Yr5'!D96*'Expenses w MYP'!#REF!))</f>
        <v>#REF!</v>
      </c>
      <c r="E96" s="62" t="e">
        <f>IF('Expenses w MYP'!#REF!="","",IF('Cash Flow %s Yr5'!E96="","",'Cash Flow %s Yr5'!E96*'Expenses w MYP'!#REF!))</f>
        <v>#REF!</v>
      </c>
      <c r="F96" s="62" t="e">
        <f>IF('Expenses w MYP'!#REF!="","",IF('Cash Flow %s Yr5'!F96="","",'Cash Flow %s Yr5'!F96*'Expenses w MYP'!#REF!))</f>
        <v>#REF!</v>
      </c>
      <c r="G96" s="62" t="e">
        <f>IF('Expenses w MYP'!#REF!="","",IF('Cash Flow %s Yr5'!G96="","",'Cash Flow %s Yr5'!G96*'Expenses w MYP'!#REF!))</f>
        <v>#REF!</v>
      </c>
      <c r="H96" s="62" t="e">
        <f>IF('Expenses w MYP'!#REF!="","",IF('Cash Flow %s Yr5'!H96="","",'Cash Flow %s Yr5'!H96*'Expenses w MYP'!#REF!))</f>
        <v>#REF!</v>
      </c>
      <c r="I96" s="62" t="e">
        <f>IF('Expenses w MYP'!#REF!="","",IF('Cash Flow %s Yr5'!I96="","",'Cash Flow %s Yr5'!I96*'Expenses w MYP'!#REF!))</f>
        <v>#REF!</v>
      </c>
      <c r="J96" s="62" t="e">
        <f>IF('Expenses w MYP'!#REF!="","",IF('Cash Flow %s Yr5'!J96="","",'Cash Flow %s Yr5'!J96*'Expenses w MYP'!#REF!))</f>
        <v>#REF!</v>
      </c>
      <c r="K96" s="62" t="e">
        <f>IF('Expenses w MYP'!#REF!="","",IF('Cash Flow %s Yr5'!K96="","",'Cash Flow %s Yr5'!K96*'Expenses w MYP'!#REF!))</f>
        <v>#REF!</v>
      </c>
      <c r="L96" s="62" t="e">
        <f>IF('Expenses w MYP'!#REF!="","",IF('Cash Flow %s Yr5'!L96="","",'Cash Flow %s Yr5'!L96*'Expenses w MYP'!#REF!))</f>
        <v>#REF!</v>
      </c>
      <c r="M96" s="62" t="e">
        <f>IF('Expenses w MYP'!#REF!="","",IF('Cash Flow %s Yr5'!M96="","",'Cash Flow %s Yr5'!M96*'Expenses w MYP'!#REF!))</f>
        <v>#REF!</v>
      </c>
      <c r="N96" s="62" t="e">
        <f>IF('Expenses w MYP'!#REF!="","",IF('Cash Flow %s Yr5'!N96="","",'Cash Flow %s Yr5'!N96*'Expenses w MYP'!#REF!))</f>
        <v>#REF!</v>
      </c>
      <c r="O96" s="62" t="e">
        <f>IF('Expenses w MYP'!#REF!="","",IF('Cash Flow %s Yr5'!O96="","",'Cash Flow %s Yr5'!O96*'Expenses w MYP'!#REF!))</f>
        <v>#REF!</v>
      </c>
      <c r="P96" s="113"/>
      <c r="Q96" s="113"/>
      <c r="R96" s="113"/>
      <c r="S96" s="97"/>
    </row>
    <row r="97" spans="1:19" hidden="1" outlineLevel="1" x14ac:dyDescent="0.75">
      <c r="A97" s="35"/>
      <c r="B97" s="121" t="e">
        <f>'Expenses w MYP'!#REF!</f>
        <v>#REF!</v>
      </c>
      <c r="C97" s="121" t="e">
        <f>'Expenses w MYP'!#REF!</f>
        <v>#REF!</v>
      </c>
      <c r="D97" s="62" t="e">
        <f>IF('Expenses w MYP'!#REF!="","",IF('Cash Flow %s Yr5'!D97="","",'Cash Flow %s Yr5'!D97*'Expenses w MYP'!#REF!))</f>
        <v>#REF!</v>
      </c>
      <c r="E97" s="62" t="e">
        <f>IF('Expenses w MYP'!#REF!="","",IF('Cash Flow %s Yr5'!E97="","",'Cash Flow %s Yr5'!E97*'Expenses w MYP'!#REF!))</f>
        <v>#REF!</v>
      </c>
      <c r="F97" s="62" t="e">
        <f>IF('Expenses w MYP'!#REF!="","",IF('Cash Flow %s Yr5'!F97="","",'Cash Flow %s Yr5'!F97*'Expenses w MYP'!#REF!))</f>
        <v>#REF!</v>
      </c>
      <c r="G97" s="62" t="e">
        <f>IF('Expenses w MYP'!#REF!="","",IF('Cash Flow %s Yr5'!G97="","",'Cash Flow %s Yr5'!G97*'Expenses w MYP'!#REF!))</f>
        <v>#REF!</v>
      </c>
      <c r="H97" s="62" t="e">
        <f>IF('Expenses w MYP'!#REF!="","",IF('Cash Flow %s Yr5'!H97="","",'Cash Flow %s Yr5'!H97*'Expenses w MYP'!#REF!))</f>
        <v>#REF!</v>
      </c>
      <c r="I97" s="62" t="e">
        <f>IF('Expenses w MYP'!#REF!="","",IF('Cash Flow %s Yr5'!I97="","",'Cash Flow %s Yr5'!I97*'Expenses w MYP'!#REF!))</f>
        <v>#REF!</v>
      </c>
      <c r="J97" s="62" t="e">
        <f>IF('Expenses w MYP'!#REF!="","",IF('Cash Flow %s Yr5'!J97="","",'Cash Flow %s Yr5'!J97*'Expenses w MYP'!#REF!))</f>
        <v>#REF!</v>
      </c>
      <c r="K97" s="62" t="e">
        <f>IF('Expenses w MYP'!#REF!="","",IF('Cash Flow %s Yr5'!K97="","",'Cash Flow %s Yr5'!K97*'Expenses w MYP'!#REF!))</f>
        <v>#REF!</v>
      </c>
      <c r="L97" s="62" t="e">
        <f>IF('Expenses w MYP'!#REF!="","",IF('Cash Flow %s Yr5'!L97="","",'Cash Flow %s Yr5'!L97*'Expenses w MYP'!#REF!))</f>
        <v>#REF!</v>
      </c>
      <c r="M97" s="62" t="e">
        <f>IF('Expenses w MYP'!#REF!="","",IF('Cash Flow %s Yr5'!M97="","",'Cash Flow %s Yr5'!M97*'Expenses w MYP'!#REF!))</f>
        <v>#REF!</v>
      </c>
      <c r="N97" s="62" t="e">
        <f>IF('Expenses w MYP'!#REF!="","",IF('Cash Flow %s Yr5'!N97="","",'Cash Flow %s Yr5'!N97*'Expenses w MYP'!#REF!))</f>
        <v>#REF!</v>
      </c>
      <c r="O97" s="62" t="e">
        <f>IF('Expenses w MYP'!#REF!="","",IF('Cash Flow %s Yr5'!O97="","",'Cash Flow %s Yr5'!O97*'Expenses w MYP'!#REF!))</f>
        <v>#REF!</v>
      </c>
      <c r="P97" s="113"/>
      <c r="Q97" s="113"/>
      <c r="R97" s="113"/>
      <c r="S97" s="97"/>
    </row>
    <row r="98" spans="1:19" hidden="1" outlineLevel="1" x14ac:dyDescent="0.75">
      <c r="A98" s="35"/>
      <c r="B98" s="121" t="e">
        <f>'Expenses w MYP'!#REF!</f>
        <v>#REF!</v>
      </c>
      <c r="C98" s="121" t="e">
        <f>'Expenses w MYP'!#REF!</f>
        <v>#REF!</v>
      </c>
      <c r="D98" s="62" t="e">
        <f>IF('Expenses w MYP'!#REF!="","",IF('Cash Flow %s Yr5'!D98="","",'Cash Flow %s Yr5'!D98*'Expenses w MYP'!#REF!))</f>
        <v>#REF!</v>
      </c>
      <c r="E98" s="62" t="e">
        <f>IF('Expenses w MYP'!#REF!="","",IF('Cash Flow %s Yr5'!E98="","",'Cash Flow %s Yr5'!E98*'Expenses w MYP'!#REF!))</f>
        <v>#REF!</v>
      </c>
      <c r="F98" s="62" t="e">
        <f>IF('Expenses w MYP'!#REF!="","",IF('Cash Flow %s Yr5'!F98="","",'Cash Flow %s Yr5'!F98*'Expenses w MYP'!#REF!))</f>
        <v>#REF!</v>
      </c>
      <c r="G98" s="62" t="e">
        <f>IF('Expenses w MYP'!#REF!="","",IF('Cash Flow %s Yr5'!G98="","",'Cash Flow %s Yr5'!G98*'Expenses w MYP'!#REF!))</f>
        <v>#REF!</v>
      </c>
      <c r="H98" s="62" t="e">
        <f>IF('Expenses w MYP'!#REF!="","",IF('Cash Flow %s Yr5'!H98="","",'Cash Flow %s Yr5'!H98*'Expenses w MYP'!#REF!))</f>
        <v>#REF!</v>
      </c>
      <c r="I98" s="62" t="e">
        <f>IF('Expenses w MYP'!#REF!="","",IF('Cash Flow %s Yr5'!I98="","",'Cash Flow %s Yr5'!I98*'Expenses w MYP'!#REF!))</f>
        <v>#REF!</v>
      </c>
      <c r="J98" s="62" t="e">
        <f>IF('Expenses w MYP'!#REF!="","",IF('Cash Flow %s Yr5'!J98="","",'Cash Flow %s Yr5'!J98*'Expenses w MYP'!#REF!))</f>
        <v>#REF!</v>
      </c>
      <c r="K98" s="62" t="e">
        <f>IF('Expenses w MYP'!#REF!="","",IF('Cash Flow %s Yr5'!K98="","",'Cash Flow %s Yr5'!K98*'Expenses w MYP'!#REF!))</f>
        <v>#REF!</v>
      </c>
      <c r="L98" s="62" t="e">
        <f>IF('Expenses w MYP'!#REF!="","",IF('Cash Flow %s Yr5'!L98="","",'Cash Flow %s Yr5'!L98*'Expenses w MYP'!#REF!))</f>
        <v>#REF!</v>
      </c>
      <c r="M98" s="62" t="e">
        <f>IF('Expenses w MYP'!#REF!="","",IF('Cash Flow %s Yr5'!M98="","",'Cash Flow %s Yr5'!M98*'Expenses w MYP'!#REF!))</f>
        <v>#REF!</v>
      </c>
      <c r="N98" s="62" t="e">
        <f>IF('Expenses w MYP'!#REF!="","",IF('Cash Flow %s Yr5'!N98="","",'Cash Flow %s Yr5'!N98*'Expenses w MYP'!#REF!))</f>
        <v>#REF!</v>
      </c>
      <c r="O98" s="62" t="e">
        <f>IF('Expenses w MYP'!#REF!="","",IF('Cash Flow %s Yr5'!O98="","",'Cash Flow %s Yr5'!O98*'Expenses w MYP'!#REF!))</f>
        <v>#REF!</v>
      </c>
      <c r="P98" s="113"/>
      <c r="Q98" s="113"/>
      <c r="R98" s="113"/>
      <c r="S98" s="97"/>
    </row>
    <row r="99" spans="1:19" hidden="1" outlineLevel="1" x14ac:dyDescent="0.75">
      <c r="A99" s="35"/>
      <c r="B99" s="121" t="e">
        <f>'Expenses w MYP'!#REF!</f>
        <v>#REF!</v>
      </c>
      <c r="C99" s="121" t="e">
        <f>'Expenses w MYP'!#REF!</f>
        <v>#REF!</v>
      </c>
      <c r="D99" s="62" t="e">
        <f>IF('Expenses w MYP'!#REF!="","",IF('Cash Flow %s Yr5'!D99="","",'Cash Flow %s Yr5'!D99*'Expenses w MYP'!#REF!))</f>
        <v>#REF!</v>
      </c>
      <c r="E99" s="62" t="e">
        <f>IF('Expenses w MYP'!#REF!="","",IF('Cash Flow %s Yr5'!E99="","",'Cash Flow %s Yr5'!E99*'Expenses w MYP'!#REF!))</f>
        <v>#REF!</v>
      </c>
      <c r="F99" s="62" t="e">
        <f>IF('Expenses w MYP'!#REF!="","",IF('Cash Flow %s Yr5'!F99="","",'Cash Flow %s Yr5'!F99*'Expenses w MYP'!#REF!))</f>
        <v>#REF!</v>
      </c>
      <c r="G99" s="62" t="e">
        <f>IF('Expenses w MYP'!#REF!="","",IF('Cash Flow %s Yr5'!G99="","",'Cash Flow %s Yr5'!G99*'Expenses w MYP'!#REF!))</f>
        <v>#REF!</v>
      </c>
      <c r="H99" s="62" t="e">
        <f>IF('Expenses w MYP'!#REF!="","",IF('Cash Flow %s Yr5'!H99="","",'Cash Flow %s Yr5'!H99*'Expenses w MYP'!#REF!))</f>
        <v>#REF!</v>
      </c>
      <c r="I99" s="62" t="e">
        <f>IF('Expenses w MYP'!#REF!="","",IF('Cash Flow %s Yr5'!I99="","",'Cash Flow %s Yr5'!I99*'Expenses w MYP'!#REF!))</f>
        <v>#REF!</v>
      </c>
      <c r="J99" s="62" t="e">
        <f>IF('Expenses w MYP'!#REF!="","",IF('Cash Flow %s Yr5'!J99="","",'Cash Flow %s Yr5'!J99*'Expenses w MYP'!#REF!))</f>
        <v>#REF!</v>
      </c>
      <c r="K99" s="62" t="e">
        <f>IF('Expenses w MYP'!#REF!="","",IF('Cash Flow %s Yr5'!K99="","",'Cash Flow %s Yr5'!K99*'Expenses w MYP'!#REF!))</f>
        <v>#REF!</v>
      </c>
      <c r="L99" s="62" t="e">
        <f>IF('Expenses w MYP'!#REF!="","",IF('Cash Flow %s Yr5'!L99="","",'Cash Flow %s Yr5'!L99*'Expenses w MYP'!#REF!))</f>
        <v>#REF!</v>
      </c>
      <c r="M99" s="62" t="e">
        <f>IF('Expenses w MYP'!#REF!="","",IF('Cash Flow %s Yr5'!M99="","",'Cash Flow %s Yr5'!M99*'Expenses w MYP'!#REF!))</f>
        <v>#REF!</v>
      </c>
      <c r="N99" s="62" t="e">
        <f>IF('Expenses w MYP'!#REF!="","",IF('Cash Flow %s Yr5'!N99="","",'Cash Flow %s Yr5'!N99*'Expenses w MYP'!#REF!))</f>
        <v>#REF!</v>
      </c>
      <c r="O99" s="62" t="e">
        <f>IF('Expenses w MYP'!#REF!="","",IF('Cash Flow %s Yr5'!O99="","",'Cash Flow %s Yr5'!O99*'Expenses w MYP'!#REF!))</f>
        <v>#REF!</v>
      </c>
      <c r="P99" s="113"/>
      <c r="Q99" s="113"/>
      <c r="R99" s="113"/>
      <c r="S99" s="97"/>
    </row>
    <row r="100" spans="1:19" hidden="1" outlineLevel="1" x14ac:dyDescent="0.75">
      <c r="A100" s="35"/>
      <c r="B100" s="121" t="e">
        <f>'Expenses w MYP'!#REF!</f>
        <v>#REF!</v>
      </c>
      <c r="C100" s="121" t="e">
        <f>'Expenses w MYP'!#REF!</f>
        <v>#REF!</v>
      </c>
      <c r="D100" s="62" t="e">
        <f>IF('Expenses w MYP'!#REF!="","",IF('Cash Flow %s Yr5'!D100="","",'Cash Flow %s Yr5'!D100*'Expenses w MYP'!#REF!))</f>
        <v>#REF!</v>
      </c>
      <c r="E100" s="62" t="e">
        <f>IF('Expenses w MYP'!#REF!="","",IF('Cash Flow %s Yr5'!E100="","",'Cash Flow %s Yr5'!E100*'Expenses w MYP'!#REF!))</f>
        <v>#REF!</v>
      </c>
      <c r="F100" s="62" t="e">
        <f>IF('Expenses w MYP'!#REF!="","",IF('Cash Flow %s Yr5'!F100="","",'Cash Flow %s Yr5'!F100*'Expenses w MYP'!#REF!))</f>
        <v>#REF!</v>
      </c>
      <c r="G100" s="62" t="e">
        <f>IF('Expenses w MYP'!#REF!="","",IF('Cash Flow %s Yr5'!G100="","",'Cash Flow %s Yr5'!G100*'Expenses w MYP'!#REF!))</f>
        <v>#REF!</v>
      </c>
      <c r="H100" s="62" t="e">
        <f>IF('Expenses w MYP'!#REF!="","",IF('Cash Flow %s Yr5'!H100="","",'Cash Flow %s Yr5'!H100*'Expenses w MYP'!#REF!))</f>
        <v>#REF!</v>
      </c>
      <c r="I100" s="62" t="e">
        <f>IF('Expenses w MYP'!#REF!="","",IF('Cash Flow %s Yr5'!I100="","",'Cash Flow %s Yr5'!I100*'Expenses w MYP'!#REF!))</f>
        <v>#REF!</v>
      </c>
      <c r="J100" s="62" t="e">
        <f>IF('Expenses w MYP'!#REF!="","",IF('Cash Flow %s Yr5'!J100="","",'Cash Flow %s Yr5'!J100*'Expenses w MYP'!#REF!))</f>
        <v>#REF!</v>
      </c>
      <c r="K100" s="62" t="e">
        <f>IF('Expenses w MYP'!#REF!="","",IF('Cash Flow %s Yr5'!K100="","",'Cash Flow %s Yr5'!K100*'Expenses w MYP'!#REF!))</f>
        <v>#REF!</v>
      </c>
      <c r="L100" s="62" t="e">
        <f>IF('Expenses w MYP'!#REF!="","",IF('Cash Flow %s Yr5'!L100="","",'Cash Flow %s Yr5'!L100*'Expenses w MYP'!#REF!))</f>
        <v>#REF!</v>
      </c>
      <c r="M100" s="62" t="e">
        <f>IF('Expenses w MYP'!#REF!="","",IF('Cash Flow %s Yr5'!M100="","",'Cash Flow %s Yr5'!M100*'Expenses w MYP'!#REF!))</f>
        <v>#REF!</v>
      </c>
      <c r="N100" s="62" t="e">
        <f>IF('Expenses w MYP'!#REF!="","",IF('Cash Flow %s Yr5'!N100="","",'Cash Flow %s Yr5'!N100*'Expenses w MYP'!#REF!))</f>
        <v>#REF!</v>
      </c>
      <c r="O100" s="62" t="e">
        <f>IF('Expenses w MYP'!#REF!="","",IF('Cash Flow %s Yr5'!O100="","",'Cash Flow %s Yr5'!O100*'Expenses w MYP'!#REF!))</f>
        <v>#REF!</v>
      </c>
      <c r="P100" s="113"/>
      <c r="Q100" s="113"/>
      <c r="R100" s="113"/>
      <c r="S100" s="97"/>
    </row>
    <row r="101" spans="1:19" hidden="1" outlineLevel="1" x14ac:dyDescent="0.75">
      <c r="A101" s="35"/>
      <c r="B101" s="121" t="e">
        <f>'Expenses w MYP'!#REF!</f>
        <v>#REF!</v>
      </c>
      <c r="C101" s="121" t="e">
        <f>'Expenses w MYP'!#REF!</f>
        <v>#REF!</v>
      </c>
      <c r="D101" s="62" t="e">
        <f>IF('Expenses w MYP'!#REF!="","",IF('Cash Flow %s Yr5'!D101="","",'Cash Flow %s Yr5'!D101*'Expenses w MYP'!#REF!))</f>
        <v>#REF!</v>
      </c>
      <c r="E101" s="62" t="e">
        <f>IF('Expenses w MYP'!#REF!="","",IF('Cash Flow %s Yr5'!E101="","",'Cash Flow %s Yr5'!E101*'Expenses w MYP'!#REF!))</f>
        <v>#REF!</v>
      </c>
      <c r="F101" s="62" t="e">
        <f>IF('Expenses w MYP'!#REF!="","",IF('Cash Flow %s Yr5'!F101="","",'Cash Flow %s Yr5'!F101*'Expenses w MYP'!#REF!))</f>
        <v>#REF!</v>
      </c>
      <c r="G101" s="62" t="e">
        <f>IF('Expenses w MYP'!#REF!="","",IF('Cash Flow %s Yr5'!G101="","",'Cash Flow %s Yr5'!G101*'Expenses w MYP'!#REF!))</f>
        <v>#REF!</v>
      </c>
      <c r="H101" s="62" t="e">
        <f>IF('Expenses w MYP'!#REF!="","",IF('Cash Flow %s Yr5'!H101="","",'Cash Flow %s Yr5'!H101*'Expenses w MYP'!#REF!))</f>
        <v>#REF!</v>
      </c>
      <c r="I101" s="62" t="e">
        <f>IF('Expenses w MYP'!#REF!="","",IF('Cash Flow %s Yr5'!I101="","",'Cash Flow %s Yr5'!I101*'Expenses w MYP'!#REF!))</f>
        <v>#REF!</v>
      </c>
      <c r="J101" s="62" t="e">
        <f>IF('Expenses w MYP'!#REF!="","",IF('Cash Flow %s Yr5'!J101="","",'Cash Flow %s Yr5'!J101*'Expenses w MYP'!#REF!))</f>
        <v>#REF!</v>
      </c>
      <c r="K101" s="62" t="e">
        <f>IF('Expenses w MYP'!#REF!="","",IF('Cash Flow %s Yr5'!K101="","",'Cash Flow %s Yr5'!K101*'Expenses w MYP'!#REF!))</f>
        <v>#REF!</v>
      </c>
      <c r="L101" s="62" t="e">
        <f>IF('Expenses w MYP'!#REF!="","",IF('Cash Flow %s Yr5'!L101="","",'Cash Flow %s Yr5'!L101*'Expenses w MYP'!#REF!))</f>
        <v>#REF!</v>
      </c>
      <c r="M101" s="62" t="e">
        <f>IF('Expenses w MYP'!#REF!="","",IF('Cash Flow %s Yr5'!M101="","",'Cash Flow %s Yr5'!M101*'Expenses w MYP'!#REF!))</f>
        <v>#REF!</v>
      </c>
      <c r="N101" s="62" t="e">
        <f>IF('Expenses w MYP'!#REF!="","",IF('Cash Flow %s Yr5'!N101="","",'Cash Flow %s Yr5'!N101*'Expenses w MYP'!#REF!))</f>
        <v>#REF!</v>
      </c>
      <c r="O101" s="62" t="e">
        <f>IF('Expenses w MYP'!#REF!="","",IF('Cash Flow %s Yr5'!O101="","",'Cash Flow %s Yr5'!O101*'Expenses w MYP'!#REF!))</f>
        <v>#REF!</v>
      </c>
      <c r="P101" s="113"/>
      <c r="Q101" s="113"/>
      <c r="R101" s="113"/>
      <c r="S101" s="97"/>
    </row>
    <row r="102" spans="1:19" hidden="1" outlineLevel="1" x14ac:dyDescent="0.75">
      <c r="A102" s="35"/>
      <c r="B102" s="121" t="e">
        <f>'Expenses w MYP'!#REF!</f>
        <v>#REF!</v>
      </c>
      <c r="C102" s="121" t="e">
        <f>'Expenses w MYP'!#REF!</f>
        <v>#REF!</v>
      </c>
      <c r="D102" s="62" t="e">
        <f>IF('Expenses w MYP'!#REF!="","",IF('Cash Flow %s Yr5'!D102="","",'Cash Flow %s Yr5'!D102*'Expenses w MYP'!#REF!))</f>
        <v>#REF!</v>
      </c>
      <c r="E102" s="62" t="e">
        <f>IF('Expenses w MYP'!#REF!="","",IF('Cash Flow %s Yr5'!E102="","",'Cash Flow %s Yr5'!E102*'Expenses w MYP'!#REF!))</f>
        <v>#REF!</v>
      </c>
      <c r="F102" s="62" t="e">
        <f>IF('Expenses w MYP'!#REF!="","",IF('Cash Flow %s Yr5'!F102="","",'Cash Flow %s Yr5'!F102*'Expenses w MYP'!#REF!))</f>
        <v>#REF!</v>
      </c>
      <c r="G102" s="62" t="e">
        <f>IF('Expenses w MYP'!#REF!="","",IF('Cash Flow %s Yr5'!G102="","",'Cash Flow %s Yr5'!G102*'Expenses w MYP'!#REF!))</f>
        <v>#REF!</v>
      </c>
      <c r="H102" s="62" t="e">
        <f>IF('Expenses w MYP'!#REF!="","",IF('Cash Flow %s Yr5'!H102="","",'Cash Flow %s Yr5'!H102*'Expenses w MYP'!#REF!))</f>
        <v>#REF!</v>
      </c>
      <c r="I102" s="62" t="e">
        <f>IF('Expenses w MYP'!#REF!="","",IF('Cash Flow %s Yr5'!I102="","",'Cash Flow %s Yr5'!I102*'Expenses w MYP'!#REF!))</f>
        <v>#REF!</v>
      </c>
      <c r="J102" s="62" t="e">
        <f>IF('Expenses w MYP'!#REF!="","",IF('Cash Flow %s Yr5'!J102="","",'Cash Flow %s Yr5'!J102*'Expenses w MYP'!#REF!))</f>
        <v>#REF!</v>
      </c>
      <c r="K102" s="62" t="e">
        <f>IF('Expenses w MYP'!#REF!="","",IF('Cash Flow %s Yr5'!K102="","",'Cash Flow %s Yr5'!K102*'Expenses w MYP'!#REF!))</f>
        <v>#REF!</v>
      </c>
      <c r="L102" s="62" t="e">
        <f>IF('Expenses w MYP'!#REF!="","",IF('Cash Flow %s Yr5'!L102="","",'Cash Flow %s Yr5'!L102*'Expenses w MYP'!#REF!))</f>
        <v>#REF!</v>
      </c>
      <c r="M102" s="62" t="e">
        <f>IF('Expenses w MYP'!#REF!="","",IF('Cash Flow %s Yr5'!M102="","",'Cash Flow %s Yr5'!M102*'Expenses w MYP'!#REF!))</f>
        <v>#REF!</v>
      </c>
      <c r="N102" s="62" t="e">
        <f>IF('Expenses w MYP'!#REF!="","",IF('Cash Flow %s Yr5'!N102="","",'Cash Flow %s Yr5'!N102*'Expenses w MYP'!#REF!))</f>
        <v>#REF!</v>
      </c>
      <c r="O102" s="62" t="e">
        <f>IF('Expenses w MYP'!#REF!="","",IF('Cash Flow %s Yr5'!O102="","",'Cash Flow %s Yr5'!O102*'Expenses w MYP'!#REF!))</f>
        <v>#REF!</v>
      </c>
      <c r="P102" s="113"/>
      <c r="Q102" s="113"/>
      <c r="R102" s="113"/>
      <c r="S102" s="97"/>
    </row>
    <row r="103" spans="1:19" hidden="1" outlineLevel="1" x14ac:dyDescent="0.75">
      <c r="A103" s="35"/>
      <c r="B103" s="121" t="e">
        <f>'Expenses w MYP'!#REF!</f>
        <v>#REF!</v>
      </c>
      <c r="C103" s="121" t="e">
        <f>'Expenses w MYP'!#REF!</f>
        <v>#REF!</v>
      </c>
      <c r="D103" s="62" t="e">
        <f>IF('Expenses w MYP'!#REF!="","",IF('Cash Flow %s Yr5'!D103="","",'Cash Flow %s Yr5'!D103*'Expenses w MYP'!#REF!))</f>
        <v>#REF!</v>
      </c>
      <c r="E103" s="62" t="e">
        <f>IF('Expenses w MYP'!#REF!="","",IF('Cash Flow %s Yr5'!E103="","",'Cash Flow %s Yr5'!E103*'Expenses w MYP'!#REF!))</f>
        <v>#REF!</v>
      </c>
      <c r="F103" s="62" t="e">
        <f>IF('Expenses w MYP'!#REF!="","",IF('Cash Flow %s Yr5'!F103="","",'Cash Flow %s Yr5'!F103*'Expenses w MYP'!#REF!))</f>
        <v>#REF!</v>
      </c>
      <c r="G103" s="62" t="e">
        <f>IF('Expenses w MYP'!#REF!="","",IF('Cash Flow %s Yr5'!G103="","",'Cash Flow %s Yr5'!G103*'Expenses w MYP'!#REF!))</f>
        <v>#REF!</v>
      </c>
      <c r="H103" s="62" t="e">
        <f>IF('Expenses w MYP'!#REF!="","",IF('Cash Flow %s Yr5'!H103="","",'Cash Flow %s Yr5'!H103*'Expenses w MYP'!#REF!))</f>
        <v>#REF!</v>
      </c>
      <c r="I103" s="62" t="e">
        <f>IF('Expenses w MYP'!#REF!="","",IF('Cash Flow %s Yr5'!I103="","",'Cash Flow %s Yr5'!I103*'Expenses w MYP'!#REF!))</f>
        <v>#REF!</v>
      </c>
      <c r="J103" s="62" t="e">
        <f>IF('Expenses w MYP'!#REF!="","",IF('Cash Flow %s Yr5'!J103="","",'Cash Flow %s Yr5'!J103*'Expenses w MYP'!#REF!))</f>
        <v>#REF!</v>
      </c>
      <c r="K103" s="62" t="e">
        <f>IF('Expenses w MYP'!#REF!="","",IF('Cash Flow %s Yr5'!K103="","",'Cash Flow %s Yr5'!K103*'Expenses w MYP'!#REF!))</f>
        <v>#REF!</v>
      </c>
      <c r="L103" s="62" t="e">
        <f>IF('Expenses w MYP'!#REF!="","",IF('Cash Flow %s Yr5'!L103="","",'Cash Flow %s Yr5'!L103*'Expenses w MYP'!#REF!))</f>
        <v>#REF!</v>
      </c>
      <c r="M103" s="62" t="e">
        <f>IF('Expenses w MYP'!#REF!="","",IF('Cash Flow %s Yr5'!M103="","",'Cash Flow %s Yr5'!M103*'Expenses w MYP'!#REF!))</f>
        <v>#REF!</v>
      </c>
      <c r="N103" s="62" t="e">
        <f>IF('Expenses w MYP'!#REF!="","",IF('Cash Flow %s Yr5'!N103="","",'Cash Flow %s Yr5'!N103*'Expenses w MYP'!#REF!))</f>
        <v>#REF!</v>
      </c>
      <c r="O103" s="62" t="e">
        <f>IF('Expenses w MYP'!#REF!="","",IF('Cash Flow %s Yr5'!O103="","",'Cash Flow %s Yr5'!O103*'Expenses w MYP'!#REF!))</f>
        <v>#REF!</v>
      </c>
      <c r="P103" s="113"/>
      <c r="Q103" s="113"/>
      <c r="R103" s="113"/>
      <c r="S103" s="97"/>
    </row>
    <row r="104" spans="1:19" hidden="1" outlineLevel="1" x14ac:dyDescent="0.75">
      <c r="A104" s="35"/>
      <c r="B104" s="121" t="e">
        <f>'Expenses w MYP'!#REF!</f>
        <v>#REF!</v>
      </c>
      <c r="C104" s="121" t="e">
        <f>'Expenses w MYP'!#REF!</f>
        <v>#REF!</v>
      </c>
      <c r="D104" s="62" t="e">
        <f>IF('Expenses w MYP'!#REF!="","",IF('Cash Flow %s Yr5'!D104="","",'Cash Flow %s Yr5'!D104*'Expenses w MYP'!#REF!))</f>
        <v>#REF!</v>
      </c>
      <c r="E104" s="62" t="e">
        <f>IF('Expenses w MYP'!#REF!="","",IF('Cash Flow %s Yr5'!E104="","",'Cash Flow %s Yr5'!E104*'Expenses w MYP'!#REF!))</f>
        <v>#REF!</v>
      </c>
      <c r="F104" s="62" t="e">
        <f>IF('Expenses w MYP'!#REF!="","",IF('Cash Flow %s Yr5'!F104="","",'Cash Flow %s Yr5'!F104*'Expenses w MYP'!#REF!))</f>
        <v>#REF!</v>
      </c>
      <c r="G104" s="62" t="e">
        <f>IF('Expenses w MYP'!#REF!="","",IF('Cash Flow %s Yr5'!G104="","",'Cash Flow %s Yr5'!G104*'Expenses w MYP'!#REF!))</f>
        <v>#REF!</v>
      </c>
      <c r="H104" s="62" t="e">
        <f>IF('Expenses w MYP'!#REF!="","",IF('Cash Flow %s Yr5'!H104="","",'Cash Flow %s Yr5'!H104*'Expenses w MYP'!#REF!))</f>
        <v>#REF!</v>
      </c>
      <c r="I104" s="62" t="e">
        <f>IF('Expenses w MYP'!#REF!="","",IF('Cash Flow %s Yr5'!I104="","",'Cash Flow %s Yr5'!I104*'Expenses w MYP'!#REF!))</f>
        <v>#REF!</v>
      </c>
      <c r="J104" s="62" t="e">
        <f>IF('Expenses w MYP'!#REF!="","",IF('Cash Flow %s Yr5'!J104="","",'Cash Flow %s Yr5'!J104*'Expenses w MYP'!#REF!))</f>
        <v>#REF!</v>
      </c>
      <c r="K104" s="62" t="e">
        <f>IF('Expenses w MYP'!#REF!="","",IF('Cash Flow %s Yr5'!K104="","",'Cash Flow %s Yr5'!K104*'Expenses w MYP'!#REF!))</f>
        <v>#REF!</v>
      </c>
      <c r="L104" s="62" t="e">
        <f>IF('Expenses w MYP'!#REF!="","",IF('Cash Flow %s Yr5'!L104="","",'Cash Flow %s Yr5'!L104*'Expenses w MYP'!#REF!))</f>
        <v>#REF!</v>
      </c>
      <c r="M104" s="62" t="e">
        <f>IF('Expenses w MYP'!#REF!="","",IF('Cash Flow %s Yr5'!M104="","",'Cash Flow %s Yr5'!M104*'Expenses w MYP'!#REF!))</f>
        <v>#REF!</v>
      </c>
      <c r="N104" s="62" t="e">
        <f>IF('Expenses w MYP'!#REF!="","",IF('Cash Flow %s Yr5'!N104="","",'Cash Flow %s Yr5'!N104*'Expenses w MYP'!#REF!))</f>
        <v>#REF!</v>
      </c>
      <c r="O104" s="62" t="e">
        <f>IF('Expenses w MYP'!#REF!="","",IF('Cash Flow %s Yr5'!O104="","",'Cash Flow %s Yr5'!O104*'Expenses w MYP'!#REF!))</f>
        <v>#REF!</v>
      </c>
      <c r="P104" s="113"/>
      <c r="Q104" s="113"/>
      <c r="R104" s="113"/>
      <c r="S104" s="97"/>
    </row>
    <row r="105" spans="1:19" s="31" customFormat="1" collapsed="1" x14ac:dyDescent="0.75">
      <c r="A105" s="35"/>
      <c r="B105" s="121" t="str">
        <f>'Expenses w MYP'!C69</f>
        <v>4700</v>
      </c>
      <c r="C105" s="121" t="str">
        <f>'Expenses w MYP'!D69</f>
        <v>Food and Food Supplies</v>
      </c>
      <c r="D105" s="62">
        <f>IF('Expenses w MYP'!$I69="","",IF('Cash Flow %s Yr5'!D105="","",'Cash Flow %s Yr5'!D105*'Expenses w MYP'!$I69))</f>
        <v>0</v>
      </c>
      <c r="E105" s="62">
        <f>IF('Expenses w MYP'!$I69="","",IF('Cash Flow %s Yr5'!E105="","",'Cash Flow %s Yr5'!E105*'Expenses w MYP'!$I69))</f>
        <v>0</v>
      </c>
      <c r="F105" s="62">
        <f>IF('Expenses w MYP'!$I69="","",IF('Cash Flow %s Yr5'!F105="","",'Cash Flow %s Yr5'!F105*'Expenses w MYP'!$I69))</f>
        <v>0</v>
      </c>
      <c r="G105" s="62">
        <f>IF('Expenses w MYP'!$I69="","",IF('Cash Flow %s Yr5'!G105="","",'Cash Flow %s Yr5'!G105*'Expenses w MYP'!$I69))</f>
        <v>0</v>
      </c>
      <c r="H105" s="62">
        <f>IF('Expenses w MYP'!$I69="","",IF('Cash Flow %s Yr5'!H105="","",'Cash Flow %s Yr5'!H105*'Expenses w MYP'!$I69))</f>
        <v>0</v>
      </c>
      <c r="I105" s="62">
        <f>IF('Expenses w MYP'!$I69="","",IF('Cash Flow %s Yr5'!I105="","",'Cash Flow %s Yr5'!I105*'Expenses w MYP'!$I69))</f>
        <v>0</v>
      </c>
      <c r="J105" s="62">
        <f>IF('Expenses w MYP'!$I69="","",IF('Cash Flow %s Yr5'!J105="","",'Cash Flow %s Yr5'!J105*'Expenses w MYP'!$I69))</f>
        <v>0</v>
      </c>
      <c r="K105" s="62">
        <f>IF('Expenses w MYP'!$I69="","",IF('Cash Flow %s Yr5'!K105="","",'Cash Flow %s Yr5'!K105*'Expenses w MYP'!$I69))</f>
        <v>0</v>
      </c>
      <c r="L105" s="62">
        <f>IF('Expenses w MYP'!$I69="","",IF('Cash Flow %s Yr5'!L105="","",'Cash Flow %s Yr5'!L105*'Expenses w MYP'!$I69))</f>
        <v>0</v>
      </c>
      <c r="M105" s="62">
        <f>IF('Expenses w MYP'!$I69="","",IF('Cash Flow %s Yr5'!M105="","",'Cash Flow %s Yr5'!M105*'Expenses w MYP'!$I69))</f>
        <v>0</v>
      </c>
      <c r="N105" s="62">
        <f>IF('Expenses w MYP'!$I69="","",IF('Cash Flow %s Yr5'!N105="","",'Cash Flow %s Yr5'!N105*'Expenses w MYP'!$I69))</f>
        <v>0</v>
      </c>
      <c r="O105" s="62">
        <f>IF('Expenses w MYP'!$I69="","",IF('Cash Flow %s Yr5'!O105="","",'Cash Flow %s Yr5'!O105*'Expenses w MYP'!$I69))</f>
        <v>0</v>
      </c>
      <c r="P105" s="113"/>
      <c r="Q105" s="113"/>
      <c r="R105" s="113"/>
      <c r="S105" s="97" t="str">
        <f>IF(SUM(D105:R105)&gt;0,SUM(D105:R105)/'Expenses w MYP'!$I69,"")</f>
        <v/>
      </c>
    </row>
    <row r="106" spans="1:19" s="31" customFormat="1" x14ac:dyDescent="0.75">
      <c r="A106" s="35"/>
      <c r="B106" s="33" t="s">
        <v>558</v>
      </c>
      <c r="C106" s="34" t="s">
        <v>719</v>
      </c>
      <c r="D106" s="153" t="e">
        <f t="shared" ref="D106:R106" si="9">IF(SUM(D88:D105)&gt;0,SUM(D88:D105),"")</f>
        <v>#REF!</v>
      </c>
      <c r="E106" s="153" t="e">
        <f t="shared" si="9"/>
        <v>#REF!</v>
      </c>
      <c r="F106" s="153" t="e">
        <f t="shared" si="9"/>
        <v>#REF!</v>
      </c>
      <c r="G106" s="153" t="e">
        <f t="shared" si="9"/>
        <v>#REF!</v>
      </c>
      <c r="H106" s="153" t="e">
        <f t="shared" si="9"/>
        <v>#REF!</v>
      </c>
      <c r="I106" s="153" t="e">
        <f t="shared" si="9"/>
        <v>#REF!</v>
      </c>
      <c r="J106" s="153" t="e">
        <f t="shared" si="9"/>
        <v>#REF!</v>
      </c>
      <c r="K106" s="153" t="e">
        <f t="shared" si="9"/>
        <v>#REF!</v>
      </c>
      <c r="L106" s="153" t="e">
        <f t="shared" si="9"/>
        <v>#REF!</v>
      </c>
      <c r="M106" s="153" t="e">
        <f t="shared" si="9"/>
        <v>#REF!</v>
      </c>
      <c r="N106" s="153" t="e">
        <f t="shared" si="9"/>
        <v>#REF!</v>
      </c>
      <c r="O106" s="153" t="e">
        <f t="shared" si="9"/>
        <v>#REF!</v>
      </c>
      <c r="P106" s="153" t="str">
        <f t="shared" si="9"/>
        <v/>
      </c>
      <c r="Q106" s="153" t="str">
        <f t="shared" si="9"/>
        <v/>
      </c>
      <c r="R106" s="153" t="str">
        <f t="shared" si="9"/>
        <v/>
      </c>
      <c r="S106" s="94"/>
    </row>
    <row r="107" spans="1:19" s="31" customFormat="1" x14ac:dyDescent="0.75">
      <c r="A107" s="35"/>
      <c r="B107" s="3"/>
      <c r="C107" s="2"/>
      <c r="D107" s="84"/>
      <c r="E107" s="84"/>
      <c r="F107" s="84"/>
      <c r="G107" s="84"/>
      <c r="H107" s="84"/>
      <c r="I107" s="84"/>
      <c r="J107" s="84"/>
      <c r="K107" s="84"/>
      <c r="L107" s="84"/>
      <c r="M107" s="84"/>
      <c r="N107" s="84"/>
      <c r="O107" s="84"/>
      <c r="P107" s="84"/>
      <c r="Q107" s="84"/>
      <c r="R107" s="84"/>
    </row>
    <row r="108" spans="1:19" s="31" customFormat="1" x14ac:dyDescent="0.75">
      <c r="B108" s="4" t="s">
        <v>720</v>
      </c>
      <c r="C108" s="2"/>
      <c r="D108" s="84"/>
      <c r="E108" s="84"/>
      <c r="F108" s="84"/>
      <c r="G108" s="84"/>
      <c r="H108" s="84"/>
      <c r="I108" s="84"/>
      <c r="J108" s="84"/>
      <c r="K108" s="84"/>
      <c r="L108" s="84"/>
      <c r="M108" s="84"/>
      <c r="N108" s="84"/>
      <c r="O108" s="84"/>
      <c r="P108" s="84"/>
      <c r="Q108" s="84"/>
      <c r="R108" s="84"/>
    </row>
    <row r="109" spans="1:19" s="31" customFormat="1" x14ac:dyDescent="0.75">
      <c r="A109" s="35"/>
      <c r="B109" s="121" t="str">
        <f>'Expenses w MYP'!C73</f>
        <v>5200</v>
      </c>
      <c r="C109" s="121" t="str">
        <f>'Expenses w MYP'!D73</f>
        <v>Travel and Conferences</v>
      </c>
      <c r="D109" s="62">
        <f>IF('Expenses w MYP'!$I73="","",IF('Cash Flow %s Yr5'!D109="","",'Cash Flow %s Yr5'!D109*'Expenses w MYP'!$I73))</f>
        <v>0</v>
      </c>
      <c r="E109" s="62">
        <f>IF('Expenses w MYP'!$I73="","",IF('Cash Flow %s Yr5'!E109="","",'Cash Flow %s Yr5'!E109*'Expenses w MYP'!$I73))</f>
        <v>0</v>
      </c>
      <c r="F109" s="62">
        <f>IF('Expenses w MYP'!$I73="","",IF('Cash Flow %s Yr5'!F109="","",'Cash Flow %s Yr5'!F109*'Expenses w MYP'!$I73))</f>
        <v>11958.349107729442</v>
      </c>
      <c r="G109" s="62">
        <f>IF('Expenses w MYP'!$I73="","",IF('Cash Flow %s Yr5'!G109="","",'Cash Flow %s Yr5'!G109*'Expenses w MYP'!$I73))</f>
        <v>3986.1163692431473</v>
      </c>
      <c r="H109" s="62">
        <f>IF('Expenses w MYP'!$I73="","",IF('Cash Flow %s Yr5'!H109="","",'Cash Flow %s Yr5'!H109*'Expenses w MYP'!$I73))</f>
        <v>3986.1163692431473</v>
      </c>
      <c r="I109" s="62">
        <f>IF('Expenses w MYP'!$I73="","",IF('Cash Flow %s Yr5'!I109="","",'Cash Flow %s Yr5'!I109*'Expenses w MYP'!$I73))</f>
        <v>3986.1163692431473</v>
      </c>
      <c r="J109" s="62">
        <f>IF('Expenses w MYP'!$I73="","",IF('Cash Flow %s Yr5'!J109="","",'Cash Flow %s Yr5'!J109*'Expenses w MYP'!$I73))</f>
        <v>3986.1163692431473</v>
      </c>
      <c r="K109" s="62">
        <f>IF('Expenses w MYP'!$I73="","",IF('Cash Flow %s Yr5'!K109="","",'Cash Flow %s Yr5'!K109*'Expenses w MYP'!$I73))</f>
        <v>3986.1163692431473</v>
      </c>
      <c r="L109" s="62">
        <f>IF('Expenses w MYP'!$I73="","",IF('Cash Flow %s Yr5'!L109="","",'Cash Flow %s Yr5'!L109*'Expenses w MYP'!$I73))</f>
        <v>3986.1163692431473</v>
      </c>
      <c r="M109" s="62">
        <f>IF('Expenses w MYP'!$I73="","",IF('Cash Flow %s Yr5'!M109="","",'Cash Flow %s Yr5'!M109*'Expenses w MYP'!$I73))</f>
        <v>3986.1163692431473</v>
      </c>
      <c r="N109" s="62">
        <f>IF('Expenses w MYP'!$I73="","",IF('Cash Flow %s Yr5'!N109="","",'Cash Flow %s Yr5'!N109*'Expenses w MYP'!$I73))</f>
        <v>0</v>
      </c>
      <c r="O109" s="62">
        <f>IF('Expenses w MYP'!$I73="","",IF('Cash Flow %s Yr5'!O109="","",'Cash Flow %s Yr5'!O109*'Expenses w MYP'!$I73))</f>
        <v>0</v>
      </c>
      <c r="P109" s="113"/>
      <c r="Q109" s="113"/>
      <c r="R109" s="113"/>
      <c r="S109" s="97">
        <f>IF(SUM(D109:R109)&gt;0,SUM(D109:R109)/'Expenses w MYP'!$I73,"")</f>
        <v>0.99999999999999978</v>
      </c>
    </row>
    <row r="110" spans="1:19" s="31" customFormat="1" x14ac:dyDescent="0.75">
      <c r="A110" s="35"/>
      <c r="B110" s="121" t="str">
        <f>'Expenses w MYP'!C74</f>
        <v>5210</v>
      </c>
      <c r="C110" s="121" t="str">
        <f>'Expenses w MYP'!D74</f>
        <v>Training and Development Expense</v>
      </c>
      <c r="D110" s="62">
        <f>IF('Expenses w MYP'!$I74="","",IF('Cash Flow %s Yr5'!D110="","",'Cash Flow %s Yr5'!D110*'Expenses w MYP'!$I74))</f>
        <v>0</v>
      </c>
      <c r="E110" s="62">
        <f>IF('Expenses w MYP'!$I74="","",IF('Cash Flow %s Yr5'!E110="","",'Cash Flow %s Yr5'!E110*'Expenses w MYP'!$I74))</f>
        <v>0</v>
      </c>
      <c r="F110" s="62">
        <f>IF('Expenses w MYP'!$I74="","",IF('Cash Flow %s Yr5'!F110="","",'Cash Flow %s Yr5'!F110*'Expenses w MYP'!$I74))</f>
        <v>47833.396430917768</v>
      </c>
      <c r="G110" s="62">
        <f>IF('Expenses w MYP'!$I74="","",IF('Cash Flow %s Yr5'!G110="","",'Cash Flow %s Yr5'!G110*'Expenses w MYP'!$I74))</f>
        <v>15944.465476972589</v>
      </c>
      <c r="H110" s="62">
        <f>IF('Expenses w MYP'!$I74="","",IF('Cash Flow %s Yr5'!H110="","",'Cash Flow %s Yr5'!H110*'Expenses w MYP'!$I74))</f>
        <v>15944.465476972589</v>
      </c>
      <c r="I110" s="62">
        <f>IF('Expenses w MYP'!$I74="","",IF('Cash Flow %s Yr5'!I110="","",'Cash Flow %s Yr5'!I110*'Expenses w MYP'!$I74))</f>
        <v>15944.465476972589</v>
      </c>
      <c r="J110" s="62">
        <f>IF('Expenses w MYP'!$I74="","",IF('Cash Flow %s Yr5'!J110="","",'Cash Flow %s Yr5'!J110*'Expenses w MYP'!$I74))</f>
        <v>15944.465476972589</v>
      </c>
      <c r="K110" s="62">
        <f>IF('Expenses w MYP'!$I74="","",IF('Cash Flow %s Yr5'!K110="","",'Cash Flow %s Yr5'!K110*'Expenses w MYP'!$I74))</f>
        <v>15944.465476972589</v>
      </c>
      <c r="L110" s="62">
        <f>IF('Expenses w MYP'!$I74="","",IF('Cash Flow %s Yr5'!L110="","",'Cash Flow %s Yr5'!L110*'Expenses w MYP'!$I74))</f>
        <v>15944.465476972589</v>
      </c>
      <c r="M110" s="62">
        <f>IF('Expenses w MYP'!$I74="","",IF('Cash Flow %s Yr5'!M110="","",'Cash Flow %s Yr5'!M110*'Expenses w MYP'!$I74))</f>
        <v>15944.465476972589</v>
      </c>
      <c r="N110" s="62">
        <f>IF('Expenses w MYP'!$I74="","",IF('Cash Flow %s Yr5'!N110="","",'Cash Flow %s Yr5'!N110*'Expenses w MYP'!$I74))</f>
        <v>0</v>
      </c>
      <c r="O110" s="62">
        <f>IF('Expenses w MYP'!$I74="","",IF('Cash Flow %s Yr5'!O110="","",'Cash Flow %s Yr5'!O110*'Expenses w MYP'!$I74))</f>
        <v>0</v>
      </c>
      <c r="P110" s="113"/>
      <c r="Q110" s="113"/>
      <c r="R110" s="113"/>
      <c r="S110" s="97">
        <f>IF(SUM(D110:R110)&gt;0,SUM(D110:R110)/'Expenses w MYP'!$I74,"")</f>
        <v>0.99999999999999978</v>
      </c>
    </row>
    <row r="111" spans="1:19" s="31" customFormat="1" x14ac:dyDescent="0.75">
      <c r="A111" s="35"/>
      <c r="B111" s="121" t="str">
        <f>'Expenses w MYP'!C75</f>
        <v>5300</v>
      </c>
      <c r="C111" s="121" t="str">
        <f>'Expenses w MYP'!D75</f>
        <v>Dues and Memberships</v>
      </c>
      <c r="D111" s="62">
        <f>IF('Expenses w MYP'!$I75="","",IF('Cash Flow %s Yr5'!D111="","",'Cash Flow %s Yr5'!D111*'Expenses w MYP'!$I75))</f>
        <v>0</v>
      </c>
      <c r="E111" s="62">
        <f>IF('Expenses w MYP'!$I75="","",IF('Cash Flow %s Yr5'!E111="","",'Cash Flow %s Yr5'!E111*'Expenses w MYP'!$I75))</f>
        <v>0</v>
      </c>
      <c r="F111" s="62">
        <f>IF('Expenses w MYP'!$I75="","",IF('Cash Flow %s Yr5'!F111="","",'Cash Flow %s Yr5'!F111*'Expenses w MYP'!$I75))</f>
        <v>8370.8443754106083</v>
      </c>
      <c r="G111" s="62">
        <f>IF('Expenses w MYP'!$I75="","",IF('Cash Flow %s Yr5'!G111="","",'Cash Flow %s Yr5'!G111*'Expenses w MYP'!$I75))</f>
        <v>2790.2814584702032</v>
      </c>
      <c r="H111" s="62">
        <f>IF('Expenses w MYP'!$I75="","",IF('Cash Flow %s Yr5'!H111="","",'Cash Flow %s Yr5'!H111*'Expenses w MYP'!$I75))</f>
        <v>2790.2814584702032</v>
      </c>
      <c r="I111" s="62">
        <f>IF('Expenses w MYP'!$I75="","",IF('Cash Flow %s Yr5'!I111="","",'Cash Flow %s Yr5'!I111*'Expenses w MYP'!$I75))</f>
        <v>2790.2814584702032</v>
      </c>
      <c r="J111" s="62">
        <f>IF('Expenses w MYP'!$I75="","",IF('Cash Flow %s Yr5'!J111="","",'Cash Flow %s Yr5'!J111*'Expenses w MYP'!$I75))</f>
        <v>2790.2814584702032</v>
      </c>
      <c r="K111" s="62">
        <f>IF('Expenses w MYP'!$I75="","",IF('Cash Flow %s Yr5'!K111="","",'Cash Flow %s Yr5'!K111*'Expenses w MYP'!$I75))</f>
        <v>2790.2814584702032</v>
      </c>
      <c r="L111" s="62">
        <f>IF('Expenses w MYP'!$I75="","",IF('Cash Flow %s Yr5'!L111="","",'Cash Flow %s Yr5'!L111*'Expenses w MYP'!$I75))</f>
        <v>2790.2814584702032</v>
      </c>
      <c r="M111" s="62">
        <f>IF('Expenses w MYP'!$I75="","",IF('Cash Flow %s Yr5'!M111="","",'Cash Flow %s Yr5'!M111*'Expenses w MYP'!$I75))</f>
        <v>2790.2814584702032</v>
      </c>
      <c r="N111" s="62">
        <f>IF('Expenses w MYP'!$I75="","",IF('Cash Flow %s Yr5'!N111="","",'Cash Flow %s Yr5'!N111*'Expenses w MYP'!$I75))</f>
        <v>0</v>
      </c>
      <c r="O111" s="62">
        <f>IF('Expenses w MYP'!$I75="","",IF('Cash Flow %s Yr5'!O111="","",'Cash Flow %s Yr5'!O111*'Expenses w MYP'!$I75))</f>
        <v>0</v>
      </c>
      <c r="P111" s="113"/>
      <c r="Q111" s="113"/>
      <c r="R111" s="113"/>
      <c r="S111" s="97">
        <f>IF(SUM(D111:R111)&gt;0,SUM(D111:R111)/'Expenses w MYP'!$I75,"")</f>
        <v>0.99999999999999989</v>
      </c>
    </row>
    <row r="112" spans="1:19" s="31" customFormat="1" x14ac:dyDescent="0.75">
      <c r="A112" s="35"/>
      <c r="B112" s="121" t="str">
        <f>'Expenses w MYP'!C76</f>
        <v>5400</v>
      </c>
      <c r="C112" s="121" t="str">
        <f>'Expenses w MYP'!D76</f>
        <v>Insurance</v>
      </c>
      <c r="D112" s="62">
        <f>IF('Expenses w MYP'!$I76="","",IF('Cash Flow %s Yr5'!D112="","",'Cash Flow %s Yr5'!D112*'Expenses w MYP'!$I76))</f>
        <v>0</v>
      </c>
      <c r="E112" s="62">
        <f>IF('Expenses w MYP'!$I76="","",IF('Cash Flow %s Yr5'!E112="","",'Cash Flow %s Yr5'!E112*'Expenses w MYP'!$I76))</f>
        <v>0</v>
      </c>
      <c r="F112" s="62">
        <f>IF('Expenses w MYP'!$I76="","",IF('Cash Flow %s Yr5'!F112="","",'Cash Flow %s Yr5'!F112*'Expenses w MYP'!$I76))</f>
        <v>11360.43165234297</v>
      </c>
      <c r="G112" s="62">
        <f>IF('Expenses w MYP'!$I76="","",IF('Cash Flow %s Yr5'!G112="","",'Cash Flow %s Yr5'!G112*'Expenses w MYP'!$I76))</f>
        <v>3786.8105507809905</v>
      </c>
      <c r="H112" s="62">
        <f>IF('Expenses w MYP'!$I76="","",IF('Cash Flow %s Yr5'!H112="","",'Cash Flow %s Yr5'!H112*'Expenses w MYP'!$I76))</f>
        <v>3786.8105507809905</v>
      </c>
      <c r="I112" s="62">
        <f>IF('Expenses w MYP'!$I76="","",IF('Cash Flow %s Yr5'!I112="","",'Cash Flow %s Yr5'!I112*'Expenses w MYP'!$I76))</f>
        <v>3786.8105507809905</v>
      </c>
      <c r="J112" s="62">
        <f>IF('Expenses w MYP'!$I76="","",IF('Cash Flow %s Yr5'!J112="","",'Cash Flow %s Yr5'!J112*'Expenses w MYP'!$I76))</f>
        <v>3786.8105507809905</v>
      </c>
      <c r="K112" s="62">
        <f>IF('Expenses w MYP'!$I76="","",IF('Cash Flow %s Yr5'!K112="","",'Cash Flow %s Yr5'!K112*'Expenses w MYP'!$I76))</f>
        <v>3786.8105507809905</v>
      </c>
      <c r="L112" s="62">
        <f>IF('Expenses w MYP'!$I76="","",IF('Cash Flow %s Yr5'!L112="","",'Cash Flow %s Yr5'!L112*'Expenses w MYP'!$I76))</f>
        <v>3786.8105507809905</v>
      </c>
      <c r="M112" s="62">
        <f>IF('Expenses w MYP'!$I76="","",IF('Cash Flow %s Yr5'!M112="","",'Cash Flow %s Yr5'!M112*'Expenses w MYP'!$I76))</f>
        <v>3786.8105507809905</v>
      </c>
      <c r="N112" s="62">
        <f>IF('Expenses w MYP'!$I76="","",IF('Cash Flow %s Yr5'!N112="","",'Cash Flow %s Yr5'!N112*'Expenses w MYP'!$I76))</f>
        <v>0</v>
      </c>
      <c r="O112" s="62">
        <f>IF('Expenses w MYP'!$I76="","",IF('Cash Flow %s Yr5'!O112="","",'Cash Flow %s Yr5'!O112*'Expenses w MYP'!$I76))</f>
        <v>0</v>
      </c>
      <c r="P112" s="113"/>
      <c r="Q112" s="113"/>
      <c r="R112" s="113"/>
      <c r="S112" s="97">
        <f>IF(SUM(D112:R112)&gt;0,SUM(D112:R112)/'Expenses w MYP'!$I76,"")</f>
        <v>0.99999999999999978</v>
      </c>
    </row>
    <row r="113" spans="1:19" s="31" customFormat="1" x14ac:dyDescent="0.75">
      <c r="A113" s="35"/>
      <c r="B113" s="121" t="str">
        <f>'Expenses w MYP'!C77</f>
        <v>5500</v>
      </c>
      <c r="C113" s="121" t="str">
        <f>'Expenses w MYP'!D77</f>
        <v>Operation and Housekeeping Services/Supplies</v>
      </c>
      <c r="D113" s="62">
        <f>IF('Expenses w MYP'!$I77="","",IF('Cash Flow %s Yr5'!D113="","",'Cash Flow %s Yr5'!D113*'Expenses w MYP'!$I77))</f>
        <v>0</v>
      </c>
      <c r="E113" s="62">
        <f>IF('Expenses w MYP'!$I77="","",IF('Cash Flow %s Yr5'!E113="","",'Cash Flow %s Yr5'!E113*'Expenses w MYP'!$I77))</f>
        <v>0</v>
      </c>
      <c r="F113" s="62">
        <f>IF('Expenses w MYP'!$I77="","",IF('Cash Flow %s Yr5'!F113="","",'Cash Flow %s Yr5'!F113*'Expenses w MYP'!$I77))</f>
        <v>1435.0018929275329</v>
      </c>
      <c r="G113" s="62">
        <f>IF('Expenses w MYP'!$I77="","",IF('Cash Flow %s Yr5'!G113="","",'Cash Flow %s Yr5'!G113*'Expenses w MYP'!$I77))</f>
        <v>0</v>
      </c>
      <c r="H113" s="62">
        <f>IF('Expenses w MYP'!$I77="","",IF('Cash Flow %s Yr5'!H113="","",'Cash Flow %s Yr5'!H113*'Expenses w MYP'!$I77))</f>
        <v>0</v>
      </c>
      <c r="I113" s="62">
        <f>IF('Expenses w MYP'!$I77="","",IF('Cash Flow %s Yr5'!I113="","",'Cash Flow %s Yr5'!I113*'Expenses w MYP'!$I77))</f>
        <v>0</v>
      </c>
      <c r="J113" s="62">
        <f>IF('Expenses w MYP'!$I77="","",IF('Cash Flow %s Yr5'!J113="","",'Cash Flow %s Yr5'!J113*'Expenses w MYP'!$I77))</f>
        <v>956.66792861835529</v>
      </c>
      <c r="K113" s="62">
        <f>IF('Expenses w MYP'!$I77="","",IF('Cash Flow %s Yr5'!K113="","",'Cash Flow %s Yr5'!K113*'Expenses w MYP'!$I77))</f>
        <v>0</v>
      </c>
      <c r="L113" s="62">
        <f>IF('Expenses w MYP'!$I77="","",IF('Cash Flow %s Yr5'!L113="","",'Cash Flow %s Yr5'!L113*'Expenses w MYP'!$I77))</f>
        <v>0</v>
      </c>
      <c r="M113" s="62">
        <f>IF('Expenses w MYP'!$I77="","",IF('Cash Flow %s Yr5'!M113="","",'Cash Flow %s Yr5'!M113*'Expenses w MYP'!$I77))</f>
        <v>0</v>
      </c>
      <c r="N113" s="62">
        <f>IF('Expenses w MYP'!$I77="","",IF('Cash Flow %s Yr5'!N113="","",'Cash Flow %s Yr5'!N113*'Expenses w MYP'!$I77))</f>
        <v>0</v>
      </c>
      <c r="O113" s="62">
        <f>IF('Expenses w MYP'!$I77="","",IF('Cash Flow %s Yr5'!O113="","",'Cash Flow %s Yr5'!O113*'Expenses w MYP'!$I77))</f>
        <v>0</v>
      </c>
      <c r="P113" s="113"/>
      <c r="Q113" s="113"/>
      <c r="R113" s="113"/>
      <c r="S113" s="97">
        <f>IF(SUM(D113:R113)&gt;0,SUM(D113:R113)/'Expenses w MYP'!$I77,"")</f>
        <v>1</v>
      </c>
    </row>
    <row r="114" spans="1:19" s="31" customFormat="1" x14ac:dyDescent="0.75">
      <c r="A114" s="35"/>
      <c r="B114" s="121" t="str">
        <f>'Expenses w MYP'!C78</f>
        <v>5501</v>
      </c>
      <c r="C114" s="121" t="str">
        <f>'Expenses w MYP'!D78</f>
        <v>Utilities</v>
      </c>
      <c r="D114" s="62">
        <f>IF('Expenses w MYP'!$I78="","",IF('Cash Flow %s Yr5'!D114="","",'Cash Flow %s Yr5'!D114*'Expenses w MYP'!$I78))</f>
        <v>0</v>
      </c>
      <c r="E114" s="62">
        <f>IF('Expenses w MYP'!$I78="","",IF('Cash Flow %s Yr5'!E114="","",'Cash Flow %s Yr5'!E114*'Expenses w MYP'!$I78))</f>
        <v>0</v>
      </c>
      <c r="F114" s="62">
        <f>IF('Expenses w MYP'!$I78="","",IF('Cash Flow %s Yr5'!F114="","",'Cash Flow %s Yr5'!F114*'Expenses w MYP'!$I78))</f>
        <v>99.652909231078695</v>
      </c>
      <c r="G114" s="62">
        <f>IF('Expenses w MYP'!$I78="","",IF('Cash Flow %s Yr5'!G114="","",'Cash Flow %s Yr5'!G114*'Expenses w MYP'!$I78))</f>
        <v>99.652909231078695</v>
      </c>
      <c r="H114" s="62">
        <f>IF('Expenses w MYP'!$I78="","",IF('Cash Flow %s Yr5'!H114="","",'Cash Flow %s Yr5'!H114*'Expenses w MYP'!$I78))</f>
        <v>99.652909231078695</v>
      </c>
      <c r="I114" s="62">
        <f>IF('Expenses w MYP'!$I78="","",IF('Cash Flow %s Yr5'!I114="","",'Cash Flow %s Yr5'!I114*'Expenses w MYP'!$I78))</f>
        <v>99.652909231078695</v>
      </c>
      <c r="J114" s="62">
        <f>IF('Expenses w MYP'!$I78="","",IF('Cash Flow %s Yr5'!J114="","",'Cash Flow %s Yr5'!J114*'Expenses w MYP'!$I78))</f>
        <v>99.652909231078695</v>
      </c>
      <c r="K114" s="62">
        <f>IF('Expenses w MYP'!$I78="","",IF('Cash Flow %s Yr5'!K114="","",'Cash Flow %s Yr5'!K114*'Expenses w MYP'!$I78))</f>
        <v>99.652909231078695</v>
      </c>
      <c r="L114" s="62">
        <f>IF('Expenses w MYP'!$I78="","",IF('Cash Flow %s Yr5'!L114="","",'Cash Flow %s Yr5'!L114*'Expenses w MYP'!$I78))</f>
        <v>99.652909231078695</v>
      </c>
      <c r="M114" s="62">
        <f>IF('Expenses w MYP'!$I78="","",IF('Cash Flow %s Yr5'!M114="","",'Cash Flow %s Yr5'!M114*'Expenses w MYP'!$I78))</f>
        <v>99.652909231078695</v>
      </c>
      <c r="N114" s="62">
        <f>IF('Expenses w MYP'!$I78="","",IF('Cash Flow %s Yr5'!N114="","",'Cash Flow %s Yr5'!N114*'Expenses w MYP'!$I78))</f>
        <v>99.652909231078695</v>
      </c>
      <c r="O114" s="62">
        <f>IF('Expenses w MYP'!$I78="","",IF('Cash Flow %s Yr5'!O114="","",'Cash Flow %s Yr5'!O114*'Expenses w MYP'!$I78))</f>
        <v>99.652909231078695</v>
      </c>
      <c r="P114" s="113"/>
      <c r="Q114" s="113"/>
      <c r="R114" s="113"/>
      <c r="S114" s="97">
        <f>IF(SUM(D114:R114)&gt;0,SUM(D114:R114)/'Expenses w MYP'!$I78,"")</f>
        <v>1</v>
      </c>
    </row>
    <row r="115" spans="1:19" s="31" customFormat="1" x14ac:dyDescent="0.75">
      <c r="A115" s="35"/>
      <c r="B115" s="121" t="str">
        <f>'Expenses w MYP'!C79</f>
        <v>5505</v>
      </c>
      <c r="C115" s="121" t="str">
        <f>'Expenses w MYP'!D79</f>
        <v>Student Transportation / Field Trips</v>
      </c>
      <c r="D115" s="62">
        <f>IF('Expenses w MYP'!$I79="","",IF('Cash Flow %s Yr5'!D115="","",'Cash Flow %s Yr5'!D115*'Expenses w MYP'!$I79))</f>
        <v>0</v>
      </c>
      <c r="E115" s="62">
        <f>IF('Expenses w MYP'!$I79="","",IF('Cash Flow %s Yr5'!E115="","",'Cash Flow %s Yr5'!E115*'Expenses w MYP'!$I79))</f>
        <v>0</v>
      </c>
      <c r="F115" s="62">
        <f>IF('Expenses w MYP'!$I79="","",IF('Cash Flow %s Yr5'!F115="","",'Cash Flow %s Yr5'!F115*'Expenses w MYP'!$I79))</f>
        <v>0</v>
      </c>
      <c r="G115" s="62">
        <f>IF('Expenses w MYP'!$I79="","",IF('Cash Flow %s Yr5'!G115="","",'Cash Flow %s Yr5'!G115*'Expenses w MYP'!$I79))</f>
        <v>0</v>
      </c>
      <c r="H115" s="62">
        <f>IF('Expenses w MYP'!$I79="","",IF('Cash Flow %s Yr5'!H115="","",'Cash Flow %s Yr5'!H115*'Expenses w MYP'!$I79))</f>
        <v>0</v>
      </c>
      <c r="I115" s="62">
        <f>IF('Expenses w MYP'!$I79="","",IF('Cash Flow %s Yr5'!I115="","",'Cash Flow %s Yr5'!I115*'Expenses w MYP'!$I79))</f>
        <v>0</v>
      </c>
      <c r="J115" s="62">
        <f>IF('Expenses w MYP'!$I79="","",IF('Cash Flow %s Yr5'!J115="","",'Cash Flow %s Yr5'!J115*'Expenses w MYP'!$I79))</f>
        <v>0</v>
      </c>
      <c r="K115" s="62">
        <f>IF('Expenses w MYP'!$I79="","",IF('Cash Flow %s Yr5'!K115="","",'Cash Flow %s Yr5'!K115*'Expenses w MYP'!$I79))</f>
        <v>0</v>
      </c>
      <c r="L115" s="62">
        <f>IF('Expenses w MYP'!$I79="","",IF('Cash Flow %s Yr5'!L115="","",'Cash Flow %s Yr5'!L115*'Expenses w MYP'!$I79))</f>
        <v>0</v>
      </c>
      <c r="M115" s="62">
        <f>IF('Expenses w MYP'!$I79="","",IF('Cash Flow %s Yr5'!M115="","",'Cash Flow %s Yr5'!M115*'Expenses w MYP'!$I79))</f>
        <v>0</v>
      </c>
      <c r="N115" s="62">
        <f>IF('Expenses w MYP'!$I79="","",IF('Cash Flow %s Yr5'!N115="","",'Cash Flow %s Yr5'!N115*'Expenses w MYP'!$I79))</f>
        <v>0</v>
      </c>
      <c r="O115" s="62">
        <f>IF('Expenses w MYP'!$I79="","",IF('Cash Flow %s Yr5'!O115="","",'Cash Flow %s Yr5'!O115*'Expenses w MYP'!$I79))</f>
        <v>0</v>
      </c>
      <c r="P115" s="113"/>
      <c r="Q115" s="113"/>
      <c r="R115" s="113"/>
      <c r="S115" s="97" t="str">
        <f>IF(SUM(D115:R115)&gt;0,SUM(D115:R115)/'Expenses w MYP'!$I79,"")</f>
        <v/>
      </c>
    </row>
    <row r="116" spans="1:19" s="31" customFormat="1" x14ac:dyDescent="0.75">
      <c r="A116" s="35"/>
      <c r="B116" s="121" t="str">
        <f>'Expenses w MYP'!C80</f>
        <v>5600</v>
      </c>
      <c r="C116" s="121" t="str">
        <f>'Expenses w MYP'!D80</f>
        <v>Space Rental/Leases Expense</v>
      </c>
      <c r="D116" s="62">
        <f>IF('Expenses w MYP'!$I80="","",IF('Cash Flow %s Yr5'!D116="","",'Cash Flow %s Yr5'!D116*'Expenses w MYP'!$I80))</f>
        <v>0</v>
      </c>
      <c r="E116" s="62">
        <f>IF('Expenses w MYP'!$I80="","",IF('Cash Flow %s Yr5'!E116="","",'Cash Flow %s Yr5'!E116*'Expenses w MYP'!$I80))</f>
        <v>0</v>
      </c>
      <c r="F116" s="62">
        <f>IF('Expenses w MYP'!$I80="","",IF('Cash Flow %s Yr5'!F116="","",'Cash Flow %s Yr5'!F116*'Expenses w MYP'!$I80))</f>
        <v>2563.8612792411805</v>
      </c>
      <c r="G116" s="62">
        <f>IF('Expenses w MYP'!$I80="","",IF('Cash Flow %s Yr5'!G116="","",'Cash Flow %s Yr5'!G116*'Expenses w MYP'!$I80))</f>
        <v>2563.8612792411805</v>
      </c>
      <c r="H116" s="62">
        <f>IF('Expenses w MYP'!$I80="","",IF('Cash Flow %s Yr5'!H116="","",'Cash Flow %s Yr5'!H116*'Expenses w MYP'!$I80))</f>
        <v>2563.8612792411805</v>
      </c>
      <c r="I116" s="62">
        <f>IF('Expenses w MYP'!$I80="","",IF('Cash Flow %s Yr5'!I116="","",'Cash Flow %s Yr5'!I116*'Expenses w MYP'!$I80))</f>
        <v>2563.8612792411805</v>
      </c>
      <c r="J116" s="62">
        <f>IF('Expenses w MYP'!$I80="","",IF('Cash Flow %s Yr5'!J116="","",'Cash Flow %s Yr5'!J116*'Expenses w MYP'!$I80))</f>
        <v>2563.8612792411805</v>
      </c>
      <c r="K116" s="62">
        <f>IF('Expenses w MYP'!$I80="","",IF('Cash Flow %s Yr5'!K116="","",'Cash Flow %s Yr5'!K116*'Expenses w MYP'!$I80))</f>
        <v>2563.8612792411805</v>
      </c>
      <c r="L116" s="62">
        <f>IF('Expenses w MYP'!$I80="","",IF('Cash Flow %s Yr5'!L116="","",'Cash Flow %s Yr5'!L116*'Expenses w MYP'!$I80))</f>
        <v>2563.8612792411805</v>
      </c>
      <c r="M116" s="62">
        <f>IF('Expenses w MYP'!$I80="","",IF('Cash Flow %s Yr5'!M116="","",'Cash Flow %s Yr5'!M116*'Expenses w MYP'!$I80))</f>
        <v>2563.8612792411805</v>
      </c>
      <c r="N116" s="62">
        <f>IF('Expenses w MYP'!$I80="","",IF('Cash Flow %s Yr5'!N116="","",'Cash Flow %s Yr5'!N116*'Expenses w MYP'!$I80))</f>
        <v>2563.8612792411805</v>
      </c>
      <c r="O116" s="62">
        <f>IF('Expenses w MYP'!$I80="","",IF('Cash Flow %s Yr5'!O116="","",'Cash Flow %s Yr5'!O116*'Expenses w MYP'!$I80))</f>
        <v>2563.8612792411805</v>
      </c>
      <c r="P116" s="113"/>
      <c r="Q116" s="113"/>
      <c r="R116" s="113"/>
      <c r="S116" s="97">
        <f>IF(SUM(D116:R116)&gt;0,SUM(D116:R116)/'Expenses w MYP'!$I80,"")</f>
        <v>1.0000000000000002</v>
      </c>
    </row>
    <row r="117" spans="1:19" s="31" customFormat="1" x14ac:dyDescent="0.75">
      <c r="A117" s="35"/>
      <c r="B117" s="121" t="str">
        <f>'Expenses w MYP'!C81</f>
        <v>5601</v>
      </c>
      <c r="C117" s="121" t="str">
        <f>'Expenses w MYP'!D81</f>
        <v>Building Maintenance</v>
      </c>
      <c r="D117" s="62">
        <f>IF('Expenses w MYP'!$I81="","",IF('Cash Flow %s Yr5'!D117="","",'Cash Flow %s Yr5'!D117*'Expenses w MYP'!$I81))</f>
        <v>0</v>
      </c>
      <c r="E117" s="62">
        <f>IF('Expenses w MYP'!$I81="","",IF('Cash Flow %s Yr5'!E117="","",'Cash Flow %s Yr5'!E117*'Expenses w MYP'!$I81))</f>
        <v>0</v>
      </c>
      <c r="F117" s="62">
        <f>IF('Expenses w MYP'!$I81="","",IF('Cash Flow %s Yr5'!F117="","",'Cash Flow %s Yr5'!F117*'Expenses w MYP'!$I81))</f>
        <v>0</v>
      </c>
      <c r="G117" s="62">
        <f>IF('Expenses w MYP'!$I81="","",IF('Cash Flow %s Yr5'!G117="","",'Cash Flow %s Yr5'!G117*'Expenses w MYP'!$I81))</f>
        <v>0</v>
      </c>
      <c r="H117" s="62">
        <f>IF('Expenses w MYP'!$I81="","",IF('Cash Flow %s Yr5'!H117="","",'Cash Flow %s Yr5'!H117*'Expenses w MYP'!$I81))</f>
        <v>0</v>
      </c>
      <c r="I117" s="62">
        <f>IF('Expenses w MYP'!$I81="","",IF('Cash Flow %s Yr5'!I117="","",'Cash Flow %s Yr5'!I117*'Expenses w MYP'!$I81))</f>
        <v>0</v>
      </c>
      <c r="J117" s="62">
        <f>IF('Expenses w MYP'!$I81="","",IF('Cash Flow %s Yr5'!J117="","",'Cash Flow %s Yr5'!J117*'Expenses w MYP'!$I81))</f>
        <v>0</v>
      </c>
      <c r="K117" s="62">
        <f>IF('Expenses w MYP'!$I81="","",IF('Cash Flow %s Yr5'!K117="","",'Cash Flow %s Yr5'!K117*'Expenses w MYP'!$I81))</f>
        <v>0</v>
      </c>
      <c r="L117" s="62">
        <f>IF('Expenses w MYP'!$I81="","",IF('Cash Flow %s Yr5'!L117="","",'Cash Flow %s Yr5'!L117*'Expenses w MYP'!$I81))</f>
        <v>0</v>
      </c>
      <c r="M117" s="62">
        <f>IF('Expenses w MYP'!$I81="","",IF('Cash Flow %s Yr5'!M117="","",'Cash Flow %s Yr5'!M117*'Expenses w MYP'!$I81))</f>
        <v>0</v>
      </c>
      <c r="N117" s="62">
        <f>IF('Expenses w MYP'!$I81="","",IF('Cash Flow %s Yr5'!N117="","",'Cash Flow %s Yr5'!N117*'Expenses w MYP'!$I81))</f>
        <v>0</v>
      </c>
      <c r="O117" s="62">
        <f>IF('Expenses w MYP'!$I81="","",IF('Cash Flow %s Yr5'!O117="","",'Cash Flow %s Yr5'!O117*'Expenses w MYP'!$I81))</f>
        <v>0</v>
      </c>
      <c r="P117" s="113"/>
      <c r="Q117" s="113"/>
      <c r="R117" s="113"/>
      <c r="S117" s="97" t="str">
        <f>IF(SUM(D117:R117)&gt;0,SUM(D117:R117)/'Expenses w MYP'!$I81,"")</f>
        <v/>
      </c>
    </row>
    <row r="118" spans="1:19" s="31" customFormat="1" x14ac:dyDescent="0.75">
      <c r="A118" s="35"/>
      <c r="B118" s="121" t="str">
        <f>'Expenses w MYP'!C82</f>
        <v>5602</v>
      </c>
      <c r="C118" s="121" t="str">
        <f>'Expenses w MYP'!D82</f>
        <v>Other Space Rental</v>
      </c>
      <c r="D118" s="62">
        <f>IF('Expenses w MYP'!$I82="","",IF('Cash Flow %s Yr5'!D118="","",'Cash Flow %s Yr5'!D118*'Expenses w MYP'!$I82))</f>
        <v>1594.4465476972591</v>
      </c>
      <c r="E118" s="62">
        <f>IF('Expenses w MYP'!$I82="","",IF('Cash Flow %s Yr5'!E118="","",'Cash Flow %s Yr5'!E118*'Expenses w MYP'!$I82))</f>
        <v>1594.4465476972591</v>
      </c>
      <c r="F118" s="62">
        <f>IF('Expenses w MYP'!$I82="","",IF('Cash Flow %s Yr5'!F118="","",'Cash Flow %s Yr5'!F118*'Expenses w MYP'!$I82))</f>
        <v>2870.0037858550659</v>
      </c>
      <c r="G118" s="62">
        <f>IF('Expenses w MYP'!$I82="","",IF('Cash Flow %s Yr5'!G118="","",'Cash Flow %s Yr5'!G118*'Expenses w MYP'!$I82))</f>
        <v>2870.0037858550659</v>
      </c>
      <c r="H118" s="62">
        <f>IF('Expenses w MYP'!$I82="","",IF('Cash Flow %s Yr5'!H118="","",'Cash Flow %s Yr5'!H118*'Expenses w MYP'!$I82))</f>
        <v>2870.0037858550659</v>
      </c>
      <c r="I118" s="62">
        <f>IF('Expenses w MYP'!$I82="","",IF('Cash Flow %s Yr5'!I118="","",'Cash Flow %s Yr5'!I118*'Expenses w MYP'!$I82))</f>
        <v>2870.0037858550659</v>
      </c>
      <c r="J118" s="62">
        <f>IF('Expenses w MYP'!$I82="","",IF('Cash Flow %s Yr5'!J118="","",'Cash Flow %s Yr5'!J118*'Expenses w MYP'!$I82))</f>
        <v>2870.0037858550659</v>
      </c>
      <c r="K118" s="62">
        <f>IF('Expenses w MYP'!$I82="","",IF('Cash Flow %s Yr5'!K118="","",'Cash Flow %s Yr5'!K118*'Expenses w MYP'!$I82))</f>
        <v>2870.0037858550659</v>
      </c>
      <c r="L118" s="62">
        <f>IF('Expenses w MYP'!$I82="","",IF('Cash Flow %s Yr5'!L118="","",'Cash Flow %s Yr5'!L118*'Expenses w MYP'!$I82))</f>
        <v>2870.0037858550659</v>
      </c>
      <c r="M118" s="62">
        <f>IF('Expenses w MYP'!$I82="","",IF('Cash Flow %s Yr5'!M118="","",'Cash Flow %s Yr5'!M118*'Expenses w MYP'!$I82))</f>
        <v>2870.0037858550659</v>
      </c>
      <c r="N118" s="62">
        <f>IF('Expenses w MYP'!$I82="","",IF('Cash Flow %s Yr5'!N118="","",'Cash Flow %s Yr5'!N118*'Expenses w MYP'!$I82))</f>
        <v>2870.0037858550659</v>
      </c>
      <c r="O118" s="62">
        <f>IF('Expenses w MYP'!$I82="","",IF('Cash Flow %s Yr5'!O118="","",'Cash Flow %s Yr5'!O118*'Expenses w MYP'!$I82))</f>
        <v>2870.0037858550659</v>
      </c>
      <c r="P118" s="113"/>
      <c r="Q118" s="113"/>
      <c r="R118" s="113"/>
      <c r="S118" s="97">
        <f>IF(SUM(D118:R118)&gt;0,SUM(D118:R118)/'Expenses w MYP'!$I82,"")</f>
        <v>0.99999999999999978</v>
      </c>
    </row>
    <row r="119" spans="1:19" s="31" customFormat="1" x14ac:dyDescent="0.75">
      <c r="A119" s="35"/>
      <c r="B119" s="121" t="str">
        <f>'Expenses w MYP'!C83</f>
        <v>5603</v>
      </c>
      <c r="C119" s="121" t="str">
        <f>'Expenses w MYP'!D83</f>
        <v>Engagement Space Rental</v>
      </c>
      <c r="D119" s="62">
        <f>IF('Expenses w MYP'!$I83="","",IF('Cash Flow %s Yr5'!D119="","",'Cash Flow %s Yr5'!D119*'Expenses w MYP'!$I83))</f>
        <v>0</v>
      </c>
      <c r="E119" s="62">
        <f>IF('Expenses w MYP'!$I83="","",IF('Cash Flow %s Yr5'!E119="","",'Cash Flow %s Yr5'!E119*'Expenses w MYP'!$I83))</f>
        <v>0</v>
      </c>
      <c r="F119" s="62">
        <f>IF('Expenses w MYP'!$I83="","",IF('Cash Flow %s Yr5'!F119="","",'Cash Flow %s Yr5'!F119*'Expenses w MYP'!$I83))</f>
        <v>0</v>
      </c>
      <c r="G119" s="62">
        <f>IF('Expenses w MYP'!$I83="","",IF('Cash Flow %s Yr5'!G119="","",'Cash Flow %s Yr5'!G119*'Expenses w MYP'!$I83))</f>
        <v>0</v>
      </c>
      <c r="H119" s="62">
        <f>IF('Expenses w MYP'!$I83="","",IF('Cash Flow %s Yr5'!H119="","",'Cash Flow %s Yr5'!H119*'Expenses w MYP'!$I83))</f>
        <v>0</v>
      </c>
      <c r="I119" s="62">
        <f>IF('Expenses w MYP'!$I83="","",IF('Cash Flow %s Yr5'!I119="","",'Cash Flow %s Yr5'!I119*'Expenses w MYP'!$I83))</f>
        <v>0</v>
      </c>
      <c r="J119" s="62">
        <f>IF('Expenses w MYP'!$I83="","",IF('Cash Flow %s Yr5'!J119="","",'Cash Flow %s Yr5'!J119*'Expenses w MYP'!$I83))</f>
        <v>0</v>
      </c>
      <c r="K119" s="62">
        <f>IF('Expenses w MYP'!$I83="","",IF('Cash Flow %s Yr5'!K119="","",'Cash Flow %s Yr5'!K119*'Expenses w MYP'!$I83))</f>
        <v>0</v>
      </c>
      <c r="L119" s="62">
        <f>IF('Expenses w MYP'!$I83="","",IF('Cash Flow %s Yr5'!L119="","",'Cash Flow %s Yr5'!L119*'Expenses w MYP'!$I83))</f>
        <v>0</v>
      </c>
      <c r="M119" s="62">
        <f>IF('Expenses w MYP'!$I83="","",IF('Cash Flow %s Yr5'!M119="","",'Cash Flow %s Yr5'!M119*'Expenses w MYP'!$I83))</f>
        <v>0</v>
      </c>
      <c r="N119" s="62">
        <f>IF('Expenses w MYP'!$I83="","",IF('Cash Flow %s Yr5'!N119="","",'Cash Flow %s Yr5'!N119*'Expenses w MYP'!$I83))</f>
        <v>0</v>
      </c>
      <c r="O119" s="62">
        <f>IF('Expenses w MYP'!$I83="","",IF('Cash Flow %s Yr5'!O119="","",'Cash Flow %s Yr5'!O119*'Expenses w MYP'!$I83))</f>
        <v>0</v>
      </c>
      <c r="P119" s="113"/>
      <c r="Q119" s="113"/>
      <c r="R119" s="113"/>
      <c r="S119" s="97" t="str">
        <f>IF(SUM(D119:R119)&gt;0,SUM(D119:R119)/'Expenses w MYP'!$I83,"")</f>
        <v/>
      </c>
    </row>
    <row r="120" spans="1:19" s="31" customFormat="1" x14ac:dyDescent="0.75">
      <c r="A120" s="35"/>
      <c r="B120" s="121" t="str">
        <f>'Expenses w MYP'!C84</f>
        <v>5610</v>
      </c>
      <c r="C120" s="121" t="str">
        <f>'Expenses w MYP'!D84</f>
        <v>Equipment Repair</v>
      </c>
      <c r="D120" s="62">
        <f>IF('Expenses w MYP'!$I84="","",IF('Cash Flow %s Yr5'!D120="","",'Cash Flow %s Yr5'!D120*'Expenses w MYP'!$I84))</f>
        <v>0</v>
      </c>
      <c r="E120" s="62">
        <f>IF('Expenses w MYP'!$I84="","",IF('Cash Flow %s Yr5'!E120="","",'Cash Flow %s Yr5'!E120*'Expenses w MYP'!$I84))</f>
        <v>0</v>
      </c>
      <c r="F120" s="62">
        <f>IF('Expenses w MYP'!$I84="","",IF('Cash Flow %s Yr5'!F120="","",'Cash Flow %s Yr5'!F120*'Expenses w MYP'!$I84))</f>
        <v>0</v>
      </c>
      <c r="G120" s="62">
        <f>IF('Expenses w MYP'!$I84="","",IF('Cash Flow %s Yr5'!G120="","",'Cash Flow %s Yr5'!G120*'Expenses w MYP'!$I84))</f>
        <v>0</v>
      </c>
      <c r="H120" s="62">
        <f>IF('Expenses w MYP'!$I84="","",IF('Cash Flow %s Yr5'!H120="","",'Cash Flow %s Yr5'!H120*'Expenses w MYP'!$I84))</f>
        <v>0</v>
      </c>
      <c r="I120" s="62">
        <f>IF('Expenses w MYP'!$I84="","",IF('Cash Flow %s Yr5'!I120="","",'Cash Flow %s Yr5'!I120*'Expenses w MYP'!$I84))</f>
        <v>0</v>
      </c>
      <c r="J120" s="62">
        <f>IF('Expenses w MYP'!$I84="","",IF('Cash Flow %s Yr5'!J120="","",'Cash Flow %s Yr5'!J120*'Expenses w MYP'!$I84))</f>
        <v>0</v>
      </c>
      <c r="K120" s="62">
        <f>IF('Expenses w MYP'!$I84="","",IF('Cash Flow %s Yr5'!K120="","",'Cash Flow %s Yr5'!K120*'Expenses w MYP'!$I84))</f>
        <v>0</v>
      </c>
      <c r="L120" s="62">
        <f>IF('Expenses w MYP'!$I84="","",IF('Cash Flow %s Yr5'!L120="","",'Cash Flow %s Yr5'!L120*'Expenses w MYP'!$I84))</f>
        <v>0</v>
      </c>
      <c r="M120" s="62">
        <f>IF('Expenses w MYP'!$I84="","",IF('Cash Flow %s Yr5'!M120="","",'Cash Flow %s Yr5'!M120*'Expenses w MYP'!$I84))</f>
        <v>0</v>
      </c>
      <c r="N120" s="62">
        <f>IF('Expenses w MYP'!$I84="","",IF('Cash Flow %s Yr5'!N120="","",'Cash Flow %s Yr5'!N120*'Expenses w MYP'!$I84))</f>
        <v>0</v>
      </c>
      <c r="O120" s="62">
        <f>IF('Expenses w MYP'!$I84="","",IF('Cash Flow %s Yr5'!O120="","",'Cash Flow %s Yr5'!O120*'Expenses w MYP'!$I84))</f>
        <v>0</v>
      </c>
      <c r="P120" s="113"/>
      <c r="Q120" s="113"/>
      <c r="R120" s="113"/>
      <c r="S120" s="97" t="str">
        <f>IF(SUM(D120:R120)&gt;0,SUM(D120:R120)/'Expenses w MYP'!$I84,"")</f>
        <v/>
      </c>
    </row>
    <row r="121" spans="1:19" s="31" customFormat="1" x14ac:dyDescent="0.75">
      <c r="A121" s="35"/>
      <c r="B121" s="121" t="str">
        <f>'Expenses w MYP'!C85</f>
        <v>5800</v>
      </c>
      <c r="C121" s="121" t="str">
        <f>'Expenses w MYP'!D85</f>
        <v>Professional/Consulting Services and Operating Expenditures</v>
      </c>
      <c r="D121" s="62">
        <f>IF('Expenses w MYP'!$I85="","",IF('Cash Flow %s Yr5'!D121="","",'Cash Flow %s Yr5'!D121*'Expenses w MYP'!$I85))</f>
        <v>0</v>
      </c>
      <c r="E121" s="62">
        <f>IF('Expenses w MYP'!$I85="","",IF('Cash Flow %s Yr5'!E121="","",'Cash Flow %s Yr5'!E121*'Expenses w MYP'!$I85))</f>
        <v>0</v>
      </c>
      <c r="F121" s="62">
        <f>IF('Expenses w MYP'!$I85="","",IF('Cash Flow %s Yr5'!F121="","",'Cash Flow %s Yr5'!F121*'Expenses w MYP'!$I85))</f>
        <v>17140.300387745534</v>
      </c>
      <c r="G121" s="62">
        <f>IF('Expenses w MYP'!$I85="","",IF('Cash Flow %s Yr5'!G121="","",'Cash Flow %s Yr5'!G121*'Expenses w MYP'!$I85))</f>
        <v>17140.300387745534</v>
      </c>
      <c r="H121" s="62">
        <f>IF('Expenses w MYP'!$I85="","",IF('Cash Flow %s Yr5'!H121="","",'Cash Flow %s Yr5'!H121*'Expenses w MYP'!$I85))</f>
        <v>17140.300387745534</v>
      </c>
      <c r="I121" s="62">
        <f>IF('Expenses w MYP'!$I85="","",IF('Cash Flow %s Yr5'!I121="","",'Cash Flow %s Yr5'!I121*'Expenses w MYP'!$I85))</f>
        <v>17140.300387745534</v>
      </c>
      <c r="J121" s="62">
        <f>IF('Expenses w MYP'!$I85="","",IF('Cash Flow %s Yr5'!J121="","",'Cash Flow %s Yr5'!J121*'Expenses w MYP'!$I85))</f>
        <v>17140.300387745534</v>
      </c>
      <c r="K121" s="62">
        <f>IF('Expenses w MYP'!$I85="","",IF('Cash Flow %s Yr5'!K121="","",'Cash Flow %s Yr5'!K121*'Expenses w MYP'!$I85))</f>
        <v>17140.300387745534</v>
      </c>
      <c r="L121" s="62">
        <f>IF('Expenses w MYP'!$I85="","",IF('Cash Flow %s Yr5'!L121="","",'Cash Flow %s Yr5'!L121*'Expenses w MYP'!$I85))</f>
        <v>17140.300387745534</v>
      </c>
      <c r="M121" s="62">
        <f>IF('Expenses w MYP'!$I85="","",IF('Cash Flow %s Yr5'!M121="","",'Cash Flow %s Yr5'!M121*'Expenses w MYP'!$I85))</f>
        <v>17140.300387745534</v>
      </c>
      <c r="N121" s="62">
        <f>IF('Expenses w MYP'!$I85="","",IF('Cash Flow %s Yr5'!N121="","",'Cash Flow %s Yr5'!N121*'Expenses w MYP'!$I85))</f>
        <v>17140.300387745534</v>
      </c>
      <c r="O121" s="62">
        <f>IF('Expenses w MYP'!$I85="","",IF('Cash Flow %s Yr5'!O121="","",'Cash Flow %s Yr5'!O121*'Expenses w MYP'!$I85))</f>
        <v>17140.300387745534</v>
      </c>
      <c r="P121" s="113"/>
      <c r="Q121" s="113"/>
      <c r="R121" s="113"/>
      <c r="S121" s="97">
        <f>IF(SUM(D121:R121)&gt;0,SUM(D121:R121)/'Expenses w MYP'!$I85,"")</f>
        <v>1.0000000000000002</v>
      </c>
    </row>
    <row r="122" spans="1:19" s="31" customFormat="1" x14ac:dyDescent="0.75">
      <c r="A122" s="35"/>
      <c r="B122" s="121" t="str">
        <f>'Expenses w MYP'!C86</f>
        <v>5803</v>
      </c>
      <c r="C122" s="121" t="str">
        <f>'Expenses w MYP'!D86</f>
        <v>Banking and Payroll Service Fees</v>
      </c>
      <c r="D122" s="62">
        <f>IF('Expenses w MYP'!$I86="","",IF('Cash Flow %s Yr5'!D122="","",'Cash Flow %s Yr5'!D122*'Expenses w MYP'!$I86))</f>
        <v>597.91745538647217</v>
      </c>
      <c r="E122" s="62">
        <f>IF('Expenses w MYP'!$I86="","",IF('Cash Flow %s Yr5'!E122="","",'Cash Flow %s Yr5'!E122*'Expenses w MYP'!$I86))</f>
        <v>597.91745538647217</v>
      </c>
      <c r="F122" s="62">
        <f>IF('Expenses w MYP'!$I86="","",IF('Cash Flow %s Yr5'!F122="","",'Cash Flow %s Yr5'!F122*'Expenses w MYP'!$I86))</f>
        <v>1076.2514196956497</v>
      </c>
      <c r="G122" s="62">
        <f>IF('Expenses w MYP'!$I86="","",IF('Cash Flow %s Yr5'!G122="","",'Cash Flow %s Yr5'!G122*'Expenses w MYP'!$I86))</f>
        <v>1076.2514196956497</v>
      </c>
      <c r="H122" s="62">
        <f>IF('Expenses w MYP'!$I86="","",IF('Cash Flow %s Yr5'!H122="","",'Cash Flow %s Yr5'!H122*'Expenses w MYP'!$I86))</f>
        <v>1076.2514196956497</v>
      </c>
      <c r="I122" s="62">
        <f>IF('Expenses w MYP'!$I86="","",IF('Cash Flow %s Yr5'!I122="","",'Cash Flow %s Yr5'!I122*'Expenses w MYP'!$I86))</f>
        <v>1076.2514196956497</v>
      </c>
      <c r="J122" s="62">
        <f>IF('Expenses w MYP'!$I86="","",IF('Cash Flow %s Yr5'!J122="","",'Cash Flow %s Yr5'!J122*'Expenses w MYP'!$I86))</f>
        <v>1076.2514196956497</v>
      </c>
      <c r="K122" s="62">
        <f>IF('Expenses w MYP'!$I86="","",IF('Cash Flow %s Yr5'!K122="","",'Cash Flow %s Yr5'!K122*'Expenses w MYP'!$I86))</f>
        <v>1076.2514196956497</v>
      </c>
      <c r="L122" s="62">
        <f>IF('Expenses w MYP'!$I86="","",IF('Cash Flow %s Yr5'!L122="","",'Cash Flow %s Yr5'!L122*'Expenses w MYP'!$I86))</f>
        <v>1076.2514196956497</v>
      </c>
      <c r="M122" s="62">
        <f>IF('Expenses w MYP'!$I86="","",IF('Cash Flow %s Yr5'!M122="","",'Cash Flow %s Yr5'!M122*'Expenses w MYP'!$I86))</f>
        <v>1076.2514196956497</v>
      </c>
      <c r="N122" s="62">
        <f>IF('Expenses w MYP'!$I86="","",IF('Cash Flow %s Yr5'!N122="","",'Cash Flow %s Yr5'!N122*'Expenses w MYP'!$I86))</f>
        <v>1076.2514196956497</v>
      </c>
      <c r="O122" s="62">
        <f>IF('Expenses w MYP'!$I86="","",IF('Cash Flow %s Yr5'!O122="","",'Cash Flow %s Yr5'!O122*'Expenses w MYP'!$I86))</f>
        <v>1076.2514196956497</v>
      </c>
      <c r="P122" s="113"/>
      <c r="Q122" s="113"/>
      <c r="R122" s="113"/>
      <c r="S122" s="97">
        <f>IF(SUM(D122:R122)&gt;0,SUM(D122:R122)/'Expenses w MYP'!$I86,"")</f>
        <v>0.99999999999999989</v>
      </c>
    </row>
    <row r="123" spans="1:19" s="31" customFormat="1" x14ac:dyDescent="0.75">
      <c r="A123" s="35"/>
      <c r="B123" s="121" t="str">
        <f>'Expenses w MYP'!C87</f>
        <v>5805</v>
      </c>
      <c r="C123" s="121" t="str">
        <f>'Expenses w MYP'!D87</f>
        <v>Legal Fees</v>
      </c>
      <c r="D123" s="62">
        <f>IF('Expenses w MYP'!$I87="","",IF('Cash Flow %s Yr5'!D123="","",'Cash Flow %s Yr5'!D123*'Expenses w MYP'!$I87))</f>
        <v>2989.5872769323605</v>
      </c>
      <c r="E123" s="62">
        <f>IF('Expenses w MYP'!$I87="","",IF('Cash Flow %s Yr5'!E123="","",'Cash Flow %s Yr5'!E123*'Expenses w MYP'!$I87))</f>
        <v>2989.5872769323605</v>
      </c>
      <c r="F123" s="62">
        <f>IF('Expenses w MYP'!$I87="","",IF('Cash Flow %s Yr5'!F123="","",'Cash Flow %s Yr5'!F123*'Expenses w MYP'!$I87))</f>
        <v>5381.2570984782487</v>
      </c>
      <c r="G123" s="62">
        <f>IF('Expenses w MYP'!$I87="","",IF('Cash Flow %s Yr5'!G123="","",'Cash Flow %s Yr5'!G123*'Expenses w MYP'!$I87))</f>
        <v>5381.2570984782487</v>
      </c>
      <c r="H123" s="62">
        <f>IF('Expenses w MYP'!$I87="","",IF('Cash Flow %s Yr5'!H123="","",'Cash Flow %s Yr5'!H123*'Expenses w MYP'!$I87))</f>
        <v>5381.2570984782487</v>
      </c>
      <c r="I123" s="62">
        <f>IF('Expenses w MYP'!$I87="","",IF('Cash Flow %s Yr5'!I123="","",'Cash Flow %s Yr5'!I123*'Expenses w MYP'!$I87))</f>
        <v>5381.2570984782487</v>
      </c>
      <c r="J123" s="62">
        <f>IF('Expenses w MYP'!$I87="","",IF('Cash Flow %s Yr5'!J123="","",'Cash Flow %s Yr5'!J123*'Expenses w MYP'!$I87))</f>
        <v>5381.2570984782487</v>
      </c>
      <c r="K123" s="62">
        <f>IF('Expenses w MYP'!$I87="","",IF('Cash Flow %s Yr5'!K123="","",'Cash Flow %s Yr5'!K123*'Expenses w MYP'!$I87))</f>
        <v>5381.2570984782487</v>
      </c>
      <c r="L123" s="62">
        <f>IF('Expenses w MYP'!$I87="","",IF('Cash Flow %s Yr5'!L123="","",'Cash Flow %s Yr5'!L123*'Expenses w MYP'!$I87))</f>
        <v>5381.2570984782487</v>
      </c>
      <c r="M123" s="62">
        <f>IF('Expenses w MYP'!$I87="","",IF('Cash Flow %s Yr5'!M123="","",'Cash Flow %s Yr5'!M123*'Expenses w MYP'!$I87))</f>
        <v>5381.2570984782487</v>
      </c>
      <c r="N123" s="62">
        <f>IF('Expenses w MYP'!$I87="","",IF('Cash Flow %s Yr5'!N123="","",'Cash Flow %s Yr5'!N123*'Expenses w MYP'!$I87))</f>
        <v>5381.2570984782487</v>
      </c>
      <c r="O123" s="62">
        <f>IF('Expenses w MYP'!$I87="","",IF('Cash Flow %s Yr5'!O123="","",'Cash Flow %s Yr5'!O123*'Expenses w MYP'!$I87))</f>
        <v>5381.2570984782487</v>
      </c>
      <c r="P123" s="113"/>
      <c r="Q123" s="113"/>
      <c r="R123" s="113"/>
      <c r="S123" s="97">
        <f>IF(SUM(D123:R123)&gt;0,SUM(D123:R123)/'Expenses w MYP'!$I87,"")</f>
        <v>1.0000000000000002</v>
      </c>
    </row>
    <row r="124" spans="1:19" s="31" customFormat="1" x14ac:dyDescent="0.75">
      <c r="A124" s="35"/>
      <c r="B124" s="121" t="str">
        <f>'Expenses w MYP'!C88</f>
        <v>5806</v>
      </c>
      <c r="C124" s="121" t="str">
        <f>'Expenses w MYP'!D88</f>
        <v>Audit Services</v>
      </c>
      <c r="D124" s="62">
        <f>IF('Expenses w MYP'!$I88="","",IF('Cash Flow %s Yr5'!D124="","",'Cash Flow %s Yr5'!D124*'Expenses w MYP'!$I88))</f>
        <v>459.00129991834842</v>
      </c>
      <c r="E124" s="62">
        <f>IF('Expenses w MYP'!$I88="","",IF('Cash Flow %s Yr5'!E124="","",'Cash Flow %s Yr5'!E124*'Expenses w MYP'!$I88))</f>
        <v>459.00129991834842</v>
      </c>
      <c r="F124" s="62">
        <f>IF('Expenses w MYP'!$I88="","",IF('Cash Flow %s Yr5'!F124="","",'Cash Flow %s Yr5'!F124*'Expenses w MYP'!$I88))</f>
        <v>826.20233985302707</v>
      </c>
      <c r="G124" s="62">
        <f>IF('Expenses w MYP'!$I88="","",IF('Cash Flow %s Yr5'!G124="","",'Cash Flow %s Yr5'!G124*'Expenses w MYP'!$I88))</f>
        <v>826.20233985302707</v>
      </c>
      <c r="H124" s="62">
        <f>IF('Expenses w MYP'!$I88="","",IF('Cash Flow %s Yr5'!H124="","",'Cash Flow %s Yr5'!H124*'Expenses w MYP'!$I88))</f>
        <v>826.20233985302707</v>
      </c>
      <c r="I124" s="62">
        <f>IF('Expenses w MYP'!$I88="","",IF('Cash Flow %s Yr5'!I124="","",'Cash Flow %s Yr5'!I124*'Expenses w MYP'!$I88))</f>
        <v>826.20233985302707</v>
      </c>
      <c r="J124" s="62">
        <f>IF('Expenses w MYP'!$I88="","",IF('Cash Flow %s Yr5'!J124="","",'Cash Flow %s Yr5'!J124*'Expenses w MYP'!$I88))</f>
        <v>826.20233985302707</v>
      </c>
      <c r="K124" s="62">
        <f>IF('Expenses w MYP'!$I88="","",IF('Cash Flow %s Yr5'!K124="","",'Cash Flow %s Yr5'!K124*'Expenses w MYP'!$I88))</f>
        <v>826.20233985302707</v>
      </c>
      <c r="L124" s="62">
        <f>IF('Expenses w MYP'!$I88="","",IF('Cash Flow %s Yr5'!L124="","",'Cash Flow %s Yr5'!L124*'Expenses w MYP'!$I88))</f>
        <v>826.20233985302707</v>
      </c>
      <c r="M124" s="62">
        <f>IF('Expenses w MYP'!$I88="","",IF('Cash Flow %s Yr5'!M124="","",'Cash Flow %s Yr5'!M124*'Expenses w MYP'!$I88))</f>
        <v>826.20233985302707</v>
      </c>
      <c r="N124" s="62">
        <f>IF('Expenses w MYP'!$I88="","",IF('Cash Flow %s Yr5'!N124="","",'Cash Flow %s Yr5'!N124*'Expenses w MYP'!$I88))</f>
        <v>826.20233985302707</v>
      </c>
      <c r="O124" s="62">
        <f>IF('Expenses w MYP'!$I88="","",IF('Cash Flow %s Yr5'!O124="","",'Cash Flow %s Yr5'!O124*'Expenses w MYP'!$I88))</f>
        <v>826.20233985302707</v>
      </c>
      <c r="P124" s="113"/>
      <c r="Q124" s="113"/>
      <c r="R124" s="113"/>
      <c r="S124" s="97">
        <f>IF(SUM(D124:R124)&gt;0,SUM(D124:R124)/'Expenses w MYP'!$I88,"")</f>
        <v>1.0000000000000002</v>
      </c>
    </row>
    <row r="125" spans="1:19" s="31" customFormat="1" x14ac:dyDescent="0.75">
      <c r="A125" s="35"/>
      <c r="B125" s="121" t="str">
        <f>'Expenses w MYP'!C91</f>
        <v>5810</v>
      </c>
      <c r="C125" s="121" t="str">
        <f>'Expenses w MYP'!D91</f>
        <v>Educational Consultants</v>
      </c>
      <c r="D125" s="62">
        <f>IF('Expenses w MYP'!$I91="","",IF('Cash Flow %s Yr5'!D125="","",'Cash Flow %s Yr5'!D125*'Expenses w MYP'!$I91))</f>
        <v>47833.396430917768</v>
      </c>
      <c r="E125" s="62">
        <f>IF('Expenses w MYP'!$I91="","",IF('Cash Flow %s Yr5'!E125="","",'Cash Flow %s Yr5'!E125*'Expenses w MYP'!$I91))</f>
        <v>47833.396430917768</v>
      </c>
      <c r="F125" s="62">
        <f>IF('Expenses w MYP'!$I91="","",IF('Cash Flow %s Yr5'!F125="","",'Cash Flow %s Yr5'!F125*'Expenses w MYP'!$I91))</f>
        <v>86100.11357565198</v>
      </c>
      <c r="G125" s="62">
        <f>IF('Expenses w MYP'!$I91="","",IF('Cash Flow %s Yr5'!G125="","",'Cash Flow %s Yr5'!G125*'Expenses w MYP'!$I91))</f>
        <v>86100.11357565198</v>
      </c>
      <c r="H125" s="62">
        <f>IF('Expenses w MYP'!$I91="","",IF('Cash Flow %s Yr5'!H125="","",'Cash Flow %s Yr5'!H125*'Expenses w MYP'!$I91))</f>
        <v>86100.11357565198</v>
      </c>
      <c r="I125" s="62">
        <f>IF('Expenses w MYP'!$I91="","",IF('Cash Flow %s Yr5'!I125="","",'Cash Flow %s Yr5'!I125*'Expenses w MYP'!$I91))</f>
        <v>86100.11357565198</v>
      </c>
      <c r="J125" s="62">
        <f>IF('Expenses w MYP'!$I91="","",IF('Cash Flow %s Yr5'!J125="","",'Cash Flow %s Yr5'!J125*'Expenses w MYP'!$I91))</f>
        <v>86100.11357565198</v>
      </c>
      <c r="K125" s="62">
        <f>IF('Expenses w MYP'!$I91="","",IF('Cash Flow %s Yr5'!K125="","",'Cash Flow %s Yr5'!K125*'Expenses w MYP'!$I91))</f>
        <v>86100.11357565198</v>
      </c>
      <c r="L125" s="62">
        <f>IF('Expenses w MYP'!$I91="","",IF('Cash Flow %s Yr5'!L125="","",'Cash Flow %s Yr5'!L125*'Expenses w MYP'!$I91))</f>
        <v>86100.11357565198</v>
      </c>
      <c r="M125" s="62">
        <f>IF('Expenses w MYP'!$I91="","",IF('Cash Flow %s Yr5'!M125="","",'Cash Flow %s Yr5'!M125*'Expenses w MYP'!$I91))</f>
        <v>86100.11357565198</v>
      </c>
      <c r="N125" s="62">
        <f>IF('Expenses w MYP'!$I91="","",IF('Cash Flow %s Yr5'!N125="","",'Cash Flow %s Yr5'!N125*'Expenses w MYP'!$I91))</f>
        <v>86100.11357565198</v>
      </c>
      <c r="O125" s="62">
        <f>IF('Expenses w MYP'!$I91="","",IF('Cash Flow %s Yr5'!O125="","",'Cash Flow %s Yr5'!O125*'Expenses w MYP'!$I91))</f>
        <v>86100.11357565198</v>
      </c>
      <c r="P125" s="113"/>
      <c r="Q125" s="113"/>
      <c r="R125" s="113"/>
      <c r="S125" s="97">
        <f>IF(SUM(D125:R125)&gt;0,SUM(D125:R125)/'Expenses w MYP'!$I91,"")</f>
        <v>1.0000000000000002</v>
      </c>
    </row>
    <row r="126" spans="1:19" s="31" customFormat="1" x14ac:dyDescent="0.75">
      <c r="A126" s="35"/>
      <c r="B126" s="121" t="str">
        <f>'Expenses w MYP'!C92</f>
        <v>5811</v>
      </c>
      <c r="C126" s="121" t="str">
        <f>'Expenses w MYP'!D92</f>
        <v>Student Transportation / Field Trips</v>
      </c>
      <c r="D126" s="62">
        <f>IF('Expenses w MYP'!$I92="","",IF('Cash Flow %s Yr5'!D126="","",'Cash Flow %s Yr5'!D126*'Expenses w MYP'!$I92))</f>
        <v>0</v>
      </c>
      <c r="E126" s="62">
        <f>IF('Expenses w MYP'!$I92="","",IF('Cash Flow %s Yr5'!E126="","",'Cash Flow %s Yr5'!E126*'Expenses w MYP'!$I92))</f>
        <v>0</v>
      </c>
      <c r="F126" s="62">
        <f>IF('Expenses w MYP'!$I92="","",IF('Cash Flow %s Yr5'!F126="","",'Cash Flow %s Yr5'!F126*'Expenses w MYP'!$I92))</f>
        <v>0</v>
      </c>
      <c r="G126" s="62">
        <f>IF('Expenses w MYP'!$I92="","",IF('Cash Flow %s Yr5'!G126="","",'Cash Flow %s Yr5'!G126*'Expenses w MYP'!$I92))</f>
        <v>0</v>
      </c>
      <c r="H126" s="62">
        <f>IF('Expenses w MYP'!$I92="","",IF('Cash Flow %s Yr5'!H126="","",'Cash Flow %s Yr5'!H126*'Expenses w MYP'!$I92))</f>
        <v>0</v>
      </c>
      <c r="I126" s="62">
        <f>IF('Expenses w MYP'!$I92="","",IF('Cash Flow %s Yr5'!I126="","",'Cash Flow %s Yr5'!I126*'Expenses w MYP'!$I92))</f>
        <v>0</v>
      </c>
      <c r="J126" s="62">
        <f>IF('Expenses w MYP'!$I92="","",IF('Cash Flow %s Yr5'!J126="","",'Cash Flow %s Yr5'!J126*'Expenses w MYP'!$I92))</f>
        <v>0</v>
      </c>
      <c r="K126" s="62">
        <f>IF('Expenses w MYP'!$I92="","",IF('Cash Flow %s Yr5'!K126="","",'Cash Flow %s Yr5'!K126*'Expenses w MYP'!$I92))</f>
        <v>0</v>
      </c>
      <c r="L126" s="62">
        <f>IF('Expenses w MYP'!$I92="","",IF('Cash Flow %s Yr5'!L126="","",'Cash Flow %s Yr5'!L126*'Expenses w MYP'!$I92))</f>
        <v>0</v>
      </c>
      <c r="M126" s="62">
        <f>IF('Expenses w MYP'!$I92="","",IF('Cash Flow %s Yr5'!M126="","",'Cash Flow %s Yr5'!M126*'Expenses w MYP'!$I92))</f>
        <v>0</v>
      </c>
      <c r="N126" s="62">
        <f>IF('Expenses w MYP'!$I92="","",IF('Cash Flow %s Yr5'!N126="","",'Cash Flow %s Yr5'!N126*'Expenses w MYP'!$I92))</f>
        <v>0</v>
      </c>
      <c r="O126" s="62">
        <f>IF('Expenses w MYP'!$I92="","",IF('Cash Flow %s Yr5'!O126="","",'Cash Flow %s Yr5'!O126*'Expenses w MYP'!$I92))</f>
        <v>0</v>
      </c>
      <c r="P126" s="113"/>
      <c r="Q126" s="113"/>
      <c r="R126" s="113"/>
      <c r="S126" s="97" t="str">
        <f>IF(SUM(D126:R126)&gt;0,SUM(D126:R126)/'Expenses w MYP'!$I92,"")</f>
        <v/>
      </c>
    </row>
    <row r="127" spans="1:19" s="31" customFormat="1" x14ac:dyDescent="0.75">
      <c r="A127" s="35"/>
      <c r="B127" s="121" t="str">
        <f>'Expenses w MYP'!C94</f>
        <v>5815</v>
      </c>
      <c r="C127" s="121" t="str">
        <f>'Expenses w MYP'!D94</f>
        <v>Advertising / Recruiting</v>
      </c>
      <c r="D127" s="62">
        <f>IF('Expenses w MYP'!$I94="","",IF('Cash Flow %s Yr5'!D127="","",'Cash Flow %s Yr5'!D127*'Expenses w MYP'!$I94))</f>
        <v>0</v>
      </c>
      <c r="E127" s="62">
        <f>IF('Expenses w MYP'!$I94="","",IF('Cash Flow %s Yr5'!E127="","",'Cash Flow %s Yr5'!E127*'Expenses w MYP'!$I94))</f>
        <v>0</v>
      </c>
      <c r="F127" s="62">
        <f>IF('Expenses w MYP'!$I94="","",IF('Cash Flow %s Yr5'!F127="","",'Cash Flow %s Yr5'!F127*'Expenses w MYP'!$I94))</f>
        <v>9965.2909231078684</v>
      </c>
      <c r="G127" s="62">
        <f>IF('Expenses w MYP'!$I94="","",IF('Cash Flow %s Yr5'!G127="","",'Cash Flow %s Yr5'!G127*'Expenses w MYP'!$I94))</f>
        <v>9965.2909231078684</v>
      </c>
      <c r="H127" s="62">
        <f>IF('Expenses w MYP'!$I94="","",IF('Cash Flow %s Yr5'!H127="","",'Cash Flow %s Yr5'!H127*'Expenses w MYP'!$I94))</f>
        <v>9965.2909231078684</v>
      </c>
      <c r="I127" s="62">
        <f>IF('Expenses w MYP'!$I94="","",IF('Cash Flow %s Yr5'!I127="","",'Cash Flow %s Yr5'!I127*'Expenses w MYP'!$I94))</f>
        <v>9965.2909231078684</v>
      </c>
      <c r="J127" s="62">
        <f>IF('Expenses w MYP'!$I94="","",IF('Cash Flow %s Yr5'!J127="","",'Cash Flow %s Yr5'!J127*'Expenses w MYP'!$I94))</f>
        <v>9965.2909231078684</v>
      </c>
      <c r="K127" s="62">
        <f>IF('Expenses w MYP'!$I94="","",IF('Cash Flow %s Yr5'!K127="","",'Cash Flow %s Yr5'!K127*'Expenses w MYP'!$I94))</f>
        <v>9965.2909231078684</v>
      </c>
      <c r="L127" s="62">
        <f>IF('Expenses w MYP'!$I94="","",IF('Cash Flow %s Yr5'!L127="","",'Cash Flow %s Yr5'!L127*'Expenses w MYP'!$I94))</f>
        <v>9965.2909231078684</v>
      </c>
      <c r="M127" s="62">
        <f>IF('Expenses w MYP'!$I94="","",IF('Cash Flow %s Yr5'!M127="","",'Cash Flow %s Yr5'!M127*'Expenses w MYP'!$I94))</f>
        <v>9965.2909231078684</v>
      </c>
      <c r="N127" s="62">
        <f>IF('Expenses w MYP'!$I94="","",IF('Cash Flow %s Yr5'!N127="","",'Cash Flow %s Yr5'!N127*'Expenses w MYP'!$I94))</f>
        <v>9965.2909231078684</v>
      </c>
      <c r="O127" s="62">
        <f>IF('Expenses w MYP'!$I94="","",IF('Cash Flow %s Yr5'!O127="","",'Cash Flow %s Yr5'!O127*'Expenses w MYP'!$I94))</f>
        <v>9965.2909231078684</v>
      </c>
      <c r="P127" s="113"/>
      <c r="Q127" s="113"/>
      <c r="R127" s="113"/>
      <c r="S127" s="97">
        <f>IF(SUM(D127:R127)&gt;0,SUM(D127:R127)/'Expenses w MYP'!$I94,"")</f>
        <v>1</v>
      </c>
    </row>
    <row r="128" spans="1:19" s="31" customFormat="1" x14ac:dyDescent="0.75">
      <c r="A128" s="35"/>
      <c r="B128" s="121" t="str">
        <f>'Expenses w MYP'!C95</f>
        <v>5820</v>
      </c>
      <c r="C128" s="121" t="str">
        <f>'Expenses w MYP'!D95</f>
        <v>Fundraising Expense</v>
      </c>
      <c r="D128" s="62">
        <f>IF('Expenses w MYP'!$I95="","",IF('Cash Flow %s Yr5'!D128="","",'Cash Flow %s Yr5'!D128*'Expenses w MYP'!$I95))</f>
        <v>0</v>
      </c>
      <c r="E128" s="62">
        <f>IF('Expenses w MYP'!$I95="","",IF('Cash Flow %s Yr5'!E128="","",'Cash Flow %s Yr5'!E128*'Expenses w MYP'!$I95))</f>
        <v>0</v>
      </c>
      <c r="F128" s="62">
        <f>IF('Expenses w MYP'!$I95="","",IF('Cash Flow %s Yr5'!F128="","",'Cash Flow %s Yr5'!F128*'Expenses w MYP'!$I95))</f>
        <v>0</v>
      </c>
      <c r="G128" s="62">
        <f>IF('Expenses w MYP'!$I95="","",IF('Cash Flow %s Yr5'!G128="","",'Cash Flow %s Yr5'!G128*'Expenses w MYP'!$I95))</f>
        <v>0</v>
      </c>
      <c r="H128" s="62">
        <f>IF('Expenses w MYP'!$I95="","",IF('Cash Flow %s Yr5'!H128="","",'Cash Flow %s Yr5'!H128*'Expenses w MYP'!$I95))</f>
        <v>0</v>
      </c>
      <c r="I128" s="62">
        <f>IF('Expenses w MYP'!$I95="","",IF('Cash Flow %s Yr5'!I128="","",'Cash Flow %s Yr5'!I128*'Expenses w MYP'!$I95))</f>
        <v>0</v>
      </c>
      <c r="J128" s="62">
        <f>IF('Expenses w MYP'!$I95="","",IF('Cash Flow %s Yr5'!J128="","",'Cash Flow %s Yr5'!J128*'Expenses w MYP'!$I95))</f>
        <v>0</v>
      </c>
      <c r="K128" s="62">
        <f>IF('Expenses w MYP'!$I95="","",IF('Cash Flow %s Yr5'!K128="","",'Cash Flow %s Yr5'!K128*'Expenses w MYP'!$I95))</f>
        <v>0</v>
      </c>
      <c r="L128" s="62">
        <f>IF('Expenses w MYP'!$I95="","",IF('Cash Flow %s Yr5'!L128="","",'Cash Flow %s Yr5'!L128*'Expenses w MYP'!$I95))</f>
        <v>0</v>
      </c>
      <c r="M128" s="62">
        <f>IF('Expenses w MYP'!$I95="","",IF('Cash Flow %s Yr5'!M128="","",'Cash Flow %s Yr5'!M128*'Expenses w MYP'!$I95))</f>
        <v>0</v>
      </c>
      <c r="N128" s="62">
        <f>IF('Expenses w MYP'!$I95="","",IF('Cash Flow %s Yr5'!N128="","",'Cash Flow %s Yr5'!N128*'Expenses w MYP'!$I95))</f>
        <v>0</v>
      </c>
      <c r="O128" s="62">
        <f>IF('Expenses w MYP'!$I95="","",IF('Cash Flow %s Yr5'!O128="","",'Cash Flow %s Yr5'!O128*'Expenses w MYP'!$I95))</f>
        <v>0</v>
      </c>
      <c r="P128" s="113"/>
      <c r="Q128" s="113"/>
      <c r="R128" s="113"/>
      <c r="S128" s="97" t="str">
        <f>IF(SUM(D128:R128)&gt;0,SUM(D128:R128)/'Expenses w MYP'!$I95,"")</f>
        <v/>
      </c>
    </row>
    <row r="129" spans="1:19" s="31" customFormat="1" x14ac:dyDescent="0.75">
      <c r="A129" s="35"/>
      <c r="B129" s="121" t="str">
        <f>'Expenses w MYP'!C97</f>
        <v>5873</v>
      </c>
      <c r="C129" s="121" t="str">
        <f>'Expenses w MYP'!D97</f>
        <v>Financial Services</v>
      </c>
      <c r="D129" s="62">
        <f>IF('Expenses w MYP'!$I97="","",IF('Cash Flow %s Yr5'!D129="","",'Cash Flow %s Yr5'!D129*'Expenses w MYP'!$I97))</f>
        <v>19782.260115452103</v>
      </c>
      <c r="E129" s="62">
        <f>IF('Expenses w MYP'!$I97="","",IF('Cash Flow %s Yr5'!E129="","",'Cash Flow %s Yr5'!E129*'Expenses w MYP'!$I97))</f>
        <v>19782.260115452103</v>
      </c>
      <c r="F129" s="62">
        <f>IF('Expenses w MYP'!$I97="","",IF('Cash Flow %s Yr5'!F129="","",'Cash Flow %s Yr5'!F129*'Expenses w MYP'!$I97))</f>
        <v>19782.260115452103</v>
      </c>
      <c r="G129" s="62">
        <f>IF('Expenses w MYP'!$I97="","",IF('Cash Flow %s Yr5'!G129="","",'Cash Flow %s Yr5'!G129*'Expenses w MYP'!$I97))</f>
        <v>19782.260115452103</v>
      </c>
      <c r="H129" s="62">
        <f>IF('Expenses w MYP'!$I97="","",IF('Cash Flow %s Yr5'!H129="","",'Cash Flow %s Yr5'!H129*'Expenses w MYP'!$I97))</f>
        <v>19782.260115452103</v>
      </c>
      <c r="I129" s="62">
        <f>IF('Expenses w MYP'!$I97="","",IF('Cash Flow %s Yr5'!I129="","",'Cash Flow %s Yr5'!I129*'Expenses w MYP'!$I97))</f>
        <v>19782.260115452103</v>
      </c>
      <c r="J129" s="62">
        <f>IF('Expenses w MYP'!$I97="","",IF('Cash Flow %s Yr5'!J129="","",'Cash Flow %s Yr5'!J129*'Expenses w MYP'!$I97))</f>
        <v>19782.260115452103</v>
      </c>
      <c r="K129" s="62">
        <f>IF('Expenses w MYP'!$I97="","",IF('Cash Flow %s Yr5'!K129="","",'Cash Flow %s Yr5'!K129*'Expenses w MYP'!$I97))</f>
        <v>19782.260115452103</v>
      </c>
      <c r="L129" s="62">
        <f>IF('Expenses w MYP'!$I97="","",IF('Cash Flow %s Yr5'!L129="","",'Cash Flow %s Yr5'!L129*'Expenses w MYP'!$I97))</f>
        <v>20020.600598770801</v>
      </c>
      <c r="M129" s="62">
        <f>IF('Expenses w MYP'!$I97="","",IF('Cash Flow %s Yr5'!M129="","",'Cash Flow %s Yr5'!M129*'Expenses w MYP'!$I97))</f>
        <v>20020.600598770801</v>
      </c>
      <c r="N129" s="62">
        <f>IF('Expenses w MYP'!$I97="","",IF('Cash Flow %s Yr5'!N129="","",'Cash Flow %s Yr5'!N129*'Expenses w MYP'!$I97))</f>
        <v>20020.600598770801</v>
      </c>
      <c r="O129" s="62">
        <f>IF('Expenses w MYP'!$I97="","",IF('Cash Flow %s Yr5'!O129="","",'Cash Flow %s Yr5'!O129*'Expenses w MYP'!$I97))</f>
        <v>20020.600598770801</v>
      </c>
      <c r="P129" s="113"/>
      <c r="Q129" s="113"/>
      <c r="R129" s="113"/>
      <c r="S129" s="97">
        <f>IF(SUM(D129:R129)&gt;0,SUM(D129:R129)/'Expenses w MYP'!$I97,"")</f>
        <v>1.0000000000000002</v>
      </c>
    </row>
    <row r="130" spans="1:19" s="31" customFormat="1" x14ac:dyDescent="0.75">
      <c r="A130" s="35"/>
      <c r="B130" s="121" t="str">
        <f>'Expenses w MYP'!C98</f>
        <v>5874</v>
      </c>
      <c r="C130" s="121" t="str">
        <f>'Expenses w MYP'!D98</f>
        <v>Personnel Services</v>
      </c>
      <c r="D130" s="62">
        <f>IF('Expenses w MYP'!$I98="","",IF('Cash Flow %s Yr5'!D130="","",'Cash Flow %s Yr5'!D130*'Expenses w MYP'!$I98))</f>
        <v>165.42382932359061</v>
      </c>
      <c r="E130" s="62">
        <f>IF('Expenses w MYP'!$I98="","",IF('Cash Flow %s Yr5'!E130="","",'Cash Flow %s Yr5'!E130*'Expenses w MYP'!$I98))</f>
        <v>165.42382932359061</v>
      </c>
      <c r="F130" s="62">
        <f>IF('Expenses w MYP'!$I98="","",IF('Cash Flow %s Yr5'!F130="","",'Cash Flow %s Yr5'!F130*'Expenses w MYP'!$I98))</f>
        <v>165.42382932359061</v>
      </c>
      <c r="G130" s="62">
        <f>IF('Expenses w MYP'!$I98="","",IF('Cash Flow %s Yr5'!G130="","",'Cash Flow %s Yr5'!G130*'Expenses w MYP'!$I98))</f>
        <v>165.42382932359061</v>
      </c>
      <c r="H130" s="62">
        <f>IF('Expenses w MYP'!$I98="","",IF('Cash Flow %s Yr5'!H130="","",'Cash Flow %s Yr5'!H130*'Expenses w MYP'!$I98))</f>
        <v>165.42382932359061</v>
      </c>
      <c r="I130" s="62">
        <f>IF('Expenses w MYP'!$I98="","",IF('Cash Flow %s Yr5'!I130="","",'Cash Flow %s Yr5'!I130*'Expenses w MYP'!$I98))</f>
        <v>165.42382932359061</v>
      </c>
      <c r="J130" s="62">
        <f>IF('Expenses w MYP'!$I98="","",IF('Cash Flow %s Yr5'!J130="","",'Cash Flow %s Yr5'!J130*'Expenses w MYP'!$I98))</f>
        <v>165.42382932359061</v>
      </c>
      <c r="K130" s="62">
        <f>IF('Expenses w MYP'!$I98="","",IF('Cash Flow %s Yr5'!K130="","",'Cash Flow %s Yr5'!K130*'Expenses w MYP'!$I98))</f>
        <v>165.42382932359061</v>
      </c>
      <c r="L130" s="62">
        <f>IF('Expenses w MYP'!$I98="","",IF('Cash Flow %s Yr5'!L130="","",'Cash Flow %s Yr5'!L130*'Expenses w MYP'!$I98))</f>
        <v>167.4168875082122</v>
      </c>
      <c r="M130" s="62">
        <f>IF('Expenses w MYP'!$I98="","",IF('Cash Flow %s Yr5'!M130="","",'Cash Flow %s Yr5'!M130*'Expenses w MYP'!$I98))</f>
        <v>167.4168875082122</v>
      </c>
      <c r="N130" s="62">
        <f>IF('Expenses w MYP'!$I98="","",IF('Cash Flow %s Yr5'!N130="","",'Cash Flow %s Yr5'!N130*'Expenses w MYP'!$I98))</f>
        <v>167.4168875082122</v>
      </c>
      <c r="O130" s="62">
        <f>IF('Expenses w MYP'!$I98="","",IF('Cash Flow %s Yr5'!O130="","",'Cash Flow %s Yr5'!O130*'Expenses w MYP'!$I98))</f>
        <v>167.4168875082122</v>
      </c>
      <c r="P130" s="113"/>
      <c r="Q130" s="113"/>
      <c r="R130" s="113"/>
      <c r="S130" s="97">
        <f>IF(SUM(D130:R130)&gt;0,SUM(D130:R130)/'Expenses w MYP'!$I98,"")</f>
        <v>1</v>
      </c>
    </row>
    <row r="131" spans="1:19" s="31" customFormat="1" hidden="1" outlineLevel="1" x14ac:dyDescent="0.75">
      <c r="A131" s="35"/>
      <c r="B131" s="121" t="str">
        <f>'Expenses w MYP'!C99</f>
        <v>5875</v>
      </c>
      <c r="C131" s="121" t="str">
        <f>'Expenses w MYP'!D99</f>
        <v>District Oversight Fee</v>
      </c>
      <c r="D131" s="62">
        <f>IF('Expenses w MYP'!$I99="","",IF('Cash Flow %s Yr5'!D131="","",'Cash Flow %s Yr5'!D131*'Expenses w MYP'!$I99))</f>
        <v>0</v>
      </c>
      <c r="E131" s="62">
        <f>IF('Expenses w MYP'!$I99="","",IF('Cash Flow %s Yr5'!E131="","",'Cash Flow %s Yr5'!E131*'Expenses w MYP'!$I99))</f>
        <v>0</v>
      </c>
      <c r="F131" s="62">
        <f>IF('Expenses w MYP'!$I99="","",IF('Cash Flow %s Yr5'!F131="","",'Cash Flow %s Yr5'!F131*'Expenses w MYP'!$I99))</f>
        <v>10592.910369720003</v>
      </c>
      <c r="G131" s="62">
        <f>IF('Expenses w MYP'!$I99="","",IF('Cash Flow %s Yr5'!G131="","",'Cash Flow %s Yr5'!G131*'Expenses w MYP'!$I99))</f>
        <v>10592.910369720003</v>
      </c>
      <c r="H131" s="62">
        <f>IF('Expenses w MYP'!$I99="","",IF('Cash Flow %s Yr5'!H131="","",'Cash Flow %s Yr5'!H131*'Expenses w MYP'!$I99))</f>
        <v>10592.910369720003</v>
      </c>
      <c r="I131" s="62">
        <f>IF('Expenses w MYP'!$I99="","",IF('Cash Flow %s Yr5'!I131="","",'Cash Flow %s Yr5'!I131*'Expenses w MYP'!$I99))</f>
        <v>10592.910369720003</v>
      </c>
      <c r="J131" s="62">
        <f>IF('Expenses w MYP'!$I99="","",IF('Cash Flow %s Yr5'!J131="","",'Cash Flow %s Yr5'!J131*'Expenses w MYP'!$I99))</f>
        <v>10592.910369720003</v>
      </c>
      <c r="K131" s="62">
        <f>IF('Expenses w MYP'!$I99="","",IF('Cash Flow %s Yr5'!K131="","",'Cash Flow %s Yr5'!K131*'Expenses w MYP'!$I99))</f>
        <v>10592.910369720003</v>
      </c>
      <c r="L131" s="62">
        <f>IF('Expenses w MYP'!$I99="","",IF('Cash Flow %s Yr5'!L131="","",'Cash Flow %s Yr5'!L131*'Expenses w MYP'!$I99))</f>
        <v>10592.910369720003</v>
      </c>
      <c r="M131" s="62">
        <f>IF('Expenses w MYP'!$I99="","",IF('Cash Flow %s Yr5'!M131="","",'Cash Flow %s Yr5'!M131*'Expenses w MYP'!$I99))</f>
        <v>10592.910369720003</v>
      </c>
      <c r="N131" s="62">
        <f>IF('Expenses w MYP'!$I99="","",IF('Cash Flow %s Yr5'!N131="","",'Cash Flow %s Yr5'!N131*'Expenses w MYP'!$I99))</f>
        <v>10592.910369720003</v>
      </c>
      <c r="O131" s="62">
        <f>IF('Expenses w MYP'!$I99="","",IF('Cash Flow %s Yr5'!O131="","",'Cash Flow %s Yr5'!O131*'Expenses w MYP'!$I99))</f>
        <v>10592.910369720003</v>
      </c>
      <c r="P131" s="113"/>
      <c r="Q131" s="113"/>
      <c r="R131" s="113"/>
      <c r="S131" s="97"/>
    </row>
    <row r="132" spans="1:19" s="31" customFormat="1" hidden="1" outlineLevel="1" x14ac:dyDescent="0.75">
      <c r="A132" s="35"/>
      <c r="B132" s="121" t="str">
        <f>'Expenses w MYP'!C100</f>
        <v>5877</v>
      </c>
      <c r="C132" s="121" t="str">
        <f>'Expenses w MYP'!D100</f>
        <v>IT Services</v>
      </c>
      <c r="D132" s="62">
        <f>IF('Expenses w MYP'!$I100="","",IF('Cash Flow %s Yr5'!D132="","",'Cash Flow %s Yr5'!D132*'Expenses w MYP'!$I100))</f>
        <v>0</v>
      </c>
      <c r="E132" s="62">
        <f>IF('Expenses w MYP'!$I100="","",IF('Cash Flow %s Yr5'!E132="","",'Cash Flow %s Yr5'!E132*'Expenses w MYP'!$I100))</f>
        <v>0</v>
      </c>
      <c r="F132" s="62">
        <f>IF('Expenses w MYP'!$I100="","",IF('Cash Flow %s Yr5'!F132="","",'Cash Flow %s Yr5'!F132*'Expenses w MYP'!$I100))</f>
        <v>13154.184018502388</v>
      </c>
      <c r="G132" s="62">
        <f>IF('Expenses w MYP'!$I100="","",IF('Cash Flow %s Yr5'!G132="","",'Cash Flow %s Yr5'!G132*'Expenses w MYP'!$I100))</f>
        <v>13154.184018502388</v>
      </c>
      <c r="H132" s="62">
        <f>IF('Expenses w MYP'!$I100="","",IF('Cash Flow %s Yr5'!H132="","",'Cash Flow %s Yr5'!H132*'Expenses w MYP'!$I100))</f>
        <v>13154.184018502388</v>
      </c>
      <c r="I132" s="62">
        <f>IF('Expenses w MYP'!$I100="","",IF('Cash Flow %s Yr5'!I132="","",'Cash Flow %s Yr5'!I132*'Expenses w MYP'!$I100))</f>
        <v>13154.184018502388</v>
      </c>
      <c r="J132" s="62">
        <f>IF('Expenses w MYP'!$I100="","",IF('Cash Flow %s Yr5'!J132="","",'Cash Flow %s Yr5'!J132*'Expenses w MYP'!$I100))</f>
        <v>13154.184018502388</v>
      </c>
      <c r="K132" s="62">
        <f>IF('Expenses w MYP'!$I100="","",IF('Cash Flow %s Yr5'!K132="","",'Cash Flow %s Yr5'!K132*'Expenses w MYP'!$I100))</f>
        <v>13154.184018502388</v>
      </c>
      <c r="L132" s="62">
        <f>IF('Expenses w MYP'!$I100="","",IF('Cash Flow %s Yr5'!L132="","",'Cash Flow %s Yr5'!L132*'Expenses w MYP'!$I100))</f>
        <v>13154.184018502388</v>
      </c>
      <c r="M132" s="62">
        <f>IF('Expenses w MYP'!$I100="","",IF('Cash Flow %s Yr5'!M132="","",'Cash Flow %s Yr5'!M132*'Expenses w MYP'!$I100))</f>
        <v>13154.184018502388</v>
      </c>
      <c r="N132" s="62">
        <f>IF('Expenses w MYP'!$I100="","",IF('Cash Flow %s Yr5'!N132="","",'Cash Flow %s Yr5'!N132*'Expenses w MYP'!$I100))</f>
        <v>13154.184018502388</v>
      </c>
      <c r="O132" s="62">
        <f>IF('Expenses w MYP'!$I100="","",IF('Cash Flow %s Yr5'!O132="","",'Cash Flow %s Yr5'!O132*'Expenses w MYP'!$I100))</f>
        <v>13154.184018502388</v>
      </c>
      <c r="P132" s="113"/>
      <c r="Q132" s="113"/>
      <c r="R132" s="113"/>
      <c r="S132" s="97"/>
    </row>
    <row r="133" spans="1:19" s="31" customFormat="1" hidden="1" outlineLevel="1" x14ac:dyDescent="0.75">
      <c r="A133" s="35"/>
      <c r="B133" s="121" t="str">
        <f>'Expenses w MYP'!C101</f>
        <v>5890</v>
      </c>
      <c r="C133" s="121" t="str">
        <f>'Expenses w MYP'!D101</f>
        <v>Interest Expense / Misc. Fees</v>
      </c>
      <c r="D133" s="62">
        <f>IF('Expenses w MYP'!$I101="","",IF('Cash Flow %s Yr5'!D133="","",'Cash Flow %s Yr5'!D133*'Expenses w MYP'!$I101))</f>
        <v>0</v>
      </c>
      <c r="E133" s="62">
        <f>IF('Expenses w MYP'!$I101="","",IF('Cash Flow %s Yr5'!E133="","",'Cash Flow %s Yr5'!E133*'Expenses w MYP'!$I101))</f>
        <v>0</v>
      </c>
      <c r="F133" s="62">
        <f>IF('Expenses w MYP'!$I101="","",IF('Cash Flow %s Yr5'!F133="","",'Cash Flow %s Yr5'!F133*'Expenses w MYP'!$I101))</f>
        <v>119.58349107729441</v>
      </c>
      <c r="G133" s="62">
        <f>IF('Expenses w MYP'!$I101="","",IF('Cash Flow %s Yr5'!G133="","",'Cash Flow %s Yr5'!G133*'Expenses w MYP'!$I101))</f>
        <v>119.58349107729441</v>
      </c>
      <c r="H133" s="62">
        <f>IF('Expenses w MYP'!$I101="","",IF('Cash Flow %s Yr5'!H133="","",'Cash Flow %s Yr5'!H133*'Expenses w MYP'!$I101))</f>
        <v>119.58349107729441</v>
      </c>
      <c r="I133" s="62">
        <f>IF('Expenses w MYP'!$I101="","",IF('Cash Flow %s Yr5'!I133="","",'Cash Flow %s Yr5'!I133*'Expenses w MYP'!$I101))</f>
        <v>119.58349107729441</v>
      </c>
      <c r="J133" s="62">
        <f>IF('Expenses w MYP'!$I101="","",IF('Cash Flow %s Yr5'!J133="","",'Cash Flow %s Yr5'!J133*'Expenses w MYP'!$I101))</f>
        <v>119.58349107729441</v>
      </c>
      <c r="K133" s="62">
        <f>IF('Expenses w MYP'!$I101="","",IF('Cash Flow %s Yr5'!K133="","",'Cash Flow %s Yr5'!K133*'Expenses w MYP'!$I101))</f>
        <v>119.58349107729441</v>
      </c>
      <c r="L133" s="62">
        <f>IF('Expenses w MYP'!$I101="","",IF('Cash Flow %s Yr5'!L133="","",'Cash Flow %s Yr5'!L133*'Expenses w MYP'!$I101))</f>
        <v>119.58349107729441</v>
      </c>
      <c r="M133" s="62">
        <f>IF('Expenses w MYP'!$I101="","",IF('Cash Flow %s Yr5'!M133="","",'Cash Flow %s Yr5'!M133*'Expenses w MYP'!$I101))</f>
        <v>119.58349107729441</v>
      </c>
      <c r="N133" s="62">
        <f>IF('Expenses w MYP'!$I101="","",IF('Cash Flow %s Yr5'!N133="","",'Cash Flow %s Yr5'!N133*'Expenses w MYP'!$I101))</f>
        <v>119.58349107729441</v>
      </c>
      <c r="O133" s="62">
        <f>IF('Expenses w MYP'!$I101="","",IF('Cash Flow %s Yr5'!O133="","",'Cash Flow %s Yr5'!O133*'Expenses w MYP'!$I101))</f>
        <v>119.58349107729441</v>
      </c>
      <c r="P133" s="113"/>
      <c r="Q133" s="113"/>
      <c r="R133" s="113"/>
      <c r="S133" s="97"/>
    </row>
    <row r="134" spans="1:19" s="31" customFormat="1" hidden="1" outlineLevel="1" x14ac:dyDescent="0.75">
      <c r="A134" s="35"/>
      <c r="B134" s="121" t="str">
        <f>'Expenses w MYP'!C102</f>
        <v>5891</v>
      </c>
      <c r="C134" s="121" t="str">
        <f>'Expenses w MYP'!D102</f>
        <v>CSC Borrowing Fees</v>
      </c>
      <c r="D134" s="62">
        <f>IF('Expenses w MYP'!$I102="","",IF('Cash Flow %s Yr5'!D134="","",'Cash Flow %s Yr5'!D134*'Expenses w MYP'!$I102))</f>
        <v>0</v>
      </c>
      <c r="E134" s="62">
        <f>IF('Expenses w MYP'!$I102="","",IF('Cash Flow %s Yr5'!E134="","",'Cash Flow %s Yr5'!E134*'Expenses w MYP'!$I102))</f>
        <v>0</v>
      </c>
      <c r="F134" s="62">
        <f>IF('Expenses w MYP'!$I102="","",IF('Cash Flow %s Yr5'!F134="","",'Cash Flow %s Yr5'!F134*'Expenses w MYP'!$I102))</f>
        <v>0</v>
      </c>
      <c r="G134" s="62">
        <f>IF('Expenses w MYP'!$I102="","",IF('Cash Flow %s Yr5'!G134="","",'Cash Flow %s Yr5'!G134*'Expenses w MYP'!$I102))</f>
        <v>0</v>
      </c>
      <c r="H134" s="62">
        <f>IF('Expenses w MYP'!$I102="","",IF('Cash Flow %s Yr5'!H134="","",'Cash Flow %s Yr5'!H134*'Expenses w MYP'!$I102))</f>
        <v>0</v>
      </c>
      <c r="I134" s="62">
        <f>IF('Expenses w MYP'!$I102="","",IF('Cash Flow %s Yr5'!I134="","",'Cash Flow %s Yr5'!I134*'Expenses w MYP'!$I102))</f>
        <v>0</v>
      </c>
      <c r="J134" s="62">
        <f>IF('Expenses w MYP'!$I102="","",IF('Cash Flow %s Yr5'!J134="","",'Cash Flow %s Yr5'!J134*'Expenses w MYP'!$I102))</f>
        <v>0</v>
      </c>
      <c r="K134" s="62">
        <f>IF('Expenses w MYP'!$I102="","",IF('Cash Flow %s Yr5'!K134="","",'Cash Flow %s Yr5'!K134*'Expenses w MYP'!$I102))</f>
        <v>0</v>
      </c>
      <c r="L134" s="62">
        <f>IF('Expenses w MYP'!$I102="","",IF('Cash Flow %s Yr5'!L134="","",'Cash Flow %s Yr5'!L134*'Expenses w MYP'!$I102))</f>
        <v>0</v>
      </c>
      <c r="M134" s="62">
        <f>IF('Expenses w MYP'!$I102="","",IF('Cash Flow %s Yr5'!M134="","",'Cash Flow %s Yr5'!M134*'Expenses w MYP'!$I102))</f>
        <v>0</v>
      </c>
      <c r="N134" s="62">
        <f>IF('Expenses w MYP'!$I102="","",IF('Cash Flow %s Yr5'!N134="","",'Cash Flow %s Yr5'!N134*'Expenses w MYP'!$I102))</f>
        <v>0</v>
      </c>
      <c r="O134" s="62">
        <f>IF('Expenses w MYP'!$I102="","",IF('Cash Flow %s Yr5'!O134="","",'Cash Flow %s Yr5'!O134*'Expenses w MYP'!$I102))</f>
        <v>0</v>
      </c>
      <c r="P134" s="113"/>
      <c r="Q134" s="113"/>
      <c r="R134" s="113"/>
      <c r="S134" s="97"/>
    </row>
    <row r="135" spans="1:19" s="31" customFormat="1" hidden="1" outlineLevel="1" x14ac:dyDescent="0.75">
      <c r="A135" s="35"/>
      <c r="B135" s="121" t="str">
        <f>'Expenses w MYP'!C103</f>
        <v>5900</v>
      </c>
      <c r="C135" s="121" t="str">
        <f>'Expenses w MYP'!D103</f>
        <v>Communications</v>
      </c>
      <c r="D135" s="62">
        <f>IF('Expenses w MYP'!$I103="","",IF('Cash Flow %s Yr5'!D135="","",'Cash Flow %s Yr5'!D135*'Expenses w MYP'!$I103))</f>
        <v>0</v>
      </c>
      <c r="E135" s="62">
        <f>IF('Expenses w MYP'!$I103="","",IF('Cash Flow %s Yr5'!E135="","",'Cash Flow %s Yr5'!E135*'Expenses w MYP'!$I103))</f>
        <v>0</v>
      </c>
      <c r="F135" s="62">
        <f>IF('Expenses w MYP'!$I103="","",IF('Cash Flow %s Yr5'!F135="","",'Cash Flow %s Yr5'!F135*'Expenses w MYP'!$I103))</f>
        <v>5181.9512800160919</v>
      </c>
      <c r="G135" s="62">
        <f>IF('Expenses w MYP'!$I103="","",IF('Cash Flow %s Yr5'!G135="","",'Cash Flow %s Yr5'!G135*'Expenses w MYP'!$I103))</f>
        <v>5181.9512800160919</v>
      </c>
      <c r="H135" s="62">
        <f>IF('Expenses w MYP'!$I103="","",IF('Cash Flow %s Yr5'!H135="","",'Cash Flow %s Yr5'!H135*'Expenses w MYP'!$I103))</f>
        <v>5181.9512800160919</v>
      </c>
      <c r="I135" s="62">
        <f>IF('Expenses w MYP'!$I103="","",IF('Cash Flow %s Yr5'!I135="","",'Cash Flow %s Yr5'!I135*'Expenses w MYP'!$I103))</f>
        <v>5181.9512800160919</v>
      </c>
      <c r="J135" s="62">
        <f>IF('Expenses w MYP'!$I103="","",IF('Cash Flow %s Yr5'!J135="","",'Cash Flow %s Yr5'!J135*'Expenses w MYP'!$I103))</f>
        <v>5181.9512800160919</v>
      </c>
      <c r="K135" s="62">
        <f>IF('Expenses w MYP'!$I103="","",IF('Cash Flow %s Yr5'!K135="","",'Cash Flow %s Yr5'!K135*'Expenses w MYP'!$I103))</f>
        <v>5181.9512800160919</v>
      </c>
      <c r="L135" s="62">
        <f>IF('Expenses w MYP'!$I103="","",IF('Cash Flow %s Yr5'!L135="","",'Cash Flow %s Yr5'!L135*'Expenses w MYP'!$I103))</f>
        <v>5181.9512800160919</v>
      </c>
      <c r="M135" s="62">
        <f>IF('Expenses w MYP'!$I103="","",IF('Cash Flow %s Yr5'!M135="","",'Cash Flow %s Yr5'!M135*'Expenses w MYP'!$I103))</f>
        <v>5181.9512800160919</v>
      </c>
      <c r="N135" s="62">
        <f>IF('Expenses w MYP'!$I103="","",IF('Cash Flow %s Yr5'!N135="","",'Cash Flow %s Yr5'!N135*'Expenses w MYP'!$I103))</f>
        <v>5181.9512800160919</v>
      </c>
      <c r="O135" s="62">
        <f>IF('Expenses w MYP'!$I103="","",IF('Cash Flow %s Yr5'!O135="","",'Cash Flow %s Yr5'!O135*'Expenses w MYP'!$I103))</f>
        <v>5181.9512800160919</v>
      </c>
      <c r="P135" s="113"/>
      <c r="Q135" s="113"/>
      <c r="R135" s="113"/>
      <c r="S135" s="97"/>
    </row>
    <row r="136" spans="1:19" s="31" customFormat="1" hidden="1" outlineLevel="1" x14ac:dyDescent="0.75">
      <c r="A136" s="35"/>
      <c r="B136" s="121">
        <f>'Expenses w MYP'!C104</f>
        <v>0</v>
      </c>
      <c r="C136" s="121">
        <f>'Expenses w MYP'!D104</f>
        <v>0</v>
      </c>
      <c r="D136" s="62">
        <f>IF('Expenses w MYP'!$I104="","",IF('Cash Flow %s Yr5'!D136="","",'Cash Flow %s Yr5'!D136*'Expenses w MYP'!$I104))</f>
        <v>0</v>
      </c>
      <c r="E136" s="62">
        <f>IF('Expenses w MYP'!$I104="","",IF('Cash Flow %s Yr5'!E136="","",'Cash Flow %s Yr5'!E136*'Expenses w MYP'!$I104))</f>
        <v>0</v>
      </c>
      <c r="F136" s="62">
        <f>IF('Expenses w MYP'!$I104="","",IF('Cash Flow %s Yr5'!F136="","",'Cash Flow %s Yr5'!F136*'Expenses w MYP'!$I104))</f>
        <v>0</v>
      </c>
      <c r="G136" s="62">
        <f>IF('Expenses w MYP'!$I104="","",IF('Cash Flow %s Yr5'!G136="","",'Cash Flow %s Yr5'!G136*'Expenses w MYP'!$I104))</f>
        <v>0</v>
      </c>
      <c r="H136" s="62">
        <f>IF('Expenses w MYP'!$I104="","",IF('Cash Flow %s Yr5'!H136="","",'Cash Flow %s Yr5'!H136*'Expenses w MYP'!$I104))</f>
        <v>0</v>
      </c>
      <c r="I136" s="62">
        <f>IF('Expenses w MYP'!$I104="","",IF('Cash Flow %s Yr5'!I136="","",'Cash Flow %s Yr5'!I136*'Expenses w MYP'!$I104))</f>
        <v>0</v>
      </c>
      <c r="J136" s="62">
        <f>IF('Expenses w MYP'!$I104="","",IF('Cash Flow %s Yr5'!J136="","",'Cash Flow %s Yr5'!J136*'Expenses w MYP'!$I104))</f>
        <v>0</v>
      </c>
      <c r="K136" s="62">
        <f>IF('Expenses w MYP'!$I104="","",IF('Cash Flow %s Yr5'!K136="","",'Cash Flow %s Yr5'!K136*'Expenses w MYP'!$I104))</f>
        <v>0</v>
      </c>
      <c r="L136" s="62">
        <f>IF('Expenses w MYP'!$I104="","",IF('Cash Flow %s Yr5'!L136="","",'Cash Flow %s Yr5'!L136*'Expenses w MYP'!$I104))</f>
        <v>0</v>
      </c>
      <c r="M136" s="62">
        <f>IF('Expenses w MYP'!$I104="","",IF('Cash Flow %s Yr5'!M136="","",'Cash Flow %s Yr5'!M136*'Expenses w MYP'!$I104))</f>
        <v>0</v>
      </c>
      <c r="N136" s="62">
        <f>IF('Expenses w MYP'!$I104="","",IF('Cash Flow %s Yr5'!N136="","",'Cash Flow %s Yr5'!N136*'Expenses w MYP'!$I104))</f>
        <v>0</v>
      </c>
      <c r="O136" s="62">
        <f>IF('Expenses w MYP'!$I104="","",IF('Cash Flow %s Yr5'!O136="","",'Cash Flow %s Yr5'!O136*'Expenses w MYP'!$I104))</f>
        <v>0</v>
      </c>
      <c r="P136" s="113"/>
      <c r="Q136" s="113"/>
      <c r="R136" s="113"/>
      <c r="S136" s="97"/>
    </row>
    <row r="137" spans="1:19" s="31" customFormat="1" hidden="1" outlineLevel="1" x14ac:dyDescent="0.75">
      <c r="A137" s="35"/>
      <c r="B137" s="121">
        <f>'Expenses w MYP'!C105</f>
        <v>0</v>
      </c>
      <c r="C137" s="121">
        <f>'Expenses w MYP'!D105</f>
        <v>0</v>
      </c>
      <c r="D137" s="62">
        <f>IF('Expenses w MYP'!$I105="","",IF('Cash Flow %s Yr5'!D137="","",'Cash Flow %s Yr5'!D137*'Expenses w MYP'!$I105))</f>
        <v>0</v>
      </c>
      <c r="E137" s="62">
        <f>IF('Expenses w MYP'!$I105="","",IF('Cash Flow %s Yr5'!E137="","",'Cash Flow %s Yr5'!E137*'Expenses w MYP'!$I105))</f>
        <v>0</v>
      </c>
      <c r="F137" s="62">
        <f>IF('Expenses w MYP'!$I105="","",IF('Cash Flow %s Yr5'!F137="","",'Cash Flow %s Yr5'!F137*'Expenses w MYP'!$I105))</f>
        <v>0</v>
      </c>
      <c r="G137" s="62">
        <f>IF('Expenses w MYP'!$I105="","",IF('Cash Flow %s Yr5'!G137="","",'Cash Flow %s Yr5'!G137*'Expenses w MYP'!$I105))</f>
        <v>0</v>
      </c>
      <c r="H137" s="62">
        <f>IF('Expenses w MYP'!$I105="","",IF('Cash Flow %s Yr5'!H137="","",'Cash Flow %s Yr5'!H137*'Expenses w MYP'!$I105))</f>
        <v>0</v>
      </c>
      <c r="I137" s="62">
        <f>IF('Expenses w MYP'!$I105="","",IF('Cash Flow %s Yr5'!I137="","",'Cash Flow %s Yr5'!I137*'Expenses w MYP'!$I105))</f>
        <v>0</v>
      </c>
      <c r="J137" s="62">
        <f>IF('Expenses w MYP'!$I105="","",IF('Cash Flow %s Yr5'!J137="","",'Cash Flow %s Yr5'!J137*'Expenses w MYP'!$I105))</f>
        <v>0</v>
      </c>
      <c r="K137" s="62">
        <f>IF('Expenses w MYP'!$I105="","",IF('Cash Flow %s Yr5'!K137="","",'Cash Flow %s Yr5'!K137*'Expenses w MYP'!$I105))</f>
        <v>0</v>
      </c>
      <c r="L137" s="62">
        <f>IF('Expenses w MYP'!$I105="","",IF('Cash Flow %s Yr5'!L137="","",'Cash Flow %s Yr5'!L137*'Expenses w MYP'!$I105))</f>
        <v>0</v>
      </c>
      <c r="M137" s="62">
        <f>IF('Expenses w MYP'!$I105="","",IF('Cash Flow %s Yr5'!M137="","",'Cash Flow %s Yr5'!M137*'Expenses w MYP'!$I105))</f>
        <v>0</v>
      </c>
      <c r="N137" s="62">
        <f>IF('Expenses w MYP'!$I105="","",IF('Cash Flow %s Yr5'!N137="","",'Cash Flow %s Yr5'!N137*'Expenses w MYP'!$I105))</f>
        <v>0</v>
      </c>
      <c r="O137" s="62">
        <f>IF('Expenses w MYP'!$I105="","",IF('Cash Flow %s Yr5'!O137="","",'Cash Flow %s Yr5'!O137*'Expenses w MYP'!$I105))</f>
        <v>0</v>
      </c>
      <c r="P137" s="113"/>
      <c r="Q137" s="113"/>
      <c r="R137" s="113"/>
      <c r="S137" s="97"/>
    </row>
    <row r="138" spans="1:19" s="31" customFormat="1" hidden="1" outlineLevel="1" x14ac:dyDescent="0.75">
      <c r="A138" s="35"/>
      <c r="B138" s="121">
        <f>'Expenses w MYP'!C106</f>
        <v>0</v>
      </c>
      <c r="C138" s="121">
        <f>'Expenses w MYP'!D106</f>
        <v>0</v>
      </c>
      <c r="D138" s="62">
        <f>IF('Expenses w MYP'!$I106="","",IF('Cash Flow %s Yr5'!D138="","",'Cash Flow %s Yr5'!D138*'Expenses w MYP'!$I106))</f>
        <v>0</v>
      </c>
      <c r="E138" s="62">
        <f>IF('Expenses w MYP'!$I106="","",IF('Cash Flow %s Yr5'!E138="","",'Cash Flow %s Yr5'!E138*'Expenses w MYP'!$I106))</f>
        <v>0</v>
      </c>
      <c r="F138" s="62">
        <f>IF('Expenses w MYP'!$I106="","",IF('Cash Flow %s Yr5'!F138="","",'Cash Flow %s Yr5'!F138*'Expenses w MYP'!$I106))</f>
        <v>0</v>
      </c>
      <c r="G138" s="62">
        <f>IF('Expenses w MYP'!$I106="","",IF('Cash Flow %s Yr5'!G138="","",'Cash Flow %s Yr5'!G138*'Expenses w MYP'!$I106))</f>
        <v>0</v>
      </c>
      <c r="H138" s="62">
        <f>IF('Expenses w MYP'!$I106="","",IF('Cash Flow %s Yr5'!H138="","",'Cash Flow %s Yr5'!H138*'Expenses w MYP'!$I106))</f>
        <v>0</v>
      </c>
      <c r="I138" s="62">
        <f>IF('Expenses w MYP'!$I106="","",IF('Cash Flow %s Yr5'!I138="","",'Cash Flow %s Yr5'!I138*'Expenses w MYP'!$I106))</f>
        <v>0</v>
      </c>
      <c r="J138" s="62">
        <f>IF('Expenses w MYP'!$I106="","",IF('Cash Flow %s Yr5'!J138="","",'Cash Flow %s Yr5'!J138*'Expenses w MYP'!$I106))</f>
        <v>0</v>
      </c>
      <c r="K138" s="62">
        <f>IF('Expenses w MYP'!$I106="","",IF('Cash Flow %s Yr5'!K138="","",'Cash Flow %s Yr5'!K138*'Expenses w MYP'!$I106))</f>
        <v>0</v>
      </c>
      <c r="L138" s="62">
        <f>IF('Expenses w MYP'!$I106="","",IF('Cash Flow %s Yr5'!L138="","",'Cash Flow %s Yr5'!L138*'Expenses w MYP'!$I106))</f>
        <v>0</v>
      </c>
      <c r="M138" s="62">
        <f>IF('Expenses w MYP'!$I106="","",IF('Cash Flow %s Yr5'!M138="","",'Cash Flow %s Yr5'!M138*'Expenses w MYP'!$I106))</f>
        <v>0</v>
      </c>
      <c r="N138" s="62">
        <f>IF('Expenses w MYP'!$I106="","",IF('Cash Flow %s Yr5'!N138="","",'Cash Flow %s Yr5'!N138*'Expenses w MYP'!$I106))</f>
        <v>0</v>
      </c>
      <c r="O138" s="62">
        <f>IF('Expenses w MYP'!$I106="","",IF('Cash Flow %s Yr5'!O138="","",'Cash Flow %s Yr5'!O138*'Expenses w MYP'!$I106))</f>
        <v>0</v>
      </c>
      <c r="P138" s="113"/>
      <c r="Q138" s="113"/>
      <c r="R138" s="113"/>
      <c r="S138" s="97"/>
    </row>
    <row r="139" spans="1:19" s="31" customFormat="1" hidden="1" outlineLevel="1" x14ac:dyDescent="0.75">
      <c r="A139" s="35"/>
      <c r="B139" s="121">
        <f>'Expenses w MYP'!C107</f>
        <v>0</v>
      </c>
      <c r="C139" s="121">
        <f>'Expenses w MYP'!D107</f>
        <v>0</v>
      </c>
      <c r="D139" s="62">
        <f>IF('Expenses w MYP'!$I107="","",IF('Cash Flow %s Yr5'!D139="","",'Cash Flow %s Yr5'!D139*'Expenses w MYP'!$I107))</f>
        <v>0</v>
      </c>
      <c r="E139" s="62">
        <f>IF('Expenses w MYP'!$I107="","",IF('Cash Flow %s Yr5'!E139="","",'Cash Flow %s Yr5'!E139*'Expenses w MYP'!$I107))</f>
        <v>0</v>
      </c>
      <c r="F139" s="62">
        <f>IF('Expenses w MYP'!$I107="","",IF('Cash Flow %s Yr5'!F139="","",'Cash Flow %s Yr5'!F139*'Expenses w MYP'!$I107))</f>
        <v>0</v>
      </c>
      <c r="G139" s="62">
        <f>IF('Expenses w MYP'!$I107="","",IF('Cash Flow %s Yr5'!G139="","",'Cash Flow %s Yr5'!G139*'Expenses w MYP'!$I107))</f>
        <v>0</v>
      </c>
      <c r="H139" s="62">
        <f>IF('Expenses w MYP'!$I107="","",IF('Cash Flow %s Yr5'!H139="","",'Cash Flow %s Yr5'!H139*'Expenses w MYP'!$I107))</f>
        <v>0</v>
      </c>
      <c r="I139" s="62">
        <f>IF('Expenses w MYP'!$I107="","",IF('Cash Flow %s Yr5'!I139="","",'Cash Flow %s Yr5'!I139*'Expenses w MYP'!$I107))</f>
        <v>0</v>
      </c>
      <c r="J139" s="62">
        <f>IF('Expenses w MYP'!$I107="","",IF('Cash Flow %s Yr5'!J139="","",'Cash Flow %s Yr5'!J139*'Expenses w MYP'!$I107))</f>
        <v>0</v>
      </c>
      <c r="K139" s="62">
        <f>IF('Expenses w MYP'!$I107="","",IF('Cash Flow %s Yr5'!K139="","",'Cash Flow %s Yr5'!K139*'Expenses w MYP'!$I107))</f>
        <v>0</v>
      </c>
      <c r="L139" s="62">
        <f>IF('Expenses w MYP'!$I107="","",IF('Cash Flow %s Yr5'!L139="","",'Cash Flow %s Yr5'!L139*'Expenses w MYP'!$I107))</f>
        <v>0</v>
      </c>
      <c r="M139" s="62">
        <f>IF('Expenses w MYP'!$I107="","",IF('Cash Flow %s Yr5'!M139="","",'Cash Flow %s Yr5'!M139*'Expenses w MYP'!$I107))</f>
        <v>0</v>
      </c>
      <c r="N139" s="62">
        <f>IF('Expenses w MYP'!$I107="","",IF('Cash Flow %s Yr5'!N139="","",'Cash Flow %s Yr5'!N139*'Expenses w MYP'!$I107))</f>
        <v>0</v>
      </c>
      <c r="O139" s="62">
        <f>IF('Expenses w MYP'!$I107="","",IF('Cash Flow %s Yr5'!O139="","",'Cash Flow %s Yr5'!O139*'Expenses w MYP'!$I107))</f>
        <v>0</v>
      </c>
      <c r="P139" s="113"/>
      <c r="Q139" s="113"/>
      <c r="R139" s="113"/>
      <c r="S139" s="97"/>
    </row>
    <row r="140" spans="1:19" s="31" customFormat="1" hidden="1" outlineLevel="1" x14ac:dyDescent="0.75">
      <c r="A140" s="35"/>
      <c r="B140" s="121">
        <f>'Expenses w MYP'!C108</f>
        <v>0</v>
      </c>
      <c r="C140" s="121">
        <f>'Expenses w MYP'!D108</f>
        <v>0</v>
      </c>
      <c r="D140" s="62">
        <f>IF('Expenses w MYP'!$I108="","",IF('Cash Flow %s Yr5'!D140="","",'Cash Flow %s Yr5'!D140*'Expenses w MYP'!$I108))</f>
        <v>0</v>
      </c>
      <c r="E140" s="62">
        <f>IF('Expenses w MYP'!$I108="","",IF('Cash Flow %s Yr5'!E140="","",'Cash Flow %s Yr5'!E140*'Expenses w MYP'!$I108))</f>
        <v>0</v>
      </c>
      <c r="F140" s="62">
        <f>IF('Expenses w MYP'!$I108="","",IF('Cash Flow %s Yr5'!F140="","",'Cash Flow %s Yr5'!F140*'Expenses w MYP'!$I108))</f>
        <v>0</v>
      </c>
      <c r="G140" s="62">
        <f>IF('Expenses w MYP'!$I108="","",IF('Cash Flow %s Yr5'!G140="","",'Cash Flow %s Yr5'!G140*'Expenses w MYP'!$I108))</f>
        <v>0</v>
      </c>
      <c r="H140" s="62">
        <f>IF('Expenses w MYP'!$I108="","",IF('Cash Flow %s Yr5'!H140="","",'Cash Flow %s Yr5'!H140*'Expenses w MYP'!$I108))</f>
        <v>0</v>
      </c>
      <c r="I140" s="62">
        <f>IF('Expenses w MYP'!$I108="","",IF('Cash Flow %s Yr5'!I140="","",'Cash Flow %s Yr5'!I140*'Expenses w MYP'!$I108))</f>
        <v>0</v>
      </c>
      <c r="J140" s="62">
        <f>IF('Expenses w MYP'!$I108="","",IF('Cash Flow %s Yr5'!J140="","",'Cash Flow %s Yr5'!J140*'Expenses w MYP'!$I108))</f>
        <v>0</v>
      </c>
      <c r="K140" s="62">
        <f>IF('Expenses w MYP'!$I108="","",IF('Cash Flow %s Yr5'!K140="","",'Cash Flow %s Yr5'!K140*'Expenses w MYP'!$I108))</f>
        <v>0</v>
      </c>
      <c r="L140" s="62">
        <f>IF('Expenses w MYP'!$I108="","",IF('Cash Flow %s Yr5'!L140="","",'Cash Flow %s Yr5'!L140*'Expenses w MYP'!$I108))</f>
        <v>0</v>
      </c>
      <c r="M140" s="62">
        <f>IF('Expenses w MYP'!$I108="","",IF('Cash Flow %s Yr5'!M140="","",'Cash Flow %s Yr5'!M140*'Expenses w MYP'!$I108))</f>
        <v>0</v>
      </c>
      <c r="N140" s="62">
        <f>IF('Expenses w MYP'!$I108="","",IF('Cash Flow %s Yr5'!N140="","",'Cash Flow %s Yr5'!N140*'Expenses w MYP'!$I108))</f>
        <v>0</v>
      </c>
      <c r="O140" s="62">
        <f>IF('Expenses w MYP'!$I108="","",IF('Cash Flow %s Yr5'!O140="","",'Cash Flow %s Yr5'!O140*'Expenses w MYP'!$I108))</f>
        <v>0</v>
      </c>
      <c r="P140" s="113"/>
      <c r="Q140" s="113"/>
      <c r="R140" s="113"/>
      <c r="S140" s="97" t="str">
        <f>IF(SUM(D140:R140)&gt;0,SUM(D140:R140)/'Expenses w MYP'!$I108,"")</f>
        <v/>
      </c>
    </row>
    <row r="141" spans="1:19" s="31" customFormat="1" collapsed="1" x14ac:dyDescent="0.75">
      <c r="A141" s="35"/>
      <c r="B141" s="121" t="str">
        <f>'Expenses w MYP'!C109</f>
        <v>5901</v>
      </c>
      <c r="C141" s="121" t="str">
        <f>'Expenses w MYP'!D109</f>
        <v>Scholar Internet Reimbursement</v>
      </c>
      <c r="D141" s="62">
        <f>IF('Expenses w MYP'!$I109="","",IF('Cash Flow %s Yr5'!D141="","",'Cash Flow %s Yr5'!D141*'Expenses w MYP'!$I109))</f>
        <v>29.895872769323603</v>
      </c>
      <c r="E141" s="62">
        <f>IF('Expenses w MYP'!$I109="","",IF('Cash Flow %s Yr5'!E141="","",'Cash Flow %s Yr5'!E141*'Expenses w MYP'!$I109))</f>
        <v>29.895872769323603</v>
      </c>
      <c r="F141" s="62">
        <f>IF('Expenses w MYP'!$I109="","",IF('Cash Flow %s Yr5'!F141="","",'Cash Flow %s Yr5'!F141*'Expenses w MYP'!$I109))</f>
        <v>53.812570984782482</v>
      </c>
      <c r="G141" s="62">
        <f>IF('Expenses w MYP'!$I109="","",IF('Cash Flow %s Yr5'!G141="","",'Cash Flow %s Yr5'!G141*'Expenses w MYP'!$I109))</f>
        <v>53.812570984782482</v>
      </c>
      <c r="H141" s="62">
        <f>IF('Expenses w MYP'!$I109="","",IF('Cash Flow %s Yr5'!H141="","",'Cash Flow %s Yr5'!H141*'Expenses w MYP'!$I109))</f>
        <v>53.812570984782482</v>
      </c>
      <c r="I141" s="62">
        <f>IF('Expenses w MYP'!$I109="","",IF('Cash Flow %s Yr5'!I141="","",'Cash Flow %s Yr5'!I141*'Expenses w MYP'!$I109))</f>
        <v>53.812570984782482</v>
      </c>
      <c r="J141" s="62">
        <f>IF('Expenses w MYP'!$I109="","",IF('Cash Flow %s Yr5'!J141="","",'Cash Flow %s Yr5'!J141*'Expenses w MYP'!$I109))</f>
        <v>53.812570984782482</v>
      </c>
      <c r="K141" s="62">
        <f>IF('Expenses w MYP'!$I109="","",IF('Cash Flow %s Yr5'!K141="","",'Cash Flow %s Yr5'!K141*'Expenses w MYP'!$I109))</f>
        <v>53.812570984782482</v>
      </c>
      <c r="L141" s="62">
        <f>IF('Expenses w MYP'!$I109="","",IF('Cash Flow %s Yr5'!L141="","",'Cash Flow %s Yr5'!L141*'Expenses w MYP'!$I109))</f>
        <v>53.812570984782482</v>
      </c>
      <c r="M141" s="62">
        <f>IF('Expenses w MYP'!$I109="","",IF('Cash Flow %s Yr5'!M141="","",'Cash Flow %s Yr5'!M141*'Expenses w MYP'!$I109))</f>
        <v>53.812570984782482</v>
      </c>
      <c r="N141" s="62">
        <f>IF('Expenses w MYP'!$I109="","",IF('Cash Flow %s Yr5'!N141="","",'Cash Flow %s Yr5'!N141*'Expenses w MYP'!$I109))</f>
        <v>53.812570984782482</v>
      </c>
      <c r="O141" s="62">
        <f>IF('Expenses w MYP'!$I109="","",IF('Cash Flow %s Yr5'!O141="","",'Cash Flow %s Yr5'!O141*'Expenses w MYP'!$I109))</f>
        <v>53.812570984782482</v>
      </c>
      <c r="P141" s="113"/>
      <c r="Q141" s="113"/>
      <c r="R141" s="113"/>
      <c r="S141" s="97">
        <f>IF(SUM(D141:R141)&gt;0,SUM(D141:R141)/'Expenses w MYP'!$I109,"")</f>
        <v>1</v>
      </c>
    </row>
    <row r="142" spans="1:19" s="31" customFormat="1" x14ac:dyDescent="0.75">
      <c r="A142" s="35"/>
      <c r="B142" s="33" t="s">
        <v>559</v>
      </c>
      <c r="C142" s="34" t="s">
        <v>719</v>
      </c>
      <c r="D142" s="153">
        <f>IF(SUM(D108:D141)&gt;0,SUM(D108:D141),"")</f>
        <v>73451.928828397227</v>
      </c>
      <c r="E142" s="153">
        <f t="shared" ref="E142:R142" si="10">IF(SUM(E108:E141)&gt;0,SUM(E108:E141),"")</f>
        <v>73451.928828397227</v>
      </c>
      <c r="F142" s="153">
        <f t="shared" si="10"/>
        <v>256031.08285326426</v>
      </c>
      <c r="G142" s="153">
        <f t="shared" si="10"/>
        <v>201580.73324940284</v>
      </c>
      <c r="H142" s="153">
        <f t="shared" si="10"/>
        <v>201580.73324940284</v>
      </c>
      <c r="I142" s="153">
        <f t="shared" si="10"/>
        <v>201580.73324940284</v>
      </c>
      <c r="J142" s="153">
        <f t="shared" si="10"/>
        <v>202537.40117802122</v>
      </c>
      <c r="K142" s="153">
        <f t="shared" si="10"/>
        <v>201580.73324940284</v>
      </c>
      <c r="L142" s="153">
        <f t="shared" si="10"/>
        <v>201821.06679090616</v>
      </c>
      <c r="M142" s="153">
        <f t="shared" si="10"/>
        <v>201821.06679090616</v>
      </c>
      <c r="N142" s="153">
        <f t="shared" si="10"/>
        <v>175313.39293543922</v>
      </c>
      <c r="O142" s="153">
        <f t="shared" si="10"/>
        <v>175313.39293543922</v>
      </c>
      <c r="P142" s="153" t="str">
        <f t="shared" si="10"/>
        <v/>
      </c>
      <c r="Q142" s="153" t="str">
        <f t="shared" si="10"/>
        <v/>
      </c>
      <c r="R142" s="153" t="str">
        <f t="shared" si="10"/>
        <v/>
      </c>
      <c r="S142" s="94"/>
    </row>
    <row r="143" spans="1:19" s="31" customFormat="1" x14ac:dyDescent="0.75">
      <c r="A143" s="35"/>
      <c r="B143" s="3"/>
      <c r="C143" s="2"/>
      <c r="D143" s="84"/>
      <c r="E143" s="84"/>
      <c r="F143" s="84"/>
      <c r="G143" s="84"/>
      <c r="H143" s="84"/>
      <c r="I143" s="84"/>
      <c r="J143" s="84"/>
      <c r="K143" s="84"/>
      <c r="L143" s="84"/>
      <c r="M143" s="84"/>
      <c r="N143" s="84"/>
      <c r="O143" s="84"/>
      <c r="P143" s="84"/>
      <c r="Q143" s="84"/>
      <c r="R143" s="84"/>
    </row>
    <row r="144" spans="1:19" s="31" customFormat="1" x14ac:dyDescent="0.75">
      <c r="B144" s="34" t="s">
        <v>721</v>
      </c>
      <c r="C144" s="2"/>
      <c r="D144" s="84"/>
      <c r="E144" s="84"/>
      <c r="F144" s="84"/>
      <c r="G144" s="84"/>
      <c r="H144" s="84"/>
      <c r="I144" s="84"/>
      <c r="J144" s="84"/>
      <c r="K144" s="84"/>
      <c r="L144" s="84"/>
      <c r="M144" s="84"/>
      <c r="N144" s="84"/>
      <c r="O144" s="84"/>
      <c r="P144" s="84"/>
      <c r="Q144" s="84"/>
      <c r="R144" s="84"/>
    </row>
    <row r="145" spans="1:19" s="31" customFormat="1" x14ac:dyDescent="0.75">
      <c r="A145" s="35"/>
      <c r="B145" s="121" t="str">
        <f>'Expenses w MYP'!C113</f>
        <v>6900</v>
      </c>
      <c r="C145" s="121" t="str">
        <f>'Expenses w MYP'!D113</f>
        <v xml:space="preserve">Depreciation Expense                                                            </v>
      </c>
      <c r="D145" s="62">
        <f>IF('Expenses w MYP'!$I113="","",IF('Cash Flow %s Yr5'!D145="","",'Cash Flow %s Yr5'!D145*'Expenses w MYP'!$I113))</f>
        <v>0</v>
      </c>
      <c r="E145" s="62">
        <f>IF('Expenses w MYP'!$I113="","",IF('Cash Flow %s Yr5'!E145="","",'Cash Flow %s Yr5'!E145*'Expenses w MYP'!$I113))</f>
        <v>0</v>
      </c>
      <c r="F145" s="62">
        <f>IF('Expenses w MYP'!$I113="","",IF('Cash Flow %s Yr5'!F145="","",'Cash Flow %s Yr5'!F145*'Expenses w MYP'!$I113))</f>
        <v>0</v>
      </c>
      <c r="G145" s="62">
        <f>IF('Expenses w MYP'!$I113="","",IF('Cash Flow %s Yr5'!G145="","",'Cash Flow %s Yr5'!G145*'Expenses w MYP'!$I113))</f>
        <v>0</v>
      </c>
      <c r="H145" s="62">
        <f>IF('Expenses w MYP'!$I113="","",IF('Cash Flow %s Yr5'!H145="","",'Cash Flow %s Yr5'!H145*'Expenses w MYP'!$I113))</f>
        <v>0</v>
      </c>
      <c r="I145" s="62">
        <f>IF('Expenses w MYP'!$I113="","",IF('Cash Flow %s Yr5'!I145="","",'Cash Flow %s Yr5'!I145*'Expenses w MYP'!$I113))</f>
        <v>0</v>
      </c>
      <c r="J145" s="62">
        <f>IF('Expenses w MYP'!$I113="","",IF('Cash Flow %s Yr5'!J145="","",'Cash Flow %s Yr5'!J145*'Expenses w MYP'!$I113))</f>
        <v>0</v>
      </c>
      <c r="K145" s="62">
        <f>IF('Expenses w MYP'!$I113="","",IF('Cash Flow %s Yr5'!K145="","",'Cash Flow %s Yr5'!K145*'Expenses w MYP'!$I113))</f>
        <v>0</v>
      </c>
      <c r="L145" s="62">
        <f>IF('Expenses w MYP'!$I113="","",IF('Cash Flow %s Yr5'!L145="","",'Cash Flow %s Yr5'!L145*'Expenses w MYP'!$I113))</f>
        <v>0</v>
      </c>
      <c r="M145" s="62">
        <f>IF('Expenses w MYP'!$I113="","",IF('Cash Flow %s Yr5'!M145="","",'Cash Flow %s Yr5'!M145*'Expenses w MYP'!$I113))</f>
        <v>0</v>
      </c>
      <c r="N145" s="62">
        <f>IF('Expenses w MYP'!$I113="","",IF('Cash Flow %s Yr5'!N145="","",'Cash Flow %s Yr5'!N145*'Expenses w MYP'!$I113))</f>
        <v>0</v>
      </c>
      <c r="O145" s="62">
        <f>IF('Expenses w MYP'!$I113="","",IF('Cash Flow %s Yr5'!O145="","",'Cash Flow %s Yr5'!O145*'Expenses w MYP'!$I113))</f>
        <v>0</v>
      </c>
      <c r="P145" s="113"/>
      <c r="Q145" s="113"/>
      <c r="R145" s="113"/>
      <c r="S145" s="97" t="str">
        <f>IF(SUM(D145:R145)&gt;0,SUM(D145:R145)/'Expenses w MYP'!$I113,"")</f>
        <v/>
      </c>
    </row>
    <row r="146" spans="1:19" s="31" customFormat="1" x14ac:dyDescent="0.75">
      <c r="A146" s="35"/>
      <c r="B146" s="33" t="s">
        <v>560</v>
      </c>
      <c r="C146" s="34" t="s">
        <v>719</v>
      </c>
      <c r="D146" s="153" t="str">
        <f t="shared" ref="D146:R146" si="11">IF(SUM(D144:D145)&gt;0,SUM(D144:D145),"")</f>
        <v/>
      </c>
      <c r="E146" s="153" t="str">
        <f t="shared" si="11"/>
        <v/>
      </c>
      <c r="F146" s="153" t="str">
        <f t="shared" si="11"/>
        <v/>
      </c>
      <c r="G146" s="153" t="str">
        <f t="shared" si="11"/>
        <v/>
      </c>
      <c r="H146" s="153" t="str">
        <f t="shared" si="11"/>
        <v/>
      </c>
      <c r="I146" s="153" t="str">
        <f t="shared" si="11"/>
        <v/>
      </c>
      <c r="J146" s="153" t="str">
        <f t="shared" si="11"/>
        <v/>
      </c>
      <c r="K146" s="153" t="str">
        <f t="shared" si="11"/>
        <v/>
      </c>
      <c r="L146" s="153" t="str">
        <f t="shared" si="11"/>
        <v/>
      </c>
      <c r="M146" s="153" t="str">
        <f t="shared" si="11"/>
        <v/>
      </c>
      <c r="N146" s="153" t="str">
        <f t="shared" si="11"/>
        <v/>
      </c>
      <c r="O146" s="153" t="str">
        <f t="shared" si="11"/>
        <v/>
      </c>
      <c r="P146" s="153" t="str">
        <f t="shared" si="11"/>
        <v/>
      </c>
      <c r="Q146" s="153" t="str">
        <f t="shared" si="11"/>
        <v/>
      </c>
      <c r="R146" s="153" t="str">
        <f t="shared" si="11"/>
        <v/>
      </c>
      <c r="S146" s="94"/>
    </row>
    <row r="147" spans="1:19" s="31" customFormat="1" x14ac:dyDescent="0.75">
      <c r="A147" s="35"/>
      <c r="B147" s="3"/>
      <c r="C147" s="2"/>
      <c r="D147" s="91"/>
      <c r="E147" s="91"/>
      <c r="F147" s="91"/>
      <c r="G147" s="84"/>
      <c r="H147" s="84"/>
      <c r="I147" s="84"/>
      <c r="J147" s="84"/>
      <c r="K147" s="84"/>
      <c r="L147" s="84"/>
      <c r="M147" s="84"/>
      <c r="N147" s="84"/>
      <c r="O147" s="84"/>
      <c r="P147" s="84"/>
      <c r="Q147" s="84"/>
      <c r="R147" s="84"/>
    </row>
    <row r="148" spans="1:19" s="31" customFormat="1" x14ac:dyDescent="0.75">
      <c r="B148" s="34" t="s">
        <v>722</v>
      </c>
      <c r="C148" s="2"/>
      <c r="D148" s="91"/>
      <c r="E148" s="91"/>
      <c r="F148" s="91"/>
      <c r="G148" s="84"/>
      <c r="H148" s="84"/>
      <c r="I148" s="84"/>
      <c r="J148" s="84"/>
      <c r="K148" s="84"/>
      <c r="L148" s="84"/>
      <c r="M148" s="84"/>
      <c r="N148" s="84"/>
      <c r="O148" s="84"/>
      <c r="P148" s="84"/>
      <c r="Q148" s="84"/>
      <c r="R148" s="84"/>
    </row>
    <row r="149" spans="1:19" s="31" customFormat="1" x14ac:dyDescent="0.75">
      <c r="A149" s="35"/>
      <c r="B149" s="121" t="str">
        <f>'Expenses w MYP'!C117</f>
        <v>7010</v>
      </c>
      <c r="C149" s="121" t="str">
        <f>'Expenses w MYP'!D117</f>
        <v>Special Education Encroachment</v>
      </c>
      <c r="D149" s="62">
        <f>IF('Expenses w MYP'!$I117="","",IF('Cash Flow %s Yr5'!D149="","",'Cash Flow %s Yr5'!D149*'Expenses w MYP'!$I117))</f>
        <v>0</v>
      </c>
      <c r="E149" s="62">
        <f>IF('Expenses w MYP'!$I117="","",IF('Cash Flow %s Yr5'!E149="","",'Cash Flow %s Yr5'!E149*'Expenses w MYP'!$I117))</f>
        <v>0</v>
      </c>
      <c r="F149" s="62">
        <f>IF('Expenses w MYP'!$I117="","",IF('Cash Flow %s Yr5'!F149="","",'Cash Flow %s Yr5'!F149*'Expenses w MYP'!$I117))</f>
        <v>0</v>
      </c>
      <c r="G149" s="62">
        <f>IF('Expenses w MYP'!$I117="","",IF('Cash Flow %s Yr5'!G149="","",'Cash Flow %s Yr5'!G149*'Expenses w MYP'!$I117))</f>
        <v>0</v>
      </c>
      <c r="H149" s="62">
        <f>IF('Expenses w MYP'!$I117="","",IF('Cash Flow %s Yr5'!H149="","",'Cash Flow %s Yr5'!H149*'Expenses w MYP'!$I117))</f>
        <v>0</v>
      </c>
      <c r="I149" s="62">
        <f>IF('Expenses w MYP'!$I117="","",IF('Cash Flow %s Yr5'!I149="","",'Cash Flow %s Yr5'!I149*'Expenses w MYP'!$I117))</f>
        <v>0</v>
      </c>
      <c r="J149" s="62">
        <f>IF('Expenses w MYP'!$I117="","",IF('Cash Flow %s Yr5'!J149="","",'Cash Flow %s Yr5'!J149*'Expenses w MYP'!$I117))</f>
        <v>0</v>
      </c>
      <c r="K149" s="62">
        <f>IF('Expenses w MYP'!$I117="","",IF('Cash Flow %s Yr5'!K149="","",'Cash Flow %s Yr5'!K149*'Expenses w MYP'!$I117))</f>
        <v>0</v>
      </c>
      <c r="L149" s="62">
        <f>IF('Expenses w MYP'!$I117="","",IF('Cash Flow %s Yr5'!L149="","",'Cash Flow %s Yr5'!L149*'Expenses w MYP'!$I117))</f>
        <v>0</v>
      </c>
      <c r="M149" s="62">
        <f>IF('Expenses w MYP'!$I117="","",IF('Cash Flow %s Yr5'!M149="","",'Cash Flow %s Yr5'!M149*'Expenses w MYP'!$I117))</f>
        <v>0</v>
      </c>
      <c r="N149" s="62">
        <f>IF('Expenses w MYP'!$I117="","",IF('Cash Flow %s Yr5'!N149="","",'Cash Flow %s Yr5'!N149*'Expenses w MYP'!$I117))</f>
        <v>0</v>
      </c>
      <c r="O149" s="62">
        <f>IF('Expenses w MYP'!$I117="","",IF('Cash Flow %s Yr5'!O149="","",'Cash Flow %s Yr5'!O149*'Expenses w MYP'!$I117))</f>
        <v>0</v>
      </c>
      <c r="P149" s="113"/>
      <c r="Q149" s="113"/>
      <c r="R149" s="113"/>
      <c r="S149" s="97" t="str">
        <f>IF(SUM(D149:R149)&gt;0,SUM(D149:R149)/'Expenses w MYP'!$I117,"")</f>
        <v/>
      </c>
    </row>
    <row r="150" spans="1:19" s="31" customFormat="1" x14ac:dyDescent="0.75">
      <c r="A150" s="35"/>
      <c r="B150" s="121" t="str">
        <f>'Expenses w MYP'!C118</f>
        <v>7438</v>
      </c>
      <c r="C150" s="121" t="str">
        <f>'Expenses w MYP'!D118</f>
        <v>Debt Service - Interest</v>
      </c>
      <c r="D150" s="62" t="str">
        <f>IF('Expenses w MYP'!$I118="","",IF('Cash Flow %s Yr5'!D150="","",'Cash Flow %s Yr5'!D150*'Expenses w MYP'!$I118))</f>
        <v/>
      </c>
      <c r="E150" s="62" t="str">
        <f>IF('Expenses w MYP'!$I118="","",IF('Cash Flow %s Yr5'!E150="","",'Cash Flow %s Yr5'!E150*'Expenses w MYP'!$I118))</f>
        <v/>
      </c>
      <c r="F150" s="62" t="str">
        <f>IF('Expenses w MYP'!$I118="","",IF('Cash Flow %s Yr5'!F150="","",'Cash Flow %s Yr5'!F150*'Expenses w MYP'!$I118))</f>
        <v/>
      </c>
      <c r="G150" s="62" t="str">
        <f>IF('Expenses w MYP'!$I118="","",IF('Cash Flow %s Yr5'!G150="","",'Cash Flow %s Yr5'!G150*'Expenses w MYP'!$I118))</f>
        <v/>
      </c>
      <c r="H150" s="62" t="str">
        <f>IF('Expenses w MYP'!$I118="","",IF('Cash Flow %s Yr5'!H150="","",'Cash Flow %s Yr5'!H150*'Expenses w MYP'!$I118))</f>
        <v/>
      </c>
      <c r="I150" s="62" t="str">
        <f>IF('Expenses w MYP'!$I118="","",IF('Cash Flow %s Yr5'!I150="","",'Cash Flow %s Yr5'!I150*'Expenses w MYP'!$I118))</f>
        <v/>
      </c>
      <c r="J150" s="62" t="str">
        <f>IF('Expenses w MYP'!$I118="","",IF('Cash Flow %s Yr5'!J150="","",'Cash Flow %s Yr5'!J150*'Expenses w MYP'!$I118))</f>
        <v/>
      </c>
      <c r="K150" s="62" t="str">
        <f>IF('Expenses w MYP'!$I118="","",IF('Cash Flow %s Yr5'!K150="","",'Cash Flow %s Yr5'!K150*'Expenses w MYP'!$I118))</f>
        <v/>
      </c>
      <c r="L150" s="62" t="str">
        <f>IF('Expenses w MYP'!$I118="","",IF('Cash Flow %s Yr5'!L150="","",'Cash Flow %s Yr5'!L150*'Expenses w MYP'!$I118))</f>
        <v/>
      </c>
      <c r="M150" s="62" t="str">
        <f>IF('Expenses w MYP'!$I118="","",IF('Cash Flow %s Yr5'!M150="","",'Cash Flow %s Yr5'!M150*'Expenses w MYP'!$I118))</f>
        <v/>
      </c>
      <c r="N150" s="62" t="str">
        <f>IF('Expenses w MYP'!$I118="","",IF('Cash Flow %s Yr5'!N150="","",'Cash Flow %s Yr5'!N150*'Expenses w MYP'!$I118))</f>
        <v/>
      </c>
      <c r="O150" s="62" t="str">
        <f>IF('Expenses w MYP'!$I118="","",IF('Cash Flow %s Yr5'!O150="","",'Cash Flow %s Yr5'!O150*'Expenses w MYP'!$I118))</f>
        <v/>
      </c>
      <c r="P150" s="113"/>
      <c r="Q150" s="113"/>
      <c r="R150" s="113"/>
      <c r="S150" s="97" t="str">
        <f>IF(SUM(D150:R150)&gt;0,SUM(D150:R150)/'Expenses w MYP'!$I118,"")</f>
        <v/>
      </c>
    </row>
    <row r="151" spans="1:19" s="31" customFormat="1" x14ac:dyDescent="0.75">
      <c r="A151" s="35"/>
      <c r="B151" s="33" t="s">
        <v>683</v>
      </c>
      <c r="C151" s="34" t="s">
        <v>723</v>
      </c>
      <c r="D151" s="167" t="str">
        <f t="shared" ref="D151:R151" si="12">IF(SUM(D148:D150)&gt;0,SUM(D148:D150),"")</f>
        <v/>
      </c>
      <c r="E151" s="167" t="str">
        <f t="shared" si="12"/>
        <v/>
      </c>
      <c r="F151" s="167" t="str">
        <f t="shared" si="12"/>
        <v/>
      </c>
      <c r="G151" s="167" t="str">
        <f t="shared" si="12"/>
        <v/>
      </c>
      <c r="H151" s="167" t="str">
        <f t="shared" si="12"/>
        <v/>
      </c>
      <c r="I151" s="167" t="str">
        <f t="shared" si="12"/>
        <v/>
      </c>
      <c r="J151" s="167" t="str">
        <f t="shared" si="12"/>
        <v/>
      </c>
      <c r="K151" s="167" t="str">
        <f t="shared" si="12"/>
        <v/>
      </c>
      <c r="L151" s="167" t="str">
        <f t="shared" si="12"/>
        <v/>
      </c>
      <c r="M151" s="167" t="str">
        <f t="shared" si="12"/>
        <v/>
      </c>
      <c r="N151" s="167" t="str">
        <f t="shared" si="12"/>
        <v/>
      </c>
      <c r="O151" s="167" t="str">
        <f t="shared" si="12"/>
        <v/>
      </c>
      <c r="P151" s="167" t="str">
        <f t="shared" si="12"/>
        <v/>
      </c>
      <c r="Q151" s="167" t="str">
        <f t="shared" si="12"/>
        <v/>
      </c>
      <c r="R151" s="167" t="str">
        <f t="shared" si="12"/>
        <v/>
      </c>
    </row>
    <row r="152" spans="1:19" s="31" customFormat="1" x14ac:dyDescent="0.75">
      <c r="A152" s="34" t="s">
        <v>730</v>
      </c>
      <c r="B152" s="3"/>
      <c r="C152" s="2"/>
      <c r="D152" s="153" t="e">
        <f t="shared" ref="D152:R152" si="13">IF(SUM(D151,D146,D142,D106,D86,D74,D61)&gt;0,SUM(D151,D146,D142,D106,D86,D74,D61),0)</f>
        <v>#REF!</v>
      </c>
      <c r="E152" s="153" t="e">
        <f t="shared" si="13"/>
        <v>#REF!</v>
      </c>
      <c r="F152" s="153" t="e">
        <f t="shared" si="13"/>
        <v>#REF!</v>
      </c>
      <c r="G152" s="153" t="e">
        <f t="shared" si="13"/>
        <v>#REF!</v>
      </c>
      <c r="H152" s="153" t="e">
        <f t="shared" si="13"/>
        <v>#REF!</v>
      </c>
      <c r="I152" s="153" t="e">
        <f t="shared" si="13"/>
        <v>#REF!</v>
      </c>
      <c r="J152" s="153" t="e">
        <f t="shared" si="13"/>
        <v>#REF!</v>
      </c>
      <c r="K152" s="153" t="e">
        <f t="shared" si="13"/>
        <v>#REF!</v>
      </c>
      <c r="L152" s="153" t="e">
        <f t="shared" si="13"/>
        <v>#REF!</v>
      </c>
      <c r="M152" s="153" t="e">
        <f t="shared" si="13"/>
        <v>#REF!</v>
      </c>
      <c r="N152" s="153" t="e">
        <f t="shared" si="13"/>
        <v>#REF!</v>
      </c>
      <c r="O152" s="153" t="e">
        <f t="shared" si="13"/>
        <v>#REF!</v>
      </c>
      <c r="P152" s="153">
        <f t="shared" si="13"/>
        <v>0</v>
      </c>
      <c r="Q152" s="153">
        <f t="shared" si="13"/>
        <v>0</v>
      </c>
      <c r="R152" s="153">
        <f t="shared" si="13"/>
        <v>0</v>
      </c>
      <c r="S152" s="97" t="e">
        <f>IF(SUM(D152:R152)&gt;0,SUM(D152:R152)/'Expenses w MYP'!$E124,"")</f>
        <v>#REF!</v>
      </c>
    </row>
    <row r="153" spans="1:19" s="31" customFormat="1" x14ac:dyDescent="0.75">
      <c r="A153" s="34"/>
      <c r="B153" s="3"/>
      <c r="C153" s="2"/>
      <c r="D153" s="45"/>
      <c r="E153" s="45"/>
      <c r="F153" s="45"/>
      <c r="G153" s="45"/>
      <c r="H153" s="45"/>
      <c r="I153" s="45"/>
      <c r="J153" s="45"/>
      <c r="K153" s="45"/>
      <c r="L153" s="45"/>
      <c r="M153" s="45"/>
      <c r="N153" s="45"/>
      <c r="O153" s="45"/>
      <c r="P153" s="84"/>
      <c r="Q153" s="84"/>
      <c r="R153" s="84"/>
    </row>
    <row r="154" spans="1:19" s="31" customFormat="1" x14ac:dyDescent="0.75">
      <c r="A154" s="35"/>
      <c r="B154" s="34" t="s">
        <v>818</v>
      </c>
      <c r="C154" s="2"/>
      <c r="D154" s="91"/>
      <c r="E154" s="91"/>
      <c r="F154" s="91"/>
      <c r="G154" s="84"/>
      <c r="H154" s="84"/>
      <c r="I154" s="84"/>
      <c r="J154" s="84"/>
      <c r="K154" s="84"/>
      <c r="L154" s="84"/>
      <c r="M154" s="84"/>
      <c r="N154" s="84"/>
      <c r="O154" s="84"/>
      <c r="P154" s="84"/>
      <c r="Q154" s="84"/>
      <c r="R154" s="84"/>
    </row>
    <row r="155" spans="1:19" s="31" customFormat="1" x14ac:dyDescent="0.75">
      <c r="A155" s="35"/>
      <c r="B155" s="64"/>
      <c r="C155" s="64" t="str">
        <f>'Cash Flow %s Yr5'!C154</f>
        <v>Cash balance at previous year end</v>
      </c>
      <c r="D155" s="62" t="e">
        <f>'Cash Flow $s Yr4'!O165</f>
        <v>#REF!</v>
      </c>
      <c r="E155" s="62">
        <f>'Cash Flow %s Yr5'!E154*'Cash Flow %s Yr5'!$X154</f>
        <v>0</v>
      </c>
      <c r="F155" s="62">
        <f>'Cash Flow %s Yr5'!F154*'Cash Flow %s Yr5'!$X154</f>
        <v>0</v>
      </c>
      <c r="G155" s="62">
        <f>'Cash Flow %s Yr5'!G154*'Cash Flow %s Yr5'!$X154</f>
        <v>0</v>
      </c>
      <c r="H155" s="62">
        <f>'Cash Flow %s Yr5'!H154*'Cash Flow %s Yr5'!$X154</f>
        <v>0</v>
      </c>
      <c r="I155" s="62">
        <f>'Cash Flow %s Yr5'!I154*'Cash Flow %s Yr5'!$X154</f>
        <v>0</v>
      </c>
      <c r="J155" s="62">
        <f>'Cash Flow %s Yr5'!J154*'Cash Flow %s Yr5'!$X154</f>
        <v>0</v>
      </c>
      <c r="K155" s="62">
        <f>'Cash Flow %s Yr5'!K154*'Cash Flow %s Yr5'!$X154</f>
        <v>0</v>
      </c>
      <c r="L155" s="62">
        <f>'Cash Flow %s Yr5'!L154*'Cash Flow %s Yr5'!$X154</f>
        <v>0</v>
      </c>
      <c r="M155" s="62">
        <f>'Cash Flow %s Yr5'!M154*'Cash Flow %s Yr5'!$X154</f>
        <v>0</v>
      </c>
      <c r="N155" s="62">
        <f>'Cash Flow %s Yr5'!N154*'Cash Flow %s Yr5'!$X154</f>
        <v>0</v>
      </c>
      <c r="O155" s="62">
        <f>'Cash Flow %s Yr5'!O154*'Cash Flow %s Yr5'!$X154</f>
        <v>0</v>
      </c>
      <c r="P155" s="90"/>
      <c r="Q155" s="90"/>
      <c r="R155" s="90"/>
    </row>
    <row r="156" spans="1:19" s="31" customFormat="1" x14ac:dyDescent="0.75">
      <c r="A156" s="35"/>
      <c r="B156" s="64"/>
      <c r="C156" s="117" t="str">
        <f>'Cash Flow %s Yr5'!C155</f>
        <v>Accounts Receivable</v>
      </c>
      <c r="D156" s="62">
        <f>'Cash Flow %s Yr5'!D155*'Cash Flow $s Yr4'!$O156</f>
        <v>0</v>
      </c>
      <c r="E156" s="62">
        <f>'Cash Flow %s Yr5'!E155*'Cash Flow $s Yr4'!$O156</f>
        <v>0</v>
      </c>
      <c r="F156" s="62">
        <f>'Cash Flow %s Yr5'!F155*'Cash Flow $s Yr4'!$O156</f>
        <v>0</v>
      </c>
      <c r="G156" s="62">
        <f>'Cash Flow %s Yr5'!G155*'Cash Flow $s Yr4'!$O156</f>
        <v>0</v>
      </c>
      <c r="H156" s="62">
        <f>'Cash Flow %s Yr5'!H155*'Cash Flow $s Yr4'!$O156</f>
        <v>0</v>
      </c>
      <c r="I156" s="62">
        <f>'Cash Flow %s Yr5'!I155*'Cash Flow $s Yr4'!$O156</f>
        <v>0</v>
      </c>
      <c r="J156" s="62">
        <f>'Cash Flow %s Yr5'!J155*'Cash Flow $s Yr4'!$O156</f>
        <v>0</v>
      </c>
      <c r="K156" s="62">
        <f>'Cash Flow %s Yr5'!K155*'Cash Flow $s Yr4'!$O156</f>
        <v>0</v>
      </c>
      <c r="L156" s="62">
        <f>'Cash Flow %s Yr5'!L155*'Cash Flow $s Yr4'!$O156</f>
        <v>0</v>
      </c>
      <c r="M156" s="62">
        <f>'Cash Flow %s Yr5'!M155*'Cash Flow $s Yr4'!$O156</f>
        <v>0</v>
      </c>
      <c r="N156" s="62">
        <f>'Cash Flow %s Yr5'!N155*'Cash Flow $s Yr4'!$O156</f>
        <v>0</v>
      </c>
      <c r="O156" s="62">
        <f>'Cash Flow %s Yr5'!O155*'Cash Flow $s Yr4'!$O156</f>
        <v>0</v>
      </c>
      <c r="P156" s="152">
        <f>P49</f>
        <v>1132996.4052152254</v>
      </c>
      <c r="Q156" s="152">
        <f>Q49</f>
        <v>0</v>
      </c>
      <c r="R156" s="152">
        <f>R49</f>
        <v>0</v>
      </c>
    </row>
    <row r="157" spans="1:19" s="31" customFormat="1" x14ac:dyDescent="0.75">
      <c r="A157" s="35"/>
      <c r="B157" s="64"/>
      <c r="C157" s="117" t="str">
        <f>'Cash Flow %s Yr5'!C156</f>
        <v>Accounts Payable</v>
      </c>
      <c r="D157" s="62">
        <f>'Cash Flow %s Yr5'!D156*'Cash Flow $s Yr4'!$O157</f>
        <v>0</v>
      </c>
      <c r="E157" s="62">
        <f>'Cash Flow %s Yr5'!E156*'Cash Flow $s Yr4'!$O157</f>
        <v>0</v>
      </c>
      <c r="F157" s="62">
        <f>'Cash Flow %s Yr5'!F156*'Cash Flow $s Yr4'!$O157</f>
        <v>0</v>
      </c>
      <c r="G157" s="62">
        <f>'Cash Flow %s Yr5'!G156*'Cash Flow $s Yr4'!$O157</f>
        <v>0</v>
      </c>
      <c r="H157" s="62">
        <f>'Cash Flow %s Yr5'!H156*'Cash Flow $s Yr4'!$O157</f>
        <v>0</v>
      </c>
      <c r="I157" s="62">
        <f>'Cash Flow %s Yr5'!I156*'Cash Flow $s Yr4'!$O157</f>
        <v>0</v>
      </c>
      <c r="J157" s="62">
        <f>'Cash Flow %s Yr5'!J156*'Cash Flow $s Yr4'!$O157</f>
        <v>0</v>
      </c>
      <c r="K157" s="62">
        <f>'Cash Flow %s Yr5'!K156*'Cash Flow $s Yr4'!$O157</f>
        <v>0</v>
      </c>
      <c r="L157" s="62">
        <f>'Cash Flow %s Yr5'!L156*'Cash Flow $s Yr4'!$O157</f>
        <v>0</v>
      </c>
      <c r="M157" s="62">
        <f>'Cash Flow %s Yr5'!M156*'Cash Flow $s Yr4'!$O157</f>
        <v>0</v>
      </c>
      <c r="N157" s="62">
        <f>'Cash Flow %s Yr5'!N156*'Cash Flow $s Yr4'!$O157</f>
        <v>0</v>
      </c>
      <c r="O157" s="62">
        <f>'Cash Flow %s Yr5'!O156*'Cash Flow $s Yr4'!$O157</f>
        <v>0</v>
      </c>
      <c r="P157" s="152">
        <f>-P152</f>
        <v>0</v>
      </c>
      <c r="Q157" s="152">
        <f>-Q152</f>
        <v>0</v>
      </c>
      <c r="R157" s="152">
        <f>-R152</f>
        <v>0</v>
      </c>
    </row>
    <row r="158" spans="1:19" s="31" customFormat="1" x14ac:dyDescent="0.75">
      <c r="A158" s="35"/>
      <c r="B158" s="64"/>
      <c r="C158" s="117" t="str">
        <f>'Cash Flow %s Yr5'!C157</f>
        <v>Loan Principal Payable</v>
      </c>
      <c r="D158" s="62"/>
      <c r="E158" s="62"/>
      <c r="F158" s="62"/>
      <c r="G158" s="62"/>
      <c r="H158" s="62"/>
      <c r="I158" s="62"/>
      <c r="J158" s="62"/>
      <c r="K158" s="62"/>
      <c r="L158" s="62"/>
      <c r="M158" s="62"/>
      <c r="N158" s="62"/>
      <c r="O158" s="62"/>
      <c r="P158" s="90"/>
      <c r="Q158" s="90"/>
      <c r="R158" s="90"/>
    </row>
    <row r="159" spans="1:19" s="31" customFormat="1" x14ac:dyDescent="0.75">
      <c r="A159" s="35"/>
      <c r="B159" s="3"/>
      <c r="C159" s="34" t="s">
        <v>719</v>
      </c>
      <c r="D159" s="79" t="e">
        <f>D155+D156+D157+D158</f>
        <v>#REF!</v>
      </c>
      <c r="E159" s="79">
        <f t="shared" ref="E159:O159" si="14">E155+E156+E157+E158</f>
        <v>0</v>
      </c>
      <c r="F159" s="79">
        <f t="shared" si="14"/>
        <v>0</v>
      </c>
      <c r="G159" s="79">
        <f t="shared" si="14"/>
        <v>0</v>
      </c>
      <c r="H159" s="79">
        <f t="shared" si="14"/>
        <v>0</v>
      </c>
      <c r="I159" s="79">
        <f t="shared" si="14"/>
        <v>0</v>
      </c>
      <c r="J159" s="79">
        <f t="shared" si="14"/>
        <v>0</v>
      </c>
      <c r="K159" s="79">
        <f t="shared" si="14"/>
        <v>0</v>
      </c>
      <c r="L159" s="79">
        <f t="shared" si="14"/>
        <v>0</v>
      </c>
      <c r="M159" s="79">
        <f t="shared" si="14"/>
        <v>0</v>
      </c>
      <c r="N159" s="79">
        <f t="shared" si="14"/>
        <v>0</v>
      </c>
      <c r="O159" s="79">
        <f t="shared" si="14"/>
        <v>0</v>
      </c>
      <c r="P159" s="84"/>
      <c r="Q159" s="84"/>
      <c r="R159" s="84"/>
    </row>
    <row r="160" spans="1:19" s="39" customFormat="1" ht="16.5" thickBot="1" x14ac:dyDescent="0.9">
      <c r="A160" s="35"/>
      <c r="C160" s="1"/>
      <c r="D160" s="84"/>
      <c r="E160" s="84"/>
      <c r="F160" s="84"/>
      <c r="G160" s="84"/>
      <c r="H160" s="84"/>
      <c r="I160" s="84"/>
      <c r="J160" s="84"/>
      <c r="K160" s="84"/>
      <c r="L160" s="84"/>
      <c r="M160" s="84"/>
      <c r="N160" s="84"/>
      <c r="O160" s="84"/>
      <c r="P160" s="84"/>
      <c r="Q160" s="84"/>
      <c r="R160" s="84"/>
    </row>
    <row r="161" spans="1:18" s="39" customFormat="1" ht="16.5" thickBot="1" x14ac:dyDescent="0.9">
      <c r="A161" s="71" t="s">
        <v>825</v>
      </c>
      <c r="B161" s="114"/>
      <c r="C161" s="72"/>
      <c r="D161" s="131" t="e">
        <f t="shared" ref="D161:O161" si="15">D49-D152</f>
        <v>#REF!</v>
      </c>
      <c r="E161" s="131" t="e">
        <f t="shared" si="15"/>
        <v>#REF!</v>
      </c>
      <c r="F161" s="131" t="e">
        <f t="shared" si="15"/>
        <v>#REF!</v>
      </c>
      <c r="G161" s="131" t="e">
        <f t="shared" si="15"/>
        <v>#REF!</v>
      </c>
      <c r="H161" s="131" t="e">
        <f t="shared" si="15"/>
        <v>#REF!</v>
      </c>
      <c r="I161" s="131" t="e">
        <f t="shared" si="15"/>
        <v>#REF!</v>
      </c>
      <c r="J161" s="131" t="e">
        <f t="shared" si="15"/>
        <v>#REF!</v>
      </c>
      <c r="K161" s="131" t="e">
        <f t="shared" si="15"/>
        <v>#REF!</v>
      </c>
      <c r="L161" s="131" t="e">
        <f t="shared" si="15"/>
        <v>#REF!</v>
      </c>
      <c r="M161" s="131" t="e">
        <f t="shared" si="15"/>
        <v>#REF!</v>
      </c>
      <c r="N161" s="131" t="e">
        <f t="shared" si="15"/>
        <v>#REF!</v>
      </c>
      <c r="O161" s="132" t="e">
        <f t="shared" si="15"/>
        <v>#REF!</v>
      </c>
      <c r="P161" s="84"/>
      <c r="Q161" s="84"/>
      <c r="R161" s="84"/>
    </row>
    <row r="162" spans="1:18" s="39" customFormat="1" ht="16.5" thickBot="1" x14ac:dyDescent="0.9">
      <c r="A162" s="35"/>
      <c r="C162" s="1"/>
      <c r="D162" s="133"/>
      <c r="E162" s="133"/>
      <c r="F162" s="133"/>
      <c r="G162" s="133"/>
      <c r="H162" s="133"/>
      <c r="I162" s="133"/>
      <c r="J162" s="133"/>
      <c r="K162" s="133"/>
      <c r="L162" s="133"/>
      <c r="M162" s="133"/>
      <c r="N162" s="133"/>
      <c r="O162" s="133"/>
      <c r="P162" s="84"/>
      <c r="Q162" s="84"/>
      <c r="R162" s="84"/>
    </row>
    <row r="163" spans="1:18" s="39" customFormat="1" ht="16.5" thickBot="1" x14ac:dyDescent="0.9">
      <c r="A163" s="71" t="s">
        <v>816</v>
      </c>
      <c r="B163" s="114"/>
      <c r="C163" s="72"/>
      <c r="D163" s="131" t="e">
        <f>D159+D161</f>
        <v>#REF!</v>
      </c>
      <c r="E163" s="131" t="e">
        <f t="shared" ref="E163:O163" si="16">E159+E161</f>
        <v>#REF!</v>
      </c>
      <c r="F163" s="131" t="e">
        <f t="shared" si="16"/>
        <v>#REF!</v>
      </c>
      <c r="G163" s="131" t="e">
        <f t="shared" si="16"/>
        <v>#REF!</v>
      </c>
      <c r="H163" s="131" t="e">
        <f t="shared" si="16"/>
        <v>#REF!</v>
      </c>
      <c r="I163" s="131" t="e">
        <f t="shared" si="16"/>
        <v>#REF!</v>
      </c>
      <c r="J163" s="131" t="e">
        <f t="shared" si="16"/>
        <v>#REF!</v>
      </c>
      <c r="K163" s="131" t="e">
        <f t="shared" si="16"/>
        <v>#REF!</v>
      </c>
      <c r="L163" s="131" t="e">
        <f t="shared" si="16"/>
        <v>#REF!</v>
      </c>
      <c r="M163" s="131" t="e">
        <f t="shared" si="16"/>
        <v>#REF!</v>
      </c>
      <c r="N163" s="131" t="e">
        <f t="shared" si="16"/>
        <v>#REF!</v>
      </c>
      <c r="O163" s="132" t="e">
        <f t="shared" si="16"/>
        <v>#REF!</v>
      </c>
      <c r="P163" s="84"/>
      <c r="Q163" s="84"/>
      <c r="R163" s="84"/>
    </row>
    <row r="164" spans="1:18" s="39" customFormat="1" ht="16.5" thickBot="1" x14ac:dyDescent="0.9">
      <c r="A164" s="35"/>
      <c r="C164" s="1"/>
      <c r="D164" s="84"/>
      <c r="E164" s="84"/>
      <c r="F164" s="84"/>
      <c r="G164" s="84"/>
      <c r="H164" s="84"/>
      <c r="I164" s="84"/>
      <c r="J164" s="84"/>
      <c r="K164" s="84"/>
      <c r="L164" s="84"/>
      <c r="M164" s="84"/>
      <c r="N164" s="84"/>
      <c r="O164" s="84"/>
      <c r="P164" s="84"/>
      <c r="Q164" s="84"/>
      <c r="R164" s="84"/>
    </row>
    <row r="165" spans="1:18" s="39" customFormat="1" ht="16.5" thickBot="1" x14ac:dyDescent="0.9">
      <c r="A165" s="71" t="s">
        <v>826</v>
      </c>
      <c r="B165" s="114"/>
      <c r="C165" s="72"/>
      <c r="D165" s="131" t="e">
        <f>D163</f>
        <v>#REF!</v>
      </c>
      <c r="E165" s="131" t="e">
        <f>D165+E163</f>
        <v>#REF!</v>
      </c>
      <c r="F165" s="131" t="e">
        <f t="shared" ref="F165:O165" si="17">E165+F163</f>
        <v>#REF!</v>
      </c>
      <c r="G165" s="131" t="e">
        <f t="shared" si="17"/>
        <v>#REF!</v>
      </c>
      <c r="H165" s="131" t="e">
        <f t="shared" si="17"/>
        <v>#REF!</v>
      </c>
      <c r="I165" s="131" t="e">
        <f t="shared" si="17"/>
        <v>#REF!</v>
      </c>
      <c r="J165" s="131" t="e">
        <f t="shared" si="17"/>
        <v>#REF!</v>
      </c>
      <c r="K165" s="131" t="e">
        <f t="shared" si="17"/>
        <v>#REF!</v>
      </c>
      <c r="L165" s="131" t="e">
        <f t="shared" si="17"/>
        <v>#REF!</v>
      </c>
      <c r="M165" s="131" t="e">
        <f t="shared" si="17"/>
        <v>#REF!</v>
      </c>
      <c r="N165" s="131" t="e">
        <f t="shared" si="17"/>
        <v>#REF!</v>
      </c>
      <c r="O165" s="132" t="e">
        <f t="shared" si="17"/>
        <v>#REF!</v>
      </c>
      <c r="P165" s="84"/>
      <c r="Q165" s="84"/>
      <c r="R165" s="84"/>
    </row>
    <row r="166" spans="1:18" s="39" customFormat="1" x14ac:dyDescent="0.75">
      <c r="A166" s="35"/>
      <c r="C166" s="1"/>
      <c r="D166" s="84"/>
      <c r="E166" s="84"/>
      <c r="F166" s="84"/>
      <c r="G166" s="84"/>
      <c r="H166" s="84"/>
      <c r="I166" s="84"/>
      <c r="J166" s="84"/>
      <c r="K166" s="84"/>
      <c r="L166" s="84"/>
      <c r="M166" s="84"/>
      <c r="N166" s="84"/>
      <c r="O166" s="84"/>
      <c r="P166" s="84"/>
      <c r="Q166" s="84"/>
      <c r="R166" s="84"/>
    </row>
    <row r="167" spans="1:18" s="39" customFormat="1" x14ac:dyDescent="0.75">
      <c r="A167" s="35"/>
      <c r="C167" s="1"/>
      <c r="D167" s="84"/>
      <c r="E167" s="84"/>
      <c r="F167" s="84"/>
      <c r="G167" s="84"/>
      <c r="H167" s="84"/>
      <c r="I167" s="84"/>
      <c r="J167" s="84"/>
      <c r="K167" s="84"/>
      <c r="L167" s="84"/>
      <c r="M167" s="84"/>
      <c r="N167" s="84"/>
      <c r="O167" s="84"/>
      <c r="P167" s="84"/>
      <c r="Q167" s="84"/>
      <c r="R167" s="84"/>
    </row>
    <row r="168" spans="1:18" s="39" customFormat="1" x14ac:dyDescent="0.75">
      <c r="A168" s="35"/>
      <c r="C168" s="1"/>
      <c r="D168" s="84"/>
      <c r="E168" s="84"/>
      <c r="F168" s="84"/>
      <c r="G168" s="84"/>
      <c r="H168" s="84"/>
      <c r="I168" s="84"/>
      <c r="J168" s="84"/>
      <c r="K168" s="84"/>
      <c r="L168" s="84"/>
      <c r="M168" s="84"/>
      <c r="N168" s="84"/>
      <c r="O168" s="84"/>
      <c r="P168" s="84"/>
      <c r="Q168" s="84"/>
      <c r="R168" s="84"/>
    </row>
  </sheetData>
  <pageMargins left="0.25" right="0.25" top="0.5" bottom="0.5" header="0.25" footer="0.25"/>
  <pageSetup scale="53" fitToHeight="3" orientation="landscape" r:id="rId1"/>
  <headerFooter alignWithMargins="0">
    <oddHeader>&amp;A</oddHeader>
    <oddFooter>Page &amp;P</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T196"/>
  <sheetViews>
    <sheetView workbookViewId="0"/>
  </sheetViews>
  <sheetFormatPr defaultRowHeight="13" x14ac:dyDescent="0.6"/>
  <cols>
    <col min="1" max="1" width="13.31640625" style="141" customWidth="1"/>
    <col min="2" max="5" width="9.08984375" style="141"/>
    <col min="6" max="6" width="14.31640625" style="141" customWidth="1"/>
    <col min="7" max="8" width="9.54296875" style="141" bestFit="1" customWidth="1"/>
    <col min="9" max="9" width="10.54296875" style="141" bestFit="1" customWidth="1"/>
    <col min="10" max="10" width="9.54296875" style="141" bestFit="1" customWidth="1"/>
    <col min="11" max="13" width="10.54296875" style="141" bestFit="1" customWidth="1"/>
    <col min="14" max="14" width="13.86328125" style="141" customWidth="1"/>
    <col min="15" max="15" width="12.453125" style="141" bestFit="1" customWidth="1"/>
    <col min="16" max="16" width="10.54296875" style="141" bestFit="1" customWidth="1"/>
    <col min="17" max="17" width="13.08984375" style="141" customWidth="1"/>
    <col min="18" max="18" width="4.6796875" style="141" customWidth="1"/>
    <col min="19" max="19" width="9.08984375" style="145"/>
    <col min="20" max="256" width="9.08984375" style="141"/>
    <col min="257" max="257" width="13.31640625" style="141" customWidth="1"/>
    <col min="258" max="261" width="9.08984375" style="141"/>
    <col min="262" max="262" width="14.31640625" style="141" customWidth="1"/>
    <col min="263" max="269" width="9.08984375" style="141"/>
    <col min="270" max="270" width="13.86328125" style="141" customWidth="1"/>
    <col min="271" max="272" width="9.08984375" style="141"/>
    <col min="273" max="273" width="13.08984375" style="141" customWidth="1"/>
    <col min="274" max="512" width="9.08984375" style="141"/>
    <col min="513" max="513" width="13.31640625" style="141" customWidth="1"/>
    <col min="514" max="517" width="9.08984375" style="141"/>
    <col min="518" max="518" width="14.31640625" style="141" customWidth="1"/>
    <col min="519" max="525" width="9.08984375" style="141"/>
    <col min="526" max="526" width="13.86328125" style="141" customWidth="1"/>
    <col min="527" max="528" width="9.08984375" style="141"/>
    <col min="529" max="529" width="13.08984375" style="141" customWidth="1"/>
    <col min="530" max="768" width="9.08984375" style="141"/>
    <col min="769" max="769" width="13.31640625" style="141" customWidth="1"/>
    <col min="770" max="773" width="9.08984375" style="141"/>
    <col min="774" max="774" width="14.31640625" style="141" customWidth="1"/>
    <col min="775" max="781" width="9.08984375" style="141"/>
    <col min="782" max="782" width="13.86328125" style="141" customWidth="1"/>
    <col min="783" max="784" width="9.08984375" style="141"/>
    <col min="785" max="785" width="13.08984375" style="141" customWidth="1"/>
    <col min="786" max="1024" width="9.08984375" style="141"/>
    <col min="1025" max="1025" width="13.31640625" style="141" customWidth="1"/>
    <col min="1026" max="1029" width="9.08984375" style="141"/>
    <col min="1030" max="1030" width="14.31640625" style="141" customWidth="1"/>
    <col min="1031" max="1037" width="9.08984375" style="141"/>
    <col min="1038" max="1038" width="13.86328125" style="141" customWidth="1"/>
    <col min="1039" max="1040" width="9.08984375" style="141"/>
    <col min="1041" max="1041" width="13.08984375" style="141" customWidth="1"/>
    <col min="1042" max="1280" width="9.08984375" style="141"/>
    <col min="1281" max="1281" width="13.31640625" style="141" customWidth="1"/>
    <col min="1282" max="1285" width="9.08984375" style="141"/>
    <col min="1286" max="1286" width="14.31640625" style="141" customWidth="1"/>
    <col min="1287" max="1293" width="9.08984375" style="141"/>
    <col min="1294" max="1294" width="13.86328125" style="141" customWidth="1"/>
    <col min="1295" max="1296" width="9.08984375" style="141"/>
    <col min="1297" max="1297" width="13.08984375" style="141" customWidth="1"/>
    <col min="1298" max="1536" width="9.08984375" style="141"/>
    <col min="1537" max="1537" width="13.31640625" style="141" customWidth="1"/>
    <col min="1538" max="1541" width="9.08984375" style="141"/>
    <col min="1542" max="1542" width="14.31640625" style="141" customWidth="1"/>
    <col min="1543" max="1549" width="9.08984375" style="141"/>
    <col min="1550" max="1550" width="13.86328125" style="141" customWidth="1"/>
    <col min="1551" max="1552" width="9.08984375" style="141"/>
    <col min="1553" max="1553" width="13.08984375" style="141" customWidth="1"/>
    <col min="1554" max="1792" width="9.08984375" style="141"/>
    <col min="1793" max="1793" width="13.31640625" style="141" customWidth="1"/>
    <col min="1794" max="1797" width="9.08984375" style="141"/>
    <col min="1798" max="1798" width="14.31640625" style="141" customWidth="1"/>
    <col min="1799" max="1805" width="9.08984375" style="141"/>
    <col min="1806" max="1806" width="13.86328125" style="141" customWidth="1"/>
    <col min="1807" max="1808" width="9.08984375" style="141"/>
    <col min="1809" max="1809" width="13.08984375" style="141" customWidth="1"/>
    <col min="1810" max="2048" width="9.08984375" style="141"/>
    <col min="2049" max="2049" width="13.31640625" style="141" customWidth="1"/>
    <col min="2050" max="2053" width="9.08984375" style="141"/>
    <col min="2054" max="2054" width="14.31640625" style="141" customWidth="1"/>
    <col min="2055" max="2061" width="9.08984375" style="141"/>
    <col min="2062" max="2062" width="13.86328125" style="141" customWidth="1"/>
    <col min="2063" max="2064" width="9.08984375" style="141"/>
    <col min="2065" max="2065" width="13.08984375" style="141" customWidth="1"/>
    <col min="2066" max="2304" width="9.08984375" style="141"/>
    <col min="2305" max="2305" width="13.31640625" style="141" customWidth="1"/>
    <col min="2306" max="2309" width="9.08984375" style="141"/>
    <col min="2310" max="2310" width="14.31640625" style="141" customWidth="1"/>
    <col min="2311" max="2317" width="9.08984375" style="141"/>
    <col min="2318" max="2318" width="13.86328125" style="141" customWidth="1"/>
    <col min="2319" max="2320" width="9.08984375" style="141"/>
    <col min="2321" max="2321" width="13.08984375" style="141" customWidth="1"/>
    <col min="2322" max="2560" width="9.08984375" style="141"/>
    <col min="2561" max="2561" width="13.31640625" style="141" customWidth="1"/>
    <col min="2562" max="2565" width="9.08984375" style="141"/>
    <col min="2566" max="2566" width="14.31640625" style="141" customWidth="1"/>
    <col min="2567" max="2573" width="9.08984375" style="141"/>
    <col min="2574" max="2574" width="13.86328125" style="141" customWidth="1"/>
    <col min="2575" max="2576" width="9.08984375" style="141"/>
    <col min="2577" max="2577" width="13.08984375" style="141" customWidth="1"/>
    <col min="2578" max="2816" width="9.08984375" style="141"/>
    <col min="2817" max="2817" width="13.31640625" style="141" customWidth="1"/>
    <col min="2818" max="2821" width="9.08984375" style="141"/>
    <col min="2822" max="2822" width="14.31640625" style="141" customWidth="1"/>
    <col min="2823" max="2829" width="9.08984375" style="141"/>
    <col min="2830" max="2830" width="13.86328125" style="141" customWidth="1"/>
    <col min="2831" max="2832" width="9.08984375" style="141"/>
    <col min="2833" max="2833" width="13.08984375" style="141" customWidth="1"/>
    <col min="2834" max="3072" width="9.08984375" style="141"/>
    <col min="3073" max="3073" width="13.31640625" style="141" customWidth="1"/>
    <col min="3074" max="3077" width="9.08984375" style="141"/>
    <col min="3078" max="3078" width="14.31640625" style="141" customWidth="1"/>
    <col min="3079" max="3085" width="9.08984375" style="141"/>
    <col min="3086" max="3086" width="13.86328125" style="141" customWidth="1"/>
    <col min="3087" max="3088" width="9.08984375" style="141"/>
    <col min="3089" max="3089" width="13.08984375" style="141" customWidth="1"/>
    <col min="3090" max="3328" width="9.08984375" style="141"/>
    <col min="3329" max="3329" width="13.31640625" style="141" customWidth="1"/>
    <col min="3330" max="3333" width="9.08984375" style="141"/>
    <col min="3334" max="3334" width="14.31640625" style="141" customWidth="1"/>
    <col min="3335" max="3341" width="9.08984375" style="141"/>
    <col min="3342" max="3342" width="13.86328125" style="141" customWidth="1"/>
    <col min="3343" max="3344" width="9.08984375" style="141"/>
    <col min="3345" max="3345" width="13.08984375" style="141" customWidth="1"/>
    <col min="3346" max="3584" width="9.08984375" style="141"/>
    <col min="3585" max="3585" width="13.31640625" style="141" customWidth="1"/>
    <col min="3586" max="3589" width="9.08984375" style="141"/>
    <col min="3590" max="3590" width="14.31640625" style="141" customWidth="1"/>
    <col min="3591" max="3597" width="9.08984375" style="141"/>
    <col min="3598" max="3598" width="13.86328125" style="141" customWidth="1"/>
    <col min="3599" max="3600" width="9.08984375" style="141"/>
    <col min="3601" max="3601" width="13.08984375" style="141" customWidth="1"/>
    <col min="3602" max="3840" width="9.08984375" style="141"/>
    <col min="3841" max="3841" width="13.31640625" style="141" customWidth="1"/>
    <col min="3842" max="3845" width="9.08984375" style="141"/>
    <col min="3846" max="3846" width="14.31640625" style="141" customWidth="1"/>
    <col min="3847" max="3853" width="9.08984375" style="141"/>
    <col min="3854" max="3854" width="13.86328125" style="141" customWidth="1"/>
    <col min="3855" max="3856" width="9.08984375" style="141"/>
    <col min="3857" max="3857" width="13.08984375" style="141" customWidth="1"/>
    <col min="3858" max="4096" width="9.08984375" style="141"/>
    <col min="4097" max="4097" width="13.31640625" style="141" customWidth="1"/>
    <col min="4098" max="4101" width="9.08984375" style="141"/>
    <col min="4102" max="4102" width="14.31640625" style="141" customWidth="1"/>
    <col min="4103" max="4109" width="9.08984375" style="141"/>
    <col min="4110" max="4110" width="13.86328125" style="141" customWidth="1"/>
    <col min="4111" max="4112" width="9.08984375" style="141"/>
    <col min="4113" max="4113" width="13.08984375" style="141" customWidth="1"/>
    <col min="4114" max="4352" width="9.08984375" style="141"/>
    <col min="4353" max="4353" width="13.31640625" style="141" customWidth="1"/>
    <col min="4354" max="4357" width="9.08984375" style="141"/>
    <col min="4358" max="4358" width="14.31640625" style="141" customWidth="1"/>
    <col min="4359" max="4365" width="9.08984375" style="141"/>
    <col min="4366" max="4366" width="13.86328125" style="141" customWidth="1"/>
    <col min="4367" max="4368" width="9.08984375" style="141"/>
    <col min="4369" max="4369" width="13.08984375" style="141" customWidth="1"/>
    <col min="4370" max="4608" width="9.08984375" style="141"/>
    <col min="4609" max="4609" width="13.31640625" style="141" customWidth="1"/>
    <col min="4610" max="4613" width="9.08984375" style="141"/>
    <col min="4614" max="4614" width="14.31640625" style="141" customWidth="1"/>
    <col min="4615" max="4621" width="9.08984375" style="141"/>
    <col min="4622" max="4622" width="13.86328125" style="141" customWidth="1"/>
    <col min="4623" max="4624" width="9.08984375" style="141"/>
    <col min="4625" max="4625" width="13.08984375" style="141" customWidth="1"/>
    <col min="4626" max="4864" width="9.08984375" style="141"/>
    <col min="4865" max="4865" width="13.31640625" style="141" customWidth="1"/>
    <col min="4866" max="4869" width="9.08984375" style="141"/>
    <col min="4870" max="4870" width="14.31640625" style="141" customWidth="1"/>
    <col min="4871" max="4877" width="9.08984375" style="141"/>
    <col min="4878" max="4878" width="13.86328125" style="141" customWidth="1"/>
    <col min="4879" max="4880" width="9.08984375" style="141"/>
    <col min="4881" max="4881" width="13.08984375" style="141" customWidth="1"/>
    <col min="4882" max="5120" width="9.08984375" style="141"/>
    <col min="5121" max="5121" width="13.31640625" style="141" customWidth="1"/>
    <col min="5122" max="5125" width="9.08984375" style="141"/>
    <col min="5126" max="5126" width="14.31640625" style="141" customWidth="1"/>
    <col min="5127" max="5133" width="9.08984375" style="141"/>
    <col min="5134" max="5134" width="13.86328125" style="141" customWidth="1"/>
    <col min="5135" max="5136" width="9.08984375" style="141"/>
    <col min="5137" max="5137" width="13.08984375" style="141" customWidth="1"/>
    <col min="5138" max="5376" width="9.08984375" style="141"/>
    <col min="5377" max="5377" width="13.31640625" style="141" customWidth="1"/>
    <col min="5378" max="5381" width="9.08984375" style="141"/>
    <col min="5382" max="5382" width="14.31640625" style="141" customWidth="1"/>
    <col min="5383" max="5389" width="9.08984375" style="141"/>
    <col min="5390" max="5390" width="13.86328125" style="141" customWidth="1"/>
    <col min="5391" max="5392" width="9.08984375" style="141"/>
    <col min="5393" max="5393" width="13.08984375" style="141" customWidth="1"/>
    <col min="5394" max="5632" width="9.08984375" style="141"/>
    <col min="5633" max="5633" width="13.31640625" style="141" customWidth="1"/>
    <col min="5634" max="5637" width="9.08984375" style="141"/>
    <col min="5638" max="5638" width="14.31640625" style="141" customWidth="1"/>
    <col min="5639" max="5645" width="9.08984375" style="141"/>
    <col min="5646" max="5646" width="13.86328125" style="141" customWidth="1"/>
    <col min="5647" max="5648" width="9.08984375" style="141"/>
    <col min="5649" max="5649" width="13.08984375" style="141" customWidth="1"/>
    <col min="5650" max="5888" width="9.08984375" style="141"/>
    <col min="5889" max="5889" width="13.31640625" style="141" customWidth="1"/>
    <col min="5890" max="5893" width="9.08984375" style="141"/>
    <col min="5894" max="5894" width="14.31640625" style="141" customWidth="1"/>
    <col min="5895" max="5901" width="9.08984375" style="141"/>
    <col min="5902" max="5902" width="13.86328125" style="141" customWidth="1"/>
    <col min="5903" max="5904" width="9.08984375" style="141"/>
    <col min="5905" max="5905" width="13.08984375" style="141" customWidth="1"/>
    <col min="5906" max="6144" width="9.08984375" style="141"/>
    <col min="6145" max="6145" width="13.31640625" style="141" customWidth="1"/>
    <col min="6146" max="6149" width="9.08984375" style="141"/>
    <col min="6150" max="6150" width="14.31640625" style="141" customWidth="1"/>
    <col min="6151" max="6157" width="9.08984375" style="141"/>
    <col min="6158" max="6158" width="13.86328125" style="141" customWidth="1"/>
    <col min="6159" max="6160" width="9.08984375" style="141"/>
    <col min="6161" max="6161" width="13.08984375" style="141" customWidth="1"/>
    <col min="6162" max="6400" width="9.08984375" style="141"/>
    <col min="6401" max="6401" width="13.31640625" style="141" customWidth="1"/>
    <col min="6402" max="6405" width="9.08984375" style="141"/>
    <col min="6406" max="6406" width="14.31640625" style="141" customWidth="1"/>
    <col min="6407" max="6413" width="9.08984375" style="141"/>
    <col min="6414" max="6414" width="13.86328125" style="141" customWidth="1"/>
    <col min="6415" max="6416" width="9.08984375" style="141"/>
    <col min="6417" max="6417" width="13.08984375" style="141" customWidth="1"/>
    <col min="6418" max="6656" width="9.08984375" style="141"/>
    <col min="6657" max="6657" width="13.31640625" style="141" customWidth="1"/>
    <col min="6658" max="6661" width="9.08984375" style="141"/>
    <col min="6662" max="6662" width="14.31640625" style="141" customWidth="1"/>
    <col min="6663" max="6669" width="9.08984375" style="141"/>
    <col min="6670" max="6670" width="13.86328125" style="141" customWidth="1"/>
    <col min="6671" max="6672" width="9.08984375" style="141"/>
    <col min="6673" max="6673" width="13.08984375" style="141" customWidth="1"/>
    <col min="6674" max="6912" width="9.08984375" style="141"/>
    <col min="6913" max="6913" width="13.31640625" style="141" customWidth="1"/>
    <col min="6914" max="6917" width="9.08984375" style="141"/>
    <col min="6918" max="6918" width="14.31640625" style="141" customWidth="1"/>
    <col min="6919" max="6925" width="9.08984375" style="141"/>
    <col min="6926" max="6926" width="13.86328125" style="141" customWidth="1"/>
    <col min="6927" max="6928" width="9.08984375" style="141"/>
    <col min="6929" max="6929" width="13.08984375" style="141" customWidth="1"/>
    <col min="6930" max="7168" width="9.08984375" style="141"/>
    <col min="7169" max="7169" width="13.31640625" style="141" customWidth="1"/>
    <col min="7170" max="7173" width="9.08984375" style="141"/>
    <col min="7174" max="7174" width="14.31640625" style="141" customWidth="1"/>
    <col min="7175" max="7181" width="9.08984375" style="141"/>
    <col min="7182" max="7182" width="13.86328125" style="141" customWidth="1"/>
    <col min="7183" max="7184" width="9.08984375" style="141"/>
    <col min="7185" max="7185" width="13.08984375" style="141" customWidth="1"/>
    <col min="7186" max="7424" width="9.08984375" style="141"/>
    <col min="7425" max="7425" width="13.31640625" style="141" customWidth="1"/>
    <col min="7426" max="7429" width="9.08984375" style="141"/>
    <col min="7430" max="7430" width="14.31640625" style="141" customWidth="1"/>
    <col min="7431" max="7437" width="9.08984375" style="141"/>
    <col min="7438" max="7438" width="13.86328125" style="141" customWidth="1"/>
    <col min="7439" max="7440" width="9.08984375" style="141"/>
    <col min="7441" max="7441" width="13.08984375" style="141" customWidth="1"/>
    <col min="7442" max="7680" width="9.08984375" style="141"/>
    <col min="7681" max="7681" width="13.31640625" style="141" customWidth="1"/>
    <col min="7682" max="7685" width="9.08984375" style="141"/>
    <col min="7686" max="7686" width="14.31640625" style="141" customWidth="1"/>
    <col min="7687" max="7693" width="9.08984375" style="141"/>
    <col min="7694" max="7694" width="13.86328125" style="141" customWidth="1"/>
    <col min="7695" max="7696" width="9.08984375" style="141"/>
    <col min="7697" max="7697" width="13.08984375" style="141" customWidth="1"/>
    <col min="7698" max="7936" width="9.08984375" style="141"/>
    <col min="7937" max="7937" width="13.31640625" style="141" customWidth="1"/>
    <col min="7938" max="7941" width="9.08984375" style="141"/>
    <col min="7942" max="7942" width="14.31640625" style="141" customWidth="1"/>
    <col min="7943" max="7949" width="9.08984375" style="141"/>
    <col min="7950" max="7950" width="13.86328125" style="141" customWidth="1"/>
    <col min="7951" max="7952" width="9.08984375" style="141"/>
    <col min="7953" max="7953" width="13.08984375" style="141" customWidth="1"/>
    <col min="7954" max="8192" width="9.08984375" style="141"/>
    <col min="8193" max="8193" width="13.31640625" style="141" customWidth="1"/>
    <col min="8194" max="8197" width="9.08984375" style="141"/>
    <col min="8198" max="8198" width="14.31640625" style="141" customWidth="1"/>
    <col min="8199" max="8205" width="9.08984375" style="141"/>
    <col min="8206" max="8206" width="13.86328125" style="141" customWidth="1"/>
    <col min="8207" max="8208" width="9.08984375" style="141"/>
    <col min="8209" max="8209" width="13.08984375" style="141" customWidth="1"/>
    <col min="8210" max="8448" width="9.08984375" style="141"/>
    <col min="8449" max="8449" width="13.31640625" style="141" customWidth="1"/>
    <col min="8450" max="8453" width="9.08984375" style="141"/>
    <col min="8454" max="8454" width="14.31640625" style="141" customWidth="1"/>
    <col min="8455" max="8461" width="9.08984375" style="141"/>
    <col min="8462" max="8462" width="13.86328125" style="141" customWidth="1"/>
    <col min="8463" max="8464" width="9.08984375" style="141"/>
    <col min="8465" max="8465" width="13.08984375" style="141" customWidth="1"/>
    <col min="8466" max="8704" width="9.08984375" style="141"/>
    <col min="8705" max="8705" width="13.31640625" style="141" customWidth="1"/>
    <col min="8706" max="8709" width="9.08984375" style="141"/>
    <col min="8710" max="8710" width="14.31640625" style="141" customWidth="1"/>
    <col min="8711" max="8717" width="9.08984375" style="141"/>
    <col min="8718" max="8718" width="13.86328125" style="141" customWidth="1"/>
    <col min="8719" max="8720" width="9.08984375" style="141"/>
    <col min="8721" max="8721" width="13.08984375" style="141" customWidth="1"/>
    <col min="8722" max="8960" width="9.08984375" style="141"/>
    <col min="8961" max="8961" width="13.31640625" style="141" customWidth="1"/>
    <col min="8962" max="8965" width="9.08984375" style="141"/>
    <col min="8966" max="8966" width="14.31640625" style="141" customWidth="1"/>
    <col min="8967" max="8973" width="9.08984375" style="141"/>
    <col min="8974" max="8974" width="13.86328125" style="141" customWidth="1"/>
    <col min="8975" max="8976" width="9.08984375" style="141"/>
    <col min="8977" max="8977" width="13.08984375" style="141" customWidth="1"/>
    <col min="8978" max="9216" width="9.08984375" style="141"/>
    <col min="9217" max="9217" width="13.31640625" style="141" customWidth="1"/>
    <col min="9218" max="9221" width="9.08984375" style="141"/>
    <col min="9222" max="9222" width="14.31640625" style="141" customWidth="1"/>
    <col min="9223" max="9229" width="9.08984375" style="141"/>
    <col min="9230" max="9230" width="13.86328125" style="141" customWidth="1"/>
    <col min="9231" max="9232" width="9.08984375" style="141"/>
    <col min="9233" max="9233" width="13.08984375" style="141" customWidth="1"/>
    <col min="9234" max="9472" width="9.08984375" style="141"/>
    <col min="9473" max="9473" width="13.31640625" style="141" customWidth="1"/>
    <col min="9474" max="9477" width="9.08984375" style="141"/>
    <col min="9478" max="9478" width="14.31640625" style="141" customWidth="1"/>
    <col min="9479" max="9485" width="9.08984375" style="141"/>
    <col min="9486" max="9486" width="13.86328125" style="141" customWidth="1"/>
    <col min="9487" max="9488" width="9.08984375" style="141"/>
    <col min="9489" max="9489" width="13.08984375" style="141" customWidth="1"/>
    <col min="9490" max="9728" width="9.08984375" style="141"/>
    <col min="9729" max="9729" width="13.31640625" style="141" customWidth="1"/>
    <col min="9730" max="9733" width="9.08984375" style="141"/>
    <col min="9734" max="9734" width="14.31640625" style="141" customWidth="1"/>
    <col min="9735" max="9741" width="9.08984375" style="141"/>
    <col min="9742" max="9742" width="13.86328125" style="141" customWidth="1"/>
    <col min="9743" max="9744" width="9.08984375" style="141"/>
    <col min="9745" max="9745" width="13.08984375" style="141" customWidth="1"/>
    <col min="9746" max="9984" width="9.08984375" style="141"/>
    <col min="9985" max="9985" width="13.31640625" style="141" customWidth="1"/>
    <col min="9986" max="9989" width="9.08984375" style="141"/>
    <col min="9990" max="9990" width="14.31640625" style="141" customWidth="1"/>
    <col min="9991" max="9997" width="9.08984375" style="141"/>
    <col min="9998" max="9998" width="13.86328125" style="141" customWidth="1"/>
    <col min="9999" max="10000" width="9.08984375" style="141"/>
    <col min="10001" max="10001" width="13.08984375" style="141" customWidth="1"/>
    <col min="10002" max="10240" width="9.08984375" style="141"/>
    <col min="10241" max="10241" width="13.31640625" style="141" customWidth="1"/>
    <col min="10242" max="10245" width="9.08984375" style="141"/>
    <col min="10246" max="10246" width="14.31640625" style="141" customWidth="1"/>
    <col min="10247" max="10253" width="9.08984375" style="141"/>
    <col min="10254" max="10254" width="13.86328125" style="141" customWidth="1"/>
    <col min="10255" max="10256" width="9.08984375" style="141"/>
    <col min="10257" max="10257" width="13.08984375" style="141" customWidth="1"/>
    <col min="10258" max="10496" width="9.08984375" style="141"/>
    <col min="10497" max="10497" width="13.31640625" style="141" customWidth="1"/>
    <col min="10498" max="10501" width="9.08984375" style="141"/>
    <col min="10502" max="10502" width="14.31640625" style="141" customWidth="1"/>
    <col min="10503" max="10509" width="9.08984375" style="141"/>
    <col min="10510" max="10510" width="13.86328125" style="141" customWidth="1"/>
    <col min="10511" max="10512" width="9.08984375" style="141"/>
    <col min="10513" max="10513" width="13.08984375" style="141" customWidth="1"/>
    <col min="10514" max="10752" width="9.08984375" style="141"/>
    <col min="10753" max="10753" width="13.31640625" style="141" customWidth="1"/>
    <col min="10754" max="10757" width="9.08984375" style="141"/>
    <col min="10758" max="10758" width="14.31640625" style="141" customWidth="1"/>
    <col min="10759" max="10765" width="9.08984375" style="141"/>
    <col min="10766" max="10766" width="13.86328125" style="141" customWidth="1"/>
    <col min="10767" max="10768" width="9.08984375" style="141"/>
    <col min="10769" max="10769" width="13.08984375" style="141" customWidth="1"/>
    <col min="10770" max="11008" width="9.08984375" style="141"/>
    <col min="11009" max="11009" width="13.31640625" style="141" customWidth="1"/>
    <col min="11010" max="11013" width="9.08984375" style="141"/>
    <col min="11014" max="11014" width="14.31640625" style="141" customWidth="1"/>
    <col min="11015" max="11021" width="9.08984375" style="141"/>
    <col min="11022" max="11022" width="13.86328125" style="141" customWidth="1"/>
    <col min="11023" max="11024" width="9.08984375" style="141"/>
    <col min="11025" max="11025" width="13.08984375" style="141" customWidth="1"/>
    <col min="11026" max="11264" width="9.08984375" style="141"/>
    <col min="11265" max="11265" width="13.31640625" style="141" customWidth="1"/>
    <col min="11266" max="11269" width="9.08984375" style="141"/>
    <col min="11270" max="11270" width="14.31640625" style="141" customWidth="1"/>
    <col min="11271" max="11277" width="9.08984375" style="141"/>
    <col min="11278" max="11278" width="13.86328125" style="141" customWidth="1"/>
    <col min="11279" max="11280" width="9.08984375" style="141"/>
    <col min="11281" max="11281" width="13.08984375" style="141" customWidth="1"/>
    <col min="11282" max="11520" width="9.08984375" style="141"/>
    <col min="11521" max="11521" width="13.31640625" style="141" customWidth="1"/>
    <col min="11522" max="11525" width="9.08984375" style="141"/>
    <col min="11526" max="11526" width="14.31640625" style="141" customWidth="1"/>
    <col min="11527" max="11533" width="9.08984375" style="141"/>
    <col min="11534" max="11534" width="13.86328125" style="141" customWidth="1"/>
    <col min="11535" max="11536" width="9.08984375" style="141"/>
    <col min="11537" max="11537" width="13.08984375" style="141" customWidth="1"/>
    <col min="11538" max="11776" width="9.08984375" style="141"/>
    <col min="11777" max="11777" width="13.31640625" style="141" customWidth="1"/>
    <col min="11778" max="11781" width="9.08984375" style="141"/>
    <col min="11782" max="11782" width="14.31640625" style="141" customWidth="1"/>
    <col min="11783" max="11789" width="9.08984375" style="141"/>
    <col min="11790" max="11790" width="13.86328125" style="141" customWidth="1"/>
    <col min="11791" max="11792" width="9.08984375" style="141"/>
    <col min="11793" max="11793" width="13.08984375" style="141" customWidth="1"/>
    <col min="11794" max="12032" width="9.08984375" style="141"/>
    <col min="12033" max="12033" width="13.31640625" style="141" customWidth="1"/>
    <col min="12034" max="12037" width="9.08984375" style="141"/>
    <col min="12038" max="12038" width="14.31640625" style="141" customWidth="1"/>
    <col min="12039" max="12045" width="9.08984375" style="141"/>
    <col min="12046" max="12046" width="13.86328125" style="141" customWidth="1"/>
    <col min="12047" max="12048" width="9.08984375" style="141"/>
    <col min="12049" max="12049" width="13.08984375" style="141" customWidth="1"/>
    <col min="12050" max="12288" width="9.08984375" style="141"/>
    <col min="12289" max="12289" width="13.31640625" style="141" customWidth="1"/>
    <col min="12290" max="12293" width="9.08984375" style="141"/>
    <col min="12294" max="12294" width="14.31640625" style="141" customWidth="1"/>
    <col min="12295" max="12301" width="9.08984375" style="141"/>
    <col min="12302" max="12302" width="13.86328125" style="141" customWidth="1"/>
    <col min="12303" max="12304" width="9.08984375" style="141"/>
    <col min="12305" max="12305" width="13.08984375" style="141" customWidth="1"/>
    <col min="12306" max="12544" width="9.08984375" style="141"/>
    <col min="12545" max="12545" width="13.31640625" style="141" customWidth="1"/>
    <col min="12546" max="12549" width="9.08984375" style="141"/>
    <col min="12550" max="12550" width="14.31640625" style="141" customWidth="1"/>
    <col min="12551" max="12557" width="9.08984375" style="141"/>
    <col min="12558" max="12558" width="13.86328125" style="141" customWidth="1"/>
    <col min="12559" max="12560" width="9.08984375" style="141"/>
    <col min="12561" max="12561" width="13.08984375" style="141" customWidth="1"/>
    <col min="12562" max="12800" width="9.08984375" style="141"/>
    <col min="12801" max="12801" width="13.31640625" style="141" customWidth="1"/>
    <col min="12802" max="12805" width="9.08984375" style="141"/>
    <col min="12806" max="12806" width="14.31640625" style="141" customWidth="1"/>
    <col min="12807" max="12813" width="9.08984375" style="141"/>
    <col min="12814" max="12814" width="13.86328125" style="141" customWidth="1"/>
    <col min="12815" max="12816" width="9.08984375" style="141"/>
    <col min="12817" max="12817" width="13.08984375" style="141" customWidth="1"/>
    <col min="12818" max="13056" width="9.08984375" style="141"/>
    <col min="13057" max="13057" width="13.31640625" style="141" customWidth="1"/>
    <col min="13058" max="13061" width="9.08984375" style="141"/>
    <col min="13062" max="13062" width="14.31640625" style="141" customWidth="1"/>
    <col min="13063" max="13069" width="9.08984375" style="141"/>
    <col min="13070" max="13070" width="13.86328125" style="141" customWidth="1"/>
    <col min="13071" max="13072" width="9.08984375" style="141"/>
    <col min="13073" max="13073" width="13.08984375" style="141" customWidth="1"/>
    <col min="13074" max="13312" width="9.08984375" style="141"/>
    <col min="13313" max="13313" width="13.31640625" style="141" customWidth="1"/>
    <col min="13314" max="13317" width="9.08984375" style="141"/>
    <col min="13318" max="13318" width="14.31640625" style="141" customWidth="1"/>
    <col min="13319" max="13325" width="9.08984375" style="141"/>
    <col min="13326" max="13326" width="13.86328125" style="141" customWidth="1"/>
    <col min="13327" max="13328" width="9.08984375" style="141"/>
    <col min="13329" max="13329" width="13.08984375" style="141" customWidth="1"/>
    <col min="13330" max="13568" width="9.08984375" style="141"/>
    <col min="13569" max="13569" width="13.31640625" style="141" customWidth="1"/>
    <col min="13570" max="13573" width="9.08984375" style="141"/>
    <col min="13574" max="13574" width="14.31640625" style="141" customWidth="1"/>
    <col min="13575" max="13581" width="9.08984375" style="141"/>
    <col min="13582" max="13582" width="13.86328125" style="141" customWidth="1"/>
    <col min="13583" max="13584" width="9.08984375" style="141"/>
    <col min="13585" max="13585" width="13.08984375" style="141" customWidth="1"/>
    <col min="13586" max="13824" width="9.08984375" style="141"/>
    <col min="13825" max="13825" width="13.31640625" style="141" customWidth="1"/>
    <col min="13826" max="13829" width="9.08984375" style="141"/>
    <col min="13830" max="13830" width="14.31640625" style="141" customWidth="1"/>
    <col min="13831" max="13837" width="9.08984375" style="141"/>
    <col min="13838" max="13838" width="13.86328125" style="141" customWidth="1"/>
    <col min="13839" max="13840" width="9.08984375" style="141"/>
    <col min="13841" max="13841" width="13.08984375" style="141" customWidth="1"/>
    <col min="13842" max="14080" width="9.08984375" style="141"/>
    <col min="14081" max="14081" width="13.31640625" style="141" customWidth="1"/>
    <col min="14082" max="14085" width="9.08984375" style="141"/>
    <col min="14086" max="14086" width="14.31640625" style="141" customWidth="1"/>
    <col min="14087" max="14093" width="9.08984375" style="141"/>
    <col min="14094" max="14094" width="13.86328125" style="141" customWidth="1"/>
    <col min="14095" max="14096" width="9.08984375" style="141"/>
    <col min="14097" max="14097" width="13.08984375" style="141" customWidth="1"/>
    <col min="14098" max="14336" width="9.08984375" style="141"/>
    <col min="14337" max="14337" width="13.31640625" style="141" customWidth="1"/>
    <col min="14338" max="14341" width="9.08984375" style="141"/>
    <col min="14342" max="14342" width="14.31640625" style="141" customWidth="1"/>
    <col min="14343" max="14349" width="9.08984375" style="141"/>
    <col min="14350" max="14350" width="13.86328125" style="141" customWidth="1"/>
    <col min="14351" max="14352" width="9.08984375" style="141"/>
    <col min="14353" max="14353" width="13.08984375" style="141" customWidth="1"/>
    <col min="14354" max="14592" width="9.08984375" style="141"/>
    <col min="14593" max="14593" width="13.31640625" style="141" customWidth="1"/>
    <col min="14594" max="14597" width="9.08984375" style="141"/>
    <col min="14598" max="14598" width="14.31640625" style="141" customWidth="1"/>
    <col min="14599" max="14605" width="9.08984375" style="141"/>
    <col min="14606" max="14606" width="13.86328125" style="141" customWidth="1"/>
    <col min="14607" max="14608" width="9.08984375" style="141"/>
    <col min="14609" max="14609" width="13.08984375" style="141" customWidth="1"/>
    <col min="14610" max="14848" width="9.08984375" style="141"/>
    <col min="14849" max="14849" width="13.31640625" style="141" customWidth="1"/>
    <col min="14850" max="14853" width="9.08984375" style="141"/>
    <col min="14854" max="14854" width="14.31640625" style="141" customWidth="1"/>
    <col min="14855" max="14861" width="9.08984375" style="141"/>
    <col min="14862" max="14862" width="13.86328125" style="141" customWidth="1"/>
    <col min="14863" max="14864" width="9.08984375" style="141"/>
    <col min="14865" max="14865" width="13.08984375" style="141" customWidth="1"/>
    <col min="14866" max="15104" width="9.08984375" style="141"/>
    <col min="15105" max="15105" width="13.31640625" style="141" customWidth="1"/>
    <col min="15106" max="15109" width="9.08984375" style="141"/>
    <col min="15110" max="15110" width="14.31640625" style="141" customWidth="1"/>
    <col min="15111" max="15117" width="9.08984375" style="141"/>
    <col min="15118" max="15118" width="13.86328125" style="141" customWidth="1"/>
    <col min="15119" max="15120" width="9.08984375" style="141"/>
    <col min="15121" max="15121" width="13.08984375" style="141" customWidth="1"/>
    <col min="15122" max="15360" width="9.08984375" style="141"/>
    <col min="15361" max="15361" width="13.31640625" style="141" customWidth="1"/>
    <col min="15362" max="15365" width="9.08984375" style="141"/>
    <col min="15366" max="15366" width="14.31640625" style="141" customWidth="1"/>
    <col min="15367" max="15373" width="9.08984375" style="141"/>
    <col min="15374" max="15374" width="13.86328125" style="141" customWidth="1"/>
    <col min="15375" max="15376" width="9.08984375" style="141"/>
    <col min="15377" max="15377" width="13.08984375" style="141" customWidth="1"/>
    <col min="15378" max="15616" width="9.08984375" style="141"/>
    <col min="15617" max="15617" width="13.31640625" style="141" customWidth="1"/>
    <col min="15618" max="15621" width="9.08984375" style="141"/>
    <col min="15622" max="15622" width="14.31640625" style="141" customWidth="1"/>
    <col min="15623" max="15629" width="9.08984375" style="141"/>
    <col min="15630" max="15630" width="13.86328125" style="141" customWidth="1"/>
    <col min="15631" max="15632" width="9.08984375" style="141"/>
    <col min="15633" max="15633" width="13.08984375" style="141" customWidth="1"/>
    <col min="15634" max="15872" width="9.08984375" style="141"/>
    <col min="15873" max="15873" width="13.31640625" style="141" customWidth="1"/>
    <col min="15874" max="15877" width="9.08984375" style="141"/>
    <col min="15878" max="15878" width="14.31640625" style="141" customWidth="1"/>
    <col min="15879" max="15885" width="9.08984375" style="141"/>
    <col min="15886" max="15886" width="13.86328125" style="141" customWidth="1"/>
    <col min="15887" max="15888" width="9.08984375" style="141"/>
    <col min="15889" max="15889" width="13.08984375" style="141" customWidth="1"/>
    <col min="15890" max="16128" width="9.08984375" style="141"/>
    <col min="16129" max="16129" width="13.31640625" style="141" customWidth="1"/>
    <col min="16130" max="16133" width="9.08984375" style="141"/>
    <col min="16134" max="16134" width="14.31640625" style="141" customWidth="1"/>
    <col min="16135" max="16141" width="9.08984375" style="141"/>
    <col min="16142" max="16142" width="13.86328125" style="141" customWidth="1"/>
    <col min="16143" max="16144" width="9.08984375" style="141"/>
    <col min="16145" max="16145" width="13.08984375" style="141" customWidth="1"/>
    <col min="16146" max="16384" width="9.08984375" style="141"/>
  </cols>
  <sheetData>
    <row r="1" spans="1:20" x14ac:dyDescent="0.6">
      <c r="A1" s="140" t="s">
        <v>567</v>
      </c>
      <c r="B1" s="140" t="s">
        <v>845</v>
      </c>
      <c r="C1" s="140" t="s">
        <v>846</v>
      </c>
      <c r="D1" s="140" t="s">
        <v>847</v>
      </c>
      <c r="E1" s="140" t="s">
        <v>848</v>
      </c>
      <c r="F1" s="140" t="s">
        <v>849</v>
      </c>
      <c r="G1" s="140" t="s">
        <v>850</v>
      </c>
      <c r="H1" s="140" t="s">
        <v>851</v>
      </c>
      <c r="I1" s="140" t="s">
        <v>852</v>
      </c>
      <c r="J1" s="140" t="s">
        <v>853</v>
      </c>
      <c r="K1" s="140" t="s">
        <v>854</v>
      </c>
      <c r="L1" s="140" t="s">
        <v>855</v>
      </c>
      <c r="M1" s="140" t="s">
        <v>856</v>
      </c>
      <c r="N1" s="140" t="s">
        <v>857</v>
      </c>
      <c r="O1" s="140" t="s">
        <v>858</v>
      </c>
      <c r="P1" s="140" t="s">
        <v>859</v>
      </c>
      <c r="Q1" s="140" t="s">
        <v>860</v>
      </c>
      <c r="S1" s="146" t="s">
        <v>1057</v>
      </c>
    </row>
    <row r="2" spans="1:20" x14ac:dyDescent="0.6">
      <c r="A2" s="140" t="s">
        <v>861</v>
      </c>
      <c r="B2" s="142" t="s">
        <v>1260</v>
      </c>
      <c r="C2" s="140" t="s">
        <v>862</v>
      </c>
      <c r="D2" s="140" t="s">
        <v>863</v>
      </c>
      <c r="E2" s="140" t="s">
        <v>864</v>
      </c>
      <c r="F2" s="140" t="str">
        <f>IFERROR((VLOOKUP(LEFT($A2,4),'Cash Flow $s Yr1'!$B$12:$R$150,3,FALSE)),0)</f>
        <v/>
      </c>
      <c r="G2" s="140" t="str">
        <f>IFERROR((VLOOKUP(LEFT($A2,4),'Cash Flow $s Yr1'!$B$12:$R$150,4,FALSE)),0)</f>
        <v/>
      </c>
      <c r="H2" s="140" t="str">
        <f>IFERROR((VLOOKUP(LEFT($A2,4),'Cash Flow $s Yr1'!$B$12:$R$150,5,FALSE)),0)</f>
        <v/>
      </c>
      <c r="I2" s="140" t="str">
        <f>IFERROR((VLOOKUP(LEFT($A2,4),'Cash Flow $s Yr1'!$B$12:$R$150,6,FALSE)),0)</f>
        <v/>
      </c>
      <c r="J2" s="140" t="str">
        <f>IFERROR((VLOOKUP(LEFT($A2,4),'Cash Flow $s Yr1'!$B$12:$R$150,7,FALSE)),0)</f>
        <v/>
      </c>
      <c r="K2" s="140" t="str">
        <f>IFERROR((VLOOKUP(LEFT($A2,4),'Cash Flow $s Yr1'!$B$12:$R$150,8,FALSE)),0)</f>
        <v/>
      </c>
      <c r="L2" s="140" t="str">
        <f>IFERROR((VLOOKUP(LEFT($A2,4),'Cash Flow $s Yr1'!$B$12:$R$150,9,FALSE)),0)</f>
        <v/>
      </c>
      <c r="M2" s="140" t="str">
        <f>IFERROR((VLOOKUP(LEFT($A2,4),'Cash Flow $s Yr1'!$B$12:$R$150,10,FALSE)),0)</f>
        <v/>
      </c>
      <c r="N2" s="140" t="str">
        <f>IFERROR((VLOOKUP(LEFT($A2,4),'Cash Flow $s Yr1'!$B$12:$R$150,11,FALSE)),0)</f>
        <v/>
      </c>
      <c r="O2" s="140" t="str">
        <f>IFERROR((VLOOKUP(LEFT($A2,4),'Cash Flow $s Yr1'!$B$12:$R$150,12,FALSE)),0)</f>
        <v/>
      </c>
      <c r="P2" s="140" t="str">
        <f>IFERROR((VLOOKUP(LEFT($A2,4),'Cash Flow $s Yr1'!$B$12:$R$150,13,FALSE)),0)</f>
        <v/>
      </c>
      <c r="Q2" s="140" t="str">
        <f>IFERROR((VLOOKUP(LEFT($A2,4),'Cash Flow $s Yr1'!$B$12:$R$150,14,FALSE)),0)</f>
        <v/>
      </c>
      <c r="S2" s="147" t="s">
        <v>1058</v>
      </c>
    </row>
    <row r="3" spans="1:20" x14ac:dyDescent="0.6">
      <c r="A3" s="140" t="s">
        <v>865</v>
      </c>
      <c r="B3" s="142" t="s">
        <v>1260</v>
      </c>
      <c r="C3" s="140" t="s">
        <v>862</v>
      </c>
      <c r="D3" s="140" t="s">
        <v>863</v>
      </c>
      <c r="E3" s="140" t="s">
        <v>864</v>
      </c>
      <c r="F3" s="140">
        <v>0</v>
      </c>
      <c r="G3" s="140">
        <v>0</v>
      </c>
      <c r="H3" s="140">
        <v>0</v>
      </c>
      <c r="I3" s="140">
        <v>0</v>
      </c>
      <c r="J3" s="140">
        <v>0</v>
      </c>
      <c r="K3" s="140">
        <v>0</v>
      </c>
      <c r="L3" s="140">
        <v>0</v>
      </c>
      <c r="M3" s="140">
        <v>0</v>
      </c>
      <c r="N3" s="140">
        <v>0</v>
      </c>
      <c r="O3" s="140">
        <v>0</v>
      </c>
      <c r="P3" s="140">
        <v>0</v>
      </c>
      <c r="Q3" s="140">
        <v>0</v>
      </c>
      <c r="S3" s="147" t="s">
        <v>1059</v>
      </c>
    </row>
    <row r="4" spans="1:20" x14ac:dyDescent="0.6">
      <c r="A4" s="140" t="s">
        <v>866</v>
      </c>
      <c r="B4" s="142" t="s">
        <v>1260</v>
      </c>
      <c r="C4" s="140" t="s">
        <v>862</v>
      </c>
      <c r="D4" s="140" t="s">
        <v>863</v>
      </c>
      <c r="E4" s="140" t="s">
        <v>864</v>
      </c>
      <c r="F4" s="140">
        <v>0</v>
      </c>
      <c r="G4" s="140">
        <v>0</v>
      </c>
      <c r="H4" s="140">
        <v>0</v>
      </c>
      <c r="I4" s="140">
        <v>0</v>
      </c>
      <c r="J4" s="140">
        <v>0</v>
      </c>
      <c r="K4" s="140">
        <v>0</v>
      </c>
      <c r="L4" s="140">
        <v>0</v>
      </c>
      <c r="M4" s="140">
        <v>0</v>
      </c>
      <c r="N4" s="140">
        <v>0</v>
      </c>
      <c r="O4" s="140">
        <v>0</v>
      </c>
      <c r="P4" s="140">
        <v>0</v>
      </c>
      <c r="Q4" s="140">
        <v>0</v>
      </c>
      <c r="S4" s="147"/>
    </row>
    <row r="5" spans="1:20" x14ac:dyDescent="0.6">
      <c r="A5" s="140" t="s">
        <v>867</v>
      </c>
      <c r="B5" s="142" t="s">
        <v>1260</v>
      </c>
      <c r="C5" s="140" t="s">
        <v>862</v>
      </c>
      <c r="D5" s="140" t="s">
        <v>863</v>
      </c>
      <c r="E5" s="140" t="s">
        <v>864</v>
      </c>
      <c r="F5" s="140" t="str">
        <f>IFERROR((VLOOKUP(LEFT($A5,4),'Cash Flow $s Yr1'!$B$12:$R$150,3,FALSE)),0)</f>
        <v/>
      </c>
      <c r="G5" s="140" t="str">
        <f>IFERROR((VLOOKUP(LEFT($A5,4),'Cash Flow $s Yr1'!$B$12:$R$150,4,FALSE)),0)</f>
        <v/>
      </c>
      <c r="H5" s="140" t="str">
        <f>IFERROR((VLOOKUP(LEFT($A5,4),'Cash Flow $s Yr1'!$B$12:$R$150,5,FALSE)),0)</f>
        <v/>
      </c>
      <c r="I5" s="140" t="str">
        <f>IFERROR((VLOOKUP(LEFT($A5,4),'Cash Flow $s Yr1'!$B$12:$R$150,6,FALSE)),0)</f>
        <v/>
      </c>
      <c r="J5" s="140" t="str">
        <f>IFERROR((VLOOKUP(LEFT($A5,4),'Cash Flow $s Yr1'!$B$12:$R$150,7,FALSE)),0)</f>
        <v/>
      </c>
      <c r="K5" s="140" t="str">
        <f>IFERROR((VLOOKUP(LEFT($A5,4),'Cash Flow $s Yr1'!$B$12:$R$150,8,FALSE)),0)</f>
        <v/>
      </c>
      <c r="L5" s="140" t="str">
        <f>IFERROR((VLOOKUP(LEFT($A5,4),'Cash Flow $s Yr1'!$B$12:$R$150,9,FALSE)),0)</f>
        <v/>
      </c>
      <c r="M5" s="140" t="str">
        <f>IFERROR((VLOOKUP(LEFT($A5,4),'Cash Flow $s Yr1'!$B$12:$R$150,10,FALSE)),0)</f>
        <v/>
      </c>
      <c r="N5" s="140" t="str">
        <f>IFERROR((VLOOKUP(LEFT($A5,4),'Cash Flow $s Yr1'!$B$12:$R$150,11,FALSE)),0)</f>
        <v/>
      </c>
      <c r="O5" s="140" t="str">
        <f>IFERROR((VLOOKUP(LEFT($A5,4),'Cash Flow $s Yr1'!$B$12:$R$150,12,FALSE)),0)</f>
        <v/>
      </c>
      <c r="P5" s="140" t="str">
        <f>IFERROR((VLOOKUP(LEFT($A5,4),'Cash Flow $s Yr1'!$B$12:$R$150,13,FALSE)),0)</f>
        <v/>
      </c>
      <c r="Q5" s="140" t="str">
        <f>IFERROR((VLOOKUP(LEFT($A5,4),'Cash Flow $s Yr1'!$B$12:$R$150,14,FALSE)),0)</f>
        <v/>
      </c>
      <c r="S5" s="147"/>
    </row>
    <row r="6" spans="1:20" x14ac:dyDescent="0.6">
      <c r="A6" s="140" t="s">
        <v>868</v>
      </c>
      <c r="B6" s="142" t="s">
        <v>1260</v>
      </c>
      <c r="C6" s="140" t="s">
        <v>862</v>
      </c>
      <c r="D6" s="140" t="s">
        <v>863</v>
      </c>
      <c r="E6" s="140" t="s">
        <v>864</v>
      </c>
      <c r="F6" s="140">
        <v>0</v>
      </c>
      <c r="G6" s="140">
        <v>0</v>
      </c>
      <c r="H6" s="140">
        <v>0</v>
      </c>
      <c r="I6" s="140">
        <v>0</v>
      </c>
      <c r="J6" s="140">
        <v>0</v>
      </c>
      <c r="K6" s="140">
        <v>0</v>
      </c>
      <c r="L6" s="140">
        <v>0</v>
      </c>
      <c r="M6" s="140">
        <v>0</v>
      </c>
      <c r="N6" s="140">
        <v>0</v>
      </c>
      <c r="O6" s="140">
        <v>0</v>
      </c>
      <c r="P6" s="140">
        <v>0</v>
      </c>
      <c r="Q6" s="140">
        <v>0</v>
      </c>
      <c r="S6" s="148" t="s">
        <v>1055</v>
      </c>
    </row>
    <row r="7" spans="1:20" x14ac:dyDescent="0.6">
      <c r="A7" s="140" t="s">
        <v>869</v>
      </c>
      <c r="B7" s="142" t="s">
        <v>1260</v>
      </c>
      <c r="C7" s="140" t="s">
        <v>862</v>
      </c>
      <c r="D7" s="140" t="s">
        <v>863</v>
      </c>
      <c r="E7" s="140" t="s">
        <v>864</v>
      </c>
      <c r="F7" s="140">
        <v>0</v>
      </c>
      <c r="G7" s="140">
        <v>0</v>
      </c>
      <c r="H7" s="140">
        <v>0</v>
      </c>
      <c r="I7" s="140">
        <v>0</v>
      </c>
      <c r="J7" s="140">
        <v>0</v>
      </c>
      <c r="K7" s="140">
        <v>0</v>
      </c>
      <c r="L7" s="140">
        <v>0</v>
      </c>
      <c r="M7" s="140">
        <v>0</v>
      </c>
      <c r="N7" s="140">
        <v>0</v>
      </c>
      <c r="O7" s="140">
        <v>0</v>
      </c>
      <c r="P7" s="140">
        <v>0</v>
      </c>
      <c r="Q7" s="140">
        <v>0</v>
      </c>
      <c r="S7" s="147"/>
    </row>
    <row r="8" spans="1:20" x14ac:dyDescent="0.6">
      <c r="A8" s="140" t="s">
        <v>870</v>
      </c>
      <c r="B8" s="142" t="s">
        <v>1260</v>
      </c>
      <c r="C8" s="140" t="s">
        <v>862</v>
      </c>
      <c r="D8" s="140" t="s">
        <v>863</v>
      </c>
      <c r="E8" s="140" t="s">
        <v>864</v>
      </c>
      <c r="F8" s="140" t="str">
        <f>IFERROR((VLOOKUP(LEFT($A8,4),'Cash Flow $s Yr1'!$B$12:$R$150,3,FALSE)),0)</f>
        <v/>
      </c>
      <c r="G8" s="140" t="str">
        <f>IFERROR((VLOOKUP(LEFT($A8,4),'Cash Flow $s Yr1'!$B$12:$R$150,4,FALSE)),0)</f>
        <v/>
      </c>
      <c r="H8" s="140" t="str">
        <f>IFERROR((VLOOKUP(LEFT($A8,4),'Cash Flow $s Yr1'!$B$12:$R$150,5,FALSE)),0)</f>
        <v/>
      </c>
      <c r="I8" s="140" t="str">
        <f>IFERROR((VLOOKUP(LEFT($A8,4),'Cash Flow $s Yr1'!$B$12:$R$150,6,FALSE)),0)</f>
        <v/>
      </c>
      <c r="J8" s="140" t="str">
        <f>IFERROR((VLOOKUP(LEFT($A8,4),'Cash Flow $s Yr1'!$B$12:$R$150,7,FALSE)),0)</f>
        <v/>
      </c>
      <c r="K8" s="140" t="str">
        <f>IFERROR((VLOOKUP(LEFT($A8,4),'Cash Flow $s Yr1'!$B$12:$R$150,8,FALSE)),0)</f>
        <v/>
      </c>
      <c r="L8" s="140" t="str">
        <f>IFERROR((VLOOKUP(LEFT($A8,4),'Cash Flow $s Yr1'!$B$12:$R$150,9,FALSE)),0)</f>
        <v/>
      </c>
      <c r="M8" s="140" t="str">
        <f>IFERROR((VLOOKUP(LEFT($A8,4),'Cash Flow $s Yr1'!$B$12:$R$150,10,FALSE)),0)</f>
        <v/>
      </c>
      <c r="N8" s="140" t="str">
        <f>IFERROR((VLOOKUP(LEFT($A8,4),'Cash Flow $s Yr1'!$B$12:$R$150,11,FALSE)),0)</f>
        <v/>
      </c>
      <c r="O8" s="140" t="str">
        <f>IFERROR((VLOOKUP(LEFT($A8,4),'Cash Flow $s Yr1'!$B$12:$R$150,12,FALSE)),0)</f>
        <v/>
      </c>
      <c r="P8" s="140" t="str">
        <f>IFERROR((VLOOKUP(LEFT($A8,4),'Cash Flow $s Yr1'!$B$12:$R$150,13,FALSE)),0)</f>
        <v/>
      </c>
      <c r="Q8" s="140" t="str">
        <f>IFERROR((VLOOKUP(LEFT($A8,4),'Cash Flow $s Yr1'!$B$12:$R$150,14,FALSE)),0)</f>
        <v/>
      </c>
      <c r="S8" s="147"/>
      <c r="T8" s="148"/>
    </row>
    <row r="9" spans="1:20" x14ac:dyDescent="0.6">
      <c r="A9" s="140" t="s">
        <v>871</v>
      </c>
      <c r="B9" s="142" t="s">
        <v>1260</v>
      </c>
      <c r="C9" s="140" t="s">
        <v>862</v>
      </c>
      <c r="D9" s="140" t="s">
        <v>863</v>
      </c>
      <c r="E9" s="140" t="s">
        <v>864</v>
      </c>
      <c r="F9" s="140">
        <v>0</v>
      </c>
      <c r="G9" s="140">
        <v>0</v>
      </c>
      <c r="H9" s="140">
        <v>0</v>
      </c>
      <c r="I9" s="140">
        <v>0</v>
      </c>
      <c r="J9" s="140">
        <v>0</v>
      </c>
      <c r="K9" s="140">
        <v>0</v>
      </c>
      <c r="L9" s="140">
        <v>0</v>
      </c>
      <c r="M9" s="140">
        <v>0</v>
      </c>
      <c r="N9" s="140">
        <v>0</v>
      </c>
      <c r="O9" s="140">
        <v>0</v>
      </c>
      <c r="P9" s="140">
        <v>0</v>
      </c>
      <c r="Q9" s="140">
        <v>0</v>
      </c>
      <c r="S9" s="147"/>
    </row>
    <row r="10" spans="1:20" x14ac:dyDescent="0.6">
      <c r="A10" s="140" t="s">
        <v>872</v>
      </c>
      <c r="B10" s="142" t="s">
        <v>1260</v>
      </c>
      <c r="C10" s="140" t="s">
        <v>862</v>
      </c>
      <c r="D10" s="140" t="s">
        <v>863</v>
      </c>
      <c r="E10" s="140" t="s">
        <v>864</v>
      </c>
      <c r="F10" s="140">
        <v>0</v>
      </c>
      <c r="G10" s="140">
        <v>0</v>
      </c>
      <c r="H10" s="140">
        <v>0</v>
      </c>
      <c r="I10" s="140">
        <v>0</v>
      </c>
      <c r="J10" s="140">
        <v>0</v>
      </c>
      <c r="K10" s="140">
        <v>0</v>
      </c>
      <c r="L10" s="140">
        <v>0</v>
      </c>
      <c r="M10" s="140">
        <v>0</v>
      </c>
      <c r="N10" s="140">
        <v>0</v>
      </c>
      <c r="O10" s="140">
        <v>0</v>
      </c>
      <c r="P10" s="140">
        <v>0</v>
      </c>
      <c r="Q10" s="140">
        <v>0</v>
      </c>
      <c r="S10" s="147"/>
    </row>
    <row r="11" spans="1:20" x14ac:dyDescent="0.6">
      <c r="A11" s="140" t="s">
        <v>873</v>
      </c>
      <c r="B11" s="142" t="s">
        <v>1260</v>
      </c>
      <c r="C11" s="140" t="s">
        <v>862</v>
      </c>
      <c r="D11" s="140" t="s">
        <v>863</v>
      </c>
      <c r="E11" s="140" t="s">
        <v>864</v>
      </c>
      <c r="F11" s="140" t="str">
        <f>IFERROR((VLOOKUP(LEFT($A11,4),'Cash Flow $s Yr1'!$B$12:$R$150,3,FALSE)),0)</f>
        <v/>
      </c>
      <c r="G11" s="140" t="str">
        <f>IFERROR((VLOOKUP(LEFT($A11,4),'Cash Flow $s Yr1'!$B$12:$R$150,4,FALSE)),0)</f>
        <v/>
      </c>
      <c r="H11" s="140" t="str">
        <f>IFERROR((VLOOKUP(LEFT($A11,4),'Cash Flow $s Yr1'!$B$12:$R$150,5,FALSE)),0)</f>
        <v/>
      </c>
      <c r="I11" s="140" t="str">
        <f>IFERROR((VLOOKUP(LEFT($A11,4),'Cash Flow $s Yr1'!$B$12:$R$150,6,FALSE)),0)</f>
        <v/>
      </c>
      <c r="J11" s="140" t="str">
        <f>IFERROR((VLOOKUP(LEFT($A11,4),'Cash Flow $s Yr1'!$B$12:$R$150,7,FALSE)),0)</f>
        <v/>
      </c>
      <c r="K11" s="140" t="str">
        <f>IFERROR((VLOOKUP(LEFT($A11,4),'Cash Flow $s Yr1'!$B$12:$R$150,8,FALSE)),0)</f>
        <v/>
      </c>
      <c r="L11" s="140" t="str">
        <f>IFERROR((VLOOKUP(LEFT($A11,4),'Cash Flow $s Yr1'!$B$12:$R$150,9,FALSE)),0)</f>
        <v/>
      </c>
      <c r="M11" s="140" t="str">
        <f>IFERROR((VLOOKUP(LEFT($A11,4),'Cash Flow $s Yr1'!$B$12:$R$150,10,FALSE)),0)</f>
        <v/>
      </c>
      <c r="N11" s="140" t="str">
        <f>IFERROR((VLOOKUP(LEFT($A11,4),'Cash Flow $s Yr1'!$B$12:$R$150,11,FALSE)),0)</f>
        <v/>
      </c>
      <c r="O11" s="140" t="str">
        <f>IFERROR((VLOOKUP(LEFT($A11,4),'Cash Flow $s Yr1'!$B$12:$R$150,12,FALSE)),0)</f>
        <v/>
      </c>
      <c r="P11" s="140" t="str">
        <f>IFERROR((VLOOKUP(LEFT($A11,4),'Cash Flow $s Yr1'!$B$12:$R$150,13,FALSE)),0)</f>
        <v/>
      </c>
      <c r="Q11" s="140" t="str">
        <f>IFERROR((VLOOKUP(LEFT($A11,4),'Cash Flow $s Yr1'!$B$12:$R$150,14,FALSE)),0)</f>
        <v/>
      </c>
      <c r="S11" s="146" t="s">
        <v>1052</v>
      </c>
    </row>
    <row r="12" spans="1:20" x14ac:dyDescent="0.6">
      <c r="A12" s="140" t="s">
        <v>874</v>
      </c>
      <c r="B12" s="142" t="s">
        <v>1260</v>
      </c>
      <c r="C12" s="140" t="s">
        <v>862</v>
      </c>
      <c r="D12" s="140" t="s">
        <v>863</v>
      </c>
      <c r="E12" s="140" t="s">
        <v>864</v>
      </c>
      <c r="F12" s="140">
        <v>0</v>
      </c>
      <c r="G12" s="140">
        <v>0</v>
      </c>
      <c r="H12" s="140">
        <v>0</v>
      </c>
      <c r="I12" s="140">
        <v>0</v>
      </c>
      <c r="J12" s="140">
        <v>0</v>
      </c>
      <c r="K12" s="140">
        <v>0</v>
      </c>
      <c r="L12" s="140">
        <v>0</v>
      </c>
      <c r="M12" s="140">
        <v>0</v>
      </c>
      <c r="N12" s="140">
        <v>0</v>
      </c>
      <c r="O12" s="140">
        <v>0</v>
      </c>
      <c r="P12" s="140">
        <v>0</v>
      </c>
      <c r="Q12" s="140">
        <v>0</v>
      </c>
      <c r="S12" s="147" t="s">
        <v>1056</v>
      </c>
    </row>
    <row r="13" spans="1:20" x14ac:dyDescent="0.6">
      <c r="A13" s="140" t="s">
        <v>875</v>
      </c>
      <c r="B13" s="142" t="s">
        <v>1260</v>
      </c>
      <c r="C13" s="140" t="s">
        <v>862</v>
      </c>
      <c r="D13" s="140" t="s">
        <v>863</v>
      </c>
      <c r="E13" s="140" t="s">
        <v>864</v>
      </c>
      <c r="F13" s="140">
        <v>0</v>
      </c>
      <c r="G13" s="140">
        <v>0</v>
      </c>
      <c r="H13" s="140">
        <v>0</v>
      </c>
      <c r="I13" s="140">
        <v>0</v>
      </c>
      <c r="J13" s="140">
        <v>0</v>
      </c>
      <c r="K13" s="140">
        <v>0</v>
      </c>
      <c r="L13" s="140">
        <v>0</v>
      </c>
      <c r="M13" s="140">
        <v>0</v>
      </c>
      <c r="N13" s="140">
        <v>0</v>
      </c>
      <c r="O13" s="140">
        <v>0</v>
      </c>
      <c r="P13" s="140">
        <v>0</v>
      </c>
      <c r="Q13" s="140">
        <v>0</v>
      </c>
    </row>
    <row r="14" spans="1:20" x14ac:dyDescent="0.6">
      <c r="A14" s="140" t="s">
        <v>876</v>
      </c>
      <c r="B14" s="142" t="s">
        <v>1260</v>
      </c>
      <c r="C14" s="140" t="s">
        <v>862</v>
      </c>
      <c r="D14" s="140" t="s">
        <v>863</v>
      </c>
      <c r="E14" s="140" t="s">
        <v>864</v>
      </c>
      <c r="F14" s="140" t="str">
        <f>IFERROR((VLOOKUP(LEFT($A14,4),'Cash Flow $s Yr1'!$B$12:$R$150,3,FALSE)),0)</f>
        <v/>
      </c>
      <c r="G14" s="140" t="str">
        <f>IFERROR((VLOOKUP(LEFT($A14,4),'Cash Flow $s Yr1'!$B$12:$R$150,4,FALSE)),0)</f>
        <v/>
      </c>
      <c r="H14" s="140" t="str">
        <f>IFERROR((VLOOKUP(LEFT($A14,4),'Cash Flow $s Yr1'!$B$12:$R$150,5,FALSE)),0)</f>
        <v/>
      </c>
      <c r="I14" s="140" t="str">
        <f>IFERROR((VLOOKUP(LEFT($A14,4),'Cash Flow $s Yr1'!$B$12:$R$150,6,FALSE)),0)</f>
        <v/>
      </c>
      <c r="J14" s="140" t="str">
        <f>IFERROR((VLOOKUP(LEFT($A14,4),'Cash Flow $s Yr1'!$B$12:$R$150,7,FALSE)),0)</f>
        <v/>
      </c>
      <c r="K14" s="140" t="str">
        <f>IFERROR((VLOOKUP(LEFT($A14,4),'Cash Flow $s Yr1'!$B$12:$R$150,8,FALSE)),0)</f>
        <v/>
      </c>
      <c r="L14" s="140" t="str">
        <f>IFERROR((VLOOKUP(LEFT($A14,4),'Cash Flow $s Yr1'!$B$12:$R$150,9,FALSE)),0)</f>
        <v/>
      </c>
      <c r="M14" s="140" t="str">
        <f>IFERROR((VLOOKUP(LEFT($A14,4),'Cash Flow $s Yr1'!$B$12:$R$150,10,FALSE)),0)</f>
        <v/>
      </c>
      <c r="N14" s="140" t="str">
        <f>IFERROR((VLOOKUP(LEFT($A14,4),'Cash Flow $s Yr1'!$B$12:$R$150,11,FALSE)),0)</f>
        <v/>
      </c>
      <c r="O14" s="140" t="str">
        <f>IFERROR((VLOOKUP(LEFT($A14,4),'Cash Flow $s Yr1'!$B$12:$R$150,12,FALSE)),0)</f>
        <v/>
      </c>
      <c r="P14" s="140" t="str">
        <f>IFERROR((VLOOKUP(LEFT($A14,4),'Cash Flow $s Yr1'!$B$12:$R$150,13,FALSE)),0)</f>
        <v/>
      </c>
      <c r="Q14" s="140" t="str">
        <f>IFERROR((VLOOKUP(LEFT($A14,4),'Cash Flow $s Yr1'!$B$12:$R$150,14,FALSE)),0)</f>
        <v/>
      </c>
    </row>
    <row r="15" spans="1:20" x14ac:dyDescent="0.6">
      <c r="A15" s="140" t="s">
        <v>877</v>
      </c>
      <c r="B15" s="142" t="s">
        <v>1260</v>
      </c>
      <c r="C15" s="140" t="s">
        <v>862</v>
      </c>
      <c r="D15" s="140" t="s">
        <v>863</v>
      </c>
      <c r="E15" s="140" t="s">
        <v>864</v>
      </c>
      <c r="F15" s="140">
        <v>0</v>
      </c>
      <c r="G15" s="140">
        <v>0</v>
      </c>
      <c r="H15" s="140">
        <v>0</v>
      </c>
      <c r="I15" s="140">
        <v>0</v>
      </c>
      <c r="J15" s="140">
        <v>0</v>
      </c>
      <c r="K15" s="140">
        <v>0</v>
      </c>
      <c r="L15" s="140">
        <v>0</v>
      </c>
      <c r="M15" s="140">
        <v>0</v>
      </c>
      <c r="N15" s="140">
        <v>0</v>
      </c>
      <c r="O15" s="140">
        <v>0</v>
      </c>
      <c r="P15" s="140">
        <v>0</v>
      </c>
      <c r="Q15" s="140">
        <v>0</v>
      </c>
    </row>
    <row r="16" spans="1:20" x14ac:dyDescent="0.6">
      <c r="A16" s="140" t="s">
        <v>878</v>
      </c>
      <c r="B16" s="142" t="s">
        <v>1260</v>
      </c>
      <c r="C16" s="140" t="s">
        <v>862</v>
      </c>
      <c r="D16" s="140" t="s">
        <v>863</v>
      </c>
      <c r="E16" s="140" t="s">
        <v>864</v>
      </c>
      <c r="F16" s="140">
        <v>0</v>
      </c>
      <c r="G16" s="140">
        <v>0</v>
      </c>
      <c r="H16" s="140">
        <v>0</v>
      </c>
      <c r="I16" s="140">
        <v>0</v>
      </c>
      <c r="J16" s="140">
        <v>0</v>
      </c>
      <c r="K16" s="140">
        <v>0</v>
      </c>
      <c r="L16" s="140">
        <v>0</v>
      </c>
      <c r="M16" s="140">
        <v>0</v>
      </c>
      <c r="N16" s="140">
        <v>0</v>
      </c>
      <c r="O16" s="140">
        <v>0</v>
      </c>
      <c r="P16" s="140">
        <v>0</v>
      </c>
      <c r="Q16" s="140">
        <v>0</v>
      </c>
    </row>
    <row r="17" spans="1:19" x14ac:dyDescent="0.6">
      <c r="A17" s="140" t="s">
        <v>879</v>
      </c>
      <c r="B17" s="142" t="s">
        <v>1260</v>
      </c>
      <c r="C17" s="140" t="s">
        <v>862</v>
      </c>
      <c r="D17" s="140" t="s">
        <v>863</v>
      </c>
      <c r="E17" s="140" t="s">
        <v>864</v>
      </c>
      <c r="F17" s="140" t="str">
        <f>IFERROR((VLOOKUP(LEFT($A17,4),'Cash Flow $s Yr1'!$B$12:$R$150,3,FALSE)),0)</f>
        <v/>
      </c>
      <c r="G17" s="140" t="str">
        <f>IFERROR((VLOOKUP(LEFT($A17,4),'Cash Flow $s Yr1'!$B$12:$R$150,4,FALSE)),0)</f>
        <v/>
      </c>
      <c r="H17" s="140" t="str">
        <f>IFERROR((VLOOKUP(LEFT($A17,4),'Cash Flow $s Yr1'!$B$12:$R$150,5,FALSE)),0)</f>
        <v/>
      </c>
      <c r="I17" s="140" t="str">
        <f>IFERROR((VLOOKUP(LEFT($A17,4),'Cash Flow $s Yr1'!$B$12:$R$150,6,FALSE)),0)</f>
        <v/>
      </c>
      <c r="J17" s="140" t="str">
        <f>IFERROR((VLOOKUP(LEFT($A17,4),'Cash Flow $s Yr1'!$B$12:$R$150,7,FALSE)),0)</f>
        <v/>
      </c>
      <c r="K17" s="140" t="str">
        <f>IFERROR((VLOOKUP(LEFT($A17,4),'Cash Flow $s Yr1'!$B$12:$R$150,8,FALSE)),0)</f>
        <v/>
      </c>
      <c r="L17" s="140" t="str">
        <f>IFERROR((VLOOKUP(LEFT($A17,4),'Cash Flow $s Yr1'!$B$12:$R$150,9,FALSE)),0)</f>
        <v/>
      </c>
      <c r="M17" s="140" t="str">
        <f>IFERROR((VLOOKUP(LEFT($A17,4),'Cash Flow $s Yr1'!$B$12:$R$150,10,FALSE)),0)</f>
        <v/>
      </c>
      <c r="N17" s="140" t="str">
        <f>IFERROR((VLOOKUP(LEFT($A17,4),'Cash Flow $s Yr1'!$B$12:$R$150,11,FALSE)),0)</f>
        <v/>
      </c>
      <c r="O17" s="140" t="str">
        <f>IFERROR((VLOOKUP(LEFT($A17,4),'Cash Flow $s Yr1'!$B$12:$R$150,12,FALSE)),0)</f>
        <v/>
      </c>
      <c r="P17" s="140" t="str">
        <f>IFERROR((VLOOKUP(LEFT($A17,4),'Cash Flow $s Yr1'!$B$12:$R$150,13,FALSE)),0)</f>
        <v/>
      </c>
      <c r="Q17" s="140" t="str">
        <f>IFERROR((VLOOKUP(LEFT($A17,4),'Cash Flow $s Yr1'!$B$12:$R$150,14,FALSE)),0)</f>
        <v/>
      </c>
    </row>
    <row r="18" spans="1:19" x14ac:dyDescent="0.6">
      <c r="A18" s="140" t="s">
        <v>880</v>
      </c>
      <c r="B18" s="142" t="s">
        <v>1260</v>
      </c>
      <c r="C18" s="140" t="s">
        <v>862</v>
      </c>
      <c r="D18" s="140" t="s">
        <v>863</v>
      </c>
      <c r="E18" s="140" t="s">
        <v>864</v>
      </c>
      <c r="F18" s="140">
        <v>0</v>
      </c>
      <c r="G18" s="140">
        <v>0</v>
      </c>
      <c r="H18" s="140">
        <v>0</v>
      </c>
      <c r="I18" s="140">
        <v>0</v>
      </c>
      <c r="J18" s="140">
        <v>0</v>
      </c>
      <c r="K18" s="140">
        <v>0</v>
      </c>
      <c r="L18" s="140">
        <v>0</v>
      </c>
      <c r="M18" s="140">
        <v>0</v>
      </c>
      <c r="N18" s="140">
        <v>0</v>
      </c>
      <c r="O18" s="140">
        <v>0</v>
      </c>
      <c r="P18" s="140">
        <v>0</v>
      </c>
      <c r="Q18" s="140">
        <v>0</v>
      </c>
    </row>
    <row r="19" spans="1:19" x14ac:dyDescent="0.6">
      <c r="A19" s="140" t="s">
        <v>881</v>
      </c>
      <c r="B19" s="142" t="s">
        <v>1260</v>
      </c>
      <c r="C19" s="140" t="s">
        <v>862</v>
      </c>
      <c r="D19" s="140" t="s">
        <v>863</v>
      </c>
      <c r="E19" s="140" t="s">
        <v>864</v>
      </c>
      <c r="F19" s="140">
        <v>0</v>
      </c>
      <c r="G19" s="140">
        <v>0</v>
      </c>
      <c r="H19" s="140">
        <v>0</v>
      </c>
      <c r="I19" s="140">
        <v>0</v>
      </c>
      <c r="J19" s="140">
        <v>0</v>
      </c>
      <c r="K19" s="140">
        <v>0</v>
      </c>
      <c r="L19" s="140">
        <v>0</v>
      </c>
      <c r="M19" s="140">
        <v>0</v>
      </c>
      <c r="N19" s="140">
        <v>0</v>
      </c>
      <c r="O19" s="140">
        <v>0</v>
      </c>
      <c r="P19" s="140">
        <v>0</v>
      </c>
      <c r="Q19" s="140">
        <v>0</v>
      </c>
    </row>
    <row r="20" spans="1:19" x14ac:dyDescent="0.6">
      <c r="A20" s="140" t="s">
        <v>882</v>
      </c>
      <c r="B20" s="142" t="s">
        <v>1260</v>
      </c>
      <c r="C20" s="140" t="s">
        <v>862</v>
      </c>
      <c r="D20" s="140" t="s">
        <v>863</v>
      </c>
      <c r="E20" s="140" t="s">
        <v>864</v>
      </c>
      <c r="F20" s="140" t="str">
        <f>IFERROR((VLOOKUP(LEFT($A20,4),'Cash Flow $s Yr1'!$B$12:$R$150,3,FALSE)),0)</f>
        <v/>
      </c>
      <c r="G20" s="140" t="str">
        <f>IFERROR((VLOOKUP(LEFT($A20,4),'Cash Flow $s Yr1'!$B$12:$R$150,4,FALSE)),0)</f>
        <v/>
      </c>
      <c r="H20" s="140" t="str">
        <f>IFERROR((VLOOKUP(LEFT($A20,4),'Cash Flow $s Yr1'!$B$12:$R$150,5,FALSE)),0)</f>
        <v/>
      </c>
      <c r="I20" s="140" t="str">
        <f>IFERROR((VLOOKUP(LEFT($A20,4),'Cash Flow $s Yr1'!$B$12:$R$150,6,FALSE)),0)</f>
        <v/>
      </c>
      <c r="J20" s="140" t="str">
        <f>IFERROR((VLOOKUP(LEFT($A20,4),'Cash Flow $s Yr1'!$B$12:$R$150,7,FALSE)),0)</f>
        <v/>
      </c>
      <c r="K20" s="140" t="str">
        <f>IFERROR((VLOOKUP(LEFT($A20,4),'Cash Flow $s Yr1'!$B$12:$R$150,8,FALSE)),0)</f>
        <v/>
      </c>
      <c r="L20" s="140" t="str">
        <f>IFERROR((VLOOKUP(LEFT($A20,4),'Cash Flow $s Yr1'!$B$12:$R$150,9,FALSE)),0)</f>
        <v/>
      </c>
      <c r="M20" s="140" t="str">
        <f>IFERROR((VLOOKUP(LEFT($A20,4),'Cash Flow $s Yr1'!$B$12:$R$150,10,FALSE)),0)</f>
        <v/>
      </c>
      <c r="N20" s="140" t="str">
        <f>IFERROR((VLOOKUP(LEFT($A20,4),'Cash Flow $s Yr1'!$B$12:$R$150,11,FALSE)),0)</f>
        <v/>
      </c>
      <c r="O20" s="140" t="str">
        <f>IFERROR((VLOOKUP(LEFT($A20,4),'Cash Flow $s Yr1'!$B$12:$R$150,12,FALSE)),0)</f>
        <v/>
      </c>
      <c r="P20" s="140" t="str">
        <f>IFERROR((VLOOKUP(LEFT($A20,4),'Cash Flow $s Yr1'!$B$12:$R$150,13,FALSE)),0)</f>
        <v/>
      </c>
      <c r="Q20" s="140" t="str">
        <f>IFERROR((VLOOKUP(LEFT($A20,4),'Cash Flow $s Yr1'!$B$12:$R$150,14,FALSE)),0)</f>
        <v/>
      </c>
    </row>
    <row r="21" spans="1:19" x14ac:dyDescent="0.6">
      <c r="A21" s="140" t="s">
        <v>883</v>
      </c>
      <c r="B21" s="142" t="s">
        <v>1260</v>
      </c>
      <c r="C21" s="140" t="s">
        <v>862</v>
      </c>
      <c r="D21" s="140" t="s">
        <v>863</v>
      </c>
      <c r="E21" s="140" t="s">
        <v>864</v>
      </c>
      <c r="F21" s="140">
        <v>0</v>
      </c>
      <c r="G21" s="140">
        <v>0</v>
      </c>
      <c r="H21" s="140">
        <v>0</v>
      </c>
      <c r="I21" s="140">
        <v>0</v>
      </c>
      <c r="J21" s="140">
        <v>0</v>
      </c>
      <c r="K21" s="140">
        <v>0</v>
      </c>
      <c r="L21" s="140">
        <v>0</v>
      </c>
      <c r="M21" s="140">
        <v>0</v>
      </c>
      <c r="N21" s="140">
        <v>0</v>
      </c>
      <c r="O21" s="140">
        <v>0</v>
      </c>
      <c r="P21" s="140">
        <v>0</v>
      </c>
      <c r="Q21" s="140">
        <v>0</v>
      </c>
    </row>
    <row r="22" spans="1:19" x14ac:dyDescent="0.6">
      <c r="A22" s="140" t="s">
        <v>884</v>
      </c>
      <c r="B22" s="142" t="s">
        <v>1260</v>
      </c>
      <c r="C22" s="140" t="s">
        <v>862</v>
      </c>
      <c r="D22" s="140" t="s">
        <v>863</v>
      </c>
      <c r="E22" s="140" t="s">
        <v>864</v>
      </c>
      <c r="F22" s="140">
        <v>0</v>
      </c>
      <c r="G22" s="140">
        <v>0</v>
      </c>
      <c r="H22" s="140">
        <v>0</v>
      </c>
      <c r="I22" s="140">
        <v>0</v>
      </c>
      <c r="J22" s="140">
        <v>0</v>
      </c>
      <c r="K22" s="140">
        <v>0</v>
      </c>
      <c r="L22" s="140">
        <v>0</v>
      </c>
      <c r="M22" s="140">
        <v>0</v>
      </c>
      <c r="N22" s="140">
        <v>0</v>
      </c>
      <c r="O22" s="140">
        <v>0</v>
      </c>
      <c r="P22" s="140">
        <v>0</v>
      </c>
      <c r="Q22" s="140">
        <v>0</v>
      </c>
    </row>
    <row r="23" spans="1:19" x14ac:dyDescent="0.6">
      <c r="A23" s="140" t="s">
        <v>885</v>
      </c>
      <c r="B23" s="142" t="s">
        <v>1260</v>
      </c>
      <c r="C23" s="140" t="s">
        <v>862</v>
      </c>
      <c r="D23" s="140" t="s">
        <v>863</v>
      </c>
      <c r="E23" s="140" t="s">
        <v>864</v>
      </c>
      <c r="F23" s="140" t="str">
        <f>IFERROR((VLOOKUP(LEFT($A23,4),'Cash Flow $s Yr1'!$B$12:$R$150,3,FALSE)),0)</f>
        <v/>
      </c>
      <c r="G23" s="140" t="str">
        <f>IFERROR((VLOOKUP(LEFT($A23,4),'Cash Flow $s Yr1'!$B$12:$R$150,4,FALSE)),0)</f>
        <v/>
      </c>
      <c r="H23" s="140" t="str">
        <f>IFERROR((VLOOKUP(LEFT($A23,4),'Cash Flow $s Yr1'!$B$12:$R$150,5,FALSE)),0)</f>
        <v/>
      </c>
      <c r="I23" s="140" t="str">
        <f>IFERROR((VLOOKUP(LEFT($A23,4),'Cash Flow $s Yr1'!$B$12:$R$150,6,FALSE)),0)</f>
        <v/>
      </c>
      <c r="J23" s="140" t="str">
        <f>IFERROR((VLOOKUP(LEFT($A23,4),'Cash Flow $s Yr1'!$B$12:$R$150,7,FALSE)),0)</f>
        <v/>
      </c>
      <c r="K23" s="140" t="str">
        <f>IFERROR((VLOOKUP(LEFT($A23,4),'Cash Flow $s Yr1'!$B$12:$R$150,8,FALSE)),0)</f>
        <v/>
      </c>
      <c r="L23" s="140" t="str">
        <f>IFERROR((VLOOKUP(LEFT($A23,4),'Cash Flow $s Yr1'!$B$12:$R$150,9,FALSE)),0)</f>
        <v/>
      </c>
      <c r="M23" s="140" t="str">
        <f>IFERROR((VLOOKUP(LEFT($A23,4),'Cash Flow $s Yr1'!$B$12:$R$150,10,FALSE)),0)</f>
        <v/>
      </c>
      <c r="N23" s="140" t="str">
        <f>IFERROR((VLOOKUP(LEFT($A23,4),'Cash Flow $s Yr1'!$B$12:$R$150,11,FALSE)),0)</f>
        <v/>
      </c>
      <c r="O23" s="140" t="str">
        <f>IFERROR((VLOOKUP(LEFT($A23,4),'Cash Flow $s Yr1'!$B$12:$R$150,12,FALSE)),0)</f>
        <v/>
      </c>
      <c r="P23" s="140" t="str">
        <f>IFERROR((VLOOKUP(LEFT($A23,4),'Cash Flow $s Yr1'!$B$12:$R$150,13,FALSE)),0)</f>
        <v/>
      </c>
      <c r="Q23" s="140" t="str">
        <f>IFERROR((VLOOKUP(LEFT($A23,4),'Cash Flow $s Yr1'!$B$12:$R$150,14,FALSE)),0)</f>
        <v/>
      </c>
    </row>
    <row r="24" spans="1:19" x14ac:dyDescent="0.6">
      <c r="A24" s="140" t="s">
        <v>886</v>
      </c>
      <c r="B24" s="142" t="s">
        <v>1260</v>
      </c>
      <c r="C24" s="140" t="s">
        <v>862</v>
      </c>
      <c r="D24" s="140" t="s">
        <v>863</v>
      </c>
      <c r="E24" s="140" t="s">
        <v>864</v>
      </c>
      <c r="F24" s="140">
        <v>0</v>
      </c>
      <c r="G24" s="140">
        <v>0</v>
      </c>
      <c r="H24" s="140">
        <v>0</v>
      </c>
      <c r="I24" s="140">
        <v>0</v>
      </c>
      <c r="J24" s="140">
        <v>0</v>
      </c>
      <c r="K24" s="140">
        <v>0</v>
      </c>
      <c r="L24" s="140">
        <v>0</v>
      </c>
      <c r="M24" s="140">
        <v>0</v>
      </c>
      <c r="N24" s="140">
        <v>0</v>
      </c>
      <c r="O24" s="140">
        <v>0</v>
      </c>
      <c r="P24" s="140">
        <v>0</v>
      </c>
      <c r="Q24" s="140">
        <v>0</v>
      </c>
    </row>
    <row r="25" spans="1:19" x14ac:dyDescent="0.6">
      <c r="A25" s="140" t="s">
        <v>887</v>
      </c>
      <c r="B25" s="142" t="s">
        <v>1260</v>
      </c>
      <c r="C25" s="142" t="s">
        <v>862</v>
      </c>
      <c r="D25" s="142" t="s">
        <v>863</v>
      </c>
      <c r="E25" s="140" t="s">
        <v>864</v>
      </c>
      <c r="F25" s="140">
        <v>0</v>
      </c>
      <c r="G25" s="140">
        <v>0</v>
      </c>
      <c r="H25" s="140">
        <v>0</v>
      </c>
      <c r="I25" s="140">
        <v>0</v>
      </c>
      <c r="J25" s="140">
        <v>0</v>
      </c>
      <c r="K25" s="140">
        <v>0</v>
      </c>
      <c r="L25" s="140">
        <v>0</v>
      </c>
      <c r="M25" s="140">
        <v>0</v>
      </c>
      <c r="N25" s="140">
        <v>0</v>
      </c>
      <c r="O25" s="140">
        <v>0</v>
      </c>
      <c r="P25" s="140">
        <v>0</v>
      </c>
      <c r="Q25" s="140">
        <v>0</v>
      </c>
      <c r="S25" s="145" t="e">
        <f>SUM('Cash Flow $s Yr1'!D61:R61)/SUM(Fiscal_Sets!F2:Q25)</f>
        <v>#DIV/0!</v>
      </c>
    </row>
    <row r="26" spans="1:19" x14ac:dyDescent="0.6">
      <c r="A26" s="140" t="s">
        <v>888</v>
      </c>
      <c r="B26" s="142" t="s">
        <v>1260</v>
      </c>
      <c r="C26" s="140" t="s">
        <v>862</v>
      </c>
      <c r="D26" s="140" t="s">
        <v>863</v>
      </c>
      <c r="E26" s="140" t="s">
        <v>864</v>
      </c>
      <c r="F26" s="140" t="str">
        <f>IFERROR((VLOOKUP(LEFT($A26,4),'Cash Flow $s Yr1'!$B$12:$R$150,3,FALSE)),0)</f>
        <v/>
      </c>
      <c r="G26" s="140" t="str">
        <f>IFERROR((VLOOKUP(LEFT($A26,4),'Cash Flow $s Yr1'!$B$12:$R$150,4,FALSE)),0)</f>
        <v/>
      </c>
      <c r="H26" s="140" t="str">
        <f>IFERROR((VLOOKUP(LEFT($A26,4),'Cash Flow $s Yr1'!$B$12:$R$150,5,FALSE)),0)</f>
        <v/>
      </c>
      <c r="I26" s="140" t="str">
        <f>IFERROR((VLOOKUP(LEFT($A26,4),'Cash Flow $s Yr1'!$B$12:$R$150,6,FALSE)),0)</f>
        <v/>
      </c>
      <c r="J26" s="140" t="str">
        <f>IFERROR((VLOOKUP(LEFT($A26,4),'Cash Flow $s Yr1'!$B$12:$R$150,7,FALSE)),0)</f>
        <v/>
      </c>
      <c r="K26" s="140" t="str">
        <f>IFERROR((VLOOKUP(LEFT($A26,4),'Cash Flow $s Yr1'!$B$12:$R$150,8,FALSE)),0)</f>
        <v/>
      </c>
      <c r="L26" s="140" t="str">
        <f>IFERROR((VLOOKUP(LEFT($A26,4),'Cash Flow $s Yr1'!$B$12:$R$150,9,FALSE)),0)</f>
        <v/>
      </c>
      <c r="M26" s="140" t="str">
        <f>IFERROR((VLOOKUP(LEFT($A26,4),'Cash Flow $s Yr1'!$B$12:$R$150,10,FALSE)),0)</f>
        <v/>
      </c>
      <c r="N26" s="140" t="str">
        <f>IFERROR((VLOOKUP(LEFT($A26,4),'Cash Flow $s Yr1'!$B$12:$R$150,11,FALSE)),0)</f>
        <v/>
      </c>
      <c r="O26" s="140" t="str">
        <f>IFERROR((VLOOKUP(LEFT($A26,4),'Cash Flow $s Yr1'!$B$12:$R$150,12,FALSE)),0)</f>
        <v/>
      </c>
      <c r="P26" s="140" t="str">
        <f>IFERROR((VLOOKUP(LEFT($A26,4),'Cash Flow $s Yr1'!$B$12:$R$150,13,FALSE)),0)</f>
        <v/>
      </c>
      <c r="Q26" s="140" t="str">
        <f>IFERROR((VLOOKUP(LEFT($A26,4),'Cash Flow $s Yr1'!$B$12:$R$150,14,FALSE)),0)</f>
        <v/>
      </c>
    </row>
    <row r="27" spans="1:19" x14ac:dyDescent="0.6">
      <c r="A27" s="140" t="s">
        <v>889</v>
      </c>
      <c r="B27" s="142" t="s">
        <v>1260</v>
      </c>
      <c r="C27" s="140" t="s">
        <v>862</v>
      </c>
      <c r="D27" s="140" t="s">
        <v>863</v>
      </c>
      <c r="E27" s="140" t="s">
        <v>864</v>
      </c>
      <c r="F27" s="140">
        <v>0</v>
      </c>
      <c r="G27" s="140">
        <v>0</v>
      </c>
      <c r="H27" s="140">
        <v>0</v>
      </c>
      <c r="I27" s="140">
        <v>0</v>
      </c>
      <c r="J27" s="140">
        <v>0</v>
      </c>
      <c r="K27" s="140">
        <v>0</v>
      </c>
      <c r="L27" s="140">
        <v>0</v>
      </c>
      <c r="M27" s="140">
        <v>0</v>
      </c>
      <c r="N27" s="140">
        <v>0</v>
      </c>
      <c r="O27" s="140">
        <v>0</v>
      </c>
      <c r="P27" s="140">
        <v>0</v>
      </c>
      <c r="Q27" s="140">
        <v>0</v>
      </c>
    </row>
    <row r="28" spans="1:19" x14ac:dyDescent="0.6">
      <c r="A28" s="140" t="s">
        <v>890</v>
      </c>
      <c r="B28" s="142" t="s">
        <v>1260</v>
      </c>
      <c r="C28" s="140" t="s">
        <v>862</v>
      </c>
      <c r="D28" s="140" t="s">
        <v>863</v>
      </c>
      <c r="E28" s="140" t="s">
        <v>864</v>
      </c>
      <c r="F28" s="140">
        <v>0</v>
      </c>
      <c r="G28" s="140">
        <v>0</v>
      </c>
      <c r="H28" s="140">
        <v>0</v>
      </c>
      <c r="I28" s="140">
        <v>0</v>
      </c>
      <c r="J28" s="140">
        <v>0</v>
      </c>
      <c r="K28" s="140">
        <v>0</v>
      </c>
      <c r="L28" s="140">
        <v>0</v>
      </c>
      <c r="M28" s="140">
        <v>0</v>
      </c>
      <c r="N28" s="140">
        <v>0</v>
      </c>
      <c r="O28" s="140">
        <v>0</v>
      </c>
      <c r="P28" s="140">
        <v>0</v>
      </c>
      <c r="Q28" s="140">
        <v>0</v>
      </c>
    </row>
    <row r="29" spans="1:19" x14ac:dyDescent="0.6">
      <c r="A29" s="140" t="s">
        <v>891</v>
      </c>
      <c r="B29" s="142" t="s">
        <v>1260</v>
      </c>
      <c r="C29" s="140" t="s">
        <v>862</v>
      </c>
      <c r="D29" s="140" t="s">
        <v>863</v>
      </c>
      <c r="E29" s="140" t="s">
        <v>864</v>
      </c>
      <c r="F29" s="140" t="str">
        <f>IFERROR((VLOOKUP(LEFT($A29,4),'Cash Flow $s Yr1'!$B$12:$R$150,3,FALSE)),0)</f>
        <v/>
      </c>
      <c r="G29" s="140" t="str">
        <f>IFERROR((VLOOKUP(LEFT($A29,4),'Cash Flow $s Yr1'!$B$12:$R$150,4,FALSE)),0)</f>
        <v/>
      </c>
      <c r="H29" s="140" t="str">
        <f>IFERROR((VLOOKUP(LEFT($A29,4),'Cash Flow $s Yr1'!$B$12:$R$150,5,FALSE)),0)</f>
        <v/>
      </c>
      <c r="I29" s="140" t="str">
        <f>IFERROR((VLOOKUP(LEFT($A29,4),'Cash Flow $s Yr1'!$B$12:$R$150,6,FALSE)),0)</f>
        <v/>
      </c>
      <c r="J29" s="140" t="str">
        <f>IFERROR((VLOOKUP(LEFT($A29,4),'Cash Flow $s Yr1'!$B$12:$R$150,7,FALSE)),0)</f>
        <v/>
      </c>
      <c r="K29" s="140" t="str">
        <f>IFERROR((VLOOKUP(LEFT($A29,4),'Cash Flow $s Yr1'!$B$12:$R$150,8,FALSE)),0)</f>
        <v/>
      </c>
      <c r="L29" s="140" t="str">
        <f>IFERROR((VLOOKUP(LEFT($A29,4),'Cash Flow $s Yr1'!$B$12:$R$150,9,FALSE)),0)</f>
        <v/>
      </c>
      <c r="M29" s="140" t="str">
        <f>IFERROR((VLOOKUP(LEFT($A29,4),'Cash Flow $s Yr1'!$B$12:$R$150,10,FALSE)),0)</f>
        <v/>
      </c>
      <c r="N29" s="140" t="str">
        <f>IFERROR((VLOOKUP(LEFT($A29,4),'Cash Flow $s Yr1'!$B$12:$R$150,11,FALSE)),0)</f>
        <v/>
      </c>
      <c r="O29" s="140" t="str">
        <f>IFERROR((VLOOKUP(LEFT($A29,4),'Cash Flow $s Yr1'!$B$12:$R$150,12,FALSE)),0)</f>
        <v/>
      </c>
      <c r="P29" s="140" t="str">
        <f>IFERROR((VLOOKUP(LEFT($A29,4),'Cash Flow $s Yr1'!$B$12:$R$150,13,FALSE)),0)</f>
        <v/>
      </c>
      <c r="Q29" s="140" t="str">
        <f>IFERROR((VLOOKUP(LEFT($A29,4),'Cash Flow $s Yr1'!$B$12:$R$150,14,FALSE)),0)</f>
        <v/>
      </c>
    </row>
    <row r="30" spans="1:19" x14ac:dyDescent="0.6">
      <c r="A30" s="140" t="s">
        <v>892</v>
      </c>
      <c r="B30" s="142" t="s">
        <v>1260</v>
      </c>
      <c r="C30" s="140" t="s">
        <v>862</v>
      </c>
      <c r="D30" s="140" t="s">
        <v>863</v>
      </c>
      <c r="E30" s="140" t="s">
        <v>864</v>
      </c>
      <c r="F30" s="140">
        <v>0</v>
      </c>
      <c r="G30" s="140">
        <v>0</v>
      </c>
      <c r="H30" s="140">
        <v>0</v>
      </c>
      <c r="I30" s="140">
        <v>0</v>
      </c>
      <c r="J30" s="140">
        <v>0</v>
      </c>
      <c r="K30" s="140">
        <v>0</v>
      </c>
      <c r="L30" s="140">
        <v>0</v>
      </c>
      <c r="M30" s="140">
        <v>0</v>
      </c>
      <c r="N30" s="140">
        <v>0</v>
      </c>
      <c r="O30" s="140">
        <v>0</v>
      </c>
      <c r="P30" s="140">
        <v>0</v>
      </c>
      <c r="Q30" s="140">
        <v>0</v>
      </c>
    </row>
    <row r="31" spans="1:19" x14ac:dyDescent="0.6">
      <c r="A31" s="140" t="s">
        <v>893</v>
      </c>
      <c r="B31" s="142" t="s">
        <v>1260</v>
      </c>
      <c r="C31" s="140" t="s">
        <v>862</v>
      </c>
      <c r="D31" s="140" t="s">
        <v>863</v>
      </c>
      <c r="E31" s="140" t="s">
        <v>864</v>
      </c>
      <c r="F31" s="140">
        <v>0</v>
      </c>
      <c r="G31" s="140">
        <v>0</v>
      </c>
      <c r="H31" s="140">
        <v>0</v>
      </c>
      <c r="I31" s="140">
        <v>0</v>
      </c>
      <c r="J31" s="140">
        <v>0</v>
      </c>
      <c r="K31" s="140">
        <v>0</v>
      </c>
      <c r="L31" s="140">
        <v>0</v>
      </c>
      <c r="M31" s="140">
        <v>0</v>
      </c>
      <c r="N31" s="140">
        <v>0</v>
      </c>
      <c r="O31" s="140">
        <v>0</v>
      </c>
      <c r="P31" s="140">
        <v>0</v>
      </c>
      <c r="Q31" s="140">
        <v>0</v>
      </c>
    </row>
    <row r="32" spans="1:19" x14ac:dyDescent="0.6">
      <c r="A32" s="140" t="s">
        <v>894</v>
      </c>
      <c r="B32" s="142" t="s">
        <v>1260</v>
      </c>
      <c r="C32" s="140" t="s">
        <v>862</v>
      </c>
      <c r="D32" s="140" t="s">
        <v>863</v>
      </c>
      <c r="E32" s="140" t="s">
        <v>864</v>
      </c>
      <c r="F32" s="140" t="str">
        <f>IFERROR((VLOOKUP(LEFT($A32,4),'Cash Flow $s Yr1'!$B$12:$R$150,3,FALSE)),0)</f>
        <v/>
      </c>
      <c r="G32" s="140" t="str">
        <f>IFERROR((VLOOKUP(LEFT($A32,4),'Cash Flow $s Yr1'!$B$12:$R$150,4,FALSE)),0)</f>
        <v/>
      </c>
      <c r="H32" s="140" t="str">
        <f>IFERROR((VLOOKUP(LEFT($A32,4),'Cash Flow $s Yr1'!$B$12:$R$150,5,FALSE)),0)</f>
        <v/>
      </c>
      <c r="I32" s="140" t="str">
        <f>IFERROR((VLOOKUP(LEFT($A32,4),'Cash Flow $s Yr1'!$B$12:$R$150,6,FALSE)),0)</f>
        <v/>
      </c>
      <c r="J32" s="140" t="str">
        <f>IFERROR((VLOOKUP(LEFT($A32,4),'Cash Flow $s Yr1'!$B$12:$R$150,7,FALSE)),0)</f>
        <v/>
      </c>
      <c r="K32" s="140" t="str">
        <f>IFERROR((VLOOKUP(LEFT($A32,4),'Cash Flow $s Yr1'!$B$12:$R$150,8,FALSE)),0)</f>
        <v/>
      </c>
      <c r="L32" s="140" t="str">
        <f>IFERROR((VLOOKUP(LEFT($A32,4),'Cash Flow $s Yr1'!$B$12:$R$150,9,FALSE)),0)</f>
        <v/>
      </c>
      <c r="M32" s="140" t="str">
        <f>IFERROR((VLOOKUP(LEFT($A32,4),'Cash Flow $s Yr1'!$B$12:$R$150,10,FALSE)),0)</f>
        <v/>
      </c>
      <c r="N32" s="140" t="str">
        <f>IFERROR((VLOOKUP(LEFT($A32,4),'Cash Flow $s Yr1'!$B$12:$R$150,11,FALSE)),0)</f>
        <v/>
      </c>
      <c r="O32" s="140" t="str">
        <f>IFERROR((VLOOKUP(LEFT($A32,4),'Cash Flow $s Yr1'!$B$12:$R$150,12,FALSE)),0)</f>
        <v/>
      </c>
      <c r="P32" s="140" t="str">
        <f>IFERROR((VLOOKUP(LEFT($A32,4),'Cash Flow $s Yr1'!$B$12:$R$150,13,FALSE)),0)</f>
        <v/>
      </c>
      <c r="Q32" s="140" t="str">
        <f>IFERROR((VLOOKUP(LEFT($A32,4),'Cash Flow $s Yr1'!$B$12:$R$150,14,FALSE)),0)</f>
        <v/>
      </c>
    </row>
    <row r="33" spans="1:17" x14ac:dyDescent="0.6">
      <c r="A33" s="140" t="s">
        <v>895</v>
      </c>
      <c r="B33" s="142" t="s">
        <v>1260</v>
      </c>
      <c r="C33" s="140" t="s">
        <v>862</v>
      </c>
      <c r="D33" s="140" t="s">
        <v>863</v>
      </c>
      <c r="E33" s="140" t="s">
        <v>864</v>
      </c>
      <c r="F33" s="140">
        <v>0</v>
      </c>
      <c r="G33" s="140">
        <v>0</v>
      </c>
      <c r="H33" s="140">
        <v>0</v>
      </c>
      <c r="I33" s="140">
        <v>0</v>
      </c>
      <c r="J33" s="140">
        <v>0</v>
      </c>
      <c r="K33" s="140">
        <v>0</v>
      </c>
      <c r="L33" s="140">
        <v>0</v>
      </c>
      <c r="M33" s="140">
        <v>0</v>
      </c>
      <c r="N33" s="140">
        <v>0</v>
      </c>
      <c r="O33" s="140">
        <v>0</v>
      </c>
      <c r="P33" s="140">
        <v>0</v>
      </c>
      <c r="Q33" s="140">
        <v>0</v>
      </c>
    </row>
    <row r="34" spans="1:17" x14ac:dyDescent="0.6">
      <c r="A34" s="140" t="s">
        <v>896</v>
      </c>
      <c r="B34" s="142" t="s">
        <v>1260</v>
      </c>
      <c r="C34" s="140" t="s">
        <v>862</v>
      </c>
      <c r="D34" s="140" t="s">
        <v>863</v>
      </c>
      <c r="E34" s="140" t="s">
        <v>864</v>
      </c>
      <c r="F34" s="140">
        <v>0</v>
      </c>
      <c r="G34" s="140">
        <v>0</v>
      </c>
      <c r="H34" s="140">
        <v>0</v>
      </c>
      <c r="I34" s="140">
        <v>0</v>
      </c>
      <c r="J34" s="140">
        <v>0</v>
      </c>
      <c r="K34" s="140">
        <v>0</v>
      </c>
      <c r="L34" s="140">
        <v>0</v>
      </c>
      <c r="M34" s="140">
        <v>0</v>
      </c>
      <c r="N34" s="140">
        <v>0</v>
      </c>
      <c r="O34" s="140">
        <v>0</v>
      </c>
      <c r="P34" s="140">
        <v>0</v>
      </c>
      <c r="Q34" s="140">
        <v>0</v>
      </c>
    </row>
    <row r="35" spans="1:17" x14ac:dyDescent="0.6">
      <c r="A35" s="140" t="s">
        <v>897</v>
      </c>
      <c r="B35" s="142" t="s">
        <v>1260</v>
      </c>
      <c r="C35" s="140" t="s">
        <v>862</v>
      </c>
      <c r="D35" s="140" t="s">
        <v>863</v>
      </c>
      <c r="E35" s="140" t="s">
        <v>864</v>
      </c>
      <c r="F35" s="140" t="str">
        <f>IFERROR((VLOOKUP(LEFT($A35,4),'Cash Flow $s Yr1'!$B$12:$R$150,3,FALSE)),0)</f>
        <v/>
      </c>
      <c r="G35" s="140" t="str">
        <f>IFERROR((VLOOKUP(LEFT($A35,4),'Cash Flow $s Yr1'!$B$12:$R$150,4,FALSE)),0)</f>
        <v/>
      </c>
      <c r="H35" s="140" t="str">
        <f>IFERROR((VLOOKUP(LEFT($A35,4),'Cash Flow $s Yr1'!$B$12:$R$150,5,FALSE)),0)</f>
        <v/>
      </c>
      <c r="I35" s="140" t="str">
        <f>IFERROR((VLOOKUP(LEFT($A35,4),'Cash Flow $s Yr1'!$B$12:$R$150,6,FALSE)),0)</f>
        <v/>
      </c>
      <c r="J35" s="140" t="str">
        <f>IFERROR((VLOOKUP(LEFT($A35,4),'Cash Flow $s Yr1'!$B$12:$R$150,7,FALSE)),0)</f>
        <v/>
      </c>
      <c r="K35" s="140" t="str">
        <f>IFERROR((VLOOKUP(LEFT($A35,4),'Cash Flow $s Yr1'!$B$12:$R$150,8,FALSE)),0)</f>
        <v/>
      </c>
      <c r="L35" s="140" t="str">
        <f>IFERROR((VLOOKUP(LEFT($A35,4),'Cash Flow $s Yr1'!$B$12:$R$150,9,FALSE)),0)</f>
        <v/>
      </c>
      <c r="M35" s="140" t="str">
        <f>IFERROR((VLOOKUP(LEFT($A35,4),'Cash Flow $s Yr1'!$B$12:$R$150,10,FALSE)),0)</f>
        <v/>
      </c>
      <c r="N35" s="140" t="str">
        <f>IFERROR((VLOOKUP(LEFT($A35,4),'Cash Flow $s Yr1'!$B$12:$R$150,11,FALSE)),0)</f>
        <v/>
      </c>
      <c r="O35" s="140" t="str">
        <f>IFERROR((VLOOKUP(LEFT($A35,4),'Cash Flow $s Yr1'!$B$12:$R$150,12,FALSE)),0)</f>
        <v/>
      </c>
      <c r="P35" s="140" t="str">
        <f>IFERROR((VLOOKUP(LEFT($A35,4),'Cash Flow $s Yr1'!$B$12:$R$150,13,FALSE)),0)</f>
        <v/>
      </c>
      <c r="Q35" s="140" t="str">
        <f>IFERROR((VLOOKUP(LEFT($A35,4),'Cash Flow $s Yr1'!$B$12:$R$150,14,FALSE)),0)</f>
        <v/>
      </c>
    </row>
    <row r="36" spans="1:17" x14ac:dyDescent="0.6">
      <c r="A36" s="140" t="s">
        <v>898</v>
      </c>
      <c r="B36" s="142" t="s">
        <v>1260</v>
      </c>
      <c r="C36" s="140" t="s">
        <v>862</v>
      </c>
      <c r="D36" s="140" t="s">
        <v>863</v>
      </c>
      <c r="E36" s="140" t="s">
        <v>864</v>
      </c>
      <c r="F36" s="140">
        <v>0</v>
      </c>
      <c r="G36" s="140">
        <v>0</v>
      </c>
      <c r="H36" s="140">
        <v>0</v>
      </c>
      <c r="I36" s="140">
        <v>0</v>
      </c>
      <c r="J36" s="140">
        <v>0</v>
      </c>
      <c r="K36" s="140">
        <v>0</v>
      </c>
      <c r="L36" s="140">
        <v>0</v>
      </c>
      <c r="M36" s="140">
        <v>0</v>
      </c>
      <c r="N36" s="140">
        <v>0</v>
      </c>
      <c r="O36" s="140">
        <v>0</v>
      </c>
      <c r="P36" s="140">
        <v>0</v>
      </c>
      <c r="Q36" s="140">
        <v>0</v>
      </c>
    </row>
    <row r="37" spans="1:17" x14ac:dyDescent="0.6">
      <c r="A37" s="140" t="s">
        <v>899</v>
      </c>
      <c r="B37" s="142" t="s">
        <v>1260</v>
      </c>
      <c r="C37" s="140" t="s">
        <v>862</v>
      </c>
      <c r="D37" s="140" t="s">
        <v>863</v>
      </c>
      <c r="E37" s="140" t="s">
        <v>864</v>
      </c>
      <c r="F37" s="140">
        <v>0</v>
      </c>
      <c r="G37" s="140">
        <v>0</v>
      </c>
      <c r="H37" s="140">
        <v>0</v>
      </c>
      <c r="I37" s="140">
        <v>0</v>
      </c>
      <c r="J37" s="140">
        <v>0</v>
      </c>
      <c r="K37" s="140">
        <v>0</v>
      </c>
      <c r="L37" s="140">
        <v>0</v>
      </c>
      <c r="M37" s="140">
        <v>0</v>
      </c>
      <c r="N37" s="140">
        <v>0</v>
      </c>
      <c r="O37" s="140">
        <v>0</v>
      </c>
      <c r="P37" s="140">
        <v>0</v>
      </c>
      <c r="Q37" s="140">
        <v>0</v>
      </c>
    </row>
    <row r="38" spans="1:17" x14ac:dyDescent="0.6">
      <c r="A38" s="140" t="s">
        <v>900</v>
      </c>
      <c r="B38" s="142" t="s">
        <v>1260</v>
      </c>
      <c r="C38" s="140" t="s">
        <v>862</v>
      </c>
      <c r="D38" s="140" t="s">
        <v>863</v>
      </c>
      <c r="E38" s="140" t="s">
        <v>864</v>
      </c>
      <c r="F38" s="140" t="str">
        <f>IFERROR((VLOOKUP(LEFT($A38,4),'Cash Flow $s Yr1'!$B$12:$R$150,3,FALSE)),0)</f>
        <v/>
      </c>
      <c r="G38" s="140" t="str">
        <f>IFERROR((VLOOKUP(LEFT($A38,4),'Cash Flow $s Yr1'!$B$12:$R$150,4,FALSE)),0)</f>
        <v/>
      </c>
      <c r="H38" s="140" t="str">
        <f>IFERROR((VLOOKUP(LEFT($A38,4),'Cash Flow $s Yr1'!$B$12:$R$150,5,FALSE)),0)</f>
        <v/>
      </c>
      <c r="I38" s="140" t="str">
        <f>IFERROR((VLOOKUP(LEFT($A38,4),'Cash Flow $s Yr1'!$B$12:$R$150,6,FALSE)),0)</f>
        <v/>
      </c>
      <c r="J38" s="140" t="str">
        <f>IFERROR((VLOOKUP(LEFT($A38,4),'Cash Flow $s Yr1'!$B$12:$R$150,7,FALSE)),0)</f>
        <v/>
      </c>
      <c r="K38" s="140" t="str">
        <f>IFERROR((VLOOKUP(LEFT($A38,4),'Cash Flow $s Yr1'!$B$12:$R$150,8,FALSE)),0)</f>
        <v/>
      </c>
      <c r="L38" s="140" t="str">
        <f>IFERROR((VLOOKUP(LEFT($A38,4),'Cash Flow $s Yr1'!$B$12:$R$150,9,FALSE)),0)</f>
        <v/>
      </c>
      <c r="M38" s="140" t="str">
        <f>IFERROR((VLOOKUP(LEFT($A38,4),'Cash Flow $s Yr1'!$B$12:$R$150,10,FALSE)),0)</f>
        <v/>
      </c>
      <c r="N38" s="140" t="str">
        <f>IFERROR((VLOOKUP(LEFT($A38,4),'Cash Flow $s Yr1'!$B$12:$R$150,11,FALSE)),0)</f>
        <v/>
      </c>
      <c r="O38" s="140" t="str">
        <f>IFERROR((VLOOKUP(LEFT($A38,4),'Cash Flow $s Yr1'!$B$12:$R$150,12,FALSE)),0)</f>
        <v/>
      </c>
      <c r="P38" s="140" t="str">
        <f>IFERROR((VLOOKUP(LEFT($A38,4),'Cash Flow $s Yr1'!$B$12:$R$150,13,FALSE)),0)</f>
        <v/>
      </c>
      <c r="Q38" s="140" t="str">
        <f>IFERROR((VLOOKUP(LEFT($A38,4),'Cash Flow $s Yr1'!$B$12:$R$150,14,FALSE)),0)</f>
        <v/>
      </c>
    </row>
    <row r="39" spans="1:17" x14ac:dyDescent="0.6">
      <c r="A39" s="140" t="s">
        <v>901</v>
      </c>
      <c r="B39" s="142" t="s">
        <v>1260</v>
      </c>
      <c r="C39" s="140" t="s">
        <v>862</v>
      </c>
      <c r="D39" s="140" t="s">
        <v>863</v>
      </c>
      <c r="E39" s="140" t="s">
        <v>864</v>
      </c>
      <c r="F39" s="140">
        <v>0</v>
      </c>
      <c r="G39" s="140">
        <v>0</v>
      </c>
      <c r="H39" s="140">
        <v>0</v>
      </c>
      <c r="I39" s="140">
        <v>0</v>
      </c>
      <c r="J39" s="140">
        <v>0</v>
      </c>
      <c r="K39" s="140">
        <v>0</v>
      </c>
      <c r="L39" s="140">
        <v>0</v>
      </c>
      <c r="M39" s="140">
        <v>0</v>
      </c>
      <c r="N39" s="140">
        <v>0</v>
      </c>
      <c r="O39" s="140">
        <v>0</v>
      </c>
      <c r="P39" s="140">
        <v>0</v>
      </c>
      <c r="Q39" s="140">
        <v>0</v>
      </c>
    </row>
    <row r="40" spans="1:17" x14ac:dyDescent="0.6">
      <c r="A40" s="140" t="s">
        <v>902</v>
      </c>
      <c r="B40" s="142" t="s">
        <v>1260</v>
      </c>
      <c r="C40" s="140" t="s">
        <v>862</v>
      </c>
      <c r="D40" s="140" t="s">
        <v>863</v>
      </c>
      <c r="E40" s="140" t="s">
        <v>864</v>
      </c>
      <c r="F40" s="140">
        <v>0</v>
      </c>
      <c r="G40" s="140">
        <v>0</v>
      </c>
      <c r="H40" s="140">
        <v>0</v>
      </c>
      <c r="I40" s="140">
        <v>0</v>
      </c>
      <c r="J40" s="140">
        <v>0</v>
      </c>
      <c r="K40" s="140">
        <v>0</v>
      </c>
      <c r="L40" s="140">
        <v>0</v>
      </c>
      <c r="M40" s="140">
        <v>0</v>
      </c>
      <c r="N40" s="140">
        <v>0</v>
      </c>
      <c r="O40" s="140">
        <v>0</v>
      </c>
      <c r="P40" s="140">
        <v>0</v>
      </c>
      <c r="Q40" s="140">
        <v>0</v>
      </c>
    </row>
    <row r="41" spans="1:17" x14ac:dyDescent="0.6">
      <c r="A41" s="140" t="s">
        <v>903</v>
      </c>
      <c r="B41" s="142" t="s">
        <v>1260</v>
      </c>
      <c r="C41" s="140" t="s">
        <v>862</v>
      </c>
      <c r="D41" s="140" t="s">
        <v>863</v>
      </c>
      <c r="E41" s="140" t="s">
        <v>864</v>
      </c>
      <c r="F41" s="140" t="str">
        <f>IFERROR((VLOOKUP(LEFT($A41,4),'Cash Flow $s Yr1'!$B$12:$R$150,3,FALSE)),0)</f>
        <v/>
      </c>
      <c r="G41" s="140" t="str">
        <f>IFERROR((VLOOKUP(LEFT($A41,4),'Cash Flow $s Yr1'!$B$12:$R$150,4,FALSE)),0)</f>
        <v/>
      </c>
      <c r="H41" s="140" t="str">
        <f>IFERROR((VLOOKUP(LEFT($A41,4),'Cash Flow $s Yr1'!$B$12:$R$150,5,FALSE)),0)</f>
        <v/>
      </c>
      <c r="I41" s="140" t="str">
        <f>IFERROR((VLOOKUP(LEFT($A41,4),'Cash Flow $s Yr1'!$B$12:$R$150,6,FALSE)),0)</f>
        <v/>
      </c>
      <c r="J41" s="140" t="str">
        <f>IFERROR((VLOOKUP(LEFT($A41,4),'Cash Flow $s Yr1'!$B$12:$R$150,7,FALSE)),0)</f>
        <v/>
      </c>
      <c r="K41" s="140" t="str">
        <f>IFERROR((VLOOKUP(LEFT($A41,4),'Cash Flow $s Yr1'!$B$12:$R$150,8,FALSE)),0)</f>
        <v/>
      </c>
      <c r="L41" s="140" t="str">
        <f>IFERROR((VLOOKUP(LEFT($A41,4),'Cash Flow $s Yr1'!$B$12:$R$150,9,FALSE)),0)</f>
        <v/>
      </c>
      <c r="M41" s="140" t="str">
        <f>IFERROR((VLOOKUP(LEFT($A41,4),'Cash Flow $s Yr1'!$B$12:$R$150,10,FALSE)),0)</f>
        <v/>
      </c>
      <c r="N41" s="140" t="str">
        <f>IFERROR((VLOOKUP(LEFT($A41,4),'Cash Flow $s Yr1'!$B$12:$R$150,11,FALSE)),0)</f>
        <v/>
      </c>
      <c r="O41" s="140" t="str">
        <f>IFERROR((VLOOKUP(LEFT($A41,4),'Cash Flow $s Yr1'!$B$12:$R$150,12,FALSE)),0)</f>
        <v/>
      </c>
      <c r="P41" s="140" t="str">
        <f>IFERROR((VLOOKUP(LEFT($A41,4),'Cash Flow $s Yr1'!$B$12:$R$150,13,FALSE)),0)</f>
        <v/>
      </c>
      <c r="Q41" s="140" t="str">
        <f>IFERROR((VLOOKUP(LEFT($A41,4),'Cash Flow $s Yr1'!$B$12:$R$150,14,FALSE)),0)</f>
        <v/>
      </c>
    </row>
    <row r="42" spans="1:17" x14ac:dyDescent="0.6">
      <c r="A42" s="140" t="s">
        <v>904</v>
      </c>
      <c r="B42" s="142" t="s">
        <v>1260</v>
      </c>
      <c r="C42" s="140" t="s">
        <v>862</v>
      </c>
      <c r="D42" s="140" t="s">
        <v>863</v>
      </c>
      <c r="E42" s="140" t="s">
        <v>864</v>
      </c>
      <c r="F42" s="140">
        <v>0</v>
      </c>
      <c r="G42" s="140">
        <v>0</v>
      </c>
      <c r="H42" s="140">
        <v>0</v>
      </c>
      <c r="I42" s="140">
        <v>0</v>
      </c>
      <c r="J42" s="140">
        <v>0</v>
      </c>
      <c r="K42" s="140">
        <v>0</v>
      </c>
      <c r="L42" s="140">
        <v>0</v>
      </c>
      <c r="M42" s="140">
        <v>0</v>
      </c>
      <c r="N42" s="140">
        <v>0</v>
      </c>
      <c r="O42" s="140">
        <v>0</v>
      </c>
      <c r="P42" s="140">
        <v>0</v>
      </c>
      <c r="Q42" s="140">
        <v>0</v>
      </c>
    </row>
    <row r="43" spans="1:17" x14ac:dyDescent="0.6">
      <c r="A43" s="140" t="s">
        <v>905</v>
      </c>
      <c r="B43" s="142" t="s">
        <v>1260</v>
      </c>
      <c r="C43" s="140" t="s">
        <v>862</v>
      </c>
      <c r="D43" s="140" t="s">
        <v>863</v>
      </c>
      <c r="E43" s="140" t="s">
        <v>864</v>
      </c>
      <c r="F43" s="140">
        <v>0</v>
      </c>
      <c r="G43" s="140">
        <v>0</v>
      </c>
      <c r="H43" s="140">
        <v>0</v>
      </c>
      <c r="I43" s="140">
        <v>0</v>
      </c>
      <c r="J43" s="140">
        <v>0</v>
      </c>
      <c r="K43" s="140">
        <v>0</v>
      </c>
      <c r="L43" s="140">
        <v>0</v>
      </c>
      <c r="M43" s="140">
        <v>0</v>
      </c>
      <c r="N43" s="140">
        <v>0</v>
      </c>
      <c r="O43" s="140">
        <v>0</v>
      </c>
      <c r="P43" s="140">
        <v>0</v>
      </c>
      <c r="Q43" s="140">
        <v>0</v>
      </c>
    </row>
    <row r="44" spans="1:17" x14ac:dyDescent="0.6">
      <c r="A44" s="140" t="s">
        <v>906</v>
      </c>
      <c r="B44" s="142" t="s">
        <v>1260</v>
      </c>
      <c r="C44" s="140" t="s">
        <v>862</v>
      </c>
      <c r="D44" s="140" t="s">
        <v>863</v>
      </c>
      <c r="E44" s="140" t="s">
        <v>864</v>
      </c>
      <c r="F44" s="140" t="str">
        <f>IFERROR((VLOOKUP(LEFT($A44,4),'Cash Flow $s Yr1'!$B$12:$R$150,3,FALSE)),0)</f>
        <v/>
      </c>
      <c r="G44" s="140" t="str">
        <f>IFERROR((VLOOKUP(LEFT($A44,4),'Cash Flow $s Yr1'!$B$12:$R$150,4,FALSE)),0)</f>
        <v/>
      </c>
      <c r="H44" s="140" t="str">
        <f>IFERROR((VLOOKUP(LEFT($A44,4),'Cash Flow $s Yr1'!$B$12:$R$150,5,FALSE)),0)</f>
        <v/>
      </c>
      <c r="I44" s="140" t="str">
        <f>IFERROR((VLOOKUP(LEFT($A44,4),'Cash Flow $s Yr1'!$B$12:$R$150,6,FALSE)),0)</f>
        <v/>
      </c>
      <c r="J44" s="140" t="str">
        <f>IFERROR((VLOOKUP(LEFT($A44,4),'Cash Flow $s Yr1'!$B$12:$R$150,7,FALSE)),0)</f>
        <v/>
      </c>
      <c r="K44" s="140" t="str">
        <f>IFERROR((VLOOKUP(LEFT($A44,4),'Cash Flow $s Yr1'!$B$12:$R$150,8,FALSE)),0)</f>
        <v/>
      </c>
      <c r="L44" s="140" t="str">
        <f>IFERROR((VLOOKUP(LEFT($A44,4),'Cash Flow $s Yr1'!$B$12:$R$150,9,FALSE)),0)</f>
        <v/>
      </c>
      <c r="M44" s="140" t="str">
        <f>IFERROR((VLOOKUP(LEFT($A44,4),'Cash Flow $s Yr1'!$B$12:$R$150,10,FALSE)),0)</f>
        <v/>
      </c>
      <c r="N44" s="140" t="str">
        <f>IFERROR((VLOOKUP(LEFT($A44,4),'Cash Flow $s Yr1'!$B$12:$R$150,11,FALSE)),0)</f>
        <v/>
      </c>
      <c r="O44" s="140" t="str">
        <f>IFERROR((VLOOKUP(LEFT($A44,4),'Cash Flow $s Yr1'!$B$12:$R$150,12,FALSE)),0)</f>
        <v/>
      </c>
      <c r="P44" s="140" t="str">
        <f>IFERROR((VLOOKUP(LEFT($A44,4),'Cash Flow $s Yr1'!$B$12:$R$150,13,FALSE)),0)</f>
        <v/>
      </c>
      <c r="Q44" s="140" t="str">
        <f>IFERROR((VLOOKUP(LEFT($A44,4),'Cash Flow $s Yr1'!$B$12:$R$150,14,FALSE)),0)</f>
        <v/>
      </c>
    </row>
    <row r="45" spans="1:17" x14ac:dyDescent="0.6">
      <c r="A45" s="140" t="s">
        <v>907</v>
      </c>
      <c r="B45" s="142" t="s">
        <v>1260</v>
      </c>
      <c r="C45" s="140" t="s">
        <v>862</v>
      </c>
      <c r="D45" s="140" t="s">
        <v>863</v>
      </c>
      <c r="E45" s="140" t="s">
        <v>864</v>
      </c>
      <c r="F45" s="140">
        <v>0</v>
      </c>
      <c r="G45" s="140">
        <v>0</v>
      </c>
      <c r="H45" s="140">
        <v>0</v>
      </c>
      <c r="I45" s="140">
        <v>0</v>
      </c>
      <c r="J45" s="140">
        <v>0</v>
      </c>
      <c r="K45" s="140">
        <v>0</v>
      </c>
      <c r="L45" s="140">
        <v>0</v>
      </c>
      <c r="M45" s="140">
        <v>0</v>
      </c>
      <c r="N45" s="140">
        <v>0</v>
      </c>
      <c r="O45" s="140">
        <v>0</v>
      </c>
      <c r="P45" s="140">
        <v>0</v>
      </c>
      <c r="Q45" s="140">
        <v>0</v>
      </c>
    </row>
    <row r="46" spans="1:17" x14ac:dyDescent="0.6">
      <c r="A46" s="140" t="s">
        <v>908</v>
      </c>
      <c r="B46" s="142" t="s">
        <v>1260</v>
      </c>
      <c r="C46" s="140" t="s">
        <v>862</v>
      </c>
      <c r="D46" s="140" t="s">
        <v>863</v>
      </c>
      <c r="E46" s="140" t="s">
        <v>864</v>
      </c>
      <c r="F46" s="140">
        <v>0</v>
      </c>
      <c r="G46" s="140">
        <v>0</v>
      </c>
      <c r="H46" s="140">
        <v>0</v>
      </c>
      <c r="I46" s="140">
        <v>0</v>
      </c>
      <c r="J46" s="140">
        <v>0</v>
      </c>
      <c r="K46" s="140">
        <v>0</v>
      </c>
      <c r="L46" s="140">
        <v>0</v>
      </c>
      <c r="M46" s="140">
        <v>0</v>
      </c>
      <c r="N46" s="140">
        <v>0</v>
      </c>
      <c r="O46" s="140">
        <v>0</v>
      </c>
      <c r="P46" s="140">
        <v>0</v>
      </c>
      <c r="Q46" s="140">
        <v>0</v>
      </c>
    </row>
    <row r="47" spans="1:17" x14ac:dyDescent="0.6">
      <c r="A47" s="140" t="s">
        <v>909</v>
      </c>
      <c r="B47" s="142" t="s">
        <v>1260</v>
      </c>
      <c r="C47" s="140" t="s">
        <v>862</v>
      </c>
      <c r="D47" s="140" t="s">
        <v>863</v>
      </c>
      <c r="E47" s="140" t="s">
        <v>864</v>
      </c>
      <c r="F47" s="140" t="str">
        <f>IFERROR((VLOOKUP(LEFT($A47,4),'Cash Flow $s Yr1'!$B$12:$R$150,3,FALSE)),0)</f>
        <v/>
      </c>
      <c r="G47" s="140" t="str">
        <f>IFERROR((VLOOKUP(LEFT($A47,4),'Cash Flow $s Yr1'!$B$12:$R$150,4,FALSE)),0)</f>
        <v/>
      </c>
      <c r="H47" s="140" t="str">
        <f>IFERROR((VLOOKUP(LEFT($A47,4),'Cash Flow $s Yr1'!$B$12:$R$150,5,FALSE)),0)</f>
        <v/>
      </c>
      <c r="I47" s="140" t="str">
        <f>IFERROR((VLOOKUP(LEFT($A47,4),'Cash Flow $s Yr1'!$B$12:$R$150,6,FALSE)),0)</f>
        <v/>
      </c>
      <c r="J47" s="140" t="str">
        <f>IFERROR((VLOOKUP(LEFT($A47,4),'Cash Flow $s Yr1'!$B$12:$R$150,7,FALSE)),0)</f>
        <v/>
      </c>
      <c r="K47" s="140" t="str">
        <f>IFERROR((VLOOKUP(LEFT($A47,4),'Cash Flow $s Yr1'!$B$12:$R$150,8,FALSE)),0)</f>
        <v/>
      </c>
      <c r="L47" s="140" t="str">
        <f>IFERROR((VLOOKUP(LEFT($A47,4),'Cash Flow $s Yr1'!$B$12:$R$150,9,FALSE)),0)</f>
        <v/>
      </c>
      <c r="M47" s="140" t="str">
        <f>IFERROR((VLOOKUP(LEFT($A47,4),'Cash Flow $s Yr1'!$B$12:$R$150,10,FALSE)),0)</f>
        <v/>
      </c>
      <c r="N47" s="140" t="str">
        <f>IFERROR((VLOOKUP(LEFT($A47,4),'Cash Flow $s Yr1'!$B$12:$R$150,11,FALSE)),0)</f>
        <v/>
      </c>
      <c r="O47" s="140" t="str">
        <f>IFERROR((VLOOKUP(LEFT($A47,4),'Cash Flow $s Yr1'!$B$12:$R$150,12,FALSE)),0)</f>
        <v/>
      </c>
      <c r="P47" s="140" t="str">
        <f>IFERROR((VLOOKUP(LEFT($A47,4),'Cash Flow $s Yr1'!$B$12:$R$150,13,FALSE)),0)</f>
        <v/>
      </c>
      <c r="Q47" s="140" t="str">
        <f>IFERROR((VLOOKUP(LEFT($A47,4),'Cash Flow $s Yr1'!$B$12:$R$150,14,FALSE)),0)</f>
        <v/>
      </c>
    </row>
    <row r="48" spans="1:17" x14ac:dyDescent="0.6">
      <c r="A48" s="140" t="s">
        <v>910</v>
      </c>
      <c r="B48" s="142" t="s">
        <v>1260</v>
      </c>
      <c r="C48" s="140" t="s">
        <v>862</v>
      </c>
      <c r="D48" s="140" t="s">
        <v>863</v>
      </c>
      <c r="E48" s="140" t="s">
        <v>864</v>
      </c>
      <c r="F48" s="140">
        <v>0</v>
      </c>
      <c r="G48" s="140">
        <v>0</v>
      </c>
      <c r="H48" s="140">
        <v>0</v>
      </c>
      <c r="I48" s="140">
        <v>0</v>
      </c>
      <c r="J48" s="140">
        <v>0</v>
      </c>
      <c r="K48" s="140">
        <v>0</v>
      </c>
      <c r="L48" s="140">
        <v>0</v>
      </c>
      <c r="M48" s="140">
        <v>0</v>
      </c>
      <c r="N48" s="140">
        <v>0</v>
      </c>
      <c r="O48" s="140">
        <v>0</v>
      </c>
      <c r="P48" s="140">
        <v>0</v>
      </c>
      <c r="Q48" s="140">
        <v>0</v>
      </c>
    </row>
    <row r="49" spans="1:19" x14ac:dyDescent="0.6">
      <c r="A49" s="140" t="s">
        <v>911</v>
      </c>
      <c r="B49" s="142" t="s">
        <v>1260</v>
      </c>
      <c r="C49" s="140" t="s">
        <v>862</v>
      </c>
      <c r="D49" s="140" t="s">
        <v>863</v>
      </c>
      <c r="E49" s="140" t="s">
        <v>864</v>
      </c>
      <c r="F49" s="140">
        <v>0</v>
      </c>
      <c r="G49" s="140">
        <v>0</v>
      </c>
      <c r="H49" s="140">
        <v>0</v>
      </c>
      <c r="I49" s="140">
        <v>0</v>
      </c>
      <c r="J49" s="140">
        <v>0</v>
      </c>
      <c r="K49" s="140">
        <v>0</v>
      </c>
      <c r="L49" s="140">
        <v>0</v>
      </c>
      <c r="M49" s="140">
        <v>0</v>
      </c>
      <c r="N49" s="140">
        <v>0</v>
      </c>
      <c r="O49" s="140">
        <v>0</v>
      </c>
      <c r="P49" s="140">
        <v>0</v>
      </c>
      <c r="Q49" s="140">
        <v>0</v>
      </c>
    </row>
    <row r="50" spans="1:19" x14ac:dyDescent="0.6">
      <c r="A50" s="140" t="s">
        <v>912</v>
      </c>
      <c r="B50" s="142" t="s">
        <v>1260</v>
      </c>
      <c r="C50" s="140" t="s">
        <v>862</v>
      </c>
      <c r="D50" s="140" t="s">
        <v>863</v>
      </c>
      <c r="E50" s="140" t="s">
        <v>864</v>
      </c>
      <c r="F50" s="140" t="str">
        <f>IFERROR((VLOOKUP(LEFT($A50,4),'Cash Flow $s Yr1'!$B$12:$R$150,3,FALSE)),0)</f>
        <v/>
      </c>
      <c r="G50" s="140" t="str">
        <f>IFERROR((VLOOKUP(LEFT($A50,4),'Cash Flow $s Yr1'!$B$12:$R$150,4,FALSE)),0)</f>
        <v/>
      </c>
      <c r="H50" s="140" t="str">
        <f>IFERROR((VLOOKUP(LEFT($A50,4),'Cash Flow $s Yr1'!$B$12:$R$150,5,FALSE)),0)</f>
        <v/>
      </c>
      <c r="I50" s="140" t="str">
        <f>IFERROR((VLOOKUP(LEFT($A50,4),'Cash Flow $s Yr1'!$B$12:$R$150,6,FALSE)),0)</f>
        <v/>
      </c>
      <c r="J50" s="140" t="str">
        <f>IFERROR((VLOOKUP(LEFT($A50,4),'Cash Flow $s Yr1'!$B$12:$R$150,7,FALSE)),0)</f>
        <v/>
      </c>
      <c r="K50" s="140" t="str">
        <f>IFERROR((VLOOKUP(LEFT($A50,4),'Cash Flow $s Yr1'!$B$12:$R$150,8,FALSE)),0)</f>
        <v/>
      </c>
      <c r="L50" s="140" t="str">
        <f>IFERROR((VLOOKUP(LEFT($A50,4),'Cash Flow $s Yr1'!$B$12:$R$150,9,FALSE)),0)</f>
        <v/>
      </c>
      <c r="M50" s="140" t="str">
        <f>IFERROR((VLOOKUP(LEFT($A50,4),'Cash Flow $s Yr1'!$B$12:$R$150,10,FALSE)),0)</f>
        <v/>
      </c>
      <c r="N50" s="140" t="str">
        <f>IFERROR((VLOOKUP(LEFT($A50,4),'Cash Flow $s Yr1'!$B$12:$R$150,11,FALSE)),0)</f>
        <v/>
      </c>
      <c r="O50" s="140" t="str">
        <f>IFERROR((VLOOKUP(LEFT($A50,4),'Cash Flow $s Yr1'!$B$12:$R$150,12,FALSE)),0)</f>
        <v/>
      </c>
      <c r="P50" s="140" t="str">
        <f>IFERROR((VLOOKUP(LEFT($A50,4),'Cash Flow $s Yr1'!$B$12:$R$150,13,FALSE)),0)</f>
        <v/>
      </c>
      <c r="Q50" s="140" t="str">
        <f>IFERROR((VLOOKUP(LEFT($A50,4),'Cash Flow $s Yr1'!$B$12:$R$150,14,FALSE)),0)</f>
        <v/>
      </c>
    </row>
    <row r="51" spans="1:19" x14ac:dyDescent="0.6">
      <c r="A51" s="140" t="s">
        <v>913</v>
      </c>
      <c r="B51" s="142" t="s">
        <v>1260</v>
      </c>
      <c r="C51" s="140" t="s">
        <v>862</v>
      </c>
      <c r="D51" s="140" t="s">
        <v>863</v>
      </c>
      <c r="E51" s="140" t="s">
        <v>864</v>
      </c>
      <c r="F51" s="140">
        <v>0</v>
      </c>
      <c r="G51" s="140">
        <v>0</v>
      </c>
      <c r="H51" s="140">
        <v>0</v>
      </c>
      <c r="I51" s="140">
        <v>0</v>
      </c>
      <c r="J51" s="140">
        <v>0</v>
      </c>
      <c r="K51" s="140">
        <v>0</v>
      </c>
      <c r="L51" s="140">
        <v>0</v>
      </c>
      <c r="M51" s="140">
        <v>0</v>
      </c>
      <c r="N51" s="140">
        <v>0</v>
      </c>
      <c r="O51" s="140">
        <v>0</v>
      </c>
      <c r="P51" s="140">
        <v>0</v>
      </c>
      <c r="Q51" s="140">
        <v>0</v>
      </c>
    </row>
    <row r="52" spans="1:19" x14ac:dyDescent="0.6">
      <c r="A52" s="140" t="s">
        <v>914</v>
      </c>
      <c r="B52" s="142" t="s">
        <v>1260</v>
      </c>
      <c r="C52" s="140" t="s">
        <v>862</v>
      </c>
      <c r="D52" s="140" t="s">
        <v>863</v>
      </c>
      <c r="E52" s="140" t="s">
        <v>864</v>
      </c>
      <c r="F52" s="140">
        <v>0</v>
      </c>
      <c r="G52" s="140">
        <v>0</v>
      </c>
      <c r="H52" s="140">
        <v>0</v>
      </c>
      <c r="I52" s="140">
        <v>0</v>
      </c>
      <c r="J52" s="140">
        <v>0</v>
      </c>
      <c r="K52" s="140">
        <v>0</v>
      </c>
      <c r="L52" s="140">
        <v>0</v>
      </c>
      <c r="M52" s="140">
        <v>0</v>
      </c>
      <c r="N52" s="140">
        <v>0</v>
      </c>
      <c r="O52" s="140">
        <v>0</v>
      </c>
      <c r="P52" s="140">
        <v>0</v>
      </c>
      <c r="Q52" s="140">
        <v>0</v>
      </c>
    </row>
    <row r="53" spans="1:19" x14ac:dyDescent="0.6">
      <c r="A53" s="140" t="s">
        <v>915</v>
      </c>
      <c r="B53" s="142" t="s">
        <v>1260</v>
      </c>
      <c r="C53" s="140" t="s">
        <v>862</v>
      </c>
      <c r="D53" s="140" t="s">
        <v>863</v>
      </c>
      <c r="E53" s="140" t="s">
        <v>864</v>
      </c>
      <c r="F53" s="140" t="str">
        <f>IFERROR((VLOOKUP(LEFT($A53,4),'Cash Flow $s Yr1'!$B$12:$R$150,3,FALSE)),0)</f>
        <v/>
      </c>
      <c r="G53" s="140" t="str">
        <f>IFERROR((VLOOKUP(LEFT($A53,4),'Cash Flow $s Yr1'!$B$12:$R$150,4,FALSE)),0)</f>
        <v/>
      </c>
      <c r="H53" s="140" t="str">
        <f>IFERROR((VLOOKUP(LEFT($A53,4),'Cash Flow $s Yr1'!$B$12:$R$150,5,FALSE)),0)</f>
        <v/>
      </c>
      <c r="I53" s="140" t="str">
        <f>IFERROR((VLOOKUP(LEFT($A53,4),'Cash Flow $s Yr1'!$B$12:$R$150,6,FALSE)),0)</f>
        <v/>
      </c>
      <c r="J53" s="140" t="str">
        <f>IFERROR((VLOOKUP(LEFT($A53,4),'Cash Flow $s Yr1'!$B$12:$R$150,7,FALSE)),0)</f>
        <v/>
      </c>
      <c r="K53" s="140" t="str">
        <f>IFERROR((VLOOKUP(LEFT($A53,4),'Cash Flow $s Yr1'!$B$12:$R$150,8,FALSE)),0)</f>
        <v/>
      </c>
      <c r="L53" s="140" t="str">
        <f>IFERROR((VLOOKUP(LEFT($A53,4),'Cash Flow $s Yr1'!$B$12:$R$150,9,FALSE)),0)</f>
        <v/>
      </c>
      <c r="M53" s="140" t="str">
        <f>IFERROR((VLOOKUP(LEFT($A53,4),'Cash Flow $s Yr1'!$B$12:$R$150,10,FALSE)),0)</f>
        <v/>
      </c>
      <c r="N53" s="140" t="str">
        <f>IFERROR((VLOOKUP(LEFT($A53,4),'Cash Flow $s Yr1'!$B$12:$R$150,11,FALSE)),0)</f>
        <v/>
      </c>
      <c r="O53" s="140" t="str">
        <f>IFERROR((VLOOKUP(LEFT($A53,4),'Cash Flow $s Yr1'!$B$12:$R$150,12,FALSE)),0)</f>
        <v/>
      </c>
      <c r="P53" s="140" t="str">
        <f>IFERROR((VLOOKUP(LEFT($A53,4),'Cash Flow $s Yr1'!$B$12:$R$150,13,FALSE)),0)</f>
        <v/>
      </c>
      <c r="Q53" s="140" t="str">
        <f>IFERROR((VLOOKUP(LEFT($A53,4),'Cash Flow $s Yr1'!$B$12:$R$150,14,FALSE)),0)</f>
        <v/>
      </c>
    </row>
    <row r="54" spans="1:19" x14ac:dyDescent="0.6">
      <c r="A54" s="140" t="s">
        <v>916</v>
      </c>
      <c r="B54" s="142" t="s">
        <v>1260</v>
      </c>
      <c r="C54" s="140" t="s">
        <v>862</v>
      </c>
      <c r="D54" s="140" t="s">
        <v>863</v>
      </c>
      <c r="E54" s="140" t="s">
        <v>864</v>
      </c>
      <c r="F54" s="140">
        <v>0</v>
      </c>
      <c r="G54" s="140">
        <v>0</v>
      </c>
      <c r="H54" s="140">
        <v>0</v>
      </c>
      <c r="I54" s="140">
        <v>0</v>
      </c>
      <c r="J54" s="140">
        <v>0</v>
      </c>
      <c r="K54" s="140">
        <v>0</v>
      </c>
      <c r="L54" s="140">
        <v>0</v>
      </c>
      <c r="M54" s="140">
        <v>0</v>
      </c>
      <c r="N54" s="140">
        <v>0</v>
      </c>
      <c r="O54" s="140">
        <v>0</v>
      </c>
      <c r="P54" s="140">
        <v>0</v>
      </c>
      <c r="Q54" s="140">
        <v>0</v>
      </c>
    </row>
    <row r="55" spans="1:19" x14ac:dyDescent="0.6">
      <c r="A55" s="140" t="s">
        <v>917</v>
      </c>
      <c r="B55" s="142" t="s">
        <v>1260</v>
      </c>
      <c r="C55" s="140" t="s">
        <v>862</v>
      </c>
      <c r="D55" s="140" t="s">
        <v>863</v>
      </c>
      <c r="E55" s="140" t="s">
        <v>864</v>
      </c>
      <c r="F55" s="140">
        <v>0</v>
      </c>
      <c r="G55" s="140">
        <v>0</v>
      </c>
      <c r="H55" s="140">
        <v>0</v>
      </c>
      <c r="I55" s="140">
        <v>0</v>
      </c>
      <c r="J55" s="140">
        <v>0</v>
      </c>
      <c r="K55" s="140">
        <v>0</v>
      </c>
      <c r="L55" s="140">
        <v>0</v>
      </c>
      <c r="M55" s="140">
        <v>0</v>
      </c>
      <c r="N55" s="140">
        <v>0</v>
      </c>
      <c r="O55" s="140">
        <v>0</v>
      </c>
      <c r="P55" s="140">
        <v>0</v>
      </c>
      <c r="Q55" s="140">
        <v>0</v>
      </c>
      <c r="S55" s="145" t="e">
        <f>SUM('Cash Flow $s Yr1'!D74:R74)/SUM(Fiscal_Sets!F26:Q55)</f>
        <v>#DIV/0!</v>
      </c>
    </row>
    <row r="56" spans="1:19" x14ac:dyDescent="0.6">
      <c r="A56" s="140" t="s">
        <v>918</v>
      </c>
      <c r="B56" s="142" t="s">
        <v>1260</v>
      </c>
      <c r="C56" s="140" t="s">
        <v>862</v>
      </c>
      <c r="D56" s="140" t="s">
        <v>863</v>
      </c>
      <c r="E56" s="140" t="s">
        <v>864</v>
      </c>
      <c r="F56" s="140" t="str">
        <f>IFERROR((VLOOKUP(LEFT($A56,4),'Cash Flow $s Yr1'!$B$12:$R$150,3,FALSE)),0)</f>
        <v/>
      </c>
      <c r="G56" s="140" t="str">
        <f>IFERROR((VLOOKUP(LEFT($A56,4),'Cash Flow $s Yr1'!$B$12:$R$150,4,FALSE)),0)</f>
        <v/>
      </c>
      <c r="H56" s="140" t="str">
        <f>IFERROR((VLOOKUP(LEFT($A56,4),'Cash Flow $s Yr1'!$B$12:$R$150,5,FALSE)),0)</f>
        <v/>
      </c>
      <c r="I56" s="140" t="str">
        <f>IFERROR((VLOOKUP(LEFT($A56,4),'Cash Flow $s Yr1'!$B$12:$R$150,6,FALSE)),0)</f>
        <v/>
      </c>
      <c r="J56" s="140" t="str">
        <f>IFERROR((VLOOKUP(LEFT($A56,4),'Cash Flow $s Yr1'!$B$12:$R$150,7,FALSE)),0)</f>
        <v/>
      </c>
      <c r="K56" s="140" t="str">
        <f>IFERROR((VLOOKUP(LEFT($A56,4),'Cash Flow $s Yr1'!$B$12:$R$150,8,FALSE)),0)</f>
        <v/>
      </c>
      <c r="L56" s="140" t="str">
        <f>IFERROR((VLOOKUP(LEFT($A56,4),'Cash Flow $s Yr1'!$B$12:$R$150,9,FALSE)),0)</f>
        <v/>
      </c>
      <c r="M56" s="140" t="str">
        <f>IFERROR((VLOOKUP(LEFT($A56,4),'Cash Flow $s Yr1'!$B$12:$R$150,10,FALSE)),0)</f>
        <v/>
      </c>
      <c r="N56" s="140" t="str">
        <f>IFERROR((VLOOKUP(LEFT($A56,4),'Cash Flow $s Yr1'!$B$12:$R$150,11,FALSE)),0)</f>
        <v/>
      </c>
      <c r="O56" s="140" t="str">
        <f>IFERROR((VLOOKUP(LEFT($A56,4),'Cash Flow $s Yr1'!$B$12:$R$150,12,FALSE)),0)</f>
        <v/>
      </c>
      <c r="P56" s="140" t="str">
        <f>IFERROR((VLOOKUP(LEFT($A56,4),'Cash Flow $s Yr1'!$B$12:$R$150,13,FALSE)),0)</f>
        <v/>
      </c>
      <c r="Q56" s="140" t="str">
        <f>IFERROR((VLOOKUP(LEFT($A56,4),'Cash Flow $s Yr1'!$B$12:$R$150,14,FALSE)),0)</f>
        <v/>
      </c>
    </row>
    <row r="57" spans="1:19" x14ac:dyDescent="0.6">
      <c r="A57" s="143" t="s">
        <v>1040</v>
      </c>
      <c r="B57" s="142" t="s">
        <v>1260</v>
      </c>
      <c r="C57" s="140" t="s">
        <v>862</v>
      </c>
      <c r="D57" s="140" t="s">
        <v>863</v>
      </c>
      <c r="E57" s="140" t="s">
        <v>864</v>
      </c>
      <c r="F57" s="140">
        <v>0</v>
      </c>
      <c r="G57" s="140">
        <v>0</v>
      </c>
      <c r="H57" s="140">
        <v>0</v>
      </c>
      <c r="I57" s="140">
        <v>0</v>
      </c>
      <c r="J57" s="140">
        <v>0</v>
      </c>
      <c r="K57" s="140">
        <v>0</v>
      </c>
      <c r="L57" s="140">
        <v>0</v>
      </c>
      <c r="M57" s="140">
        <v>0</v>
      </c>
      <c r="N57" s="140">
        <v>0</v>
      </c>
      <c r="O57" s="140">
        <v>0</v>
      </c>
      <c r="P57" s="140">
        <v>0</v>
      </c>
      <c r="Q57" s="140">
        <v>0</v>
      </c>
    </row>
    <row r="58" spans="1:19" x14ac:dyDescent="0.6">
      <c r="A58" s="143" t="s">
        <v>919</v>
      </c>
      <c r="B58" s="142" t="s">
        <v>1260</v>
      </c>
      <c r="C58" s="140" t="s">
        <v>862</v>
      </c>
      <c r="D58" s="140" t="s">
        <v>863</v>
      </c>
      <c r="E58" s="140" t="s">
        <v>864</v>
      </c>
      <c r="F58" s="140">
        <v>0</v>
      </c>
      <c r="G58" s="140">
        <v>0</v>
      </c>
      <c r="H58" s="140">
        <v>0</v>
      </c>
      <c r="I58" s="140">
        <v>0</v>
      </c>
      <c r="J58" s="140">
        <v>0</v>
      </c>
      <c r="K58" s="140">
        <v>0</v>
      </c>
      <c r="L58" s="140">
        <v>0</v>
      </c>
      <c r="M58" s="140">
        <v>0</v>
      </c>
      <c r="N58" s="140">
        <v>0</v>
      </c>
      <c r="O58" s="140">
        <v>0</v>
      </c>
      <c r="P58" s="140">
        <v>0</v>
      </c>
      <c r="Q58" s="140">
        <v>0</v>
      </c>
    </row>
    <row r="59" spans="1:19" x14ac:dyDescent="0.6">
      <c r="A59" s="143" t="s">
        <v>920</v>
      </c>
      <c r="B59" s="142" t="s">
        <v>1260</v>
      </c>
      <c r="C59" s="140" t="s">
        <v>862</v>
      </c>
      <c r="D59" s="140" t="s">
        <v>863</v>
      </c>
      <c r="E59" s="140" t="s">
        <v>864</v>
      </c>
      <c r="F59" s="140">
        <f>IFERROR((VLOOKUP(LEFT($A59,4),'Cash Flow $s Yr1'!$B$12:$R$150,3,FALSE)),0)</f>
        <v>0</v>
      </c>
      <c r="G59" s="140">
        <f>IFERROR((VLOOKUP(LEFT($A59,4),'Cash Flow $s Yr1'!$B$12:$R$150,4,FALSE)),0)</f>
        <v>0</v>
      </c>
      <c r="H59" s="140">
        <f>IFERROR((VLOOKUP(LEFT($A59,4),'Cash Flow $s Yr1'!$B$12:$R$150,5,FALSE)),0)</f>
        <v>0</v>
      </c>
      <c r="I59" s="140">
        <f>IFERROR((VLOOKUP(LEFT($A59,4),'Cash Flow $s Yr1'!$B$12:$R$150,6,FALSE)),0)</f>
        <v>0</v>
      </c>
      <c r="J59" s="140">
        <f>IFERROR((VLOOKUP(LEFT($A59,4),'Cash Flow $s Yr1'!$B$12:$R$150,7,FALSE)),0)</f>
        <v>0</v>
      </c>
      <c r="K59" s="140">
        <f>IFERROR((VLOOKUP(LEFT($A59,4),'Cash Flow $s Yr1'!$B$12:$R$150,8,FALSE)),0)</f>
        <v>0</v>
      </c>
      <c r="L59" s="140">
        <f>IFERROR((VLOOKUP(LEFT($A59,4),'Cash Flow $s Yr1'!$B$12:$R$150,9,FALSE)),0)</f>
        <v>0</v>
      </c>
      <c r="M59" s="140">
        <f>IFERROR((VLOOKUP(LEFT($A59,4),'Cash Flow $s Yr1'!$B$12:$R$150,10,FALSE)),0)</f>
        <v>0</v>
      </c>
      <c r="N59" s="140">
        <f>IFERROR((VLOOKUP(LEFT($A59,4),'Cash Flow $s Yr1'!$B$12:$R$150,11,FALSE)),0)</f>
        <v>0</v>
      </c>
      <c r="O59" s="140">
        <f>IFERROR((VLOOKUP(LEFT($A59,4),'Cash Flow $s Yr1'!$B$12:$R$150,12,FALSE)),0)</f>
        <v>0</v>
      </c>
      <c r="P59" s="140">
        <f>IFERROR((VLOOKUP(LEFT($A59,4),'Cash Flow $s Yr1'!$B$12:$R$150,13,FALSE)),0)</f>
        <v>0</v>
      </c>
      <c r="Q59" s="140">
        <f>IFERROR((VLOOKUP(LEFT($A59,4),'Cash Flow $s Yr1'!$B$12:$R$150,14,FALSE)),0)</f>
        <v>0</v>
      </c>
    </row>
    <row r="60" spans="1:19" x14ac:dyDescent="0.6">
      <c r="A60" s="143" t="s">
        <v>1041</v>
      </c>
      <c r="B60" s="142" t="s">
        <v>1260</v>
      </c>
      <c r="C60" s="140" t="s">
        <v>862</v>
      </c>
      <c r="D60" s="140" t="s">
        <v>863</v>
      </c>
      <c r="E60" s="140" t="s">
        <v>864</v>
      </c>
      <c r="F60" s="140">
        <v>0</v>
      </c>
      <c r="G60" s="140">
        <v>0</v>
      </c>
      <c r="H60" s="140">
        <v>0</v>
      </c>
      <c r="I60" s="140">
        <v>0</v>
      </c>
      <c r="J60" s="140">
        <v>0</v>
      </c>
      <c r="K60" s="140">
        <v>0</v>
      </c>
      <c r="L60" s="140">
        <v>0</v>
      </c>
      <c r="M60" s="140">
        <v>0</v>
      </c>
      <c r="N60" s="140">
        <v>0</v>
      </c>
      <c r="O60" s="140">
        <v>0</v>
      </c>
      <c r="P60" s="140">
        <v>0</v>
      </c>
      <c r="Q60" s="140">
        <v>0</v>
      </c>
    </row>
    <row r="61" spans="1:19" x14ac:dyDescent="0.6">
      <c r="A61" s="143" t="s">
        <v>921</v>
      </c>
      <c r="B61" s="142" t="s">
        <v>1260</v>
      </c>
      <c r="C61" s="140" t="s">
        <v>862</v>
      </c>
      <c r="D61" s="140" t="s">
        <v>863</v>
      </c>
      <c r="E61" s="140" t="s">
        <v>864</v>
      </c>
      <c r="F61" s="140">
        <v>0</v>
      </c>
      <c r="G61" s="140">
        <v>0</v>
      </c>
      <c r="H61" s="140">
        <v>0</v>
      </c>
      <c r="I61" s="140">
        <v>0</v>
      </c>
      <c r="J61" s="140">
        <v>0</v>
      </c>
      <c r="K61" s="140">
        <v>0</v>
      </c>
      <c r="L61" s="140">
        <v>0</v>
      </c>
      <c r="M61" s="140">
        <v>0</v>
      </c>
      <c r="N61" s="140">
        <v>0</v>
      </c>
      <c r="O61" s="140">
        <v>0</v>
      </c>
      <c r="P61" s="140">
        <v>0</v>
      </c>
      <c r="Q61" s="140">
        <v>0</v>
      </c>
    </row>
    <row r="62" spans="1:19" x14ac:dyDescent="0.6">
      <c r="A62" s="143" t="s">
        <v>1042</v>
      </c>
      <c r="B62" s="142" t="s">
        <v>1260</v>
      </c>
      <c r="C62" s="140" t="s">
        <v>862</v>
      </c>
      <c r="D62" s="140" t="s">
        <v>863</v>
      </c>
      <c r="E62" s="140" t="s">
        <v>864</v>
      </c>
      <c r="F62" s="140">
        <f>IFERROR((VLOOKUP(LEFT($A62,4),'Cash Flow $s Yr1'!$B$12:$R$150,3,FALSE)),0)</f>
        <v>0</v>
      </c>
      <c r="G62" s="140">
        <f>IFERROR((VLOOKUP(LEFT($A62,4),'Cash Flow $s Yr1'!$B$12:$R$150,4,FALSE)),0)</f>
        <v>0</v>
      </c>
      <c r="H62" s="140">
        <f>IFERROR((VLOOKUP(LEFT($A62,4),'Cash Flow $s Yr1'!$B$12:$R$150,5,FALSE)),0)</f>
        <v>0</v>
      </c>
      <c r="I62" s="140">
        <f>IFERROR((VLOOKUP(LEFT($A62,4),'Cash Flow $s Yr1'!$B$12:$R$150,6,FALSE)),0)</f>
        <v>0</v>
      </c>
      <c r="J62" s="140">
        <f>IFERROR((VLOOKUP(LEFT($A62,4),'Cash Flow $s Yr1'!$B$12:$R$150,7,FALSE)),0)</f>
        <v>0</v>
      </c>
      <c r="K62" s="140">
        <f>IFERROR((VLOOKUP(LEFT($A62,4),'Cash Flow $s Yr1'!$B$12:$R$150,8,FALSE)),0)</f>
        <v>0</v>
      </c>
      <c r="L62" s="140">
        <f>IFERROR((VLOOKUP(LEFT($A62,4),'Cash Flow $s Yr1'!$B$12:$R$150,9,FALSE)),0)</f>
        <v>0</v>
      </c>
      <c r="M62" s="140">
        <f>IFERROR((VLOOKUP(LEFT($A62,4),'Cash Flow $s Yr1'!$B$12:$R$150,10,FALSE)),0)</f>
        <v>0</v>
      </c>
      <c r="N62" s="140">
        <f>IFERROR((VLOOKUP(LEFT($A62,4),'Cash Flow $s Yr1'!$B$12:$R$150,11,FALSE)),0)</f>
        <v>0</v>
      </c>
      <c r="O62" s="140">
        <f>IFERROR((VLOOKUP(LEFT($A62,4),'Cash Flow $s Yr1'!$B$12:$R$150,12,FALSE)),0)</f>
        <v>0</v>
      </c>
      <c r="P62" s="140">
        <f>IFERROR((VLOOKUP(LEFT($A62,4),'Cash Flow $s Yr1'!$B$12:$R$150,13,FALSE)),0)</f>
        <v>0</v>
      </c>
      <c r="Q62" s="140">
        <f>IFERROR((VLOOKUP(LEFT($A62,4),'Cash Flow $s Yr1'!$B$12:$R$150,14,FALSE)),0)</f>
        <v>0</v>
      </c>
    </row>
    <row r="63" spans="1:19" x14ac:dyDescent="0.6">
      <c r="A63" s="143" t="s">
        <v>1043</v>
      </c>
      <c r="B63" s="142" t="s">
        <v>1260</v>
      </c>
      <c r="C63" s="140" t="s">
        <v>862</v>
      </c>
      <c r="D63" s="140" t="s">
        <v>863</v>
      </c>
      <c r="E63" s="140" t="s">
        <v>864</v>
      </c>
      <c r="F63" s="140">
        <v>0</v>
      </c>
      <c r="G63" s="140">
        <v>0</v>
      </c>
      <c r="H63" s="140">
        <v>0</v>
      </c>
      <c r="I63" s="140">
        <v>0</v>
      </c>
      <c r="J63" s="140">
        <v>0</v>
      </c>
      <c r="K63" s="140">
        <v>0</v>
      </c>
      <c r="L63" s="140">
        <v>0</v>
      </c>
      <c r="M63" s="140">
        <v>0</v>
      </c>
      <c r="N63" s="140">
        <v>0</v>
      </c>
      <c r="O63" s="140">
        <v>0</v>
      </c>
      <c r="P63" s="140">
        <v>0</v>
      </c>
      <c r="Q63" s="140">
        <v>0</v>
      </c>
    </row>
    <row r="64" spans="1:19" x14ac:dyDescent="0.6">
      <c r="A64" s="143" t="s">
        <v>922</v>
      </c>
      <c r="B64" s="142" t="s">
        <v>1260</v>
      </c>
      <c r="C64" s="140" t="s">
        <v>862</v>
      </c>
      <c r="D64" s="140" t="s">
        <v>863</v>
      </c>
      <c r="E64" s="140" t="s">
        <v>864</v>
      </c>
      <c r="F64" s="140">
        <v>0</v>
      </c>
      <c r="G64" s="140">
        <v>0</v>
      </c>
      <c r="H64" s="140">
        <v>0</v>
      </c>
      <c r="I64" s="140">
        <v>0</v>
      </c>
      <c r="J64" s="140">
        <v>0</v>
      </c>
      <c r="K64" s="140">
        <v>0</v>
      </c>
      <c r="L64" s="140">
        <v>0</v>
      </c>
      <c r="M64" s="140">
        <v>0</v>
      </c>
      <c r="N64" s="140">
        <v>0</v>
      </c>
      <c r="O64" s="140">
        <v>0</v>
      </c>
      <c r="P64" s="140">
        <v>0</v>
      </c>
      <c r="Q64" s="140">
        <v>0</v>
      </c>
    </row>
    <row r="65" spans="1:19" x14ac:dyDescent="0.6">
      <c r="A65" s="143" t="s">
        <v>923</v>
      </c>
      <c r="B65" s="142" t="s">
        <v>1260</v>
      </c>
      <c r="C65" s="140" t="s">
        <v>862</v>
      </c>
      <c r="D65" s="140" t="s">
        <v>863</v>
      </c>
      <c r="E65" s="140" t="s">
        <v>864</v>
      </c>
      <c r="F65" s="140">
        <f>IFERROR((VLOOKUP(LEFT($A65,4),'Cash Flow $s Yr1'!$B$12:$R$150,3,FALSE)),0)</f>
        <v>0</v>
      </c>
      <c r="G65" s="140">
        <f>IFERROR((VLOOKUP(LEFT($A65,4),'Cash Flow $s Yr1'!$B$12:$R$150,4,FALSE)),0)</f>
        <v>0</v>
      </c>
      <c r="H65" s="140">
        <f>IFERROR((VLOOKUP(LEFT($A65,4),'Cash Flow $s Yr1'!$B$12:$R$150,5,FALSE)),0)</f>
        <v>0</v>
      </c>
      <c r="I65" s="140">
        <f>IFERROR((VLOOKUP(LEFT($A65,4),'Cash Flow $s Yr1'!$B$12:$R$150,6,FALSE)),0)</f>
        <v>0</v>
      </c>
      <c r="J65" s="140">
        <f>IFERROR((VLOOKUP(LEFT($A65,4),'Cash Flow $s Yr1'!$B$12:$R$150,7,FALSE)),0)</f>
        <v>0</v>
      </c>
      <c r="K65" s="140">
        <f>IFERROR((VLOOKUP(LEFT($A65,4),'Cash Flow $s Yr1'!$B$12:$R$150,8,FALSE)),0)</f>
        <v>0</v>
      </c>
      <c r="L65" s="140">
        <f>IFERROR((VLOOKUP(LEFT($A65,4),'Cash Flow $s Yr1'!$B$12:$R$150,9,FALSE)),0)</f>
        <v>0</v>
      </c>
      <c r="M65" s="140">
        <f>IFERROR((VLOOKUP(LEFT($A65,4),'Cash Flow $s Yr1'!$B$12:$R$150,10,FALSE)),0)</f>
        <v>0</v>
      </c>
      <c r="N65" s="140">
        <f>IFERROR((VLOOKUP(LEFT($A65,4),'Cash Flow $s Yr1'!$B$12:$R$150,11,FALSE)),0)</f>
        <v>0</v>
      </c>
      <c r="O65" s="140">
        <f>IFERROR((VLOOKUP(LEFT($A65,4),'Cash Flow $s Yr1'!$B$12:$R$150,12,FALSE)),0)</f>
        <v>0</v>
      </c>
      <c r="P65" s="140">
        <f>IFERROR((VLOOKUP(LEFT($A65,4),'Cash Flow $s Yr1'!$B$12:$R$150,13,FALSE)),0)</f>
        <v>0</v>
      </c>
      <c r="Q65" s="140">
        <f>IFERROR((VLOOKUP(LEFT($A65,4),'Cash Flow $s Yr1'!$B$12:$R$150,14,FALSE)),0)</f>
        <v>0</v>
      </c>
    </row>
    <row r="66" spans="1:19" x14ac:dyDescent="0.6">
      <c r="A66" s="143" t="s">
        <v>924</v>
      </c>
      <c r="B66" s="142" t="s">
        <v>1260</v>
      </c>
      <c r="C66" s="140" t="s">
        <v>862</v>
      </c>
      <c r="D66" s="140" t="s">
        <v>863</v>
      </c>
      <c r="E66" s="140" t="s">
        <v>864</v>
      </c>
      <c r="F66" s="140">
        <v>0</v>
      </c>
      <c r="G66" s="140">
        <v>0</v>
      </c>
      <c r="H66" s="140">
        <v>0</v>
      </c>
      <c r="I66" s="140">
        <v>0</v>
      </c>
      <c r="J66" s="140">
        <v>0</v>
      </c>
      <c r="K66" s="140">
        <v>0</v>
      </c>
      <c r="L66" s="140">
        <v>0</v>
      </c>
      <c r="M66" s="140">
        <v>0</v>
      </c>
      <c r="N66" s="140">
        <v>0</v>
      </c>
      <c r="O66" s="140">
        <v>0</v>
      </c>
      <c r="P66" s="140">
        <v>0</v>
      </c>
      <c r="Q66" s="140">
        <v>0</v>
      </c>
    </row>
    <row r="67" spans="1:19" x14ac:dyDescent="0.6">
      <c r="A67" s="143" t="s">
        <v>925</v>
      </c>
      <c r="B67" s="142" t="s">
        <v>1260</v>
      </c>
      <c r="C67" s="140" t="s">
        <v>862</v>
      </c>
      <c r="D67" s="140" t="s">
        <v>863</v>
      </c>
      <c r="E67" s="140" t="s">
        <v>864</v>
      </c>
      <c r="F67" s="140">
        <v>0</v>
      </c>
      <c r="G67" s="140">
        <v>0</v>
      </c>
      <c r="H67" s="140">
        <v>0</v>
      </c>
      <c r="I67" s="140">
        <v>0</v>
      </c>
      <c r="J67" s="140">
        <v>0</v>
      </c>
      <c r="K67" s="140">
        <v>0</v>
      </c>
      <c r="L67" s="140">
        <v>0</v>
      </c>
      <c r="M67" s="140">
        <v>0</v>
      </c>
      <c r="N67" s="140">
        <v>0</v>
      </c>
      <c r="O67" s="140">
        <v>0</v>
      </c>
      <c r="P67" s="140">
        <v>0</v>
      </c>
      <c r="Q67" s="140">
        <v>0</v>
      </c>
    </row>
    <row r="68" spans="1:19" x14ac:dyDescent="0.6">
      <c r="A68" s="143" t="s">
        <v>1044</v>
      </c>
      <c r="B68" s="142" t="s">
        <v>1260</v>
      </c>
      <c r="C68" s="140" t="s">
        <v>862</v>
      </c>
      <c r="D68" s="140" t="s">
        <v>863</v>
      </c>
      <c r="E68" s="140" t="s">
        <v>864</v>
      </c>
      <c r="F68" s="140">
        <f>IFERROR((VLOOKUP(LEFT($A68,4),'Cash Flow $s Yr1'!$B$12:$R$150,3,FALSE)),0)</f>
        <v>0</v>
      </c>
      <c r="G68" s="140">
        <f>IFERROR((VLOOKUP(LEFT($A68,4),'Cash Flow $s Yr1'!$B$12:$R$150,4,FALSE)),0)</f>
        <v>0</v>
      </c>
      <c r="H68" s="140">
        <f>IFERROR((VLOOKUP(LEFT($A68,4),'Cash Flow $s Yr1'!$B$12:$R$150,5,FALSE)),0)</f>
        <v>0</v>
      </c>
      <c r="I68" s="140">
        <f>IFERROR((VLOOKUP(LEFT($A68,4),'Cash Flow $s Yr1'!$B$12:$R$150,6,FALSE)),0)</f>
        <v>0</v>
      </c>
      <c r="J68" s="140">
        <f>IFERROR((VLOOKUP(LEFT($A68,4),'Cash Flow $s Yr1'!$B$12:$R$150,7,FALSE)),0)</f>
        <v>0</v>
      </c>
      <c r="K68" s="140">
        <f>IFERROR((VLOOKUP(LEFT($A68,4),'Cash Flow $s Yr1'!$B$12:$R$150,8,FALSE)),0)</f>
        <v>0</v>
      </c>
      <c r="L68" s="140">
        <f>IFERROR((VLOOKUP(LEFT($A68,4),'Cash Flow $s Yr1'!$B$12:$R$150,9,FALSE)),0)</f>
        <v>0</v>
      </c>
      <c r="M68" s="140">
        <f>IFERROR((VLOOKUP(LEFT($A68,4),'Cash Flow $s Yr1'!$B$12:$R$150,10,FALSE)),0)</f>
        <v>0</v>
      </c>
      <c r="N68" s="140">
        <f>IFERROR((VLOOKUP(LEFT($A68,4),'Cash Flow $s Yr1'!$B$12:$R$150,11,FALSE)),0)</f>
        <v>0</v>
      </c>
      <c r="O68" s="140">
        <f>IFERROR((VLOOKUP(LEFT($A68,4),'Cash Flow $s Yr1'!$B$12:$R$150,12,FALSE)),0)</f>
        <v>0</v>
      </c>
      <c r="P68" s="140">
        <f>IFERROR((VLOOKUP(LEFT($A68,4),'Cash Flow $s Yr1'!$B$12:$R$150,13,FALSE)),0)</f>
        <v>0</v>
      </c>
      <c r="Q68" s="140">
        <f>IFERROR((VLOOKUP(LEFT($A68,4),'Cash Flow $s Yr1'!$B$12:$R$150,14,FALSE)),0)</f>
        <v>0</v>
      </c>
    </row>
    <row r="69" spans="1:19" x14ac:dyDescent="0.6">
      <c r="A69" s="143" t="s">
        <v>1045</v>
      </c>
      <c r="B69" s="142" t="s">
        <v>1260</v>
      </c>
      <c r="C69" s="140" t="s">
        <v>862</v>
      </c>
      <c r="D69" s="140" t="s">
        <v>863</v>
      </c>
      <c r="E69" s="140" t="s">
        <v>864</v>
      </c>
      <c r="F69" s="140">
        <v>0</v>
      </c>
      <c r="G69" s="140">
        <v>0</v>
      </c>
      <c r="H69" s="140">
        <v>0</v>
      </c>
      <c r="I69" s="140">
        <v>0</v>
      </c>
      <c r="J69" s="140">
        <v>0</v>
      </c>
      <c r="K69" s="140">
        <v>0</v>
      </c>
      <c r="L69" s="140">
        <v>0</v>
      </c>
      <c r="M69" s="140">
        <v>0</v>
      </c>
      <c r="N69" s="140">
        <v>0</v>
      </c>
      <c r="O69" s="140">
        <v>0</v>
      </c>
      <c r="P69" s="140">
        <v>0</v>
      </c>
      <c r="Q69" s="140">
        <v>0</v>
      </c>
    </row>
    <row r="70" spans="1:19" x14ac:dyDescent="0.6">
      <c r="A70" s="143" t="s">
        <v>926</v>
      </c>
      <c r="B70" s="142" t="s">
        <v>1260</v>
      </c>
      <c r="C70" s="140" t="s">
        <v>862</v>
      </c>
      <c r="D70" s="140" t="s">
        <v>863</v>
      </c>
      <c r="E70" s="140" t="s">
        <v>864</v>
      </c>
      <c r="F70" s="140">
        <v>0</v>
      </c>
      <c r="G70" s="140">
        <v>0</v>
      </c>
      <c r="H70" s="140">
        <v>0</v>
      </c>
      <c r="I70" s="140">
        <v>0</v>
      </c>
      <c r="J70" s="140">
        <v>0</v>
      </c>
      <c r="K70" s="140">
        <v>0</v>
      </c>
      <c r="L70" s="140">
        <v>0</v>
      </c>
      <c r="M70" s="140">
        <v>0</v>
      </c>
      <c r="N70" s="140">
        <v>0</v>
      </c>
      <c r="O70" s="140">
        <v>0</v>
      </c>
      <c r="P70" s="140">
        <v>0</v>
      </c>
      <c r="Q70" s="140">
        <v>0</v>
      </c>
    </row>
    <row r="71" spans="1:19" x14ac:dyDescent="0.6">
      <c r="A71" s="143" t="s">
        <v>1046</v>
      </c>
      <c r="B71" s="142" t="s">
        <v>1260</v>
      </c>
      <c r="C71" s="140" t="s">
        <v>862</v>
      </c>
      <c r="D71" s="140" t="s">
        <v>863</v>
      </c>
      <c r="E71" s="140" t="s">
        <v>864</v>
      </c>
      <c r="F71" s="140">
        <f>IFERROR((VLOOKUP(LEFT($A71,4),'Cash Flow $s Yr1'!$B$12:$R$150,3,FALSE)),0)</f>
        <v>0</v>
      </c>
      <c r="G71" s="140">
        <f>IFERROR((VLOOKUP(LEFT($A71,4),'Cash Flow $s Yr1'!$B$12:$R$150,4,FALSE)),0)</f>
        <v>0</v>
      </c>
      <c r="H71" s="140">
        <f>IFERROR((VLOOKUP(LEFT($A71,4),'Cash Flow $s Yr1'!$B$12:$R$150,5,FALSE)),0)</f>
        <v>0</v>
      </c>
      <c r="I71" s="140">
        <f>IFERROR((VLOOKUP(LEFT($A71,4),'Cash Flow $s Yr1'!$B$12:$R$150,6,FALSE)),0)</f>
        <v>0</v>
      </c>
      <c r="J71" s="140">
        <f>IFERROR((VLOOKUP(LEFT($A71,4),'Cash Flow $s Yr1'!$B$12:$R$150,7,FALSE)),0)</f>
        <v>0</v>
      </c>
      <c r="K71" s="140">
        <f>IFERROR((VLOOKUP(LEFT($A71,4),'Cash Flow $s Yr1'!$B$12:$R$150,8,FALSE)),0)</f>
        <v>0</v>
      </c>
      <c r="L71" s="140">
        <f>IFERROR((VLOOKUP(LEFT($A71,4),'Cash Flow $s Yr1'!$B$12:$R$150,9,FALSE)),0)</f>
        <v>0</v>
      </c>
      <c r="M71" s="140">
        <f>IFERROR((VLOOKUP(LEFT($A71,4),'Cash Flow $s Yr1'!$B$12:$R$150,10,FALSE)),0)</f>
        <v>0</v>
      </c>
      <c r="N71" s="140">
        <f>IFERROR((VLOOKUP(LEFT($A71,4),'Cash Flow $s Yr1'!$B$12:$R$150,11,FALSE)),0)</f>
        <v>0</v>
      </c>
      <c r="O71" s="140">
        <f>IFERROR((VLOOKUP(LEFT($A71,4),'Cash Flow $s Yr1'!$B$12:$R$150,12,FALSE)),0)</f>
        <v>0</v>
      </c>
      <c r="P71" s="140">
        <f>IFERROR((VLOOKUP(LEFT($A71,4),'Cash Flow $s Yr1'!$B$12:$R$150,13,FALSE)),0)</f>
        <v>0</v>
      </c>
      <c r="Q71" s="140">
        <f>IFERROR((VLOOKUP(LEFT($A71,4),'Cash Flow $s Yr1'!$B$12:$R$150,14,FALSE)),0)</f>
        <v>0</v>
      </c>
    </row>
    <row r="72" spans="1:19" x14ac:dyDescent="0.6">
      <c r="A72" s="143" t="s">
        <v>1047</v>
      </c>
      <c r="B72" s="142" t="s">
        <v>1260</v>
      </c>
      <c r="C72" s="140" t="s">
        <v>862</v>
      </c>
      <c r="D72" s="140" t="s">
        <v>863</v>
      </c>
      <c r="E72" s="140" t="s">
        <v>864</v>
      </c>
      <c r="F72" s="140">
        <v>0</v>
      </c>
      <c r="G72" s="140">
        <v>0</v>
      </c>
      <c r="H72" s="140">
        <v>0</v>
      </c>
      <c r="I72" s="140">
        <v>0</v>
      </c>
      <c r="J72" s="140">
        <v>0</v>
      </c>
      <c r="K72" s="140">
        <v>0</v>
      </c>
      <c r="L72" s="140">
        <v>0</v>
      </c>
      <c r="M72" s="140">
        <v>0</v>
      </c>
      <c r="N72" s="140">
        <v>0</v>
      </c>
      <c r="O72" s="140">
        <v>0</v>
      </c>
      <c r="P72" s="140">
        <v>0</v>
      </c>
      <c r="Q72" s="140">
        <v>0</v>
      </c>
    </row>
    <row r="73" spans="1:19" x14ac:dyDescent="0.6">
      <c r="A73" s="143" t="s">
        <v>1048</v>
      </c>
      <c r="B73" s="142" t="s">
        <v>1260</v>
      </c>
      <c r="C73" s="140" t="s">
        <v>862</v>
      </c>
      <c r="D73" s="140" t="s">
        <v>863</v>
      </c>
      <c r="E73" s="140" t="s">
        <v>864</v>
      </c>
      <c r="F73" s="140">
        <v>0</v>
      </c>
      <c r="G73" s="140">
        <v>0</v>
      </c>
      <c r="H73" s="140">
        <v>0</v>
      </c>
      <c r="I73" s="140">
        <v>0</v>
      </c>
      <c r="J73" s="140">
        <v>0</v>
      </c>
      <c r="K73" s="140">
        <v>0</v>
      </c>
      <c r="L73" s="140">
        <v>0</v>
      </c>
      <c r="M73" s="140">
        <v>0</v>
      </c>
      <c r="N73" s="140">
        <v>0</v>
      </c>
      <c r="O73" s="140">
        <v>0</v>
      </c>
      <c r="P73" s="140">
        <v>0</v>
      </c>
      <c r="Q73" s="140">
        <v>0</v>
      </c>
    </row>
    <row r="74" spans="1:19" x14ac:dyDescent="0.6">
      <c r="A74" s="143" t="s">
        <v>1049</v>
      </c>
      <c r="B74" s="142" t="s">
        <v>1260</v>
      </c>
      <c r="C74" s="140" t="s">
        <v>862</v>
      </c>
      <c r="D74" s="140" t="s">
        <v>863</v>
      </c>
      <c r="E74" s="140" t="s">
        <v>864</v>
      </c>
      <c r="F74" s="140" t="str">
        <f>IFERROR((VLOOKUP(LEFT($A74,4),'Cash Flow $s Yr1'!$B$12:$R$150,3,FALSE)),0)</f>
        <v/>
      </c>
      <c r="G74" s="140" t="str">
        <f>IFERROR((VLOOKUP(LEFT($A74,4),'Cash Flow $s Yr1'!$B$12:$R$150,4,FALSE)),0)</f>
        <v/>
      </c>
      <c r="H74" s="140" t="str">
        <f>IFERROR((VLOOKUP(LEFT($A74,4),'Cash Flow $s Yr1'!$B$12:$R$150,5,FALSE)),0)</f>
        <v/>
      </c>
      <c r="I74" s="140" t="str">
        <f>IFERROR((VLOOKUP(LEFT($A74,4),'Cash Flow $s Yr1'!$B$12:$R$150,6,FALSE)),0)</f>
        <v/>
      </c>
      <c r="J74" s="140" t="str">
        <f>IFERROR((VLOOKUP(LEFT($A74,4),'Cash Flow $s Yr1'!$B$12:$R$150,7,FALSE)),0)</f>
        <v/>
      </c>
      <c r="K74" s="140" t="str">
        <f>IFERROR((VLOOKUP(LEFT($A74,4),'Cash Flow $s Yr1'!$B$12:$R$150,8,FALSE)),0)</f>
        <v/>
      </c>
      <c r="L74" s="140" t="str">
        <f>IFERROR((VLOOKUP(LEFT($A74,4),'Cash Flow $s Yr1'!$B$12:$R$150,9,FALSE)),0)</f>
        <v/>
      </c>
      <c r="M74" s="140" t="str">
        <f>IFERROR((VLOOKUP(LEFT($A74,4),'Cash Flow $s Yr1'!$B$12:$R$150,10,FALSE)),0)</f>
        <v/>
      </c>
      <c r="N74" s="140" t="str">
        <f>IFERROR((VLOOKUP(LEFT($A74,4),'Cash Flow $s Yr1'!$B$12:$R$150,11,FALSE)),0)</f>
        <v/>
      </c>
      <c r="O74" s="140" t="str">
        <f>IFERROR((VLOOKUP(LEFT($A74,4),'Cash Flow $s Yr1'!$B$12:$R$150,12,FALSE)),0)</f>
        <v/>
      </c>
      <c r="P74" s="140" t="str">
        <f>IFERROR((VLOOKUP(LEFT($A74,4),'Cash Flow $s Yr1'!$B$12:$R$150,13,FALSE)),0)</f>
        <v/>
      </c>
      <c r="Q74" s="140" t="str">
        <f>IFERROR((VLOOKUP(LEFT($A74,4),'Cash Flow $s Yr1'!$B$12:$R$150,14,FALSE)),0)</f>
        <v/>
      </c>
    </row>
    <row r="75" spans="1:19" x14ac:dyDescent="0.6">
      <c r="A75" s="143" t="s">
        <v>1050</v>
      </c>
      <c r="B75" s="142" t="s">
        <v>1260</v>
      </c>
      <c r="C75" s="140" t="s">
        <v>862</v>
      </c>
      <c r="D75" s="140" t="s">
        <v>863</v>
      </c>
      <c r="E75" s="140" t="s">
        <v>864</v>
      </c>
      <c r="F75" s="140">
        <v>0</v>
      </c>
      <c r="G75" s="140">
        <v>0</v>
      </c>
      <c r="H75" s="140">
        <v>0</v>
      </c>
      <c r="I75" s="140">
        <v>0</v>
      </c>
      <c r="J75" s="140">
        <v>0</v>
      </c>
      <c r="K75" s="140">
        <v>0</v>
      </c>
      <c r="L75" s="140">
        <v>0</v>
      </c>
      <c r="M75" s="140">
        <v>0</v>
      </c>
      <c r="N75" s="140">
        <v>0</v>
      </c>
      <c r="O75" s="140">
        <v>0</v>
      </c>
      <c r="P75" s="140">
        <v>0</v>
      </c>
      <c r="Q75" s="140">
        <v>0</v>
      </c>
    </row>
    <row r="76" spans="1:19" x14ac:dyDescent="0.6">
      <c r="A76" s="143" t="s">
        <v>1051</v>
      </c>
      <c r="B76" s="142" t="s">
        <v>1260</v>
      </c>
      <c r="C76" s="140" t="s">
        <v>862</v>
      </c>
      <c r="D76" s="140" t="s">
        <v>863</v>
      </c>
      <c r="E76" s="140" t="s">
        <v>864</v>
      </c>
      <c r="F76" s="140">
        <v>0</v>
      </c>
      <c r="G76" s="140">
        <v>0</v>
      </c>
      <c r="H76" s="140">
        <v>0</v>
      </c>
      <c r="I76" s="140">
        <v>0</v>
      </c>
      <c r="J76" s="140">
        <v>0</v>
      </c>
      <c r="K76" s="140">
        <v>0</v>
      </c>
      <c r="L76" s="140">
        <v>0</v>
      </c>
      <c r="M76" s="140">
        <v>0</v>
      </c>
      <c r="N76" s="140">
        <v>0</v>
      </c>
      <c r="O76" s="140">
        <v>0</v>
      </c>
      <c r="P76" s="140">
        <v>0</v>
      </c>
      <c r="Q76" s="140">
        <v>0</v>
      </c>
      <c r="S76" s="145" t="e">
        <f>SUM('Cash Flow $s Yr1'!D86:R86)/SUM(Fiscal_Sets!F56:Q76)</f>
        <v>#DIV/0!</v>
      </c>
    </row>
    <row r="77" spans="1:19" x14ac:dyDescent="0.6">
      <c r="A77" s="143" t="s">
        <v>927</v>
      </c>
      <c r="B77" s="142" t="s">
        <v>1260</v>
      </c>
      <c r="C77" s="140" t="s">
        <v>862</v>
      </c>
      <c r="D77" s="140" t="s">
        <v>863</v>
      </c>
      <c r="E77" s="140" t="s">
        <v>864</v>
      </c>
      <c r="F77" s="140" t="str">
        <f>IFERROR((VLOOKUP(LEFT($A77,4),'Cash Flow $s Yr1'!$B$12:$R$150,3,FALSE)),0)</f>
        <v/>
      </c>
      <c r="G77" s="140" t="str">
        <f>IFERROR((VLOOKUP(LEFT($A77,4),'Cash Flow $s Yr1'!$B$12:$R$150,4,FALSE)),0)</f>
        <v/>
      </c>
      <c r="H77" s="140" t="str">
        <f>IFERROR((VLOOKUP(LEFT($A77,4),'Cash Flow $s Yr1'!$B$12:$R$150,5,FALSE)),0)</f>
        <v/>
      </c>
      <c r="I77" s="140" t="str">
        <f>IFERROR((VLOOKUP(LEFT($A77,4),'Cash Flow $s Yr1'!$B$12:$R$150,6,FALSE)),0)</f>
        <v/>
      </c>
      <c r="J77" s="140" t="str">
        <f>IFERROR((VLOOKUP(LEFT($A77,4),'Cash Flow $s Yr1'!$B$12:$R$150,7,FALSE)),0)</f>
        <v/>
      </c>
      <c r="K77" s="140" t="str">
        <f>IFERROR((VLOOKUP(LEFT($A77,4),'Cash Flow $s Yr1'!$B$12:$R$150,8,FALSE)),0)</f>
        <v/>
      </c>
      <c r="L77" s="140" t="str">
        <f>IFERROR((VLOOKUP(LEFT($A77,4),'Cash Flow $s Yr1'!$B$12:$R$150,9,FALSE)),0)</f>
        <v/>
      </c>
      <c r="M77" s="140" t="str">
        <f>IFERROR((VLOOKUP(LEFT($A77,4),'Cash Flow $s Yr1'!$B$12:$R$150,10,FALSE)),0)</f>
        <v/>
      </c>
      <c r="N77" s="140" t="str">
        <f>IFERROR((VLOOKUP(LEFT($A77,4),'Cash Flow $s Yr1'!$B$12:$R$150,11,FALSE)),0)</f>
        <v/>
      </c>
      <c r="O77" s="140" t="str">
        <f>IFERROR((VLOOKUP(LEFT($A77,4),'Cash Flow $s Yr1'!$B$12:$R$150,12,FALSE)),0)</f>
        <v/>
      </c>
      <c r="P77" s="140" t="str">
        <f>IFERROR((VLOOKUP(LEFT($A77,4),'Cash Flow $s Yr1'!$B$12:$R$150,13,FALSE)),0)</f>
        <v/>
      </c>
      <c r="Q77" s="140" t="str">
        <f>IFERROR((VLOOKUP(LEFT($A77,4),'Cash Flow $s Yr1'!$B$12:$R$150,14,FALSE)),0)</f>
        <v/>
      </c>
    </row>
    <row r="78" spans="1:19" x14ac:dyDescent="0.6">
      <c r="A78" s="143" t="s">
        <v>928</v>
      </c>
      <c r="B78" s="142" t="s">
        <v>1260</v>
      </c>
      <c r="C78" s="140" t="s">
        <v>862</v>
      </c>
      <c r="D78" s="140" t="s">
        <v>863</v>
      </c>
      <c r="E78" s="140" t="s">
        <v>864</v>
      </c>
      <c r="F78" s="140">
        <v>0</v>
      </c>
      <c r="G78" s="140">
        <v>0</v>
      </c>
      <c r="H78" s="140">
        <v>0</v>
      </c>
      <c r="I78" s="140">
        <v>0</v>
      </c>
      <c r="J78" s="140">
        <v>0</v>
      </c>
      <c r="K78" s="140">
        <v>0</v>
      </c>
      <c r="L78" s="140">
        <v>0</v>
      </c>
      <c r="M78" s="140">
        <v>0</v>
      </c>
      <c r="N78" s="140">
        <v>0</v>
      </c>
      <c r="O78" s="140">
        <v>0</v>
      </c>
      <c r="P78" s="140">
        <v>0</v>
      </c>
      <c r="Q78" s="140">
        <v>0</v>
      </c>
    </row>
    <row r="79" spans="1:19" x14ac:dyDescent="0.6">
      <c r="A79" s="143" t="s">
        <v>929</v>
      </c>
      <c r="B79" s="142" t="s">
        <v>1260</v>
      </c>
      <c r="C79" s="140" t="s">
        <v>862</v>
      </c>
      <c r="D79" s="140" t="s">
        <v>863</v>
      </c>
      <c r="E79" s="140" t="s">
        <v>864</v>
      </c>
      <c r="F79" s="140">
        <v>0</v>
      </c>
      <c r="G79" s="140">
        <v>0</v>
      </c>
      <c r="H79" s="140">
        <v>0</v>
      </c>
      <c r="I79" s="140">
        <v>0</v>
      </c>
      <c r="J79" s="140">
        <v>0</v>
      </c>
      <c r="K79" s="140">
        <v>0</v>
      </c>
      <c r="L79" s="140">
        <v>0</v>
      </c>
      <c r="M79" s="140">
        <v>0</v>
      </c>
      <c r="N79" s="140">
        <v>0</v>
      </c>
      <c r="O79" s="140">
        <v>0</v>
      </c>
      <c r="P79" s="140">
        <v>0</v>
      </c>
      <c r="Q79" s="140">
        <v>0</v>
      </c>
    </row>
    <row r="80" spans="1:19" x14ac:dyDescent="0.6">
      <c r="A80" s="143" t="s">
        <v>930</v>
      </c>
      <c r="B80" s="142" t="s">
        <v>1260</v>
      </c>
      <c r="C80" s="140" t="s">
        <v>862</v>
      </c>
      <c r="D80" s="140" t="s">
        <v>863</v>
      </c>
      <c r="E80" s="140" t="s">
        <v>864</v>
      </c>
      <c r="F80" s="140" t="str">
        <f>IFERROR((VLOOKUP(LEFT($A80,4),'Cash Flow $s Yr1'!$B$12:$R$150,3,FALSE)),0)</f>
        <v/>
      </c>
      <c r="G80" s="140" t="str">
        <f>IFERROR((VLOOKUP(LEFT($A80,4),'Cash Flow $s Yr1'!$B$12:$R$150,4,FALSE)),0)</f>
        <v/>
      </c>
      <c r="H80" s="140" t="str">
        <f>IFERROR((VLOOKUP(LEFT($A80,4),'Cash Flow $s Yr1'!$B$12:$R$150,5,FALSE)),0)</f>
        <v/>
      </c>
      <c r="I80" s="140" t="str">
        <f>IFERROR((VLOOKUP(LEFT($A80,4),'Cash Flow $s Yr1'!$B$12:$R$150,6,FALSE)),0)</f>
        <v/>
      </c>
      <c r="J80" s="140" t="str">
        <f>IFERROR((VLOOKUP(LEFT($A80,4),'Cash Flow $s Yr1'!$B$12:$R$150,7,FALSE)),0)</f>
        <v/>
      </c>
      <c r="K80" s="140" t="str">
        <f>IFERROR((VLOOKUP(LEFT($A80,4),'Cash Flow $s Yr1'!$B$12:$R$150,8,FALSE)),0)</f>
        <v/>
      </c>
      <c r="L80" s="140" t="str">
        <f>IFERROR((VLOOKUP(LEFT($A80,4),'Cash Flow $s Yr1'!$B$12:$R$150,9,FALSE)),0)</f>
        <v/>
      </c>
      <c r="M80" s="140" t="str">
        <f>IFERROR((VLOOKUP(LEFT($A80,4),'Cash Flow $s Yr1'!$B$12:$R$150,10,FALSE)),0)</f>
        <v/>
      </c>
      <c r="N80" s="140" t="str">
        <f>IFERROR((VLOOKUP(LEFT($A80,4),'Cash Flow $s Yr1'!$B$12:$R$150,11,FALSE)),0)</f>
        <v/>
      </c>
      <c r="O80" s="140" t="str">
        <f>IFERROR((VLOOKUP(LEFT($A80,4),'Cash Flow $s Yr1'!$B$12:$R$150,12,FALSE)),0)</f>
        <v/>
      </c>
      <c r="P80" s="140" t="str">
        <f>IFERROR((VLOOKUP(LEFT($A80,4),'Cash Flow $s Yr1'!$B$12:$R$150,13,FALSE)),0)</f>
        <v/>
      </c>
      <c r="Q80" s="140" t="str">
        <f>IFERROR((VLOOKUP(LEFT($A80,4),'Cash Flow $s Yr1'!$B$12:$R$150,14,FALSE)),0)</f>
        <v/>
      </c>
    </row>
    <row r="81" spans="1:19" x14ac:dyDescent="0.6">
      <c r="A81" s="143" t="s">
        <v>931</v>
      </c>
      <c r="B81" s="142" t="s">
        <v>1260</v>
      </c>
      <c r="C81" s="140" t="s">
        <v>862</v>
      </c>
      <c r="D81" s="140" t="s">
        <v>863</v>
      </c>
      <c r="E81" s="140" t="s">
        <v>864</v>
      </c>
      <c r="F81" s="140">
        <v>0</v>
      </c>
      <c r="G81" s="140">
        <v>0</v>
      </c>
      <c r="H81" s="140">
        <v>0</v>
      </c>
      <c r="I81" s="140">
        <v>0</v>
      </c>
      <c r="J81" s="140">
        <v>0</v>
      </c>
      <c r="K81" s="140">
        <v>0</v>
      </c>
      <c r="L81" s="140">
        <v>0</v>
      </c>
      <c r="M81" s="140">
        <v>0</v>
      </c>
      <c r="N81" s="140">
        <v>0</v>
      </c>
      <c r="O81" s="140">
        <v>0</v>
      </c>
      <c r="P81" s="140">
        <v>0</v>
      </c>
      <c r="Q81" s="140">
        <v>0</v>
      </c>
    </row>
    <row r="82" spans="1:19" x14ac:dyDescent="0.6">
      <c r="A82" s="143" t="s">
        <v>932</v>
      </c>
      <c r="B82" s="142" t="s">
        <v>1260</v>
      </c>
      <c r="C82" s="140" t="s">
        <v>862</v>
      </c>
      <c r="D82" s="140" t="s">
        <v>863</v>
      </c>
      <c r="E82" s="140" t="s">
        <v>864</v>
      </c>
      <c r="F82" s="140">
        <v>0</v>
      </c>
      <c r="G82" s="140">
        <v>0</v>
      </c>
      <c r="H82" s="140">
        <v>0</v>
      </c>
      <c r="I82" s="140">
        <v>0</v>
      </c>
      <c r="J82" s="140">
        <v>0</v>
      </c>
      <c r="K82" s="140">
        <v>0</v>
      </c>
      <c r="L82" s="140">
        <v>0</v>
      </c>
      <c r="M82" s="140">
        <v>0</v>
      </c>
      <c r="N82" s="140">
        <v>0</v>
      </c>
      <c r="O82" s="140">
        <v>0</v>
      </c>
      <c r="P82" s="140">
        <v>0</v>
      </c>
      <c r="Q82" s="140">
        <v>0</v>
      </c>
    </row>
    <row r="83" spans="1:19" x14ac:dyDescent="0.6">
      <c r="A83" s="143" t="s">
        <v>933</v>
      </c>
      <c r="B83" s="142" t="s">
        <v>1260</v>
      </c>
      <c r="C83" s="140" t="s">
        <v>862</v>
      </c>
      <c r="D83" s="140" t="s">
        <v>863</v>
      </c>
      <c r="E83" s="140" t="s">
        <v>864</v>
      </c>
      <c r="F83" s="140" t="str">
        <f>IFERROR((VLOOKUP(LEFT($A83,4),'Cash Flow $s Yr1'!$B$12:$R$150,3,FALSE)),0)</f>
        <v/>
      </c>
      <c r="G83" s="140" t="str">
        <f>IFERROR((VLOOKUP(LEFT($A83,4),'Cash Flow $s Yr1'!$B$12:$R$150,4,FALSE)),0)</f>
        <v/>
      </c>
      <c r="H83" s="140" t="str">
        <f>IFERROR((VLOOKUP(LEFT($A83,4),'Cash Flow $s Yr1'!$B$12:$R$150,5,FALSE)),0)</f>
        <v/>
      </c>
      <c r="I83" s="140" t="str">
        <f>IFERROR((VLOOKUP(LEFT($A83,4),'Cash Flow $s Yr1'!$B$12:$R$150,6,FALSE)),0)</f>
        <v/>
      </c>
      <c r="J83" s="140" t="str">
        <f>IFERROR((VLOOKUP(LEFT($A83,4),'Cash Flow $s Yr1'!$B$12:$R$150,7,FALSE)),0)</f>
        <v/>
      </c>
      <c r="K83" s="140" t="str">
        <f>IFERROR((VLOOKUP(LEFT($A83,4),'Cash Flow $s Yr1'!$B$12:$R$150,8,FALSE)),0)</f>
        <v/>
      </c>
      <c r="L83" s="140" t="str">
        <f>IFERROR((VLOOKUP(LEFT($A83,4),'Cash Flow $s Yr1'!$B$12:$R$150,9,FALSE)),0)</f>
        <v/>
      </c>
      <c r="M83" s="140" t="str">
        <f>IFERROR((VLOOKUP(LEFT($A83,4),'Cash Flow $s Yr1'!$B$12:$R$150,10,FALSE)),0)</f>
        <v/>
      </c>
      <c r="N83" s="140" t="str">
        <f>IFERROR((VLOOKUP(LEFT($A83,4),'Cash Flow $s Yr1'!$B$12:$R$150,11,FALSE)),0)</f>
        <v/>
      </c>
      <c r="O83" s="140" t="str">
        <f>IFERROR((VLOOKUP(LEFT($A83,4),'Cash Flow $s Yr1'!$B$12:$R$150,12,FALSE)),0)</f>
        <v/>
      </c>
      <c r="P83" s="140" t="str">
        <f>IFERROR((VLOOKUP(LEFT($A83,4),'Cash Flow $s Yr1'!$B$12:$R$150,13,FALSE)),0)</f>
        <v/>
      </c>
      <c r="Q83" s="140" t="str">
        <f>IFERROR((VLOOKUP(LEFT($A83,4),'Cash Flow $s Yr1'!$B$12:$R$150,14,FALSE)),0)</f>
        <v/>
      </c>
    </row>
    <row r="84" spans="1:19" x14ac:dyDescent="0.6">
      <c r="A84" s="143" t="s">
        <v>934</v>
      </c>
      <c r="B84" s="142" t="s">
        <v>1260</v>
      </c>
      <c r="C84" s="140" t="s">
        <v>862</v>
      </c>
      <c r="D84" s="140" t="s">
        <v>863</v>
      </c>
      <c r="E84" s="140" t="s">
        <v>864</v>
      </c>
      <c r="F84" s="140">
        <v>0</v>
      </c>
      <c r="G84" s="140">
        <v>0</v>
      </c>
      <c r="H84" s="140">
        <v>0</v>
      </c>
      <c r="I84" s="140">
        <v>0</v>
      </c>
      <c r="J84" s="140">
        <v>0</v>
      </c>
      <c r="K84" s="140">
        <v>0</v>
      </c>
      <c r="L84" s="140">
        <v>0</v>
      </c>
      <c r="M84" s="140">
        <v>0</v>
      </c>
      <c r="N84" s="140">
        <v>0</v>
      </c>
      <c r="O84" s="140">
        <v>0</v>
      </c>
      <c r="P84" s="140">
        <v>0</v>
      </c>
      <c r="Q84" s="140">
        <v>0</v>
      </c>
    </row>
    <row r="85" spans="1:19" x14ac:dyDescent="0.6">
      <c r="A85" s="143" t="s">
        <v>935</v>
      </c>
      <c r="B85" s="142" t="s">
        <v>1260</v>
      </c>
      <c r="C85" s="140" t="s">
        <v>862</v>
      </c>
      <c r="D85" s="140" t="s">
        <v>863</v>
      </c>
      <c r="E85" s="140" t="s">
        <v>864</v>
      </c>
      <c r="F85" s="140">
        <v>0</v>
      </c>
      <c r="G85" s="140">
        <v>0</v>
      </c>
      <c r="H85" s="140">
        <v>0</v>
      </c>
      <c r="I85" s="140">
        <v>0</v>
      </c>
      <c r="J85" s="140">
        <v>0</v>
      </c>
      <c r="K85" s="140">
        <v>0</v>
      </c>
      <c r="L85" s="140">
        <v>0</v>
      </c>
      <c r="M85" s="140">
        <v>0</v>
      </c>
      <c r="N85" s="140">
        <v>0</v>
      </c>
      <c r="O85" s="140">
        <v>0</v>
      </c>
      <c r="P85" s="140">
        <v>0</v>
      </c>
      <c r="Q85" s="140">
        <v>0</v>
      </c>
    </row>
    <row r="86" spans="1:19" x14ac:dyDescent="0.6">
      <c r="A86" s="143" t="s">
        <v>936</v>
      </c>
      <c r="B86" s="142" t="s">
        <v>1260</v>
      </c>
      <c r="C86" s="140" t="s">
        <v>862</v>
      </c>
      <c r="D86" s="140" t="s">
        <v>863</v>
      </c>
      <c r="E86" s="140" t="s">
        <v>864</v>
      </c>
      <c r="F86" s="140" t="str">
        <f>IFERROR((VLOOKUP(LEFT($A86,4),'Cash Flow $s Yr1'!$B$12:$R$150,3,FALSE)),0)</f>
        <v/>
      </c>
      <c r="G86" s="140" t="str">
        <f>IFERROR((VLOOKUP(LEFT($A86,4),'Cash Flow $s Yr1'!$B$12:$R$150,4,FALSE)),0)</f>
        <v/>
      </c>
      <c r="H86" s="140" t="str">
        <f>IFERROR((VLOOKUP(LEFT($A86,4),'Cash Flow $s Yr1'!$B$12:$R$150,5,FALSE)),0)</f>
        <v/>
      </c>
      <c r="I86" s="140" t="str">
        <f>IFERROR((VLOOKUP(LEFT($A86,4),'Cash Flow $s Yr1'!$B$12:$R$150,6,FALSE)),0)</f>
        <v/>
      </c>
      <c r="J86" s="140" t="str">
        <f>IFERROR((VLOOKUP(LEFT($A86,4),'Cash Flow $s Yr1'!$B$12:$R$150,7,FALSE)),0)</f>
        <v/>
      </c>
      <c r="K86" s="140" t="str">
        <f>IFERROR((VLOOKUP(LEFT($A86,4),'Cash Flow $s Yr1'!$B$12:$R$150,8,FALSE)),0)</f>
        <v/>
      </c>
      <c r="L86" s="140" t="str">
        <f>IFERROR((VLOOKUP(LEFT($A86,4),'Cash Flow $s Yr1'!$B$12:$R$150,9,FALSE)),0)</f>
        <v/>
      </c>
      <c r="M86" s="140" t="str">
        <f>IFERROR((VLOOKUP(LEFT($A86,4),'Cash Flow $s Yr1'!$B$12:$R$150,10,FALSE)),0)</f>
        <v/>
      </c>
      <c r="N86" s="140" t="str">
        <f>IFERROR((VLOOKUP(LEFT($A86,4),'Cash Flow $s Yr1'!$B$12:$R$150,11,FALSE)),0)</f>
        <v/>
      </c>
      <c r="O86" s="140" t="str">
        <f>IFERROR((VLOOKUP(LEFT($A86,4),'Cash Flow $s Yr1'!$B$12:$R$150,12,FALSE)),0)</f>
        <v/>
      </c>
      <c r="P86" s="140" t="str">
        <f>IFERROR((VLOOKUP(LEFT($A86,4),'Cash Flow $s Yr1'!$B$12:$R$150,13,FALSE)),0)</f>
        <v/>
      </c>
      <c r="Q86" s="140" t="str">
        <f>IFERROR((VLOOKUP(LEFT($A86,4),'Cash Flow $s Yr1'!$B$12:$R$150,14,FALSE)),0)</f>
        <v/>
      </c>
    </row>
    <row r="87" spans="1:19" x14ac:dyDescent="0.6">
      <c r="A87" s="143" t="s">
        <v>937</v>
      </c>
      <c r="B87" s="142" t="s">
        <v>1260</v>
      </c>
      <c r="C87" s="140" t="s">
        <v>862</v>
      </c>
      <c r="D87" s="140" t="s">
        <v>863</v>
      </c>
      <c r="E87" s="140" t="s">
        <v>864</v>
      </c>
      <c r="F87" s="140">
        <v>0</v>
      </c>
      <c r="G87" s="140">
        <v>0</v>
      </c>
      <c r="H87" s="140">
        <v>0</v>
      </c>
      <c r="I87" s="140">
        <v>0</v>
      </c>
      <c r="J87" s="140">
        <v>0</v>
      </c>
      <c r="K87" s="140">
        <v>0</v>
      </c>
      <c r="L87" s="140">
        <v>0</v>
      </c>
      <c r="M87" s="140">
        <v>0</v>
      </c>
      <c r="N87" s="140">
        <v>0</v>
      </c>
      <c r="O87" s="140">
        <v>0</v>
      </c>
      <c r="P87" s="140">
        <v>0</v>
      </c>
      <c r="Q87" s="140">
        <v>0</v>
      </c>
    </row>
    <row r="88" spans="1:19" x14ac:dyDescent="0.6">
      <c r="A88" s="143" t="s">
        <v>938</v>
      </c>
      <c r="B88" s="142" t="s">
        <v>1260</v>
      </c>
      <c r="C88" s="140" t="s">
        <v>862</v>
      </c>
      <c r="D88" s="140" t="s">
        <v>863</v>
      </c>
      <c r="E88" s="140" t="s">
        <v>864</v>
      </c>
      <c r="F88" s="140">
        <v>0</v>
      </c>
      <c r="G88" s="140">
        <v>0</v>
      </c>
      <c r="H88" s="140">
        <v>0</v>
      </c>
      <c r="I88" s="140">
        <v>0</v>
      </c>
      <c r="J88" s="140">
        <v>0</v>
      </c>
      <c r="K88" s="140">
        <v>0</v>
      </c>
      <c r="L88" s="140">
        <v>0</v>
      </c>
      <c r="M88" s="140">
        <v>0</v>
      </c>
      <c r="N88" s="140">
        <v>0</v>
      </c>
      <c r="O88" s="140">
        <v>0</v>
      </c>
      <c r="P88" s="140">
        <v>0</v>
      </c>
      <c r="Q88" s="140">
        <v>0</v>
      </c>
    </row>
    <row r="89" spans="1:19" x14ac:dyDescent="0.6">
      <c r="A89" s="143" t="s">
        <v>939</v>
      </c>
      <c r="B89" s="142" t="s">
        <v>1260</v>
      </c>
      <c r="C89" s="140" t="s">
        <v>862</v>
      </c>
      <c r="D89" s="140" t="s">
        <v>863</v>
      </c>
      <c r="E89" s="140" t="s">
        <v>864</v>
      </c>
      <c r="F89" s="140" t="str">
        <f>IFERROR((VLOOKUP(LEFT($A89,4),'Cash Flow $s Yr1'!$B$12:$R$150,3,FALSE)),0)</f>
        <v/>
      </c>
      <c r="G89" s="140" t="str">
        <f>IFERROR((VLOOKUP(LEFT($A89,4),'Cash Flow $s Yr1'!$B$12:$R$150,4,FALSE)),0)</f>
        <v/>
      </c>
      <c r="H89" s="140" t="str">
        <f>IFERROR((VLOOKUP(LEFT($A89,4),'Cash Flow $s Yr1'!$B$12:$R$150,5,FALSE)),0)</f>
        <v/>
      </c>
      <c r="I89" s="140" t="str">
        <f>IFERROR((VLOOKUP(LEFT($A89,4),'Cash Flow $s Yr1'!$B$12:$R$150,6,FALSE)),0)</f>
        <v/>
      </c>
      <c r="J89" s="140" t="str">
        <f>IFERROR((VLOOKUP(LEFT($A89,4),'Cash Flow $s Yr1'!$B$12:$R$150,7,FALSE)),0)</f>
        <v/>
      </c>
      <c r="K89" s="140" t="str">
        <f>IFERROR((VLOOKUP(LEFT($A89,4),'Cash Flow $s Yr1'!$B$12:$R$150,8,FALSE)),0)</f>
        <v/>
      </c>
      <c r="L89" s="140" t="str">
        <f>IFERROR((VLOOKUP(LEFT($A89,4),'Cash Flow $s Yr1'!$B$12:$R$150,9,FALSE)),0)</f>
        <v/>
      </c>
      <c r="M89" s="140" t="str">
        <f>IFERROR((VLOOKUP(LEFT($A89,4),'Cash Flow $s Yr1'!$B$12:$R$150,10,FALSE)),0)</f>
        <v/>
      </c>
      <c r="N89" s="140" t="str">
        <f>IFERROR((VLOOKUP(LEFT($A89,4),'Cash Flow $s Yr1'!$B$12:$R$150,11,FALSE)),0)</f>
        <v/>
      </c>
      <c r="O89" s="140" t="str">
        <f>IFERROR((VLOOKUP(LEFT($A89,4),'Cash Flow $s Yr1'!$B$12:$R$150,12,FALSE)),0)</f>
        <v/>
      </c>
      <c r="P89" s="140" t="str">
        <f>IFERROR((VLOOKUP(LEFT($A89,4),'Cash Flow $s Yr1'!$B$12:$R$150,13,FALSE)),0)</f>
        <v/>
      </c>
      <c r="Q89" s="140" t="str">
        <f>IFERROR((VLOOKUP(LEFT($A89,4),'Cash Flow $s Yr1'!$B$12:$R$150,14,FALSE)),0)</f>
        <v/>
      </c>
    </row>
    <row r="90" spans="1:19" x14ac:dyDescent="0.6">
      <c r="A90" s="143" t="s">
        <v>940</v>
      </c>
      <c r="B90" s="142" t="s">
        <v>1260</v>
      </c>
      <c r="C90" s="140" t="s">
        <v>862</v>
      </c>
      <c r="D90" s="140" t="s">
        <v>863</v>
      </c>
      <c r="E90" s="140" t="s">
        <v>864</v>
      </c>
      <c r="F90" s="140">
        <v>0</v>
      </c>
      <c r="G90" s="140">
        <v>0</v>
      </c>
      <c r="H90" s="140">
        <v>0</v>
      </c>
      <c r="I90" s="140">
        <v>0</v>
      </c>
      <c r="J90" s="140">
        <v>0</v>
      </c>
      <c r="K90" s="140">
        <v>0</v>
      </c>
      <c r="L90" s="140">
        <v>0</v>
      </c>
      <c r="M90" s="140">
        <v>0</v>
      </c>
      <c r="N90" s="140">
        <v>0</v>
      </c>
      <c r="O90" s="140">
        <v>0</v>
      </c>
      <c r="P90" s="140">
        <v>0</v>
      </c>
      <c r="Q90" s="140">
        <v>0</v>
      </c>
    </row>
    <row r="91" spans="1:19" x14ac:dyDescent="0.6">
      <c r="A91" s="143" t="s">
        <v>941</v>
      </c>
      <c r="B91" s="142" t="s">
        <v>1260</v>
      </c>
      <c r="C91" s="140" t="s">
        <v>862</v>
      </c>
      <c r="D91" s="140" t="s">
        <v>863</v>
      </c>
      <c r="E91" s="140" t="s">
        <v>864</v>
      </c>
      <c r="F91" s="140">
        <v>0</v>
      </c>
      <c r="G91" s="140">
        <v>0</v>
      </c>
      <c r="H91" s="140">
        <v>0</v>
      </c>
      <c r="I91" s="140">
        <v>0</v>
      </c>
      <c r="J91" s="140">
        <v>0</v>
      </c>
      <c r="K91" s="140">
        <v>0</v>
      </c>
      <c r="L91" s="140">
        <v>0</v>
      </c>
      <c r="M91" s="140">
        <v>0</v>
      </c>
      <c r="N91" s="140">
        <v>0</v>
      </c>
      <c r="O91" s="140">
        <v>0</v>
      </c>
      <c r="P91" s="140">
        <v>0</v>
      </c>
      <c r="Q91" s="140">
        <v>0</v>
      </c>
    </row>
    <row r="92" spans="1:19" x14ac:dyDescent="0.6">
      <c r="A92" s="143" t="s">
        <v>942</v>
      </c>
      <c r="B92" s="142" t="s">
        <v>1260</v>
      </c>
      <c r="C92" s="140" t="s">
        <v>862</v>
      </c>
      <c r="D92" s="140" t="s">
        <v>863</v>
      </c>
      <c r="E92" s="140" t="s">
        <v>864</v>
      </c>
      <c r="F92" s="140" t="str">
        <f>IFERROR((VLOOKUP(LEFT($A92,4),'Cash Flow $s Yr1'!$B$12:$R$150,3,FALSE)),0)</f>
        <v/>
      </c>
      <c r="G92" s="140" t="str">
        <f>IFERROR((VLOOKUP(LEFT($A92,4),'Cash Flow $s Yr1'!$B$12:$R$150,4,FALSE)),0)</f>
        <v/>
      </c>
      <c r="H92" s="140" t="str">
        <f>IFERROR((VLOOKUP(LEFT($A92,4),'Cash Flow $s Yr1'!$B$12:$R$150,5,FALSE)),0)</f>
        <v/>
      </c>
      <c r="I92" s="140" t="str">
        <f>IFERROR((VLOOKUP(LEFT($A92,4),'Cash Flow $s Yr1'!$B$12:$R$150,6,FALSE)),0)</f>
        <v/>
      </c>
      <c r="J92" s="140" t="str">
        <f>IFERROR((VLOOKUP(LEFT($A92,4),'Cash Flow $s Yr1'!$B$12:$R$150,7,FALSE)),0)</f>
        <v/>
      </c>
      <c r="K92" s="140" t="str">
        <f>IFERROR((VLOOKUP(LEFT($A92,4),'Cash Flow $s Yr1'!$B$12:$R$150,8,FALSE)),0)</f>
        <v/>
      </c>
      <c r="L92" s="140" t="str">
        <f>IFERROR((VLOOKUP(LEFT($A92,4),'Cash Flow $s Yr1'!$B$12:$R$150,9,FALSE)),0)</f>
        <v/>
      </c>
      <c r="M92" s="140" t="str">
        <f>IFERROR((VLOOKUP(LEFT($A92,4),'Cash Flow $s Yr1'!$B$12:$R$150,10,FALSE)),0)</f>
        <v/>
      </c>
      <c r="N92" s="140" t="str">
        <f>IFERROR((VLOOKUP(LEFT($A92,4),'Cash Flow $s Yr1'!$B$12:$R$150,11,FALSE)),0)</f>
        <v/>
      </c>
      <c r="O92" s="140" t="str">
        <f>IFERROR((VLOOKUP(LEFT($A92,4),'Cash Flow $s Yr1'!$B$12:$R$150,12,FALSE)),0)</f>
        <v/>
      </c>
      <c r="P92" s="140" t="str">
        <f>IFERROR((VLOOKUP(LEFT($A92,4),'Cash Flow $s Yr1'!$B$12:$R$150,13,FALSE)),0)</f>
        <v/>
      </c>
      <c r="Q92" s="140" t="str">
        <f>IFERROR((VLOOKUP(LEFT($A92,4),'Cash Flow $s Yr1'!$B$12:$R$150,14,FALSE)),0)</f>
        <v/>
      </c>
    </row>
    <row r="93" spans="1:19" x14ac:dyDescent="0.6">
      <c r="A93" s="143" t="s">
        <v>943</v>
      </c>
      <c r="B93" s="142" t="s">
        <v>1260</v>
      </c>
      <c r="C93" s="140" t="s">
        <v>862</v>
      </c>
      <c r="D93" s="140" t="s">
        <v>863</v>
      </c>
      <c r="E93" s="140" t="s">
        <v>864</v>
      </c>
      <c r="F93" s="140">
        <v>0</v>
      </c>
      <c r="G93" s="140">
        <v>0</v>
      </c>
      <c r="H93" s="140">
        <v>0</v>
      </c>
      <c r="I93" s="140">
        <v>0</v>
      </c>
      <c r="J93" s="140">
        <v>0</v>
      </c>
      <c r="K93" s="140">
        <v>0</v>
      </c>
      <c r="L93" s="140">
        <v>0</v>
      </c>
      <c r="M93" s="140">
        <v>0</v>
      </c>
      <c r="N93" s="140">
        <v>0</v>
      </c>
      <c r="O93" s="140">
        <v>0</v>
      </c>
      <c r="P93" s="140">
        <v>0</v>
      </c>
      <c r="Q93" s="140">
        <v>0</v>
      </c>
    </row>
    <row r="94" spans="1:19" x14ac:dyDescent="0.6">
      <c r="A94" s="143" t="s">
        <v>944</v>
      </c>
      <c r="B94" s="142" t="s">
        <v>1260</v>
      </c>
      <c r="C94" s="140" t="s">
        <v>862</v>
      </c>
      <c r="D94" s="140" t="s">
        <v>863</v>
      </c>
      <c r="E94" s="140" t="s">
        <v>864</v>
      </c>
      <c r="F94" s="140">
        <v>0</v>
      </c>
      <c r="G94" s="140">
        <v>0</v>
      </c>
      <c r="H94" s="140">
        <v>0</v>
      </c>
      <c r="I94" s="140">
        <v>0</v>
      </c>
      <c r="J94" s="140">
        <v>0</v>
      </c>
      <c r="K94" s="140">
        <v>0</v>
      </c>
      <c r="L94" s="140">
        <v>0</v>
      </c>
      <c r="M94" s="140">
        <v>0</v>
      </c>
      <c r="N94" s="140">
        <v>0</v>
      </c>
      <c r="O94" s="140">
        <v>0</v>
      </c>
      <c r="P94" s="140">
        <v>0</v>
      </c>
      <c r="Q94" s="140">
        <v>0</v>
      </c>
    </row>
    <row r="95" spans="1:19" x14ac:dyDescent="0.6">
      <c r="A95" s="143" t="s">
        <v>945</v>
      </c>
      <c r="B95" s="142" t="s">
        <v>1260</v>
      </c>
      <c r="C95" s="140" t="s">
        <v>862</v>
      </c>
      <c r="D95" s="140" t="s">
        <v>863</v>
      </c>
      <c r="E95" s="140" t="s">
        <v>864</v>
      </c>
      <c r="F95" s="140" t="str">
        <f>IFERROR((VLOOKUP(LEFT($A95,4),'Cash Flow $s Yr1'!$B$12:$R$150,3,FALSE)),0)</f>
        <v/>
      </c>
      <c r="G95" s="140" t="str">
        <f>IFERROR((VLOOKUP(LEFT($A95,4),'Cash Flow $s Yr1'!$B$12:$R$150,4,FALSE)),0)</f>
        <v/>
      </c>
      <c r="H95" s="140" t="str">
        <f>IFERROR((VLOOKUP(LEFT($A95,4),'Cash Flow $s Yr1'!$B$12:$R$150,5,FALSE)),0)</f>
        <v/>
      </c>
      <c r="I95" s="140" t="str">
        <f>IFERROR((VLOOKUP(LEFT($A95,4),'Cash Flow $s Yr1'!$B$12:$R$150,6,FALSE)),0)</f>
        <v/>
      </c>
      <c r="J95" s="140" t="str">
        <f>IFERROR((VLOOKUP(LEFT($A95,4),'Cash Flow $s Yr1'!$B$12:$R$150,7,FALSE)),0)</f>
        <v/>
      </c>
      <c r="K95" s="140" t="str">
        <f>IFERROR((VLOOKUP(LEFT($A95,4),'Cash Flow $s Yr1'!$B$12:$R$150,8,FALSE)),0)</f>
        <v/>
      </c>
      <c r="L95" s="140" t="str">
        <f>IFERROR((VLOOKUP(LEFT($A95,4),'Cash Flow $s Yr1'!$B$12:$R$150,9,FALSE)),0)</f>
        <v/>
      </c>
      <c r="M95" s="140" t="str">
        <f>IFERROR((VLOOKUP(LEFT($A95,4),'Cash Flow $s Yr1'!$B$12:$R$150,10,FALSE)),0)</f>
        <v/>
      </c>
      <c r="N95" s="140" t="str">
        <f>IFERROR((VLOOKUP(LEFT($A95,4),'Cash Flow $s Yr1'!$B$12:$R$150,11,FALSE)),0)</f>
        <v/>
      </c>
      <c r="O95" s="140" t="str">
        <f>IFERROR((VLOOKUP(LEFT($A95,4),'Cash Flow $s Yr1'!$B$12:$R$150,12,FALSE)),0)</f>
        <v/>
      </c>
      <c r="P95" s="140" t="str">
        <f>IFERROR((VLOOKUP(LEFT($A95,4),'Cash Flow $s Yr1'!$B$12:$R$150,13,FALSE)),0)</f>
        <v/>
      </c>
      <c r="Q95" s="140" t="str">
        <f>IFERROR((VLOOKUP(LEFT($A95,4),'Cash Flow $s Yr1'!$B$12:$R$150,14,FALSE)),0)</f>
        <v/>
      </c>
    </row>
    <row r="96" spans="1:19" x14ac:dyDescent="0.6">
      <c r="A96" s="143" t="s">
        <v>946</v>
      </c>
      <c r="B96" s="142" t="s">
        <v>1260</v>
      </c>
      <c r="C96" s="140" t="s">
        <v>862</v>
      </c>
      <c r="D96" s="140" t="s">
        <v>863</v>
      </c>
      <c r="E96" s="140" t="s">
        <v>864</v>
      </c>
      <c r="F96" s="140">
        <v>0</v>
      </c>
      <c r="G96" s="140">
        <v>0</v>
      </c>
      <c r="H96" s="140">
        <v>0</v>
      </c>
      <c r="I96" s="140">
        <v>0</v>
      </c>
      <c r="J96" s="140">
        <v>0</v>
      </c>
      <c r="K96" s="140">
        <v>0</v>
      </c>
      <c r="L96" s="140">
        <v>0</v>
      </c>
      <c r="M96" s="140">
        <v>0</v>
      </c>
      <c r="N96" s="140">
        <v>0</v>
      </c>
      <c r="O96" s="140">
        <v>0</v>
      </c>
      <c r="P96" s="140">
        <v>0</v>
      </c>
      <c r="Q96" s="140">
        <v>0</v>
      </c>
      <c r="S96" s="145" t="e">
        <f>SUM('Cash Flow $s Yr1'!D106:R106)/SUM(Fiscal_Sets!F77:Q96)</f>
        <v>#REF!</v>
      </c>
    </row>
    <row r="97" spans="1:17" x14ac:dyDescent="0.6">
      <c r="A97" s="143" t="s">
        <v>947</v>
      </c>
      <c r="B97" s="142" t="s">
        <v>1260</v>
      </c>
      <c r="C97" s="140" t="s">
        <v>862</v>
      </c>
      <c r="D97" s="140" t="s">
        <v>863</v>
      </c>
      <c r="E97" s="140" t="s">
        <v>864</v>
      </c>
      <c r="F97" s="140" t="str">
        <f>IFERROR((VLOOKUP(LEFT($A97,4),'Cash Flow $s Yr1'!$B$12:$R$150,3,FALSE)),0)</f>
        <v/>
      </c>
      <c r="G97" s="140" t="str">
        <f>IFERROR((VLOOKUP(LEFT($A97,4),'Cash Flow $s Yr1'!$B$12:$R$150,4,FALSE)),0)</f>
        <v/>
      </c>
      <c r="H97" s="140" t="str">
        <f>IFERROR((VLOOKUP(LEFT($A97,4),'Cash Flow $s Yr1'!$B$12:$R$150,5,FALSE)),0)</f>
        <v/>
      </c>
      <c r="I97" s="140" t="str">
        <f>IFERROR((VLOOKUP(LEFT($A97,4),'Cash Flow $s Yr1'!$B$12:$R$150,6,FALSE)),0)</f>
        <v/>
      </c>
      <c r="J97" s="140" t="str">
        <f>IFERROR((VLOOKUP(LEFT($A97,4),'Cash Flow $s Yr1'!$B$12:$R$150,7,FALSE)),0)</f>
        <v/>
      </c>
      <c r="K97" s="140" t="str">
        <f>IFERROR((VLOOKUP(LEFT($A97,4),'Cash Flow $s Yr1'!$B$12:$R$150,8,FALSE)),0)</f>
        <v/>
      </c>
      <c r="L97" s="140" t="str">
        <f>IFERROR((VLOOKUP(LEFT($A97,4),'Cash Flow $s Yr1'!$B$12:$R$150,9,FALSE)),0)</f>
        <v/>
      </c>
      <c r="M97" s="140" t="str">
        <f>IFERROR((VLOOKUP(LEFT($A97,4),'Cash Flow $s Yr1'!$B$12:$R$150,10,FALSE)),0)</f>
        <v/>
      </c>
      <c r="N97" s="140" t="str">
        <f>IFERROR((VLOOKUP(LEFT($A97,4),'Cash Flow $s Yr1'!$B$12:$R$150,11,FALSE)),0)</f>
        <v/>
      </c>
      <c r="O97" s="140" t="str">
        <f>IFERROR((VLOOKUP(LEFT($A97,4),'Cash Flow $s Yr1'!$B$12:$R$150,12,FALSE)),0)</f>
        <v/>
      </c>
      <c r="P97" s="140" t="str">
        <f>IFERROR((VLOOKUP(LEFT($A97,4),'Cash Flow $s Yr1'!$B$12:$R$150,13,FALSE)),0)</f>
        <v/>
      </c>
      <c r="Q97" s="140" t="str">
        <f>IFERROR((VLOOKUP(LEFT($A97,4),'Cash Flow $s Yr1'!$B$12:$R$150,14,FALSE)),0)</f>
        <v/>
      </c>
    </row>
    <row r="98" spans="1:17" x14ac:dyDescent="0.6">
      <c r="A98" s="143" t="s">
        <v>948</v>
      </c>
      <c r="B98" s="142" t="s">
        <v>1260</v>
      </c>
      <c r="C98" s="140" t="s">
        <v>862</v>
      </c>
      <c r="D98" s="140" t="s">
        <v>863</v>
      </c>
      <c r="E98" s="140" t="s">
        <v>864</v>
      </c>
      <c r="F98" s="140">
        <v>0</v>
      </c>
      <c r="G98" s="140">
        <v>0</v>
      </c>
      <c r="H98" s="140">
        <v>0</v>
      </c>
      <c r="I98" s="140">
        <v>0</v>
      </c>
      <c r="J98" s="140">
        <v>0</v>
      </c>
      <c r="K98" s="140">
        <v>0</v>
      </c>
      <c r="L98" s="140">
        <v>0</v>
      </c>
      <c r="M98" s="140">
        <v>0</v>
      </c>
      <c r="N98" s="140">
        <v>0</v>
      </c>
      <c r="O98" s="140">
        <v>0</v>
      </c>
      <c r="P98" s="140">
        <v>0</v>
      </c>
      <c r="Q98" s="140">
        <v>0</v>
      </c>
    </row>
    <row r="99" spans="1:17" x14ac:dyDescent="0.6">
      <c r="A99" s="143" t="s">
        <v>949</v>
      </c>
      <c r="B99" s="142" t="s">
        <v>1260</v>
      </c>
      <c r="C99" s="140" t="s">
        <v>862</v>
      </c>
      <c r="D99" s="140" t="s">
        <v>863</v>
      </c>
      <c r="E99" s="140" t="s">
        <v>864</v>
      </c>
      <c r="F99" s="140">
        <v>0</v>
      </c>
      <c r="G99" s="140">
        <v>0</v>
      </c>
      <c r="H99" s="140">
        <v>0</v>
      </c>
      <c r="I99" s="140">
        <v>0</v>
      </c>
      <c r="J99" s="140">
        <v>0</v>
      </c>
      <c r="K99" s="140">
        <v>0</v>
      </c>
      <c r="L99" s="140">
        <v>0</v>
      </c>
      <c r="M99" s="140">
        <v>0</v>
      </c>
      <c r="N99" s="140">
        <v>0</v>
      </c>
      <c r="O99" s="140">
        <v>0</v>
      </c>
      <c r="P99" s="140">
        <v>0</v>
      </c>
      <c r="Q99" s="140">
        <v>0</v>
      </c>
    </row>
    <row r="100" spans="1:17" x14ac:dyDescent="0.6">
      <c r="A100" s="143" t="s">
        <v>950</v>
      </c>
      <c r="B100" s="142" t="s">
        <v>1260</v>
      </c>
      <c r="C100" s="140" t="s">
        <v>862</v>
      </c>
      <c r="D100" s="140" t="s">
        <v>863</v>
      </c>
      <c r="E100" s="140" t="s">
        <v>864</v>
      </c>
      <c r="F100" s="140" t="str">
        <f>IFERROR((VLOOKUP(LEFT($A100,4),'Cash Flow $s Yr1'!$B$12:$R$150,3,FALSE)),0)</f>
        <v/>
      </c>
      <c r="G100" s="140" t="str">
        <f>IFERROR((VLOOKUP(LEFT($A100,4),'Cash Flow $s Yr1'!$B$12:$R$150,4,FALSE)),0)</f>
        <v/>
      </c>
      <c r="H100" s="140" t="str">
        <f>IFERROR((VLOOKUP(LEFT($A100,4),'Cash Flow $s Yr1'!$B$12:$R$150,5,FALSE)),0)</f>
        <v/>
      </c>
      <c r="I100" s="140" t="str">
        <f>IFERROR((VLOOKUP(LEFT($A100,4),'Cash Flow $s Yr1'!$B$12:$R$150,6,FALSE)),0)</f>
        <v/>
      </c>
      <c r="J100" s="140" t="str">
        <f>IFERROR((VLOOKUP(LEFT($A100,4),'Cash Flow $s Yr1'!$B$12:$R$150,7,FALSE)),0)</f>
        <v/>
      </c>
      <c r="K100" s="140" t="str">
        <f>IFERROR((VLOOKUP(LEFT($A100,4),'Cash Flow $s Yr1'!$B$12:$R$150,8,FALSE)),0)</f>
        <v/>
      </c>
      <c r="L100" s="140" t="str">
        <f>IFERROR((VLOOKUP(LEFT($A100,4),'Cash Flow $s Yr1'!$B$12:$R$150,9,FALSE)),0)</f>
        <v/>
      </c>
      <c r="M100" s="140" t="str">
        <f>IFERROR((VLOOKUP(LEFT($A100,4),'Cash Flow $s Yr1'!$B$12:$R$150,10,FALSE)),0)</f>
        <v/>
      </c>
      <c r="N100" s="140" t="str">
        <f>IFERROR((VLOOKUP(LEFT($A100,4),'Cash Flow $s Yr1'!$B$12:$R$150,11,FALSE)),0)</f>
        <v/>
      </c>
      <c r="O100" s="140" t="str">
        <f>IFERROR((VLOOKUP(LEFT($A100,4),'Cash Flow $s Yr1'!$B$12:$R$150,12,FALSE)),0)</f>
        <v/>
      </c>
      <c r="P100" s="140" t="str">
        <f>IFERROR((VLOOKUP(LEFT($A100,4),'Cash Flow $s Yr1'!$B$12:$R$150,13,FALSE)),0)</f>
        <v/>
      </c>
      <c r="Q100" s="140" t="str">
        <f>IFERROR((VLOOKUP(LEFT($A100,4),'Cash Flow $s Yr1'!$B$12:$R$150,14,FALSE)),0)</f>
        <v/>
      </c>
    </row>
    <row r="101" spans="1:17" x14ac:dyDescent="0.6">
      <c r="A101" s="143" t="s">
        <v>951</v>
      </c>
      <c r="B101" s="142" t="s">
        <v>1260</v>
      </c>
      <c r="C101" s="140" t="s">
        <v>862</v>
      </c>
      <c r="D101" s="140" t="s">
        <v>863</v>
      </c>
      <c r="E101" s="140" t="s">
        <v>864</v>
      </c>
      <c r="F101" s="140">
        <v>0</v>
      </c>
      <c r="G101" s="140">
        <v>0</v>
      </c>
      <c r="H101" s="140">
        <v>0</v>
      </c>
      <c r="I101" s="140">
        <v>0</v>
      </c>
      <c r="J101" s="140">
        <v>0</v>
      </c>
      <c r="K101" s="140">
        <v>0</v>
      </c>
      <c r="L101" s="140">
        <v>0</v>
      </c>
      <c r="M101" s="140">
        <v>0</v>
      </c>
      <c r="N101" s="140">
        <v>0</v>
      </c>
      <c r="O101" s="140">
        <v>0</v>
      </c>
      <c r="P101" s="140">
        <v>0</v>
      </c>
      <c r="Q101" s="140">
        <v>0</v>
      </c>
    </row>
    <row r="102" spans="1:17" x14ac:dyDescent="0.6">
      <c r="A102" s="143" t="s">
        <v>952</v>
      </c>
      <c r="B102" s="142" t="s">
        <v>1260</v>
      </c>
      <c r="C102" s="140" t="s">
        <v>862</v>
      </c>
      <c r="D102" s="140" t="s">
        <v>863</v>
      </c>
      <c r="E102" s="140" t="s">
        <v>864</v>
      </c>
      <c r="F102" s="140">
        <v>0</v>
      </c>
      <c r="G102" s="140">
        <v>0</v>
      </c>
      <c r="H102" s="140">
        <v>0</v>
      </c>
      <c r="I102" s="140">
        <v>0</v>
      </c>
      <c r="J102" s="140">
        <v>0</v>
      </c>
      <c r="K102" s="140">
        <v>0</v>
      </c>
      <c r="L102" s="140">
        <v>0</v>
      </c>
      <c r="M102" s="140">
        <v>0</v>
      </c>
      <c r="N102" s="140">
        <v>0</v>
      </c>
      <c r="O102" s="140">
        <v>0</v>
      </c>
      <c r="P102" s="140">
        <v>0</v>
      </c>
      <c r="Q102" s="140">
        <v>0</v>
      </c>
    </row>
    <row r="103" spans="1:17" x14ac:dyDescent="0.6">
      <c r="A103" s="143" t="s">
        <v>953</v>
      </c>
      <c r="B103" s="142" t="s">
        <v>1260</v>
      </c>
      <c r="C103" s="140" t="s">
        <v>862</v>
      </c>
      <c r="D103" s="140" t="s">
        <v>863</v>
      </c>
      <c r="E103" s="140" t="s">
        <v>864</v>
      </c>
      <c r="F103" s="140" t="str">
        <f>IFERROR((VLOOKUP(LEFT($A103,4),'Cash Flow $s Yr1'!$B$12:$R$150,3,FALSE)),0)</f>
        <v/>
      </c>
      <c r="G103" s="140" t="str">
        <f>IFERROR((VLOOKUP(LEFT($A103,4),'Cash Flow $s Yr1'!$B$12:$R$150,4,FALSE)),0)</f>
        <v/>
      </c>
      <c r="H103" s="140" t="str">
        <f>IFERROR((VLOOKUP(LEFT($A103,4),'Cash Flow $s Yr1'!$B$12:$R$150,5,FALSE)),0)</f>
        <v/>
      </c>
      <c r="I103" s="140" t="str">
        <f>IFERROR((VLOOKUP(LEFT($A103,4),'Cash Flow $s Yr1'!$B$12:$R$150,6,FALSE)),0)</f>
        <v/>
      </c>
      <c r="J103" s="140" t="str">
        <f>IFERROR((VLOOKUP(LEFT($A103,4),'Cash Flow $s Yr1'!$B$12:$R$150,7,FALSE)),0)</f>
        <v/>
      </c>
      <c r="K103" s="140" t="str">
        <f>IFERROR((VLOOKUP(LEFT($A103,4),'Cash Flow $s Yr1'!$B$12:$R$150,8,FALSE)),0)</f>
        <v/>
      </c>
      <c r="L103" s="140" t="str">
        <f>IFERROR((VLOOKUP(LEFT($A103,4),'Cash Flow $s Yr1'!$B$12:$R$150,9,FALSE)),0)</f>
        <v/>
      </c>
      <c r="M103" s="140" t="str">
        <f>IFERROR((VLOOKUP(LEFT($A103,4),'Cash Flow $s Yr1'!$B$12:$R$150,10,FALSE)),0)</f>
        <v/>
      </c>
      <c r="N103" s="140" t="str">
        <f>IFERROR((VLOOKUP(LEFT($A103,4),'Cash Flow $s Yr1'!$B$12:$R$150,11,FALSE)),0)</f>
        <v/>
      </c>
      <c r="O103" s="140" t="str">
        <f>IFERROR((VLOOKUP(LEFT($A103,4),'Cash Flow $s Yr1'!$B$12:$R$150,12,FALSE)),0)</f>
        <v/>
      </c>
      <c r="P103" s="140" t="str">
        <f>IFERROR((VLOOKUP(LEFT($A103,4),'Cash Flow $s Yr1'!$B$12:$R$150,13,FALSE)),0)</f>
        <v/>
      </c>
      <c r="Q103" s="140" t="str">
        <f>IFERROR((VLOOKUP(LEFT($A103,4),'Cash Flow $s Yr1'!$B$12:$R$150,14,FALSE)),0)</f>
        <v/>
      </c>
    </row>
    <row r="104" spans="1:17" x14ac:dyDescent="0.6">
      <c r="A104" s="143" t="s">
        <v>954</v>
      </c>
      <c r="B104" s="142" t="s">
        <v>1260</v>
      </c>
      <c r="C104" s="140" t="s">
        <v>862</v>
      </c>
      <c r="D104" s="140" t="s">
        <v>863</v>
      </c>
      <c r="E104" s="140" t="s">
        <v>864</v>
      </c>
      <c r="F104" s="140">
        <v>0</v>
      </c>
      <c r="G104" s="140">
        <v>0</v>
      </c>
      <c r="H104" s="140">
        <v>0</v>
      </c>
      <c r="I104" s="140">
        <v>0</v>
      </c>
      <c r="J104" s="140">
        <v>0</v>
      </c>
      <c r="K104" s="140">
        <v>0</v>
      </c>
      <c r="L104" s="140">
        <v>0</v>
      </c>
      <c r="M104" s="140">
        <v>0</v>
      </c>
      <c r="N104" s="140">
        <v>0</v>
      </c>
      <c r="O104" s="140">
        <v>0</v>
      </c>
      <c r="P104" s="140">
        <v>0</v>
      </c>
      <c r="Q104" s="140">
        <v>0</v>
      </c>
    </row>
    <row r="105" spans="1:17" x14ac:dyDescent="0.6">
      <c r="A105" s="143" t="s">
        <v>955</v>
      </c>
      <c r="B105" s="142" t="s">
        <v>1260</v>
      </c>
      <c r="C105" s="140" t="s">
        <v>862</v>
      </c>
      <c r="D105" s="140" t="s">
        <v>863</v>
      </c>
      <c r="E105" s="140" t="s">
        <v>864</v>
      </c>
      <c r="F105" s="140">
        <v>0</v>
      </c>
      <c r="G105" s="140">
        <v>0</v>
      </c>
      <c r="H105" s="140">
        <v>0</v>
      </c>
      <c r="I105" s="140">
        <v>0</v>
      </c>
      <c r="J105" s="140">
        <v>0</v>
      </c>
      <c r="K105" s="140">
        <v>0</v>
      </c>
      <c r="L105" s="140">
        <v>0</v>
      </c>
      <c r="M105" s="140">
        <v>0</v>
      </c>
      <c r="N105" s="140">
        <v>0</v>
      </c>
      <c r="O105" s="140">
        <v>0</v>
      </c>
      <c r="P105" s="140">
        <v>0</v>
      </c>
      <c r="Q105" s="140">
        <v>0</v>
      </c>
    </row>
    <row r="106" spans="1:17" x14ac:dyDescent="0.6">
      <c r="A106" s="143" t="s">
        <v>956</v>
      </c>
      <c r="B106" s="142" t="s">
        <v>1260</v>
      </c>
      <c r="C106" s="140" t="s">
        <v>862</v>
      </c>
      <c r="D106" s="140" t="s">
        <v>863</v>
      </c>
      <c r="E106" s="140" t="s">
        <v>864</v>
      </c>
      <c r="F106" s="140" t="str">
        <f>IFERROR((VLOOKUP(LEFT($A106,4),'Cash Flow $s Yr1'!$B$12:$R$150,3,FALSE)),0)</f>
        <v/>
      </c>
      <c r="G106" s="140" t="str">
        <f>IFERROR((VLOOKUP(LEFT($A106,4),'Cash Flow $s Yr1'!$B$12:$R$150,4,FALSE)),0)</f>
        <v/>
      </c>
      <c r="H106" s="140" t="str">
        <f>IFERROR((VLOOKUP(LEFT($A106,4),'Cash Flow $s Yr1'!$B$12:$R$150,5,FALSE)),0)</f>
        <v/>
      </c>
      <c r="I106" s="140" t="str">
        <f>IFERROR((VLOOKUP(LEFT($A106,4),'Cash Flow $s Yr1'!$B$12:$R$150,6,FALSE)),0)</f>
        <v/>
      </c>
      <c r="J106" s="140" t="str">
        <f>IFERROR((VLOOKUP(LEFT($A106,4),'Cash Flow $s Yr1'!$B$12:$R$150,7,FALSE)),0)</f>
        <v/>
      </c>
      <c r="K106" s="140" t="str">
        <f>IFERROR((VLOOKUP(LEFT($A106,4),'Cash Flow $s Yr1'!$B$12:$R$150,8,FALSE)),0)</f>
        <v/>
      </c>
      <c r="L106" s="140" t="str">
        <f>IFERROR((VLOOKUP(LEFT($A106,4),'Cash Flow $s Yr1'!$B$12:$R$150,9,FALSE)),0)</f>
        <v/>
      </c>
      <c r="M106" s="140" t="str">
        <f>IFERROR((VLOOKUP(LEFT($A106,4),'Cash Flow $s Yr1'!$B$12:$R$150,10,FALSE)),0)</f>
        <v/>
      </c>
      <c r="N106" s="140" t="str">
        <f>IFERROR((VLOOKUP(LEFT($A106,4),'Cash Flow $s Yr1'!$B$12:$R$150,11,FALSE)),0)</f>
        <v/>
      </c>
      <c r="O106" s="140" t="str">
        <f>IFERROR((VLOOKUP(LEFT($A106,4),'Cash Flow $s Yr1'!$B$12:$R$150,12,FALSE)),0)</f>
        <v/>
      </c>
      <c r="P106" s="140" t="str">
        <f>IFERROR((VLOOKUP(LEFT($A106,4),'Cash Flow $s Yr1'!$B$12:$R$150,13,FALSE)),0)</f>
        <v/>
      </c>
      <c r="Q106" s="140" t="str">
        <f>IFERROR((VLOOKUP(LEFT($A106,4),'Cash Flow $s Yr1'!$B$12:$R$150,14,FALSE)),0)</f>
        <v/>
      </c>
    </row>
    <row r="107" spans="1:17" x14ac:dyDescent="0.6">
      <c r="A107" s="143" t="s">
        <v>957</v>
      </c>
      <c r="B107" s="142" t="s">
        <v>1260</v>
      </c>
      <c r="C107" s="140" t="s">
        <v>862</v>
      </c>
      <c r="D107" s="140" t="s">
        <v>863</v>
      </c>
      <c r="E107" s="140" t="s">
        <v>864</v>
      </c>
      <c r="F107" s="140">
        <v>0</v>
      </c>
      <c r="G107" s="140">
        <v>0</v>
      </c>
      <c r="H107" s="140">
        <v>0</v>
      </c>
      <c r="I107" s="140">
        <v>0</v>
      </c>
      <c r="J107" s="140">
        <v>0</v>
      </c>
      <c r="K107" s="140">
        <v>0</v>
      </c>
      <c r="L107" s="140">
        <v>0</v>
      </c>
      <c r="M107" s="140">
        <v>0</v>
      </c>
      <c r="N107" s="140">
        <v>0</v>
      </c>
      <c r="O107" s="140">
        <v>0</v>
      </c>
      <c r="P107" s="140">
        <v>0</v>
      </c>
      <c r="Q107" s="140">
        <v>0</v>
      </c>
    </row>
    <row r="108" spans="1:17" x14ac:dyDescent="0.6">
      <c r="A108" s="143" t="s">
        <v>958</v>
      </c>
      <c r="B108" s="142" t="s">
        <v>1260</v>
      </c>
      <c r="C108" s="140" t="s">
        <v>862</v>
      </c>
      <c r="D108" s="140" t="s">
        <v>863</v>
      </c>
      <c r="E108" s="140" t="s">
        <v>864</v>
      </c>
      <c r="F108" s="140">
        <v>0</v>
      </c>
      <c r="G108" s="140">
        <v>0</v>
      </c>
      <c r="H108" s="140">
        <v>0</v>
      </c>
      <c r="I108" s="140">
        <v>0</v>
      </c>
      <c r="J108" s="140">
        <v>0</v>
      </c>
      <c r="K108" s="140">
        <v>0</v>
      </c>
      <c r="L108" s="140">
        <v>0</v>
      </c>
      <c r="M108" s="140">
        <v>0</v>
      </c>
      <c r="N108" s="140">
        <v>0</v>
      </c>
      <c r="O108" s="140">
        <v>0</v>
      </c>
      <c r="P108" s="140">
        <v>0</v>
      </c>
      <c r="Q108" s="140">
        <v>0</v>
      </c>
    </row>
    <row r="109" spans="1:17" x14ac:dyDescent="0.6">
      <c r="A109" s="143" t="s">
        <v>959</v>
      </c>
      <c r="B109" s="142" t="s">
        <v>1260</v>
      </c>
      <c r="C109" s="140" t="s">
        <v>862</v>
      </c>
      <c r="D109" s="140" t="s">
        <v>863</v>
      </c>
      <c r="E109" s="140" t="s">
        <v>864</v>
      </c>
      <c r="F109" s="140" t="str">
        <f>IFERROR((VLOOKUP(LEFT($A109,4),'Cash Flow $s Yr1'!$B$12:$R$150,3,FALSE)),0)</f>
        <v/>
      </c>
      <c r="G109" s="140" t="str">
        <f>IFERROR((VLOOKUP(LEFT($A109,4),'Cash Flow $s Yr1'!$B$12:$R$150,4,FALSE)),0)</f>
        <v/>
      </c>
      <c r="H109" s="140" t="str">
        <f>IFERROR((VLOOKUP(LEFT($A109,4),'Cash Flow $s Yr1'!$B$12:$R$150,5,FALSE)),0)</f>
        <v/>
      </c>
      <c r="I109" s="140" t="str">
        <f>IFERROR((VLOOKUP(LEFT($A109,4),'Cash Flow $s Yr1'!$B$12:$R$150,6,FALSE)),0)</f>
        <v/>
      </c>
      <c r="J109" s="140" t="str">
        <f>IFERROR((VLOOKUP(LEFT($A109,4),'Cash Flow $s Yr1'!$B$12:$R$150,7,FALSE)),0)</f>
        <v/>
      </c>
      <c r="K109" s="140" t="str">
        <f>IFERROR((VLOOKUP(LEFT($A109,4),'Cash Flow $s Yr1'!$B$12:$R$150,8,FALSE)),0)</f>
        <v/>
      </c>
      <c r="L109" s="140" t="str">
        <f>IFERROR((VLOOKUP(LEFT($A109,4),'Cash Flow $s Yr1'!$B$12:$R$150,9,FALSE)),0)</f>
        <v/>
      </c>
      <c r="M109" s="140" t="str">
        <f>IFERROR((VLOOKUP(LEFT($A109,4),'Cash Flow $s Yr1'!$B$12:$R$150,10,FALSE)),0)</f>
        <v/>
      </c>
      <c r="N109" s="140" t="str">
        <f>IFERROR((VLOOKUP(LEFT($A109,4),'Cash Flow $s Yr1'!$B$12:$R$150,11,FALSE)),0)</f>
        <v/>
      </c>
      <c r="O109" s="140" t="str">
        <f>IFERROR((VLOOKUP(LEFT($A109,4),'Cash Flow $s Yr1'!$B$12:$R$150,12,FALSE)),0)</f>
        <v/>
      </c>
      <c r="P109" s="140" t="str">
        <f>IFERROR((VLOOKUP(LEFT($A109,4),'Cash Flow $s Yr1'!$B$12:$R$150,13,FALSE)),0)</f>
        <v/>
      </c>
      <c r="Q109" s="140" t="str">
        <f>IFERROR((VLOOKUP(LEFT($A109,4),'Cash Flow $s Yr1'!$B$12:$R$150,14,FALSE)),0)</f>
        <v/>
      </c>
    </row>
    <row r="110" spans="1:17" x14ac:dyDescent="0.6">
      <c r="A110" s="143" t="s">
        <v>960</v>
      </c>
      <c r="B110" s="142" t="s">
        <v>1260</v>
      </c>
      <c r="C110" s="140" t="s">
        <v>862</v>
      </c>
      <c r="D110" s="140" t="s">
        <v>863</v>
      </c>
      <c r="E110" s="140" t="s">
        <v>864</v>
      </c>
      <c r="F110" s="140">
        <v>0</v>
      </c>
      <c r="G110" s="140">
        <v>0</v>
      </c>
      <c r="H110" s="140">
        <v>0</v>
      </c>
      <c r="I110" s="140">
        <v>0</v>
      </c>
      <c r="J110" s="140">
        <v>0</v>
      </c>
      <c r="K110" s="140">
        <v>0</v>
      </c>
      <c r="L110" s="140">
        <v>0</v>
      </c>
      <c r="M110" s="140">
        <v>0</v>
      </c>
      <c r="N110" s="140">
        <v>0</v>
      </c>
      <c r="O110" s="140">
        <v>0</v>
      </c>
      <c r="P110" s="140">
        <v>0</v>
      </c>
      <c r="Q110" s="140">
        <v>0</v>
      </c>
    </row>
    <row r="111" spans="1:17" x14ac:dyDescent="0.6">
      <c r="A111" s="143" t="s">
        <v>961</v>
      </c>
      <c r="B111" s="142" t="s">
        <v>1260</v>
      </c>
      <c r="C111" s="140" t="s">
        <v>862</v>
      </c>
      <c r="D111" s="140" t="s">
        <v>863</v>
      </c>
      <c r="E111" s="140" t="s">
        <v>864</v>
      </c>
      <c r="F111" s="140">
        <v>0</v>
      </c>
      <c r="G111" s="140">
        <v>0</v>
      </c>
      <c r="H111" s="140">
        <v>0</v>
      </c>
      <c r="I111" s="140">
        <v>0</v>
      </c>
      <c r="J111" s="140">
        <v>0</v>
      </c>
      <c r="K111" s="140">
        <v>0</v>
      </c>
      <c r="L111" s="140">
        <v>0</v>
      </c>
      <c r="M111" s="140">
        <v>0</v>
      </c>
      <c r="N111" s="140">
        <v>0</v>
      </c>
      <c r="O111" s="140">
        <v>0</v>
      </c>
      <c r="P111" s="140">
        <v>0</v>
      </c>
      <c r="Q111" s="140">
        <v>0</v>
      </c>
    </row>
    <row r="112" spans="1:17" x14ac:dyDescent="0.6">
      <c r="A112" s="143" t="s">
        <v>962</v>
      </c>
      <c r="B112" s="142" t="s">
        <v>1260</v>
      </c>
      <c r="C112" s="140" t="s">
        <v>862</v>
      </c>
      <c r="D112" s="140" t="s">
        <v>863</v>
      </c>
      <c r="E112" s="140" t="s">
        <v>864</v>
      </c>
      <c r="F112" s="140" t="str">
        <f>IFERROR((VLOOKUP(LEFT($A112,4),'Cash Flow $s Yr1'!$B$12:$R$150,3,FALSE)),0)</f>
        <v/>
      </c>
      <c r="G112" s="140" t="str">
        <f>IFERROR((VLOOKUP(LEFT($A112,4),'Cash Flow $s Yr1'!$B$12:$R$150,4,FALSE)),0)</f>
        <v/>
      </c>
      <c r="H112" s="140" t="str">
        <f>IFERROR((VLOOKUP(LEFT($A112,4),'Cash Flow $s Yr1'!$B$12:$R$150,5,FALSE)),0)</f>
        <v/>
      </c>
      <c r="I112" s="140" t="str">
        <f>IFERROR((VLOOKUP(LEFT($A112,4),'Cash Flow $s Yr1'!$B$12:$R$150,6,FALSE)),0)</f>
        <v/>
      </c>
      <c r="J112" s="140" t="str">
        <f>IFERROR((VLOOKUP(LEFT($A112,4),'Cash Flow $s Yr1'!$B$12:$R$150,7,FALSE)),0)</f>
        <v/>
      </c>
      <c r="K112" s="140" t="str">
        <f>IFERROR((VLOOKUP(LEFT($A112,4),'Cash Flow $s Yr1'!$B$12:$R$150,8,FALSE)),0)</f>
        <v/>
      </c>
      <c r="L112" s="140" t="str">
        <f>IFERROR((VLOOKUP(LEFT($A112,4),'Cash Flow $s Yr1'!$B$12:$R$150,9,FALSE)),0)</f>
        <v/>
      </c>
      <c r="M112" s="140" t="str">
        <f>IFERROR((VLOOKUP(LEFT($A112,4),'Cash Flow $s Yr1'!$B$12:$R$150,10,FALSE)),0)</f>
        <v/>
      </c>
      <c r="N112" s="140" t="str">
        <f>IFERROR((VLOOKUP(LEFT($A112,4),'Cash Flow $s Yr1'!$B$12:$R$150,11,FALSE)),0)</f>
        <v/>
      </c>
      <c r="O112" s="140" t="str">
        <f>IFERROR((VLOOKUP(LEFT($A112,4),'Cash Flow $s Yr1'!$B$12:$R$150,12,FALSE)),0)</f>
        <v/>
      </c>
      <c r="P112" s="140" t="str">
        <f>IFERROR((VLOOKUP(LEFT($A112,4),'Cash Flow $s Yr1'!$B$12:$R$150,13,FALSE)),0)</f>
        <v/>
      </c>
      <c r="Q112" s="140" t="str">
        <f>IFERROR((VLOOKUP(LEFT($A112,4),'Cash Flow $s Yr1'!$B$12:$R$150,14,FALSE)),0)</f>
        <v/>
      </c>
    </row>
    <row r="113" spans="1:17" x14ac:dyDescent="0.6">
      <c r="A113" s="143" t="s">
        <v>963</v>
      </c>
      <c r="B113" s="142" t="s">
        <v>1260</v>
      </c>
      <c r="C113" s="140" t="s">
        <v>862</v>
      </c>
      <c r="D113" s="140" t="s">
        <v>863</v>
      </c>
      <c r="E113" s="140" t="s">
        <v>864</v>
      </c>
      <c r="F113" s="140">
        <v>0</v>
      </c>
      <c r="G113" s="140">
        <v>0</v>
      </c>
      <c r="H113" s="140">
        <v>0</v>
      </c>
      <c r="I113" s="140">
        <v>0</v>
      </c>
      <c r="J113" s="140">
        <v>0</v>
      </c>
      <c r="K113" s="140">
        <v>0</v>
      </c>
      <c r="L113" s="140">
        <v>0</v>
      </c>
      <c r="M113" s="140">
        <v>0</v>
      </c>
      <c r="N113" s="140">
        <v>0</v>
      </c>
      <c r="O113" s="140">
        <v>0</v>
      </c>
      <c r="P113" s="140">
        <v>0</v>
      </c>
      <c r="Q113" s="140">
        <v>0</v>
      </c>
    </row>
    <row r="114" spans="1:17" x14ac:dyDescent="0.6">
      <c r="A114" s="143" t="s">
        <v>964</v>
      </c>
      <c r="B114" s="142" t="s">
        <v>1260</v>
      </c>
      <c r="C114" s="140" t="s">
        <v>862</v>
      </c>
      <c r="D114" s="140" t="s">
        <v>863</v>
      </c>
      <c r="E114" s="140" t="s">
        <v>864</v>
      </c>
      <c r="F114" s="140">
        <v>0</v>
      </c>
      <c r="G114" s="140">
        <v>0</v>
      </c>
      <c r="H114" s="140">
        <v>0</v>
      </c>
      <c r="I114" s="140">
        <v>0</v>
      </c>
      <c r="J114" s="140">
        <v>0</v>
      </c>
      <c r="K114" s="140">
        <v>0</v>
      </c>
      <c r="L114" s="140">
        <v>0</v>
      </c>
      <c r="M114" s="140">
        <v>0</v>
      </c>
      <c r="N114" s="140">
        <v>0</v>
      </c>
      <c r="O114" s="140">
        <v>0</v>
      </c>
      <c r="P114" s="140">
        <v>0</v>
      </c>
      <c r="Q114" s="140">
        <v>0</v>
      </c>
    </row>
    <row r="115" spans="1:17" x14ac:dyDescent="0.6">
      <c r="A115" s="143" t="s">
        <v>965</v>
      </c>
      <c r="B115" s="142" t="s">
        <v>1260</v>
      </c>
      <c r="C115" s="140" t="s">
        <v>862</v>
      </c>
      <c r="D115" s="140" t="s">
        <v>863</v>
      </c>
      <c r="E115" s="140" t="s">
        <v>864</v>
      </c>
      <c r="F115" s="140" t="str">
        <f>IFERROR((VLOOKUP(LEFT($A115,4),'Cash Flow $s Yr1'!$B$12:$R$150,3,FALSE)),0)</f>
        <v/>
      </c>
      <c r="G115" s="140" t="str">
        <f>IFERROR((VLOOKUP(LEFT($A115,4),'Cash Flow $s Yr1'!$B$12:$R$150,4,FALSE)),0)</f>
        <v/>
      </c>
      <c r="H115" s="140" t="str">
        <f>IFERROR((VLOOKUP(LEFT($A115,4),'Cash Flow $s Yr1'!$B$12:$R$150,5,FALSE)),0)</f>
        <v/>
      </c>
      <c r="I115" s="140" t="str">
        <f>IFERROR((VLOOKUP(LEFT($A115,4),'Cash Flow $s Yr1'!$B$12:$R$150,6,FALSE)),0)</f>
        <v/>
      </c>
      <c r="J115" s="140" t="str">
        <f>IFERROR((VLOOKUP(LEFT($A115,4),'Cash Flow $s Yr1'!$B$12:$R$150,7,FALSE)),0)</f>
        <v/>
      </c>
      <c r="K115" s="140" t="str">
        <f>IFERROR((VLOOKUP(LEFT($A115,4),'Cash Flow $s Yr1'!$B$12:$R$150,8,FALSE)),0)</f>
        <v/>
      </c>
      <c r="L115" s="140" t="str">
        <f>IFERROR((VLOOKUP(LEFT($A115,4),'Cash Flow $s Yr1'!$B$12:$R$150,9,FALSE)),0)</f>
        <v/>
      </c>
      <c r="M115" s="140" t="str">
        <f>IFERROR((VLOOKUP(LEFT($A115,4),'Cash Flow $s Yr1'!$B$12:$R$150,10,FALSE)),0)</f>
        <v/>
      </c>
      <c r="N115" s="140" t="str">
        <f>IFERROR((VLOOKUP(LEFT($A115,4),'Cash Flow $s Yr1'!$B$12:$R$150,11,FALSE)),0)</f>
        <v/>
      </c>
      <c r="O115" s="140" t="str">
        <f>IFERROR((VLOOKUP(LEFT($A115,4),'Cash Flow $s Yr1'!$B$12:$R$150,12,FALSE)),0)</f>
        <v/>
      </c>
      <c r="P115" s="140" t="str">
        <f>IFERROR((VLOOKUP(LEFT($A115,4),'Cash Flow $s Yr1'!$B$12:$R$150,13,FALSE)),0)</f>
        <v/>
      </c>
      <c r="Q115" s="140" t="str">
        <f>IFERROR((VLOOKUP(LEFT($A115,4),'Cash Flow $s Yr1'!$B$12:$R$150,14,FALSE)),0)</f>
        <v/>
      </c>
    </row>
    <row r="116" spans="1:17" x14ac:dyDescent="0.6">
      <c r="A116" s="143" t="s">
        <v>966</v>
      </c>
      <c r="B116" s="142" t="s">
        <v>1260</v>
      </c>
      <c r="C116" s="140" t="s">
        <v>862</v>
      </c>
      <c r="D116" s="140" t="s">
        <v>863</v>
      </c>
      <c r="E116" s="140" t="s">
        <v>864</v>
      </c>
      <c r="F116" s="140">
        <v>0</v>
      </c>
      <c r="G116" s="140">
        <v>0</v>
      </c>
      <c r="H116" s="140">
        <v>0</v>
      </c>
      <c r="I116" s="140">
        <v>0</v>
      </c>
      <c r="J116" s="140">
        <v>0</v>
      </c>
      <c r="K116" s="140">
        <v>0</v>
      </c>
      <c r="L116" s="140">
        <v>0</v>
      </c>
      <c r="M116" s="140">
        <v>0</v>
      </c>
      <c r="N116" s="140">
        <v>0</v>
      </c>
      <c r="O116" s="140">
        <v>0</v>
      </c>
      <c r="P116" s="140">
        <v>0</v>
      </c>
      <c r="Q116" s="140">
        <v>0</v>
      </c>
    </row>
    <row r="117" spans="1:17" x14ac:dyDescent="0.6">
      <c r="A117" s="143" t="s">
        <v>967</v>
      </c>
      <c r="B117" s="142" t="s">
        <v>1260</v>
      </c>
      <c r="C117" s="140" t="s">
        <v>862</v>
      </c>
      <c r="D117" s="140" t="s">
        <v>863</v>
      </c>
      <c r="E117" s="140" t="s">
        <v>864</v>
      </c>
      <c r="F117" s="140">
        <v>0</v>
      </c>
      <c r="G117" s="140">
        <v>0</v>
      </c>
      <c r="H117" s="140">
        <v>0</v>
      </c>
      <c r="I117" s="140">
        <v>0</v>
      </c>
      <c r="J117" s="140">
        <v>0</v>
      </c>
      <c r="K117" s="140">
        <v>0</v>
      </c>
      <c r="L117" s="140">
        <v>0</v>
      </c>
      <c r="M117" s="140">
        <v>0</v>
      </c>
      <c r="N117" s="140">
        <v>0</v>
      </c>
      <c r="O117" s="140">
        <v>0</v>
      </c>
      <c r="P117" s="140">
        <v>0</v>
      </c>
      <c r="Q117" s="140">
        <v>0</v>
      </c>
    </row>
    <row r="118" spans="1:17" x14ac:dyDescent="0.6">
      <c r="A118" s="143" t="s">
        <v>968</v>
      </c>
      <c r="B118" s="142" t="s">
        <v>1260</v>
      </c>
      <c r="C118" s="140" t="s">
        <v>862</v>
      </c>
      <c r="D118" s="140" t="s">
        <v>863</v>
      </c>
      <c r="E118" s="140" t="s">
        <v>864</v>
      </c>
      <c r="F118" s="140" t="str">
        <f>IFERROR((VLOOKUP(LEFT($A118,4),'Cash Flow $s Yr1'!$B$12:$R$150,3,FALSE)),0)</f>
        <v/>
      </c>
      <c r="G118" s="140" t="str">
        <f>IFERROR((VLOOKUP(LEFT($A118,4),'Cash Flow $s Yr1'!$B$12:$R$150,4,FALSE)),0)</f>
        <v/>
      </c>
      <c r="H118" s="140" t="str">
        <f>IFERROR((VLOOKUP(LEFT($A118,4),'Cash Flow $s Yr1'!$B$12:$R$150,5,FALSE)),0)</f>
        <v/>
      </c>
      <c r="I118" s="140" t="str">
        <f>IFERROR((VLOOKUP(LEFT($A118,4),'Cash Flow $s Yr1'!$B$12:$R$150,6,FALSE)),0)</f>
        <v/>
      </c>
      <c r="J118" s="140" t="str">
        <f>IFERROR((VLOOKUP(LEFT($A118,4),'Cash Flow $s Yr1'!$B$12:$R$150,7,FALSE)),0)</f>
        <v/>
      </c>
      <c r="K118" s="140" t="str">
        <f>IFERROR((VLOOKUP(LEFT($A118,4),'Cash Flow $s Yr1'!$B$12:$R$150,8,FALSE)),0)</f>
        <v/>
      </c>
      <c r="L118" s="140" t="str">
        <f>IFERROR((VLOOKUP(LEFT($A118,4),'Cash Flow $s Yr1'!$B$12:$R$150,9,FALSE)),0)</f>
        <v/>
      </c>
      <c r="M118" s="140" t="str">
        <f>IFERROR((VLOOKUP(LEFT($A118,4),'Cash Flow $s Yr1'!$B$12:$R$150,10,FALSE)),0)</f>
        <v/>
      </c>
      <c r="N118" s="140" t="str">
        <f>IFERROR((VLOOKUP(LEFT($A118,4),'Cash Flow $s Yr1'!$B$12:$R$150,11,FALSE)),0)</f>
        <v/>
      </c>
      <c r="O118" s="140" t="str">
        <f>IFERROR((VLOOKUP(LEFT($A118,4),'Cash Flow $s Yr1'!$B$12:$R$150,12,FALSE)),0)</f>
        <v/>
      </c>
      <c r="P118" s="140" t="str">
        <f>IFERROR((VLOOKUP(LEFT($A118,4),'Cash Flow $s Yr1'!$B$12:$R$150,13,FALSE)),0)</f>
        <v/>
      </c>
      <c r="Q118" s="140" t="str">
        <f>IFERROR((VLOOKUP(LEFT($A118,4),'Cash Flow $s Yr1'!$B$12:$R$150,14,FALSE)),0)</f>
        <v/>
      </c>
    </row>
    <row r="119" spans="1:17" x14ac:dyDescent="0.6">
      <c r="A119" s="143" t="s">
        <v>969</v>
      </c>
      <c r="B119" s="142" t="s">
        <v>1260</v>
      </c>
      <c r="C119" s="140" t="s">
        <v>862</v>
      </c>
      <c r="D119" s="140" t="s">
        <v>863</v>
      </c>
      <c r="E119" s="140" t="s">
        <v>864</v>
      </c>
      <c r="F119" s="140">
        <v>0</v>
      </c>
      <c r="G119" s="140">
        <v>0</v>
      </c>
      <c r="H119" s="140">
        <v>0</v>
      </c>
      <c r="I119" s="140">
        <v>0</v>
      </c>
      <c r="J119" s="140">
        <v>0</v>
      </c>
      <c r="K119" s="140">
        <v>0</v>
      </c>
      <c r="L119" s="140">
        <v>0</v>
      </c>
      <c r="M119" s="140">
        <v>0</v>
      </c>
      <c r="N119" s="140">
        <v>0</v>
      </c>
      <c r="O119" s="140">
        <v>0</v>
      </c>
      <c r="P119" s="140">
        <v>0</v>
      </c>
      <c r="Q119" s="140">
        <v>0</v>
      </c>
    </row>
    <row r="120" spans="1:17" x14ac:dyDescent="0.6">
      <c r="A120" s="143" t="s">
        <v>970</v>
      </c>
      <c r="B120" s="142" t="s">
        <v>1260</v>
      </c>
      <c r="C120" s="140" t="s">
        <v>862</v>
      </c>
      <c r="D120" s="140" t="s">
        <v>863</v>
      </c>
      <c r="E120" s="140" t="s">
        <v>864</v>
      </c>
      <c r="F120" s="140">
        <v>0</v>
      </c>
      <c r="G120" s="140">
        <v>0</v>
      </c>
      <c r="H120" s="140">
        <v>0</v>
      </c>
      <c r="I120" s="140">
        <v>0</v>
      </c>
      <c r="J120" s="140">
        <v>0</v>
      </c>
      <c r="K120" s="140">
        <v>0</v>
      </c>
      <c r="L120" s="140">
        <v>0</v>
      </c>
      <c r="M120" s="140">
        <v>0</v>
      </c>
      <c r="N120" s="140">
        <v>0</v>
      </c>
      <c r="O120" s="140">
        <v>0</v>
      </c>
      <c r="P120" s="140">
        <v>0</v>
      </c>
      <c r="Q120" s="140">
        <v>0</v>
      </c>
    </row>
    <row r="121" spans="1:17" x14ac:dyDescent="0.6">
      <c r="A121" s="143" t="s">
        <v>971</v>
      </c>
      <c r="B121" s="142" t="s">
        <v>1260</v>
      </c>
      <c r="C121" s="140" t="s">
        <v>862</v>
      </c>
      <c r="D121" s="140" t="s">
        <v>863</v>
      </c>
      <c r="E121" s="140" t="s">
        <v>864</v>
      </c>
      <c r="F121" s="140" t="str">
        <f>IFERROR((VLOOKUP(LEFT($A121,4),'Cash Flow $s Yr1'!$B$12:$R$150,3,FALSE)),0)</f>
        <v/>
      </c>
      <c r="G121" s="140" t="str">
        <f>IFERROR((VLOOKUP(LEFT($A121,4),'Cash Flow $s Yr1'!$B$12:$R$150,4,FALSE)),0)</f>
        <v/>
      </c>
      <c r="H121" s="140" t="str">
        <f>IFERROR((VLOOKUP(LEFT($A121,4),'Cash Flow $s Yr1'!$B$12:$R$150,5,FALSE)),0)</f>
        <v/>
      </c>
      <c r="I121" s="140" t="str">
        <f>IFERROR((VLOOKUP(LEFT($A121,4),'Cash Flow $s Yr1'!$B$12:$R$150,6,FALSE)),0)</f>
        <v/>
      </c>
      <c r="J121" s="140" t="str">
        <f>IFERROR((VLOOKUP(LEFT($A121,4),'Cash Flow $s Yr1'!$B$12:$R$150,7,FALSE)),0)</f>
        <v/>
      </c>
      <c r="K121" s="140" t="str">
        <f>IFERROR((VLOOKUP(LEFT($A121,4),'Cash Flow $s Yr1'!$B$12:$R$150,8,FALSE)),0)</f>
        <v/>
      </c>
      <c r="L121" s="140" t="str">
        <f>IFERROR((VLOOKUP(LEFT($A121,4),'Cash Flow $s Yr1'!$B$12:$R$150,9,FALSE)),0)</f>
        <v/>
      </c>
      <c r="M121" s="140" t="str">
        <f>IFERROR((VLOOKUP(LEFT($A121,4),'Cash Flow $s Yr1'!$B$12:$R$150,10,FALSE)),0)</f>
        <v/>
      </c>
      <c r="N121" s="140" t="str">
        <f>IFERROR((VLOOKUP(LEFT($A121,4),'Cash Flow $s Yr1'!$B$12:$R$150,11,FALSE)),0)</f>
        <v/>
      </c>
      <c r="O121" s="140" t="str">
        <f>IFERROR((VLOOKUP(LEFT($A121,4),'Cash Flow $s Yr1'!$B$12:$R$150,12,FALSE)),0)</f>
        <v/>
      </c>
      <c r="P121" s="140" t="str">
        <f>IFERROR((VLOOKUP(LEFT($A121,4),'Cash Flow $s Yr1'!$B$12:$R$150,13,FALSE)),0)</f>
        <v/>
      </c>
      <c r="Q121" s="140" t="str">
        <f>IFERROR((VLOOKUP(LEFT($A121,4),'Cash Flow $s Yr1'!$B$12:$R$150,14,FALSE)),0)</f>
        <v/>
      </c>
    </row>
    <row r="122" spans="1:17" x14ac:dyDescent="0.6">
      <c r="A122" s="143" t="s">
        <v>972</v>
      </c>
      <c r="B122" s="142" t="s">
        <v>1260</v>
      </c>
      <c r="C122" s="140" t="s">
        <v>862</v>
      </c>
      <c r="D122" s="140" t="s">
        <v>863</v>
      </c>
      <c r="E122" s="140" t="s">
        <v>864</v>
      </c>
      <c r="F122" s="140">
        <v>0</v>
      </c>
      <c r="G122" s="140">
        <v>0</v>
      </c>
      <c r="H122" s="140">
        <v>0</v>
      </c>
      <c r="I122" s="140">
        <v>0</v>
      </c>
      <c r="J122" s="140">
        <v>0</v>
      </c>
      <c r="K122" s="140">
        <v>0</v>
      </c>
      <c r="L122" s="140">
        <v>0</v>
      </c>
      <c r="M122" s="140">
        <v>0</v>
      </c>
      <c r="N122" s="140">
        <v>0</v>
      </c>
      <c r="O122" s="140">
        <v>0</v>
      </c>
      <c r="P122" s="140">
        <v>0</v>
      </c>
      <c r="Q122" s="140">
        <v>0</v>
      </c>
    </row>
    <row r="123" spans="1:17" x14ac:dyDescent="0.6">
      <c r="A123" s="143" t="s">
        <v>973</v>
      </c>
      <c r="B123" s="142" t="s">
        <v>1260</v>
      </c>
      <c r="C123" s="140" t="s">
        <v>862</v>
      </c>
      <c r="D123" s="140" t="s">
        <v>863</v>
      </c>
      <c r="E123" s="140" t="s">
        <v>864</v>
      </c>
      <c r="F123" s="140">
        <v>0</v>
      </c>
      <c r="G123" s="140">
        <v>0</v>
      </c>
      <c r="H123" s="140">
        <v>0</v>
      </c>
      <c r="I123" s="140">
        <v>0</v>
      </c>
      <c r="J123" s="140">
        <v>0</v>
      </c>
      <c r="K123" s="140">
        <v>0</v>
      </c>
      <c r="L123" s="140">
        <v>0</v>
      </c>
      <c r="M123" s="140">
        <v>0</v>
      </c>
      <c r="N123" s="140">
        <v>0</v>
      </c>
      <c r="O123" s="140">
        <v>0</v>
      </c>
      <c r="P123" s="140">
        <v>0</v>
      </c>
      <c r="Q123" s="140">
        <v>0</v>
      </c>
    </row>
    <row r="124" spans="1:17" x14ac:dyDescent="0.6">
      <c r="A124" s="143" t="s">
        <v>974</v>
      </c>
      <c r="B124" s="142" t="s">
        <v>1260</v>
      </c>
      <c r="C124" s="140" t="s">
        <v>862</v>
      </c>
      <c r="D124" s="140" t="s">
        <v>863</v>
      </c>
      <c r="E124" s="140" t="s">
        <v>864</v>
      </c>
      <c r="F124" s="140">
        <f>IFERROR((VLOOKUP(LEFT($A124,4),'Cash Flow $s Yr1'!$B$12:$R$150,3,FALSE)),0)</f>
        <v>0</v>
      </c>
      <c r="G124" s="140">
        <f>IFERROR((VLOOKUP(LEFT($A124,4),'Cash Flow $s Yr1'!$B$12:$R$150,4,FALSE)),0)</f>
        <v>0</v>
      </c>
      <c r="H124" s="140">
        <f>IFERROR((VLOOKUP(LEFT($A124,4),'Cash Flow $s Yr1'!$B$12:$R$150,5,FALSE)),0)</f>
        <v>0</v>
      </c>
      <c r="I124" s="140">
        <f>IFERROR((VLOOKUP(LEFT($A124,4),'Cash Flow $s Yr1'!$B$12:$R$150,6,FALSE)),0)</f>
        <v>0</v>
      </c>
      <c r="J124" s="140">
        <f>IFERROR((VLOOKUP(LEFT($A124,4),'Cash Flow $s Yr1'!$B$12:$R$150,7,FALSE)),0)</f>
        <v>0</v>
      </c>
      <c r="K124" s="140">
        <f>IFERROR((VLOOKUP(LEFT($A124,4),'Cash Flow $s Yr1'!$B$12:$R$150,8,FALSE)),0)</f>
        <v>0</v>
      </c>
      <c r="L124" s="140">
        <f>IFERROR((VLOOKUP(LEFT($A124,4),'Cash Flow $s Yr1'!$B$12:$R$150,9,FALSE)),0)</f>
        <v>0</v>
      </c>
      <c r="M124" s="140">
        <f>IFERROR((VLOOKUP(LEFT($A124,4),'Cash Flow $s Yr1'!$B$12:$R$150,10,FALSE)),0)</f>
        <v>0</v>
      </c>
      <c r="N124" s="140">
        <f>IFERROR((VLOOKUP(LEFT($A124,4),'Cash Flow $s Yr1'!$B$12:$R$150,11,FALSE)),0)</f>
        <v>0</v>
      </c>
      <c r="O124" s="140">
        <f>IFERROR((VLOOKUP(LEFT($A124,4),'Cash Flow $s Yr1'!$B$12:$R$150,12,FALSE)),0)</f>
        <v>0</v>
      </c>
      <c r="P124" s="140">
        <f>IFERROR((VLOOKUP(LEFT($A124,4),'Cash Flow $s Yr1'!$B$12:$R$150,13,FALSE)),0)</f>
        <v>0</v>
      </c>
      <c r="Q124" s="140">
        <f>IFERROR((VLOOKUP(LEFT($A124,4),'Cash Flow $s Yr1'!$B$12:$R$150,14,FALSE)),0)</f>
        <v>0</v>
      </c>
    </row>
    <row r="125" spans="1:17" x14ac:dyDescent="0.6">
      <c r="A125" s="143" t="s">
        <v>975</v>
      </c>
      <c r="B125" s="142" t="s">
        <v>1260</v>
      </c>
      <c r="C125" s="140" t="s">
        <v>862</v>
      </c>
      <c r="D125" s="140" t="s">
        <v>863</v>
      </c>
      <c r="E125" s="140" t="s">
        <v>864</v>
      </c>
      <c r="F125" s="140">
        <v>0</v>
      </c>
      <c r="G125" s="140">
        <v>0</v>
      </c>
      <c r="H125" s="140">
        <v>0</v>
      </c>
      <c r="I125" s="140">
        <v>0</v>
      </c>
      <c r="J125" s="140">
        <v>0</v>
      </c>
      <c r="K125" s="140">
        <v>0</v>
      </c>
      <c r="L125" s="140">
        <v>0</v>
      </c>
      <c r="M125" s="140">
        <v>0</v>
      </c>
      <c r="N125" s="140">
        <v>0</v>
      </c>
      <c r="O125" s="140">
        <v>0</v>
      </c>
      <c r="P125" s="140">
        <v>0</v>
      </c>
      <c r="Q125" s="140">
        <v>0</v>
      </c>
    </row>
    <row r="126" spans="1:17" x14ac:dyDescent="0.6">
      <c r="A126" s="143" t="s">
        <v>976</v>
      </c>
      <c r="B126" s="142" t="s">
        <v>1260</v>
      </c>
      <c r="C126" s="140" t="s">
        <v>862</v>
      </c>
      <c r="D126" s="140" t="s">
        <v>863</v>
      </c>
      <c r="E126" s="140" t="s">
        <v>864</v>
      </c>
      <c r="F126" s="140">
        <v>0</v>
      </c>
      <c r="G126" s="140">
        <v>0</v>
      </c>
      <c r="H126" s="140">
        <v>0</v>
      </c>
      <c r="I126" s="140">
        <v>0</v>
      </c>
      <c r="J126" s="140">
        <v>0</v>
      </c>
      <c r="K126" s="140">
        <v>0</v>
      </c>
      <c r="L126" s="140">
        <v>0</v>
      </c>
      <c r="M126" s="140">
        <v>0</v>
      </c>
      <c r="N126" s="140">
        <v>0</v>
      </c>
      <c r="O126" s="140">
        <v>0</v>
      </c>
      <c r="P126" s="140">
        <v>0</v>
      </c>
      <c r="Q126" s="140">
        <v>0</v>
      </c>
    </row>
    <row r="127" spans="1:17" x14ac:dyDescent="0.6">
      <c r="A127" s="143" t="s">
        <v>977</v>
      </c>
      <c r="B127" s="142" t="s">
        <v>1260</v>
      </c>
      <c r="C127" s="140" t="s">
        <v>862</v>
      </c>
      <c r="D127" s="140" t="s">
        <v>863</v>
      </c>
      <c r="E127" s="140" t="s">
        <v>864</v>
      </c>
      <c r="F127" s="140" t="str">
        <f>IFERROR((VLOOKUP(LEFT($A127,4),'Cash Flow $s Yr1'!$B$12:$R$150,3,FALSE)),0)</f>
        <v/>
      </c>
      <c r="G127" s="140" t="str">
        <f>IFERROR((VLOOKUP(LEFT($A127,4),'Cash Flow $s Yr1'!$B$12:$R$150,4,FALSE)),0)</f>
        <v/>
      </c>
      <c r="H127" s="140" t="str">
        <f>IFERROR((VLOOKUP(LEFT($A127,4),'Cash Flow $s Yr1'!$B$12:$R$150,5,FALSE)),0)</f>
        <v/>
      </c>
      <c r="I127" s="140" t="str">
        <f>IFERROR((VLOOKUP(LEFT($A127,4),'Cash Flow $s Yr1'!$B$12:$R$150,6,FALSE)),0)</f>
        <v/>
      </c>
      <c r="J127" s="140" t="str">
        <f>IFERROR((VLOOKUP(LEFT($A127,4),'Cash Flow $s Yr1'!$B$12:$R$150,7,FALSE)),0)</f>
        <v/>
      </c>
      <c r="K127" s="140" t="str">
        <f>IFERROR((VLOOKUP(LEFT($A127,4),'Cash Flow $s Yr1'!$B$12:$R$150,8,FALSE)),0)</f>
        <v/>
      </c>
      <c r="L127" s="140" t="str">
        <f>IFERROR((VLOOKUP(LEFT($A127,4),'Cash Flow $s Yr1'!$B$12:$R$150,9,FALSE)),0)</f>
        <v/>
      </c>
      <c r="M127" s="140" t="str">
        <f>IFERROR((VLOOKUP(LEFT($A127,4),'Cash Flow $s Yr1'!$B$12:$R$150,10,FALSE)),0)</f>
        <v/>
      </c>
      <c r="N127" s="140" t="str">
        <f>IFERROR((VLOOKUP(LEFT($A127,4),'Cash Flow $s Yr1'!$B$12:$R$150,11,FALSE)),0)</f>
        <v/>
      </c>
      <c r="O127" s="140" t="str">
        <f>IFERROR((VLOOKUP(LEFT($A127,4),'Cash Flow $s Yr1'!$B$12:$R$150,12,FALSE)),0)</f>
        <v/>
      </c>
      <c r="P127" s="140" t="str">
        <f>IFERROR((VLOOKUP(LEFT($A127,4),'Cash Flow $s Yr1'!$B$12:$R$150,13,FALSE)),0)</f>
        <v/>
      </c>
      <c r="Q127" s="140" t="str">
        <f>IFERROR((VLOOKUP(LEFT($A127,4),'Cash Flow $s Yr1'!$B$12:$R$150,14,FALSE)),0)</f>
        <v/>
      </c>
    </row>
    <row r="128" spans="1:17" x14ac:dyDescent="0.6">
      <c r="A128" s="143" t="s">
        <v>978</v>
      </c>
      <c r="B128" s="142" t="s">
        <v>1260</v>
      </c>
      <c r="C128" s="140" t="s">
        <v>862</v>
      </c>
      <c r="D128" s="140" t="s">
        <v>863</v>
      </c>
      <c r="E128" s="140" t="s">
        <v>864</v>
      </c>
      <c r="F128" s="140">
        <v>0</v>
      </c>
      <c r="G128" s="140">
        <v>0</v>
      </c>
      <c r="H128" s="140">
        <v>0</v>
      </c>
      <c r="I128" s="140">
        <v>0</v>
      </c>
      <c r="J128" s="140">
        <v>0</v>
      </c>
      <c r="K128" s="140">
        <v>0</v>
      </c>
      <c r="L128" s="140">
        <v>0</v>
      </c>
      <c r="M128" s="140">
        <v>0</v>
      </c>
      <c r="N128" s="140">
        <v>0</v>
      </c>
      <c r="O128" s="140">
        <v>0</v>
      </c>
      <c r="P128" s="140">
        <v>0</v>
      </c>
      <c r="Q128" s="140">
        <v>0</v>
      </c>
    </row>
    <row r="129" spans="1:17" x14ac:dyDescent="0.6">
      <c r="A129" s="143" t="s">
        <v>979</v>
      </c>
      <c r="B129" s="142" t="s">
        <v>1260</v>
      </c>
      <c r="C129" s="140" t="s">
        <v>862</v>
      </c>
      <c r="D129" s="140" t="s">
        <v>863</v>
      </c>
      <c r="E129" s="140" t="s">
        <v>864</v>
      </c>
      <c r="F129" s="140">
        <v>0</v>
      </c>
      <c r="G129" s="140">
        <v>0</v>
      </c>
      <c r="H129" s="140">
        <v>0</v>
      </c>
      <c r="I129" s="140">
        <v>0</v>
      </c>
      <c r="J129" s="140">
        <v>0</v>
      </c>
      <c r="K129" s="140">
        <v>0</v>
      </c>
      <c r="L129" s="140">
        <v>0</v>
      </c>
      <c r="M129" s="140">
        <v>0</v>
      </c>
      <c r="N129" s="140">
        <v>0</v>
      </c>
      <c r="O129" s="140">
        <v>0</v>
      </c>
      <c r="P129" s="140">
        <v>0</v>
      </c>
      <c r="Q129" s="140">
        <v>0</v>
      </c>
    </row>
    <row r="130" spans="1:17" x14ac:dyDescent="0.6">
      <c r="A130" s="143" t="s">
        <v>980</v>
      </c>
      <c r="B130" s="142" t="s">
        <v>1260</v>
      </c>
      <c r="C130" s="140" t="s">
        <v>862</v>
      </c>
      <c r="D130" s="140" t="s">
        <v>863</v>
      </c>
      <c r="E130" s="140" t="s">
        <v>864</v>
      </c>
      <c r="F130" s="140" t="str">
        <f>IFERROR((VLOOKUP(LEFT($A130,4),'Cash Flow $s Yr1'!$B$12:$R$150,3,FALSE)),0)</f>
        <v/>
      </c>
      <c r="G130" s="140" t="str">
        <f>IFERROR((VLOOKUP(LEFT($A130,4),'Cash Flow $s Yr1'!$B$12:$R$150,4,FALSE)),0)</f>
        <v/>
      </c>
      <c r="H130" s="140" t="str">
        <f>IFERROR((VLOOKUP(LEFT($A130,4),'Cash Flow $s Yr1'!$B$12:$R$150,5,FALSE)),0)</f>
        <v/>
      </c>
      <c r="I130" s="140" t="str">
        <f>IFERROR((VLOOKUP(LEFT($A130,4),'Cash Flow $s Yr1'!$B$12:$R$150,6,FALSE)),0)</f>
        <v/>
      </c>
      <c r="J130" s="140" t="str">
        <f>IFERROR((VLOOKUP(LEFT($A130,4),'Cash Flow $s Yr1'!$B$12:$R$150,7,FALSE)),0)</f>
        <v/>
      </c>
      <c r="K130" s="140" t="str">
        <f>IFERROR((VLOOKUP(LEFT($A130,4),'Cash Flow $s Yr1'!$B$12:$R$150,8,FALSE)),0)</f>
        <v/>
      </c>
      <c r="L130" s="140" t="str">
        <f>IFERROR((VLOOKUP(LEFT($A130,4),'Cash Flow $s Yr1'!$B$12:$R$150,9,FALSE)),0)</f>
        <v/>
      </c>
      <c r="M130" s="140" t="str">
        <f>IFERROR((VLOOKUP(LEFT($A130,4),'Cash Flow $s Yr1'!$B$12:$R$150,10,FALSE)),0)</f>
        <v/>
      </c>
      <c r="N130" s="140" t="str">
        <f>IFERROR((VLOOKUP(LEFT($A130,4),'Cash Flow $s Yr1'!$B$12:$R$150,11,FALSE)),0)</f>
        <v/>
      </c>
      <c r="O130" s="140" t="str">
        <f>IFERROR((VLOOKUP(LEFT($A130,4),'Cash Flow $s Yr1'!$B$12:$R$150,12,FALSE)),0)</f>
        <v/>
      </c>
      <c r="P130" s="140" t="str">
        <f>IFERROR((VLOOKUP(LEFT($A130,4),'Cash Flow $s Yr1'!$B$12:$R$150,13,FALSE)),0)</f>
        <v/>
      </c>
      <c r="Q130" s="140" t="str">
        <f>IFERROR((VLOOKUP(LEFT($A130,4),'Cash Flow $s Yr1'!$B$12:$R$150,14,FALSE)),0)</f>
        <v/>
      </c>
    </row>
    <row r="131" spans="1:17" x14ac:dyDescent="0.6">
      <c r="A131" s="143" t="s">
        <v>981</v>
      </c>
      <c r="B131" s="142" t="s">
        <v>1260</v>
      </c>
      <c r="C131" s="140" t="s">
        <v>862</v>
      </c>
      <c r="D131" s="140" t="s">
        <v>863</v>
      </c>
      <c r="E131" s="140" t="s">
        <v>864</v>
      </c>
      <c r="F131" s="140">
        <v>0</v>
      </c>
      <c r="G131" s="140">
        <v>0</v>
      </c>
      <c r="H131" s="140">
        <v>0</v>
      </c>
      <c r="I131" s="140">
        <v>0</v>
      </c>
      <c r="J131" s="140">
        <v>0</v>
      </c>
      <c r="K131" s="140">
        <v>0</v>
      </c>
      <c r="L131" s="140">
        <v>0</v>
      </c>
      <c r="M131" s="140">
        <v>0</v>
      </c>
      <c r="N131" s="140">
        <v>0</v>
      </c>
      <c r="O131" s="140">
        <v>0</v>
      </c>
      <c r="P131" s="140">
        <v>0</v>
      </c>
      <c r="Q131" s="140">
        <v>0</v>
      </c>
    </row>
    <row r="132" spans="1:17" x14ac:dyDescent="0.6">
      <c r="A132" s="143" t="s">
        <v>982</v>
      </c>
      <c r="B132" s="142" t="s">
        <v>1260</v>
      </c>
      <c r="C132" s="140" t="s">
        <v>862</v>
      </c>
      <c r="D132" s="140" t="s">
        <v>863</v>
      </c>
      <c r="E132" s="140" t="s">
        <v>864</v>
      </c>
      <c r="F132" s="140">
        <v>0</v>
      </c>
      <c r="G132" s="140">
        <v>0</v>
      </c>
      <c r="H132" s="140">
        <v>0</v>
      </c>
      <c r="I132" s="140">
        <v>0</v>
      </c>
      <c r="J132" s="140">
        <v>0</v>
      </c>
      <c r="K132" s="140">
        <v>0</v>
      </c>
      <c r="L132" s="140">
        <v>0</v>
      </c>
      <c r="M132" s="140">
        <v>0</v>
      </c>
      <c r="N132" s="140">
        <v>0</v>
      </c>
      <c r="O132" s="140">
        <v>0</v>
      </c>
      <c r="P132" s="140">
        <v>0</v>
      </c>
      <c r="Q132" s="140">
        <v>0</v>
      </c>
    </row>
    <row r="133" spans="1:17" x14ac:dyDescent="0.6">
      <c r="A133" s="143" t="s">
        <v>983</v>
      </c>
      <c r="B133" s="142" t="s">
        <v>1260</v>
      </c>
      <c r="C133" s="140" t="s">
        <v>862</v>
      </c>
      <c r="D133" s="140" t="s">
        <v>863</v>
      </c>
      <c r="E133" s="140" t="s">
        <v>864</v>
      </c>
      <c r="F133" s="140" t="str">
        <f>IFERROR((VLOOKUP(LEFT($A133,4),'Cash Flow $s Yr1'!$B$12:$R$150,3,FALSE)),0)</f>
        <v/>
      </c>
      <c r="G133" s="140" t="str">
        <f>IFERROR((VLOOKUP(LEFT($A133,4),'Cash Flow $s Yr1'!$B$12:$R$150,4,FALSE)),0)</f>
        <v/>
      </c>
      <c r="H133" s="140" t="str">
        <f>IFERROR((VLOOKUP(LEFT($A133,4),'Cash Flow $s Yr1'!$B$12:$R$150,5,FALSE)),0)</f>
        <v/>
      </c>
      <c r="I133" s="140" t="str">
        <f>IFERROR((VLOOKUP(LEFT($A133,4),'Cash Flow $s Yr1'!$B$12:$R$150,6,FALSE)),0)</f>
        <v/>
      </c>
      <c r="J133" s="140" t="str">
        <f>IFERROR((VLOOKUP(LEFT($A133,4),'Cash Flow $s Yr1'!$B$12:$R$150,7,FALSE)),0)</f>
        <v/>
      </c>
      <c r="K133" s="140" t="str">
        <f>IFERROR((VLOOKUP(LEFT($A133,4),'Cash Flow $s Yr1'!$B$12:$R$150,8,FALSE)),0)</f>
        <v/>
      </c>
      <c r="L133" s="140" t="str">
        <f>IFERROR((VLOOKUP(LEFT($A133,4),'Cash Flow $s Yr1'!$B$12:$R$150,9,FALSE)),0)</f>
        <v/>
      </c>
      <c r="M133" s="140" t="str">
        <f>IFERROR((VLOOKUP(LEFT($A133,4),'Cash Flow $s Yr1'!$B$12:$R$150,10,FALSE)),0)</f>
        <v/>
      </c>
      <c r="N133" s="140" t="str">
        <f>IFERROR((VLOOKUP(LEFT($A133,4),'Cash Flow $s Yr1'!$B$12:$R$150,11,FALSE)),0)</f>
        <v/>
      </c>
      <c r="O133" s="140" t="str">
        <f>IFERROR((VLOOKUP(LEFT($A133,4),'Cash Flow $s Yr1'!$B$12:$R$150,12,FALSE)),0)</f>
        <v/>
      </c>
      <c r="P133" s="140" t="str">
        <f>IFERROR((VLOOKUP(LEFT($A133,4),'Cash Flow $s Yr1'!$B$12:$R$150,13,FALSE)),0)</f>
        <v/>
      </c>
      <c r="Q133" s="140" t="str">
        <f>IFERROR((VLOOKUP(LEFT($A133,4),'Cash Flow $s Yr1'!$B$12:$R$150,14,FALSE)),0)</f>
        <v/>
      </c>
    </row>
    <row r="134" spans="1:17" x14ac:dyDescent="0.6">
      <c r="A134" s="143" t="s">
        <v>984</v>
      </c>
      <c r="B134" s="142" t="s">
        <v>1260</v>
      </c>
      <c r="C134" s="140" t="s">
        <v>862</v>
      </c>
      <c r="D134" s="140" t="s">
        <v>863</v>
      </c>
      <c r="E134" s="140" t="s">
        <v>864</v>
      </c>
      <c r="F134" s="140" t="str">
        <f>IFERROR((VLOOKUP(LEFT($A134,4),'Cash Flow $s Yr1'!$B$12:$R$150,3,FALSE)),0)</f>
        <v/>
      </c>
      <c r="G134" s="140" t="str">
        <f>IFERROR((VLOOKUP(LEFT($A134,4),'Cash Flow $s Yr1'!$B$12:$R$150,4,FALSE)),0)</f>
        <v/>
      </c>
      <c r="H134" s="140" t="str">
        <f>IFERROR((VLOOKUP(LEFT($A134,4),'Cash Flow $s Yr1'!$B$12:$R$150,5,FALSE)),0)</f>
        <v/>
      </c>
      <c r="I134" s="140" t="str">
        <f>IFERROR((VLOOKUP(LEFT($A134,4),'Cash Flow $s Yr1'!$B$12:$R$150,6,FALSE)),0)</f>
        <v/>
      </c>
      <c r="J134" s="140" t="str">
        <f>IFERROR((VLOOKUP(LEFT($A134,4),'Cash Flow $s Yr1'!$B$12:$R$150,7,FALSE)),0)</f>
        <v/>
      </c>
      <c r="K134" s="140" t="str">
        <f>IFERROR((VLOOKUP(LEFT($A134,4),'Cash Flow $s Yr1'!$B$12:$R$150,8,FALSE)),0)</f>
        <v/>
      </c>
      <c r="L134" s="140" t="str">
        <f>IFERROR((VLOOKUP(LEFT($A134,4),'Cash Flow $s Yr1'!$B$12:$R$150,9,FALSE)),0)</f>
        <v/>
      </c>
      <c r="M134" s="140" t="str">
        <f>IFERROR((VLOOKUP(LEFT($A134,4),'Cash Flow $s Yr1'!$B$12:$R$150,10,FALSE)),0)</f>
        <v/>
      </c>
      <c r="N134" s="140" t="str">
        <f>IFERROR((VLOOKUP(LEFT($A134,4),'Cash Flow $s Yr1'!$B$12:$R$150,11,FALSE)),0)</f>
        <v/>
      </c>
      <c r="O134" s="140" t="str">
        <f>IFERROR((VLOOKUP(LEFT($A134,4),'Cash Flow $s Yr1'!$B$12:$R$150,12,FALSE)),0)</f>
        <v/>
      </c>
      <c r="P134" s="140" t="str">
        <f>IFERROR((VLOOKUP(LEFT($A134,4),'Cash Flow $s Yr1'!$B$12:$R$150,13,FALSE)),0)</f>
        <v/>
      </c>
      <c r="Q134" s="140" t="str">
        <f>IFERROR((VLOOKUP(LEFT($A134,4),'Cash Flow $s Yr1'!$B$12:$R$150,14,FALSE)),0)</f>
        <v/>
      </c>
    </row>
    <row r="135" spans="1:17" x14ac:dyDescent="0.6">
      <c r="A135" s="143" t="s">
        <v>985</v>
      </c>
      <c r="B135" s="142" t="s">
        <v>1260</v>
      </c>
      <c r="C135" s="140" t="s">
        <v>862</v>
      </c>
      <c r="D135" s="140" t="s">
        <v>863</v>
      </c>
      <c r="E135" s="140" t="s">
        <v>864</v>
      </c>
      <c r="F135" s="140">
        <v>0</v>
      </c>
      <c r="G135" s="140">
        <v>0</v>
      </c>
      <c r="H135" s="140">
        <v>0</v>
      </c>
      <c r="I135" s="140">
        <v>0</v>
      </c>
      <c r="J135" s="140">
        <v>0</v>
      </c>
      <c r="K135" s="140">
        <v>0</v>
      </c>
      <c r="L135" s="140">
        <v>0</v>
      </c>
      <c r="M135" s="140">
        <v>0</v>
      </c>
      <c r="N135" s="140">
        <v>0</v>
      </c>
      <c r="O135" s="140">
        <v>0</v>
      </c>
      <c r="P135" s="140">
        <v>0</v>
      </c>
      <c r="Q135" s="140">
        <v>0</v>
      </c>
    </row>
    <row r="136" spans="1:17" x14ac:dyDescent="0.6">
      <c r="A136" s="143" t="s">
        <v>986</v>
      </c>
      <c r="B136" s="142" t="s">
        <v>1260</v>
      </c>
      <c r="C136" s="140" t="s">
        <v>862</v>
      </c>
      <c r="D136" s="140" t="s">
        <v>863</v>
      </c>
      <c r="E136" s="140" t="s">
        <v>864</v>
      </c>
      <c r="F136" s="140">
        <v>0</v>
      </c>
      <c r="G136" s="140">
        <v>0</v>
      </c>
      <c r="H136" s="140">
        <v>0</v>
      </c>
      <c r="I136" s="140">
        <v>0</v>
      </c>
      <c r="J136" s="140">
        <v>0</v>
      </c>
      <c r="K136" s="140">
        <v>0</v>
      </c>
      <c r="L136" s="140">
        <v>0</v>
      </c>
      <c r="M136" s="140">
        <v>0</v>
      </c>
      <c r="N136" s="140">
        <v>0</v>
      </c>
      <c r="O136" s="140">
        <v>0</v>
      </c>
      <c r="P136" s="140">
        <v>0</v>
      </c>
      <c r="Q136" s="140">
        <v>0</v>
      </c>
    </row>
    <row r="137" spans="1:17" x14ac:dyDescent="0.6">
      <c r="A137" s="143" t="s">
        <v>987</v>
      </c>
      <c r="B137" s="142" t="s">
        <v>1260</v>
      </c>
      <c r="C137" s="140" t="s">
        <v>862</v>
      </c>
      <c r="D137" s="140" t="s">
        <v>863</v>
      </c>
      <c r="E137" s="140" t="s">
        <v>864</v>
      </c>
      <c r="F137" s="140" t="str">
        <f>IFERROR((VLOOKUP(LEFT($A137,4),'Cash Flow $s Yr1'!$B$12:$R$150,3,FALSE)),0)</f>
        <v/>
      </c>
      <c r="G137" s="140" t="str">
        <f>IFERROR((VLOOKUP(LEFT($A137,4),'Cash Flow $s Yr1'!$B$12:$R$150,4,FALSE)),0)</f>
        <v/>
      </c>
      <c r="H137" s="140" t="str">
        <f>IFERROR((VLOOKUP(LEFT($A137,4),'Cash Flow $s Yr1'!$B$12:$R$150,5,FALSE)),0)</f>
        <v/>
      </c>
      <c r="I137" s="140" t="str">
        <f>IFERROR((VLOOKUP(LEFT($A137,4),'Cash Flow $s Yr1'!$B$12:$R$150,6,FALSE)),0)</f>
        <v/>
      </c>
      <c r="J137" s="140" t="str">
        <f>IFERROR((VLOOKUP(LEFT($A137,4),'Cash Flow $s Yr1'!$B$12:$R$150,7,FALSE)),0)</f>
        <v/>
      </c>
      <c r="K137" s="140" t="str">
        <f>IFERROR((VLOOKUP(LEFT($A137,4),'Cash Flow $s Yr1'!$B$12:$R$150,8,FALSE)),0)</f>
        <v/>
      </c>
      <c r="L137" s="140" t="str">
        <f>IFERROR((VLOOKUP(LEFT($A137,4),'Cash Flow $s Yr1'!$B$12:$R$150,9,FALSE)),0)</f>
        <v/>
      </c>
      <c r="M137" s="140" t="str">
        <f>IFERROR((VLOOKUP(LEFT($A137,4),'Cash Flow $s Yr1'!$B$12:$R$150,10,FALSE)),0)</f>
        <v/>
      </c>
      <c r="N137" s="140" t="str">
        <f>IFERROR((VLOOKUP(LEFT($A137,4),'Cash Flow $s Yr1'!$B$12:$R$150,11,FALSE)),0)</f>
        <v/>
      </c>
      <c r="O137" s="140" t="str">
        <f>IFERROR((VLOOKUP(LEFT($A137,4),'Cash Flow $s Yr1'!$B$12:$R$150,12,FALSE)),0)</f>
        <v/>
      </c>
      <c r="P137" s="140" t="str">
        <f>IFERROR((VLOOKUP(LEFT($A137,4),'Cash Flow $s Yr1'!$B$12:$R$150,13,FALSE)),0)</f>
        <v/>
      </c>
      <c r="Q137" s="140" t="str">
        <f>IFERROR((VLOOKUP(LEFT($A137,4),'Cash Flow $s Yr1'!$B$12:$R$150,14,FALSE)),0)</f>
        <v/>
      </c>
    </row>
    <row r="138" spans="1:17" x14ac:dyDescent="0.6">
      <c r="A138" s="143" t="s">
        <v>988</v>
      </c>
      <c r="B138" s="142" t="s">
        <v>1260</v>
      </c>
      <c r="C138" s="140" t="s">
        <v>862</v>
      </c>
      <c r="D138" s="140" t="s">
        <v>863</v>
      </c>
      <c r="E138" s="140" t="s">
        <v>864</v>
      </c>
      <c r="F138" s="140">
        <v>0</v>
      </c>
      <c r="G138" s="140">
        <v>0</v>
      </c>
      <c r="H138" s="140">
        <v>0</v>
      </c>
      <c r="I138" s="140">
        <v>0</v>
      </c>
      <c r="J138" s="140">
        <v>0</v>
      </c>
      <c r="K138" s="140">
        <v>0</v>
      </c>
      <c r="L138" s="140">
        <v>0</v>
      </c>
      <c r="M138" s="140">
        <v>0</v>
      </c>
      <c r="N138" s="140">
        <v>0</v>
      </c>
      <c r="O138" s="140">
        <v>0</v>
      </c>
      <c r="P138" s="140">
        <v>0</v>
      </c>
      <c r="Q138" s="140">
        <v>0</v>
      </c>
    </row>
    <row r="139" spans="1:17" x14ac:dyDescent="0.6">
      <c r="A139" s="143" t="s">
        <v>989</v>
      </c>
      <c r="B139" s="142" t="s">
        <v>1260</v>
      </c>
      <c r="C139" s="140" t="s">
        <v>862</v>
      </c>
      <c r="D139" s="140" t="s">
        <v>863</v>
      </c>
      <c r="E139" s="140" t="s">
        <v>864</v>
      </c>
      <c r="F139" s="140">
        <v>0</v>
      </c>
      <c r="G139" s="140">
        <v>0</v>
      </c>
      <c r="H139" s="140">
        <v>0</v>
      </c>
      <c r="I139" s="140">
        <v>0</v>
      </c>
      <c r="J139" s="140">
        <v>0</v>
      </c>
      <c r="K139" s="140">
        <v>0</v>
      </c>
      <c r="L139" s="140">
        <v>0</v>
      </c>
      <c r="M139" s="140">
        <v>0</v>
      </c>
      <c r="N139" s="140">
        <v>0</v>
      </c>
      <c r="O139" s="140">
        <v>0</v>
      </c>
      <c r="P139" s="140">
        <v>0</v>
      </c>
      <c r="Q139" s="140">
        <v>0</v>
      </c>
    </row>
    <row r="140" spans="1:17" x14ac:dyDescent="0.6">
      <c r="A140" s="143" t="s">
        <v>990</v>
      </c>
      <c r="B140" s="142" t="s">
        <v>1260</v>
      </c>
      <c r="C140" s="140" t="s">
        <v>862</v>
      </c>
      <c r="D140" s="140" t="s">
        <v>863</v>
      </c>
      <c r="E140" s="140" t="s">
        <v>864</v>
      </c>
      <c r="F140" s="140" t="str">
        <f>IFERROR((VLOOKUP(LEFT($A140,4),'Cash Flow $s Yr1'!$B$12:$R$150,3,FALSE)),0)</f>
        <v/>
      </c>
      <c r="G140" s="140" t="str">
        <f>IFERROR((VLOOKUP(LEFT($A140,4),'Cash Flow $s Yr1'!$B$12:$R$150,4,FALSE)),0)</f>
        <v/>
      </c>
      <c r="H140" s="140" t="str">
        <f>IFERROR((VLOOKUP(LEFT($A140,4),'Cash Flow $s Yr1'!$B$12:$R$150,5,FALSE)),0)</f>
        <v/>
      </c>
      <c r="I140" s="140" t="str">
        <f>IFERROR((VLOOKUP(LEFT($A140,4),'Cash Flow $s Yr1'!$B$12:$R$150,6,FALSE)),0)</f>
        <v/>
      </c>
      <c r="J140" s="140" t="str">
        <f>IFERROR((VLOOKUP(LEFT($A140,4),'Cash Flow $s Yr1'!$B$12:$R$150,7,FALSE)),0)</f>
        <v/>
      </c>
      <c r="K140" s="140" t="str">
        <f>IFERROR((VLOOKUP(LEFT($A140,4),'Cash Flow $s Yr1'!$B$12:$R$150,8,FALSE)),0)</f>
        <v/>
      </c>
      <c r="L140" s="140" t="str">
        <f>IFERROR((VLOOKUP(LEFT($A140,4),'Cash Flow $s Yr1'!$B$12:$R$150,9,FALSE)),0)</f>
        <v/>
      </c>
      <c r="M140" s="140" t="str">
        <f>IFERROR((VLOOKUP(LEFT($A140,4),'Cash Flow $s Yr1'!$B$12:$R$150,10,FALSE)),0)</f>
        <v/>
      </c>
      <c r="N140" s="140" t="str">
        <f>IFERROR((VLOOKUP(LEFT($A140,4),'Cash Flow $s Yr1'!$B$12:$R$150,11,FALSE)),0)</f>
        <v/>
      </c>
      <c r="O140" s="140" t="str">
        <f>IFERROR((VLOOKUP(LEFT($A140,4),'Cash Flow $s Yr1'!$B$12:$R$150,12,FALSE)),0)</f>
        <v/>
      </c>
      <c r="P140" s="140" t="str">
        <f>IFERROR((VLOOKUP(LEFT($A140,4),'Cash Flow $s Yr1'!$B$12:$R$150,13,FALSE)),0)</f>
        <v/>
      </c>
      <c r="Q140" s="140" t="str">
        <f>IFERROR((VLOOKUP(LEFT($A140,4),'Cash Flow $s Yr1'!$B$12:$R$150,14,FALSE)),0)</f>
        <v/>
      </c>
    </row>
    <row r="141" spans="1:17" x14ac:dyDescent="0.6">
      <c r="A141" s="143" t="s">
        <v>991</v>
      </c>
      <c r="B141" s="142" t="s">
        <v>1260</v>
      </c>
      <c r="C141" s="140" t="s">
        <v>862</v>
      </c>
      <c r="D141" s="140" t="s">
        <v>863</v>
      </c>
      <c r="E141" s="140" t="s">
        <v>864</v>
      </c>
      <c r="F141" s="140">
        <v>0</v>
      </c>
      <c r="G141" s="140">
        <v>0</v>
      </c>
      <c r="H141" s="140">
        <v>0</v>
      </c>
      <c r="I141" s="140">
        <v>0</v>
      </c>
      <c r="J141" s="140">
        <v>0</v>
      </c>
      <c r="K141" s="140">
        <v>0</v>
      </c>
      <c r="L141" s="140">
        <v>0</v>
      </c>
      <c r="M141" s="140">
        <v>0</v>
      </c>
      <c r="N141" s="140">
        <v>0</v>
      </c>
      <c r="O141" s="140">
        <v>0</v>
      </c>
      <c r="P141" s="140">
        <v>0</v>
      </c>
      <c r="Q141" s="140">
        <v>0</v>
      </c>
    </row>
    <row r="142" spans="1:17" x14ac:dyDescent="0.6">
      <c r="A142" s="143" t="s">
        <v>992</v>
      </c>
      <c r="B142" s="142" t="s">
        <v>1260</v>
      </c>
      <c r="C142" s="140" t="s">
        <v>862</v>
      </c>
      <c r="D142" s="140" t="s">
        <v>863</v>
      </c>
      <c r="E142" s="140" t="s">
        <v>864</v>
      </c>
      <c r="F142" s="140">
        <v>0</v>
      </c>
      <c r="G142" s="140">
        <v>0</v>
      </c>
      <c r="H142" s="140">
        <v>0</v>
      </c>
      <c r="I142" s="140">
        <v>0</v>
      </c>
      <c r="J142" s="140">
        <v>0</v>
      </c>
      <c r="K142" s="140">
        <v>0</v>
      </c>
      <c r="L142" s="140">
        <v>0</v>
      </c>
      <c r="M142" s="140">
        <v>0</v>
      </c>
      <c r="N142" s="140">
        <v>0</v>
      </c>
      <c r="O142" s="140">
        <v>0</v>
      </c>
      <c r="P142" s="140">
        <v>0</v>
      </c>
      <c r="Q142" s="140">
        <v>0</v>
      </c>
    </row>
    <row r="143" spans="1:17" x14ac:dyDescent="0.6">
      <c r="A143" s="143" t="s">
        <v>993</v>
      </c>
      <c r="B143" s="142" t="s">
        <v>1260</v>
      </c>
      <c r="C143" s="140" t="s">
        <v>862</v>
      </c>
      <c r="D143" s="140" t="s">
        <v>863</v>
      </c>
      <c r="E143" s="140" t="s">
        <v>864</v>
      </c>
      <c r="F143" s="140" t="str">
        <f>IFERROR((VLOOKUP(LEFT($A143,4),'Cash Flow $s Yr1'!$B$12:$R$150,3,FALSE)),0)</f>
        <v/>
      </c>
      <c r="G143" s="140" t="str">
        <f>IFERROR((VLOOKUP(LEFT($A143,4),'Cash Flow $s Yr1'!$B$12:$R$150,4,FALSE)),0)</f>
        <v/>
      </c>
      <c r="H143" s="140" t="str">
        <f>IFERROR((VLOOKUP(LEFT($A143,4),'Cash Flow $s Yr1'!$B$12:$R$150,5,FALSE)),0)</f>
        <v/>
      </c>
      <c r="I143" s="140" t="str">
        <f>IFERROR((VLOOKUP(LEFT($A143,4),'Cash Flow $s Yr1'!$B$12:$R$150,6,FALSE)),0)</f>
        <v/>
      </c>
      <c r="J143" s="140" t="str">
        <f>IFERROR((VLOOKUP(LEFT($A143,4),'Cash Flow $s Yr1'!$B$12:$R$150,7,FALSE)),0)</f>
        <v/>
      </c>
      <c r="K143" s="140" t="str">
        <f>IFERROR((VLOOKUP(LEFT($A143,4),'Cash Flow $s Yr1'!$B$12:$R$150,8,FALSE)),0)</f>
        <v/>
      </c>
      <c r="L143" s="140" t="str">
        <f>IFERROR((VLOOKUP(LEFT($A143,4),'Cash Flow $s Yr1'!$B$12:$R$150,9,FALSE)),0)</f>
        <v/>
      </c>
      <c r="M143" s="140" t="str">
        <f>IFERROR((VLOOKUP(LEFT($A143,4),'Cash Flow $s Yr1'!$B$12:$R$150,10,FALSE)),0)</f>
        <v/>
      </c>
      <c r="N143" s="140" t="str">
        <f>IFERROR((VLOOKUP(LEFT($A143,4),'Cash Flow $s Yr1'!$B$12:$R$150,11,FALSE)),0)</f>
        <v/>
      </c>
      <c r="O143" s="140" t="str">
        <f>IFERROR((VLOOKUP(LEFT($A143,4),'Cash Flow $s Yr1'!$B$12:$R$150,12,FALSE)),0)</f>
        <v/>
      </c>
      <c r="P143" s="140" t="str">
        <f>IFERROR((VLOOKUP(LEFT($A143,4),'Cash Flow $s Yr1'!$B$12:$R$150,13,FALSE)),0)</f>
        <v/>
      </c>
      <c r="Q143" s="140" t="str">
        <f>IFERROR((VLOOKUP(LEFT($A143,4),'Cash Flow $s Yr1'!$B$12:$R$150,14,FALSE)),0)</f>
        <v/>
      </c>
    </row>
    <row r="144" spans="1:17" x14ac:dyDescent="0.6">
      <c r="A144" s="143" t="s">
        <v>994</v>
      </c>
      <c r="B144" s="142" t="s">
        <v>1260</v>
      </c>
      <c r="C144" s="140" t="s">
        <v>862</v>
      </c>
      <c r="D144" s="140" t="s">
        <v>863</v>
      </c>
      <c r="E144" s="140" t="s">
        <v>864</v>
      </c>
      <c r="F144" s="140">
        <v>0</v>
      </c>
      <c r="G144" s="140">
        <v>0</v>
      </c>
      <c r="H144" s="140">
        <v>0</v>
      </c>
      <c r="I144" s="140">
        <v>0</v>
      </c>
      <c r="J144" s="140">
        <v>0</v>
      </c>
      <c r="K144" s="140">
        <v>0</v>
      </c>
      <c r="L144" s="140">
        <v>0</v>
      </c>
      <c r="M144" s="140">
        <v>0</v>
      </c>
      <c r="N144" s="140">
        <v>0</v>
      </c>
      <c r="O144" s="140">
        <v>0</v>
      </c>
      <c r="P144" s="140">
        <v>0</v>
      </c>
      <c r="Q144" s="140">
        <v>0</v>
      </c>
    </row>
    <row r="145" spans="1:19" x14ac:dyDescent="0.6">
      <c r="A145" s="143" t="s">
        <v>995</v>
      </c>
      <c r="B145" s="142" t="s">
        <v>1260</v>
      </c>
      <c r="C145" s="140" t="s">
        <v>862</v>
      </c>
      <c r="D145" s="140" t="s">
        <v>863</v>
      </c>
      <c r="E145" s="140" t="s">
        <v>864</v>
      </c>
      <c r="F145" s="140">
        <v>0</v>
      </c>
      <c r="G145" s="140">
        <v>0</v>
      </c>
      <c r="H145" s="140">
        <v>0</v>
      </c>
      <c r="I145" s="140">
        <v>0</v>
      </c>
      <c r="J145" s="140">
        <v>0</v>
      </c>
      <c r="K145" s="140">
        <v>0</v>
      </c>
      <c r="L145" s="140">
        <v>0</v>
      </c>
      <c r="M145" s="140">
        <v>0</v>
      </c>
      <c r="N145" s="140">
        <v>0</v>
      </c>
      <c r="O145" s="140">
        <v>0</v>
      </c>
      <c r="P145" s="140">
        <v>0</v>
      </c>
      <c r="Q145" s="140">
        <v>0</v>
      </c>
    </row>
    <row r="146" spans="1:19" x14ac:dyDescent="0.6">
      <c r="A146" s="143" t="s">
        <v>996</v>
      </c>
      <c r="B146" s="142" t="s">
        <v>1260</v>
      </c>
      <c r="C146" s="140" t="s">
        <v>862</v>
      </c>
      <c r="D146" s="140" t="s">
        <v>863</v>
      </c>
      <c r="E146" s="140" t="s">
        <v>864</v>
      </c>
      <c r="F146" s="140" t="str">
        <f>IFERROR((VLOOKUP(LEFT($A146,4),'Cash Flow $s Yr1'!$B$12:$R$150,3,FALSE)),0)</f>
        <v/>
      </c>
      <c r="G146" s="140" t="str">
        <f>IFERROR((VLOOKUP(LEFT($A146,4),'Cash Flow $s Yr1'!$B$12:$R$150,4,FALSE)),0)</f>
        <v/>
      </c>
      <c r="H146" s="140" t="str">
        <f>IFERROR((VLOOKUP(LEFT($A146,4),'Cash Flow $s Yr1'!$B$12:$R$150,5,FALSE)),0)</f>
        <v/>
      </c>
      <c r="I146" s="140" t="str">
        <f>IFERROR((VLOOKUP(LEFT($A146,4),'Cash Flow $s Yr1'!$B$12:$R$150,6,FALSE)),0)</f>
        <v/>
      </c>
      <c r="J146" s="140" t="str">
        <f>IFERROR((VLOOKUP(LEFT($A146,4),'Cash Flow $s Yr1'!$B$12:$R$150,7,FALSE)),0)</f>
        <v/>
      </c>
      <c r="K146" s="140" t="str">
        <f>IFERROR((VLOOKUP(LEFT($A146,4),'Cash Flow $s Yr1'!$B$12:$R$150,8,FALSE)),0)</f>
        <v/>
      </c>
      <c r="L146" s="140" t="str">
        <f>IFERROR((VLOOKUP(LEFT($A146,4),'Cash Flow $s Yr1'!$B$12:$R$150,9,FALSE)),0)</f>
        <v/>
      </c>
      <c r="M146" s="140" t="str">
        <f>IFERROR((VLOOKUP(LEFT($A146,4),'Cash Flow $s Yr1'!$B$12:$R$150,10,FALSE)),0)</f>
        <v/>
      </c>
      <c r="N146" s="140" t="str">
        <f>IFERROR((VLOOKUP(LEFT($A146,4),'Cash Flow $s Yr1'!$B$12:$R$150,11,FALSE)),0)</f>
        <v/>
      </c>
      <c r="O146" s="140" t="str">
        <f>IFERROR((VLOOKUP(LEFT($A146,4),'Cash Flow $s Yr1'!$B$12:$R$150,12,FALSE)),0)</f>
        <v/>
      </c>
      <c r="P146" s="140" t="str">
        <f>IFERROR((VLOOKUP(LEFT($A146,4),'Cash Flow $s Yr1'!$B$12:$R$150,13,FALSE)),0)</f>
        <v/>
      </c>
      <c r="Q146" s="140" t="str">
        <f>IFERROR((VLOOKUP(LEFT($A146,4),'Cash Flow $s Yr1'!$B$12:$R$150,14,FALSE)),0)</f>
        <v/>
      </c>
    </row>
    <row r="147" spans="1:19" x14ac:dyDescent="0.6">
      <c r="A147" s="143" t="s">
        <v>997</v>
      </c>
      <c r="B147" s="142" t="s">
        <v>1260</v>
      </c>
      <c r="C147" s="140" t="s">
        <v>862</v>
      </c>
      <c r="D147" s="140" t="s">
        <v>863</v>
      </c>
      <c r="E147" s="140" t="s">
        <v>864</v>
      </c>
      <c r="F147" s="140" t="str">
        <f>IFERROR((VLOOKUP(LEFT($A147,4),'Cash Flow $s Yr1'!$B$12:$R$150,3,FALSE)),0)</f>
        <v/>
      </c>
      <c r="G147" s="140" t="str">
        <f>IFERROR((VLOOKUP(LEFT($A147,4),'Cash Flow $s Yr1'!$B$12:$R$150,4,FALSE)),0)</f>
        <v/>
      </c>
      <c r="H147" s="140" t="str">
        <f>IFERROR((VLOOKUP(LEFT($A147,4),'Cash Flow $s Yr1'!$B$12:$R$150,5,FALSE)),0)</f>
        <v/>
      </c>
      <c r="I147" s="140" t="str">
        <f>IFERROR((VLOOKUP(LEFT($A147,4),'Cash Flow $s Yr1'!$B$12:$R$150,6,FALSE)),0)</f>
        <v/>
      </c>
      <c r="J147" s="140" t="str">
        <f>IFERROR((VLOOKUP(LEFT($A147,4),'Cash Flow $s Yr1'!$B$12:$R$150,7,FALSE)),0)</f>
        <v/>
      </c>
      <c r="K147" s="140" t="str">
        <f>IFERROR((VLOOKUP(LEFT($A147,4),'Cash Flow $s Yr1'!$B$12:$R$150,8,FALSE)),0)</f>
        <v/>
      </c>
      <c r="L147" s="140" t="str">
        <f>IFERROR((VLOOKUP(LEFT($A147,4),'Cash Flow $s Yr1'!$B$12:$R$150,9,FALSE)),0)</f>
        <v/>
      </c>
      <c r="M147" s="140" t="str">
        <f>IFERROR((VLOOKUP(LEFT($A147,4),'Cash Flow $s Yr1'!$B$12:$R$150,10,FALSE)),0)</f>
        <v/>
      </c>
      <c r="N147" s="140" t="str">
        <f>IFERROR((VLOOKUP(LEFT($A147,4),'Cash Flow $s Yr1'!$B$12:$R$150,11,FALSE)),0)</f>
        <v/>
      </c>
      <c r="O147" s="140" t="str">
        <f>IFERROR((VLOOKUP(LEFT($A147,4),'Cash Flow $s Yr1'!$B$12:$R$150,12,FALSE)),0)</f>
        <v/>
      </c>
      <c r="P147" s="140" t="str">
        <f>IFERROR((VLOOKUP(LEFT($A147,4),'Cash Flow $s Yr1'!$B$12:$R$150,13,FALSE)),0)</f>
        <v/>
      </c>
      <c r="Q147" s="140" t="str">
        <f>IFERROR((VLOOKUP(LEFT($A147,4),'Cash Flow $s Yr1'!$B$12:$R$150,14,FALSE)),0)</f>
        <v/>
      </c>
    </row>
    <row r="148" spans="1:19" x14ac:dyDescent="0.6">
      <c r="A148" s="143" t="s">
        <v>998</v>
      </c>
      <c r="B148" s="142" t="s">
        <v>1260</v>
      </c>
      <c r="C148" s="140" t="s">
        <v>862</v>
      </c>
      <c r="D148" s="140" t="s">
        <v>863</v>
      </c>
      <c r="E148" s="140" t="s">
        <v>864</v>
      </c>
      <c r="F148" s="140">
        <f>IFERROR((VLOOKUP(LEFT($A148,4),'Cash Flow $s Yr1'!$B$12:$R$150,3,FALSE)),0)</f>
        <v>0</v>
      </c>
      <c r="G148" s="140">
        <f>IFERROR((VLOOKUP(LEFT($A148,4),'Cash Flow $s Yr1'!$B$12:$R$150,4,FALSE)),0)</f>
        <v>0</v>
      </c>
      <c r="H148" s="140">
        <f>IFERROR((VLOOKUP(LEFT($A148,4),'Cash Flow $s Yr1'!$B$12:$R$150,5,FALSE)),0)</f>
        <v>0</v>
      </c>
      <c r="I148" s="140">
        <f>IFERROR((VLOOKUP(LEFT($A148,4),'Cash Flow $s Yr1'!$B$12:$R$150,6,FALSE)),0)</f>
        <v>0</v>
      </c>
      <c r="J148" s="140">
        <f>IFERROR((VLOOKUP(LEFT($A148,4),'Cash Flow $s Yr1'!$B$12:$R$150,7,FALSE)),0)</f>
        <v>0</v>
      </c>
      <c r="K148" s="140">
        <f>IFERROR((VLOOKUP(LEFT($A148,4),'Cash Flow $s Yr1'!$B$12:$R$150,8,FALSE)),0)</f>
        <v>0</v>
      </c>
      <c r="L148" s="140">
        <f>IFERROR((VLOOKUP(LEFT($A148,4),'Cash Flow $s Yr1'!$B$12:$R$150,9,FALSE)),0)</f>
        <v>0</v>
      </c>
      <c r="M148" s="140">
        <f>IFERROR((VLOOKUP(LEFT($A148,4),'Cash Flow $s Yr1'!$B$12:$R$150,10,FALSE)),0)</f>
        <v>0</v>
      </c>
      <c r="N148" s="140">
        <f>IFERROR((VLOOKUP(LEFT($A148,4),'Cash Flow $s Yr1'!$B$12:$R$150,11,FALSE)),0)</f>
        <v>0</v>
      </c>
      <c r="O148" s="140">
        <f>IFERROR((VLOOKUP(LEFT($A148,4),'Cash Flow $s Yr1'!$B$12:$R$150,12,FALSE)),0)</f>
        <v>0</v>
      </c>
      <c r="P148" s="140">
        <f>IFERROR((VLOOKUP(LEFT($A148,4),'Cash Flow $s Yr1'!$B$12:$R$150,13,FALSE)),0)</f>
        <v>0</v>
      </c>
      <c r="Q148" s="140">
        <f>IFERROR((VLOOKUP(LEFT($A148,4),'Cash Flow $s Yr1'!$B$12:$R$150,14,FALSE)),0)</f>
        <v>0</v>
      </c>
    </row>
    <row r="149" spans="1:19" x14ac:dyDescent="0.6">
      <c r="A149" s="143" t="s">
        <v>999</v>
      </c>
      <c r="B149" s="142" t="s">
        <v>1260</v>
      </c>
      <c r="C149" s="140" t="s">
        <v>862</v>
      </c>
      <c r="D149" s="140" t="s">
        <v>863</v>
      </c>
      <c r="E149" s="140" t="s">
        <v>864</v>
      </c>
      <c r="F149" s="140" t="str">
        <f>IFERROR((VLOOKUP(LEFT($A149,4),'Cash Flow $s Yr1'!$B$12:$R$150,3,FALSE)),0)</f>
        <v/>
      </c>
      <c r="G149" s="140" t="str">
        <f>IFERROR((VLOOKUP(LEFT($A149,4),'Cash Flow $s Yr1'!$B$12:$R$150,4,FALSE)),0)</f>
        <v/>
      </c>
      <c r="H149" s="140" t="str">
        <f>IFERROR((VLOOKUP(LEFT($A149,4),'Cash Flow $s Yr1'!$B$12:$R$150,5,FALSE)),0)</f>
        <v/>
      </c>
      <c r="I149" s="140" t="str">
        <f>IFERROR((VLOOKUP(LEFT($A149,4),'Cash Flow $s Yr1'!$B$12:$R$150,6,FALSE)),0)</f>
        <v/>
      </c>
      <c r="J149" s="140" t="str">
        <f>IFERROR((VLOOKUP(LEFT($A149,4),'Cash Flow $s Yr1'!$B$12:$R$150,7,FALSE)),0)</f>
        <v/>
      </c>
      <c r="K149" s="140" t="str">
        <f>IFERROR((VLOOKUP(LEFT($A149,4),'Cash Flow $s Yr1'!$B$12:$R$150,8,FALSE)),0)</f>
        <v/>
      </c>
      <c r="L149" s="140" t="str">
        <f>IFERROR((VLOOKUP(LEFT($A149,4),'Cash Flow $s Yr1'!$B$12:$R$150,9,FALSE)),0)</f>
        <v/>
      </c>
      <c r="M149" s="140" t="str">
        <f>IFERROR((VLOOKUP(LEFT($A149,4),'Cash Flow $s Yr1'!$B$12:$R$150,10,FALSE)),0)</f>
        <v/>
      </c>
      <c r="N149" s="140" t="str">
        <f>IFERROR((VLOOKUP(LEFT($A149,4),'Cash Flow $s Yr1'!$B$12:$R$150,11,FALSE)),0)</f>
        <v/>
      </c>
      <c r="O149" s="140" t="str">
        <f>IFERROR((VLOOKUP(LEFT($A149,4),'Cash Flow $s Yr1'!$B$12:$R$150,12,FALSE)),0)</f>
        <v/>
      </c>
      <c r="P149" s="140" t="str">
        <f>IFERROR((VLOOKUP(LEFT($A149,4),'Cash Flow $s Yr1'!$B$12:$R$150,13,FALSE)),0)</f>
        <v/>
      </c>
      <c r="Q149" s="140" t="str">
        <f>IFERROR((VLOOKUP(LEFT($A149,4),'Cash Flow $s Yr1'!$B$12:$R$150,14,FALSE)),0)</f>
        <v/>
      </c>
    </row>
    <row r="150" spans="1:19" x14ac:dyDescent="0.6">
      <c r="A150" s="143" t="s">
        <v>1000</v>
      </c>
      <c r="B150" s="142" t="s">
        <v>1260</v>
      </c>
      <c r="C150" s="140" t="s">
        <v>862</v>
      </c>
      <c r="D150" s="140" t="s">
        <v>863</v>
      </c>
      <c r="E150" s="140" t="s">
        <v>864</v>
      </c>
      <c r="F150" s="140">
        <v>0</v>
      </c>
      <c r="G150" s="140">
        <v>0</v>
      </c>
      <c r="H150" s="140">
        <v>0</v>
      </c>
      <c r="I150" s="140">
        <v>0</v>
      </c>
      <c r="J150" s="140">
        <v>0</v>
      </c>
      <c r="K150" s="140">
        <v>0</v>
      </c>
      <c r="L150" s="140">
        <v>0</v>
      </c>
      <c r="M150" s="140">
        <v>0</v>
      </c>
      <c r="N150" s="140">
        <v>0</v>
      </c>
      <c r="O150" s="140">
        <v>0</v>
      </c>
      <c r="P150" s="140">
        <v>0</v>
      </c>
      <c r="Q150" s="140">
        <v>0</v>
      </c>
    </row>
    <row r="151" spans="1:19" x14ac:dyDescent="0.6">
      <c r="A151" s="143" t="s">
        <v>1001</v>
      </c>
      <c r="B151" s="142" t="s">
        <v>1260</v>
      </c>
      <c r="C151" s="140" t="s">
        <v>862</v>
      </c>
      <c r="D151" s="140" t="s">
        <v>863</v>
      </c>
      <c r="E151" s="140" t="s">
        <v>864</v>
      </c>
      <c r="F151" s="140">
        <v>0</v>
      </c>
      <c r="G151" s="140">
        <v>0</v>
      </c>
      <c r="H151" s="140">
        <v>0</v>
      </c>
      <c r="I151" s="140">
        <v>0</v>
      </c>
      <c r="J151" s="140">
        <v>0</v>
      </c>
      <c r="K151" s="140">
        <v>0</v>
      </c>
      <c r="L151" s="140">
        <v>0</v>
      </c>
      <c r="M151" s="140">
        <v>0</v>
      </c>
      <c r="N151" s="140">
        <v>0</v>
      </c>
      <c r="O151" s="140">
        <v>0</v>
      </c>
      <c r="P151" s="140">
        <v>0</v>
      </c>
      <c r="Q151" s="140">
        <v>0</v>
      </c>
    </row>
    <row r="152" spans="1:19" x14ac:dyDescent="0.6">
      <c r="A152" s="143" t="s">
        <v>1002</v>
      </c>
      <c r="B152" s="142" t="s">
        <v>1260</v>
      </c>
      <c r="C152" s="140" t="s">
        <v>862</v>
      </c>
      <c r="D152" s="140" t="s">
        <v>863</v>
      </c>
      <c r="E152" s="140" t="s">
        <v>864</v>
      </c>
      <c r="F152" s="140">
        <f>IFERROR((VLOOKUP(LEFT($A152,4),'Cash Flow $s Yr1'!$B$12:$R$150,3,FALSE)),0)</f>
        <v>0</v>
      </c>
      <c r="G152" s="140">
        <f>IFERROR((VLOOKUP(LEFT($A152,4),'Cash Flow $s Yr1'!$B$12:$R$150,4,FALSE)),0)</f>
        <v>0</v>
      </c>
      <c r="H152" s="140">
        <f>IFERROR((VLOOKUP(LEFT($A152,4),'Cash Flow $s Yr1'!$B$12:$R$150,5,FALSE)),0)</f>
        <v>0</v>
      </c>
      <c r="I152" s="140">
        <f>IFERROR((VLOOKUP(LEFT($A152,4),'Cash Flow $s Yr1'!$B$12:$R$150,6,FALSE)),0)</f>
        <v>0</v>
      </c>
      <c r="J152" s="140">
        <f>IFERROR((VLOOKUP(LEFT($A152,4),'Cash Flow $s Yr1'!$B$12:$R$150,7,FALSE)),0)</f>
        <v>0</v>
      </c>
      <c r="K152" s="140">
        <f>IFERROR((VLOOKUP(LEFT($A152,4),'Cash Flow $s Yr1'!$B$12:$R$150,8,FALSE)),0)</f>
        <v>0</v>
      </c>
      <c r="L152" s="140">
        <f>IFERROR((VLOOKUP(LEFT($A152,4),'Cash Flow $s Yr1'!$B$12:$R$150,9,FALSE)),0)</f>
        <v>0</v>
      </c>
      <c r="M152" s="140">
        <f>IFERROR((VLOOKUP(LEFT($A152,4),'Cash Flow $s Yr1'!$B$12:$R$150,10,FALSE)),0)</f>
        <v>0</v>
      </c>
      <c r="N152" s="140">
        <f>IFERROR((VLOOKUP(LEFT($A152,4),'Cash Flow $s Yr1'!$B$12:$R$150,11,FALSE)),0)</f>
        <v>0</v>
      </c>
      <c r="O152" s="140">
        <f>IFERROR((VLOOKUP(LEFT($A152,4),'Cash Flow $s Yr1'!$B$12:$R$150,12,FALSE)),0)</f>
        <v>0</v>
      </c>
      <c r="P152" s="140">
        <f>IFERROR((VLOOKUP(LEFT($A152,4),'Cash Flow $s Yr1'!$B$12:$R$150,13,FALSE)),0)</f>
        <v>0</v>
      </c>
      <c r="Q152" s="140">
        <f>IFERROR((VLOOKUP(LEFT($A152,4),'Cash Flow $s Yr1'!$B$12:$R$150,14,FALSE)),0)</f>
        <v>0</v>
      </c>
    </row>
    <row r="153" spans="1:19" x14ac:dyDescent="0.6">
      <c r="A153" s="143" t="s">
        <v>1003</v>
      </c>
      <c r="B153" s="142" t="s">
        <v>1260</v>
      </c>
      <c r="C153" s="140" t="s">
        <v>862</v>
      </c>
      <c r="D153" s="140" t="s">
        <v>863</v>
      </c>
      <c r="E153" s="140" t="s">
        <v>864</v>
      </c>
      <c r="F153" s="140">
        <v>0</v>
      </c>
      <c r="G153" s="140">
        <v>0</v>
      </c>
      <c r="H153" s="140">
        <v>0</v>
      </c>
      <c r="I153" s="140">
        <v>0</v>
      </c>
      <c r="J153" s="140">
        <v>0</v>
      </c>
      <c r="K153" s="140">
        <v>0</v>
      </c>
      <c r="L153" s="140">
        <v>0</v>
      </c>
      <c r="M153" s="140">
        <v>0</v>
      </c>
      <c r="N153" s="140">
        <v>0</v>
      </c>
      <c r="O153" s="140">
        <v>0</v>
      </c>
      <c r="P153" s="140">
        <v>0</v>
      </c>
      <c r="Q153" s="140">
        <v>0</v>
      </c>
    </row>
    <row r="154" spans="1:19" x14ac:dyDescent="0.6">
      <c r="A154" s="143" t="s">
        <v>1004</v>
      </c>
      <c r="B154" s="142" t="s">
        <v>1260</v>
      </c>
      <c r="C154" s="140" t="s">
        <v>862</v>
      </c>
      <c r="D154" s="140" t="s">
        <v>863</v>
      </c>
      <c r="E154" s="140" t="s">
        <v>864</v>
      </c>
      <c r="F154" s="140">
        <v>0</v>
      </c>
      <c r="G154" s="140">
        <v>0</v>
      </c>
      <c r="H154" s="140">
        <v>0</v>
      </c>
      <c r="I154" s="140">
        <v>0</v>
      </c>
      <c r="J154" s="140">
        <v>0</v>
      </c>
      <c r="K154" s="140">
        <v>0</v>
      </c>
      <c r="L154" s="140">
        <v>0</v>
      </c>
      <c r="M154" s="140">
        <v>0</v>
      </c>
      <c r="N154" s="140">
        <v>0</v>
      </c>
      <c r="O154" s="140">
        <v>0</v>
      </c>
      <c r="P154" s="140">
        <v>0</v>
      </c>
      <c r="Q154" s="140">
        <v>0</v>
      </c>
      <c r="S154" s="145" t="e">
        <f>SUM('Cash Flow $s Yr1'!D142:R142)/SUM(Fiscal_Sets!F97:Q154)</f>
        <v>#DIV/0!</v>
      </c>
    </row>
    <row r="155" spans="1:19" x14ac:dyDescent="0.6">
      <c r="A155" s="143" t="s">
        <v>1005</v>
      </c>
      <c r="B155" s="142" t="s">
        <v>1260</v>
      </c>
      <c r="C155" s="140" t="s">
        <v>862</v>
      </c>
      <c r="D155" s="140" t="s">
        <v>863</v>
      </c>
      <c r="E155" s="140" t="s">
        <v>864</v>
      </c>
      <c r="F155" s="140">
        <f>IFERROR((VLOOKUP(LEFT($A155,4),'Cash Flow $s Yr1'!$B$12:$R$150,3,FALSE)),0)</f>
        <v>0</v>
      </c>
      <c r="G155" s="140">
        <f>IFERROR((VLOOKUP(LEFT($A155,4),'Cash Flow $s Yr1'!$B$12:$R$150,4,FALSE)),0)</f>
        <v>0</v>
      </c>
      <c r="H155" s="140">
        <f>IFERROR((VLOOKUP(LEFT($A155,4),'Cash Flow $s Yr1'!$B$12:$R$150,5,FALSE)),0)</f>
        <v>0</v>
      </c>
      <c r="I155" s="140" t="str">
        <f>IFERROR((VLOOKUP(LEFT($A155,4),'Cash Flow $s Yr1'!$B$12:$R$150,6,FALSE)),0)</f>
        <v/>
      </c>
      <c r="J155" s="140" t="str">
        <f>IFERROR((VLOOKUP(LEFT($A155,4),'Cash Flow $s Yr1'!$B$12:$R$150,7,FALSE)),0)</f>
        <v/>
      </c>
      <c r="K155" s="140" t="str">
        <f>IFERROR((VLOOKUP(LEFT($A155,4),'Cash Flow $s Yr1'!$B$12:$R$150,8,FALSE)),0)</f>
        <v/>
      </c>
      <c r="L155" s="140" t="str">
        <f>IFERROR((VLOOKUP(LEFT($A155,4),'Cash Flow $s Yr1'!$B$12:$R$150,9,FALSE)),0)</f>
        <v/>
      </c>
      <c r="M155" s="140" t="str">
        <f>IFERROR((VLOOKUP(LEFT($A155,4),'Cash Flow $s Yr1'!$B$12:$R$150,10,FALSE)),0)</f>
        <v/>
      </c>
      <c r="N155" s="140" t="str">
        <f>IFERROR((VLOOKUP(LEFT($A155,4),'Cash Flow $s Yr1'!$B$12:$R$150,11,FALSE)),0)</f>
        <v/>
      </c>
      <c r="O155" s="140" t="str">
        <f>IFERROR((VLOOKUP(LEFT($A155,4),'Cash Flow $s Yr1'!$B$12:$R$150,12,FALSE)),0)</f>
        <v/>
      </c>
      <c r="P155" s="140" t="str">
        <f>IFERROR((VLOOKUP(LEFT($A155,4),'Cash Flow $s Yr1'!$B$12:$R$150,13,FALSE)),0)</f>
        <v/>
      </c>
      <c r="Q155" s="140" t="str">
        <f>IFERROR((VLOOKUP(LEFT($A155,4),'Cash Flow $s Yr1'!$B$12:$R$150,14,FALSE)),0)</f>
        <v/>
      </c>
      <c r="S155" s="145" t="e">
        <f>SUM('Cash Flow $s Yr1'!D146:R146)/SUM(Fiscal_Sets!F155:Q155)</f>
        <v>#DIV/0!</v>
      </c>
    </row>
    <row r="156" spans="1:19" x14ac:dyDescent="0.6">
      <c r="A156" s="143" t="s">
        <v>1006</v>
      </c>
      <c r="B156" s="142" t="s">
        <v>1260</v>
      </c>
      <c r="C156" s="140" t="s">
        <v>862</v>
      </c>
      <c r="D156" s="140" t="s">
        <v>863</v>
      </c>
      <c r="E156" s="140" t="s">
        <v>864</v>
      </c>
      <c r="F156" s="140" t="str">
        <f>IFERROR((VLOOKUP(LEFT($A156,4),'Cash Flow $s Yr1'!$B$12:$R$150,3,FALSE)),0)</f>
        <v/>
      </c>
      <c r="G156" s="140" t="str">
        <f>IFERROR((VLOOKUP(LEFT($A156,4),'Cash Flow $s Yr1'!$B$12:$R$150,4,FALSE)),0)</f>
        <v/>
      </c>
      <c r="H156" s="140" t="str">
        <f>IFERROR((VLOOKUP(LEFT($A156,4),'Cash Flow $s Yr1'!$B$12:$R$150,5,FALSE)),0)</f>
        <v/>
      </c>
      <c r="I156" s="140" t="str">
        <f>IFERROR((VLOOKUP(LEFT($A156,4),'Cash Flow $s Yr1'!$B$12:$R$150,6,FALSE)),0)</f>
        <v/>
      </c>
      <c r="J156" s="140" t="str">
        <f>IFERROR((VLOOKUP(LEFT($A156,4),'Cash Flow $s Yr1'!$B$12:$R$150,7,FALSE)),0)</f>
        <v/>
      </c>
      <c r="K156" s="140" t="str">
        <f>IFERROR((VLOOKUP(LEFT($A156,4),'Cash Flow $s Yr1'!$B$12:$R$150,8,FALSE)),0)</f>
        <v/>
      </c>
      <c r="L156" s="140" t="str">
        <f>IFERROR((VLOOKUP(LEFT($A156,4),'Cash Flow $s Yr1'!$B$12:$R$150,9,FALSE)),0)</f>
        <v/>
      </c>
      <c r="M156" s="140" t="str">
        <f>IFERROR((VLOOKUP(LEFT($A156,4),'Cash Flow $s Yr1'!$B$12:$R$150,10,FALSE)),0)</f>
        <v/>
      </c>
      <c r="N156" s="140" t="str">
        <f>IFERROR((VLOOKUP(LEFT($A156,4),'Cash Flow $s Yr1'!$B$12:$R$150,11,FALSE)),0)</f>
        <v/>
      </c>
      <c r="O156" s="140" t="str">
        <f>IFERROR((VLOOKUP(LEFT($A156,4),'Cash Flow $s Yr1'!$B$12:$R$150,12,FALSE)),0)</f>
        <v/>
      </c>
      <c r="P156" s="140" t="str">
        <f>IFERROR((VLOOKUP(LEFT($A156,4),'Cash Flow $s Yr1'!$B$12:$R$150,13,FALSE)),0)</f>
        <v/>
      </c>
      <c r="Q156" s="140" t="str">
        <f>IFERROR((VLOOKUP(LEFT($A156,4),'Cash Flow $s Yr1'!$B$12:$R$150,14,FALSE)),0)</f>
        <v/>
      </c>
    </row>
    <row r="157" spans="1:19" x14ac:dyDescent="0.6">
      <c r="A157" s="143" t="s">
        <v>1007</v>
      </c>
      <c r="B157" s="142" t="s">
        <v>1260</v>
      </c>
      <c r="C157" s="140" t="s">
        <v>862</v>
      </c>
      <c r="D157" s="140" t="s">
        <v>863</v>
      </c>
      <c r="E157" s="140" t="s">
        <v>864</v>
      </c>
      <c r="F157" s="140">
        <v>0</v>
      </c>
      <c r="G157" s="140">
        <v>0</v>
      </c>
      <c r="H157" s="140">
        <v>0</v>
      </c>
      <c r="I157" s="140">
        <v>0</v>
      </c>
      <c r="J157" s="140">
        <v>0</v>
      </c>
      <c r="K157" s="140">
        <v>0</v>
      </c>
      <c r="L157" s="140">
        <v>0</v>
      </c>
      <c r="M157" s="140">
        <v>0</v>
      </c>
      <c r="N157" s="140">
        <v>0</v>
      </c>
      <c r="O157" s="140">
        <v>0</v>
      </c>
      <c r="P157" s="140">
        <v>0</v>
      </c>
      <c r="Q157" s="140">
        <v>0</v>
      </c>
    </row>
    <row r="158" spans="1:19" x14ac:dyDescent="0.6">
      <c r="A158" s="143" t="s">
        <v>1008</v>
      </c>
      <c r="B158" s="142" t="s">
        <v>1260</v>
      </c>
      <c r="C158" s="140" t="s">
        <v>862</v>
      </c>
      <c r="D158" s="140" t="s">
        <v>863</v>
      </c>
      <c r="E158" s="140" t="s">
        <v>864</v>
      </c>
      <c r="F158" s="140" t="str">
        <f>IFERROR((VLOOKUP(LEFT($A158,4),'Cash Flow $s Yr1'!$B$12:$R$150,3,FALSE)),0)</f>
        <v/>
      </c>
      <c r="G158" s="140" t="str">
        <f>IFERROR((VLOOKUP(LEFT($A158,4),'Cash Flow $s Yr1'!$B$12:$R$150,4,FALSE)),0)</f>
        <v/>
      </c>
      <c r="H158" s="140" t="str">
        <f>IFERROR((VLOOKUP(LEFT($A158,4),'Cash Flow $s Yr1'!$B$12:$R$150,5,FALSE)),0)</f>
        <v/>
      </c>
      <c r="I158" s="140" t="str">
        <f>IFERROR((VLOOKUP(LEFT($A158,4),'Cash Flow $s Yr1'!$B$12:$R$150,6,FALSE)),0)</f>
        <v/>
      </c>
      <c r="J158" s="140" t="str">
        <f>IFERROR((VLOOKUP(LEFT($A158,4),'Cash Flow $s Yr1'!$B$12:$R$150,7,FALSE)),0)</f>
        <v/>
      </c>
      <c r="K158" s="140" t="str">
        <f>IFERROR((VLOOKUP(LEFT($A158,4),'Cash Flow $s Yr1'!$B$12:$R$150,8,FALSE)),0)</f>
        <v/>
      </c>
      <c r="L158" s="140" t="str">
        <f>IFERROR((VLOOKUP(LEFT($A158,4),'Cash Flow $s Yr1'!$B$12:$R$150,9,FALSE)),0)</f>
        <v/>
      </c>
      <c r="M158" s="140" t="str">
        <f>IFERROR((VLOOKUP(LEFT($A158,4),'Cash Flow $s Yr1'!$B$12:$R$150,10,FALSE)),0)</f>
        <v/>
      </c>
      <c r="N158" s="140" t="str">
        <f>IFERROR((VLOOKUP(LEFT($A158,4),'Cash Flow $s Yr1'!$B$12:$R$150,11,FALSE)),0)</f>
        <v/>
      </c>
      <c r="O158" s="140" t="str">
        <f>IFERROR((VLOOKUP(LEFT($A158,4),'Cash Flow $s Yr1'!$B$12:$R$150,12,FALSE)),0)</f>
        <v/>
      </c>
      <c r="P158" s="140" t="str">
        <f>IFERROR((VLOOKUP(LEFT($A158,4),'Cash Flow $s Yr1'!$B$12:$R$150,13,FALSE)),0)</f>
        <v/>
      </c>
      <c r="Q158" s="140" t="str">
        <f>IFERROR((VLOOKUP(LEFT($A158,4),'Cash Flow $s Yr1'!$B$12:$R$150,14,FALSE)),0)</f>
        <v/>
      </c>
      <c r="S158" s="145" t="e">
        <f>SUM('Cash Flow $s Yr1'!D151:R151)/SUM(Fiscal_Sets!F156:Q158)</f>
        <v>#DIV/0!</v>
      </c>
    </row>
    <row r="159" spans="1:19" x14ac:dyDescent="0.6">
      <c r="A159" s="143" t="s">
        <v>1239</v>
      </c>
      <c r="B159" s="142" t="s">
        <v>1260</v>
      </c>
      <c r="C159" s="140" t="s">
        <v>862</v>
      </c>
      <c r="D159" s="140" t="s">
        <v>863</v>
      </c>
      <c r="E159" s="140" t="s">
        <v>864</v>
      </c>
      <c r="F159" s="150">
        <f>IFERROR((-VLOOKUP(LEFT($A159,4),'Cash Flow $s Yr1'!$B$12:$R$150,3,FALSE)),0)</f>
        <v>0</v>
      </c>
      <c r="G159" s="150">
        <f>IFERROR((-VLOOKUP(LEFT($A159,4),'Cash Flow $s Yr1'!$B$12:$R$150,4,FALSE)),0)</f>
        <v>0</v>
      </c>
      <c r="H159" s="150">
        <f>IFERROR((-VLOOKUP(LEFT($A159,4),'Cash Flow $s Yr1'!$B$12:$R$150,5,FALSE)),0)</f>
        <v>0</v>
      </c>
      <c r="I159" s="150">
        <f>IFERROR((-VLOOKUP(LEFT($A159,4),'Cash Flow $s Yr1'!$B$12:$R$150,6,FALSE)),0)</f>
        <v>0</v>
      </c>
      <c r="J159" s="150">
        <f>IFERROR((-VLOOKUP(LEFT($A159,4),'Cash Flow $s Yr1'!$B$12:$R$150,7,FALSE)),0)</f>
        <v>0</v>
      </c>
      <c r="K159" s="150">
        <f>IFERROR((-VLOOKUP(LEFT($A159,4),'Cash Flow $s Yr1'!$B$12:$R$150,8,FALSE)),0)</f>
        <v>0</v>
      </c>
      <c r="L159" s="150">
        <f>IFERROR((-VLOOKUP(LEFT($A159,4),'Cash Flow $s Yr1'!$B$12:$R$150,9,FALSE)),0)</f>
        <v>0</v>
      </c>
      <c r="M159" s="150">
        <f>IFERROR((-VLOOKUP(LEFT($A159,4),'Cash Flow $s Yr1'!$B$12:$R$150,10,FALSE)),0)</f>
        <v>0</v>
      </c>
      <c r="N159" s="150">
        <f>IFERROR((-VLOOKUP(LEFT($A159,4),'Cash Flow $s Yr1'!$B$12:$R$150,11,FALSE)),0)</f>
        <v>0</v>
      </c>
      <c r="O159" s="150">
        <f>IFERROR((-VLOOKUP(LEFT($A159,4),'Cash Flow $s Yr1'!$B$12:$R$150,12,FALSE)),0)</f>
        <v>0</v>
      </c>
      <c r="P159" s="150">
        <f>IFERROR((-VLOOKUP(LEFT($A159,4),'Cash Flow $s Yr1'!$B$12:$R$150,13,FALSE)),0)</f>
        <v>0</v>
      </c>
      <c r="Q159" s="150">
        <f>IFERROR((-VLOOKUP(LEFT($A159,4),'Cash Flow $s Yr1'!$B$12:$R$150,14,FALSE)-VLOOKUP(LEFT($A159,4),'Cash Flow $s Yr1'!$B$12:$R$150,15,FALSE)-VLOOKUP(LEFT($A159,4),'Cash Flow $s Yr1'!$B$12:$R$150,16,FALSE)-VLOOKUP(LEFT($A159,4),'Cash Flow $s Yr1'!$B$12:$R$150,17,FALSE)),0)</f>
        <v>0</v>
      </c>
    </row>
    <row r="160" spans="1:19" x14ac:dyDescent="0.6">
      <c r="A160" s="143" t="s">
        <v>1236</v>
      </c>
      <c r="B160" s="142" t="s">
        <v>1260</v>
      </c>
      <c r="C160" s="140" t="s">
        <v>862</v>
      </c>
      <c r="D160" s="140" t="s">
        <v>863</v>
      </c>
      <c r="E160" s="140" t="s">
        <v>864</v>
      </c>
      <c r="F160" s="150">
        <f>IFERROR((-VLOOKUP(LEFT($A160,4),'Cash Flow $s Yr1'!$B$12:$R$150,3,FALSE)),0)</f>
        <v>0</v>
      </c>
      <c r="G160" s="150">
        <f>IFERROR((-VLOOKUP(LEFT($A160,4),'Cash Flow $s Yr1'!$B$12:$R$150,4,FALSE)),0)</f>
        <v>0</v>
      </c>
      <c r="H160" s="150">
        <f>IFERROR((-VLOOKUP(LEFT($A160,4),'Cash Flow $s Yr1'!$B$12:$R$150,5,FALSE)),0)</f>
        <v>0</v>
      </c>
      <c r="I160" s="150">
        <f>IFERROR((-VLOOKUP(LEFT($A160,4),'Cash Flow $s Yr1'!$B$12:$R$150,6,FALSE)),0)</f>
        <v>0</v>
      </c>
      <c r="J160" s="150">
        <f>IFERROR((-VLOOKUP(LEFT($A160,4),'Cash Flow $s Yr1'!$B$12:$R$150,7,FALSE)),0)</f>
        <v>0</v>
      </c>
      <c r="K160" s="150">
        <f>IFERROR((-VLOOKUP(LEFT($A160,4),'Cash Flow $s Yr1'!$B$12:$R$150,8,FALSE)),0)</f>
        <v>0</v>
      </c>
      <c r="L160" s="150">
        <f>IFERROR((-VLOOKUP(LEFT($A160,4),'Cash Flow $s Yr1'!$B$12:$R$150,9,FALSE)),0)</f>
        <v>0</v>
      </c>
      <c r="M160" s="150">
        <f>IFERROR((-VLOOKUP(LEFT($A160,4),'Cash Flow $s Yr1'!$B$12:$R$150,10,FALSE)),0)</f>
        <v>0</v>
      </c>
      <c r="N160" s="150">
        <f>IFERROR((-VLOOKUP(LEFT($A160,4),'Cash Flow $s Yr1'!$B$12:$R$150,11,FALSE)),0)</f>
        <v>0</v>
      </c>
      <c r="O160" s="150">
        <f>IFERROR((-VLOOKUP(LEFT($A160,4),'Cash Flow $s Yr1'!$B$12:$R$150,12,FALSE)),0)</f>
        <v>0</v>
      </c>
      <c r="P160" s="150">
        <f>IFERROR((-VLOOKUP(LEFT($A160,4),'Cash Flow $s Yr1'!$B$12:$R$150,13,FALSE)),0)</f>
        <v>0</v>
      </c>
      <c r="Q160" s="150">
        <f>IFERROR((-VLOOKUP(LEFT($A160,4),'Cash Flow $s Yr1'!$B$12:$R$150,14,FALSE)-VLOOKUP(LEFT($A160,4),'Cash Flow $s Yr1'!$B$12:$R$150,15,FALSE)-VLOOKUP(LEFT($A160,4),'Cash Flow $s Yr1'!$B$12:$R$150,16,FALSE)-VLOOKUP(LEFT($A160,4),'Cash Flow $s Yr1'!$B$12:$R$150,17,FALSE)),0)</f>
        <v>0</v>
      </c>
    </row>
    <row r="161" spans="1:20" x14ac:dyDescent="0.6">
      <c r="A161" s="143" t="s">
        <v>1009</v>
      </c>
      <c r="B161" s="142" t="s">
        <v>1260</v>
      </c>
      <c r="C161" s="140" t="s">
        <v>862</v>
      </c>
      <c r="D161" s="140" t="s">
        <v>863</v>
      </c>
      <c r="E161" s="140" t="s">
        <v>864</v>
      </c>
      <c r="F161" s="150">
        <f>IFERROR((-VLOOKUP(LEFT($A161,4),'Cash Flow $s Yr1'!$B$12:$R$150,3,FALSE)),0)</f>
        <v>0</v>
      </c>
      <c r="G161" s="150">
        <f>IFERROR((-VLOOKUP(LEFT($A161,4),'Cash Flow $s Yr1'!$B$12:$R$150,4,FALSE)),0)</f>
        <v>0</v>
      </c>
      <c r="H161" s="150">
        <f>IFERROR((-VLOOKUP(LEFT($A161,4),'Cash Flow $s Yr1'!$B$12:$R$150,5,FALSE)),0)</f>
        <v>0</v>
      </c>
      <c r="I161" s="150">
        <f>IFERROR((-VLOOKUP(LEFT($A161,4),'Cash Flow $s Yr1'!$B$12:$R$150,6,FALSE)),0)</f>
        <v>0</v>
      </c>
      <c r="J161" s="150">
        <f>IFERROR((-VLOOKUP(LEFT($A161,4),'Cash Flow $s Yr1'!$B$12:$R$150,7,FALSE)),0)</f>
        <v>0</v>
      </c>
      <c r="K161" s="150">
        <f>IFERROR((-VLOOKUP(LEFT($A161,4),'Cash Flow $s Yr1'!$B$12:$R$150,8,FALSE)),0)</f>
        <v>0</v>
      </c>
      <c r="L161" s="150">
        <f>IFERROR((-VLOOKUP(LEFT($A161,4),'Cash Flow $s Yr1'!$B$12:$R$150,9,FALSE)),0)</f>
        <v>0</v>
      </c>
      <c r="M161" s="150">
        <f>IFERROR((-VLOOKUP(LEFT($A161,4),'Cash Flow $s Yr1'!$B$12:$R$150,10,FALSE)),0)</f>
        <v>0</v>
      </c>
      <c r="N161" s="150">
        <f>IFERROR((-VLOOKUP(LEFT($A161,4),'Cash Flow $s Yr1'!$B$12:$R$150,11,FALSE)),0)</f>
        <v>0</v>
      </c>
      <c r="O161" s="150">
        <f>IFERROR((-VLOOKUP(LEFT($A161,4),'Cash Flow $s Yr1'!$B$12:$R$150,12,FALSE)),0)</f>
        <v>0</v>
      </c>
      <c r="P161" s="150">
        <f>IFERROR((-VLOOKUP(LEFT($A161,4),'Cash Flow $s Yr1'!$B$12:$R$150,13,FALSE)),0)</f>
        <v>0</v>
      </c>
      <c r="Q161" s="150">
        <f>IFERROR((-VLOOKUP(LEFT($A161,4),'Cash Flow $s Yr1'!$B$12:$R$150,14,FALSE)-VLOOKUP(LEFT($A161,4),'Cash Flow $s Yr1'!$B$12:$R$150,15,FALSE)-VLOOKUP(LEFT($A161,4),'Cash Flow $s Yr1'!$B$12:$R$150,16,FALSE)-VLOOKUP(LEFT($A161,4),'Cash Flow $s Yr1'!$B$12:$R$150,17,FALSE)),0)</f>
        <v>0</v>
      </c>
      <c r="S161" s="140"/>
    </row>
    <row r="162" spans="1:20" x14ac:dyDescent="0.6">
      <c r="A162" s="143" t="s">
        <v>1010</v>
      </c>
      <c r="B162" s="142" t="s">
        <v>1260</v>
      </c>
      <c r="C162" s="140" t="s">
        <v>862</v>
      </c>
      <c r="D162" s="140" t="s">
        <v>863</v>
      </c>
      <c r="E162" s="140" t="s">
        <v>864</v>
      </c>
      <c r="F162" s="150">
        <f>IFERROR((-VLOOKUP(LEFT($A162,4),'Cash Flow $s Yr1'!$B$12:$R$150,3,FALSE)),0)</f>
        <v>0</v>
      </c>
      <c r="G162" s="150">
        <f>IFERROR((-VLOOKUP(LEFT($A162,4),'Cash Flow $s Yr1'!$B$12:$R$150,4,FALSE)),0)</f>
        <v>0</v>
      </c>
      <c r="H162" s="150">
        <f>IFERROR((-VLOOKUP(LEFT($A162,4),'Cash Flow $s Yr1'!$B$12:$R$150,5,FALSE)),0)</f>
        <v>0</v>
      </c>
      <c r="I162" s="150">
        <f>IFERROR((-VLOOKUP(LEFT($A162,4),'Cash Flow $s Yr1'!$B$12:$R$150,6,FALSE)),0)</f>
        <v>0</v>
      </c>
      <c r="J162" s="150">
        <f>IFERROR((-VLOOKUP(LEFT($A162,4),'Cash Flow $s Yr1'!$B$12:$R$150,7,FALSE)),0)</f>
        <v>0</v>
      </c>
      <c r="K162" s="150">
        <f>IFERROR((-VLOOKUP(LEFT($A162,4),'Cash Flow $s Yr1'!$B$12:$R$150,8,FALSE)),0)</f>
        <v>0</v>
      </c>
      <c r="L162" s="150">
        <f>IFERROR((-VLOOKUP(LEFT($A162,4),'Cash Flow $s Yr1'!$B$12:$R$150,9,FALSE)),0)</f>
        <v>0</v>
      </c>
      <c r="M162" s="150">
        <f>IFERROR((-VLOOKUP(LEFT($A162,4),'Cash Flow $s Yr1'!$B$12:$R$150,10,FALSE)),0)</f>
        <v>0</v>
      </c>
      <c r="N162" s="150">
        <f>IFERROR((-VLOOKUP(LEFT($A162,4),'Cash Flow $s Yr1'!$B$12:$R$150,11,FALSE)),0)</f>
        <v>0</v>
      </c>
      <c r="O162" s="150">
        <f>IFERROR((-VLOOKUP(LEFT($A162,4),'Cash Flow $s Yr1'!$B$12:$R$150,12,FALSE)),0)</f>
        <v>0</v>
      </c>
      <c r="P162" s="150">
        <f>IFERROR((-VLOOKUP(LEFT($A162,4),'Cash Flow $s Yr1'!$B$12:$R$150,13,FALSE)),0)</f>
        <v>0</v>
      </c>
      <c r="Q162" s="150">
        <f>IFERROR((-VLOOKUP(LEFT($A162,4),'Cash Flow $s Yr1'!$B$12:$R$150,14,FALSE)-VLOOKUP(LEFT($A162,4),'Cash Flow $s Yr1'!$B$12:$R$150,15,FALSE)-VLOOKUP(LEFT($A162,4),'Cash Flow $s Yr1'!$B$12:$R$150,16,FALSE)-VLOOKUP(LEFT($A162,4),'Cash Flow $s Yr1'!$B$12:$R$150,17,FALSE)),0)</f>
        <v>0</v>
      </c>
    </row>
    <row r="163" spans="1:20" x14ac:dyDescent="0.6">
      <c r="A163" s="143" t="s">
        <v>1011</v>
      </c>
      <c r="B163" s="142" t="s">
        <v>1260</v>
      </c>
      <c r="C163" s="140" t="s">
        <v>862</v>
      </c>
      <c r="D163" s="140" t="s">
        <v>863</v>
      </c>
      <c r="E163" s="140" t="s">
        <v>864</v>
      </c>
      <c r="F163" s="150">
        <f>IFERROR((-VLOOKUP(LEFT($A163,4),'Cash Flow $s Yr1'!$B$12:$R$150,3,FALSE)),0)</f>
        <v>0</v>
      </c>
      <c r="G163" s="150">
        <f>IFERROR((-VLOOKUP(LEFT($A163,4),'Cash Flow $s Yr1'!$B$12:$R$150,4,FALSE)),0)</f>
        <v>0</v>
      </c>
      <c r="H163" s="150">
        <f>IFERROR((-VLOOKUP(LEFT($A163,4),'Cash Flow $s Yr1'!$B$12:$R$150,5,FALSE)),0)</f>
        <v>0</v>
      </c>
      <c r="I163" s="150">
        <f>IFERROR((-VLOOKUP(LEFT($A163,4),'Cash Flow $s Yr1'!$B$12:$R$150,6,FALSE)),0)</f>
        <v>0</v>
      </c>
      <c r="J163" s="150">
        <f>IFERROR((-VLOOKUP(LEFT($A163,4),'Cash Flow $s Yr1'!$B$12:$R$150,7,FALSE)),0)</f>
        <v>0</v>
      </c>
      <c r="K163" s="150">
        <f>IFERROR((-VLOOKUP(LEFT($A163,4),'Cash Flow $s Yr1'!$B$12:$R$150,8,FALSE)),0)</f>
        <v>0</v>
      </c>
      <c r="L163" s="150">
        <f>IFERROR((-VLOOKUP(LEFT($A163,4),'Cash Flow $s Yr1'!$B$12:$R$150,9,FALSE)),0)</f>
        <v>0</v>
      </c>
      <c r="M163" s="150">
        <f>IFERROR((-VLOOKUP(LEFT($A163,4),'Cash Flow $s Yr1'!$B$12:$R$150,10,FALSE)),0)</f>
        <v>0</v>
      </c>
      <c r="N163" s="150">
        <f>IFERROR((-VLOOKUP(LEFT($A163,4),'Cash Flow $s Yr1'!$B$12:$R$150,11,FALSE)),0)</f>
        <v>0</v>
      </c>
      <c r="O163" s="150">
        <f>IFERROR((-VLOOKUP(LEFT($A163,4),'Cash Flow $s Yr1'!$B$12:$R$150,12,FALSE)),0)</f>
        <v>0</v>
      </c>
      <c r="P163" s="150">
        <f>IFERROR((-VLOOKUP(LEFT($A163,4),'Cash Flow $s Yr1'!$B$12:$R$150,13,FALSE)),0)</f>
        <v>0</v>
      </c>
      <c r="Q163" s="150">
        <f>IFERROR((-VLOOKUP(LEFT($A163,4),'Cash Flow $s Yr1'!$B$12:$R$150,14,FALSE)-VLOOKUP(LEFT($A163,4),'Cash Flow $s Yr1'!$B$12:$R$150,15,FALSE)-VLOOKUP(LEFT($A163,4),'Cash Flow $s Yr1'!$B$12:$R$150,16,FALSE)-VLOOKUP(LEFT($A163,4),'Cash Flow $s Yr1'!$B$12:$R$150,17,FALSE)),0)</f>
        <v>0</v>
      </c>
    </row>
    <row r="164" spans="1:20" x14ac:dyDescent="0.6">
      <c r="A164" s="143" t="s">
        <v>1012</v>
      </c>
      <c r="B164" s="142" t="s">
        <v>1260</v>
      </c>
      <c r="C164" s="140" t="s">
        <v>862</v>
      </c>
      <c r="D164" s="140" t="s">
        <v>863</v>
      </c>
      <c r="E164" s="140" t="s">
        <v>864</v>
      </c>
      <c r="F164" s="150">
        <f>IFERROR((-VLOOKUP(LEFT($A164,4),'Cash Flow $s Yr1'!$B$12:$R$150,3,FALSE)),0)</f>
        <v>0</v>
      </c>
      <c r="G164" s="150">
        <f>IFERROR((-VLOOKUP(LEFT($A164,4),'Cash Flow $s Yr1'!$B$12:$R$150,4,FALSE)),0)</f>
        <v>0</v>
      </c>
      <c r="H164" s="150">
        <f>IFERROR((-VLOOKUP(LEFT($A164,4),'Cash Flow $s Yr1'!$B$12:$R$150,5,FALSE)),0)</f>
        <v>0</v>
      </c>
      <c r="I164" s="150">
        <f>IFERROR((-VLOOKUP(LEFT($A164,4),'Cash Flow $s Yr1'!$B$12:$R$150,6,FALSE)),0)</f>
        <v>0</v>
      </c>
      <c r="J164" s="150">
        <f>IFERROR((-VLOOKUP(LEFT($A164,4),'Cash Flow $s Yr1'!$B$12:$R$150,7,FALSE)),0)</f>
        <v>0</v>
      </c>
      <c r="K164" s="150">
        <f>IFERROR((-VLOOKUP(LEFT($A164,4),'Cash Flow $s Yr1'!$B$12:$R$150,8,FALSE)),0)</f>
        <v>0</v>
      </c>
      <c r="L164" s="150">
        <f>IFERROR((-VLOOKUP(LEFT($A164,4),'Cash Flow $s Yr1'!$B$12:$R$150,9,FALSE)),0)</f>
        <v>0</v>
      </c>
      <c r="M164" s="150">
        <f>IFERROR((-VLOOKUP(LEFT($A164,4),'Cash Flow $s Yr1'!$B$12:$R$150,10,FALSE)),0)</f>
        <v>0</v>
      </c>
      <c r="N164" s="150">
        <f>IFERROR((-VLOOKUP(LEFT($A164,4),'Cash Flow $s Yr1'!$B$12:$R$150,11,FALSE)),0)</f>
        <v>0</v>
      </c>
      <c r="O164" s="150">
        <f>IFERROR((-VLOOKUP(LEFT($A164,4),'Cash Flow $s Yr1'!$B$12:$R$150,12,FALSE)),0)</f>
        <v>0</v>
      </c>
      <c r="P164" s="150">
        <f>IFERROR((-VLOOKUP(LEFT($A164,4),'Cash Flow $s Yr1'!$B$12:$R$150,13,FALSE)),0)</f>
        <v>0</v>
      </c>
      <c r="Q164" s="150">
        <f>IFERROR((-VLOOKUP(LEFT($A164,4),'Cash Flow $s Yr1'!$B$12:$R$150,14,FALSE)-VLOOKUP(LEFT($A164,4),'Cash Flow $s Yr1'!$B$12:$R$150,15,FALSE)-VLOOKUP(LEFT($A164,4),'Cash Flow $s Yr1'!$B$12:$R$150,16,FALSE)-VLOOKUP(LEFT($A164,4),'Cash Flow $s Yr1'!$B$12:$R$150,17,FALSE)),0)</f>
        <v>0</v>
      </c>
    </row>
    <row r="165" spans="1:20" x14ac:dyDescent="0.6">
      <c r="A165" s="143" t="s">
        <v>1013</v>
      </c>
      <c r="B165" s="142" t="s">
        <v>1260</v>
      </c>
      <c r="C165" s="140" t="s">
        <v>862</v>
      </c>
      <c r="D165" s="140" t="s">
        <v>863</v>
      </c>
      <c r="E165" s="140" t="s">
        <v>864</v>
      </c>
      <c r="F165" s="150">
        <f>IFERROR((-VLOOKUP(LEFT($A165,4),'Cash Flow $s Yr1'!$B$12:$R$150,3,FALSE)),0)</f>
        <v>0</v>
      </c>
      <c r="G165" s="150">
        <f>IFERROR((-VLOOKUP(LEFT($A165,4),'Cash Flow $s Yr1'!$B$12:$R$150,4,FALSE)),0)</f>
        <v>0</v>
      </c>
      <c r="H165" s="150">
        <f>IFERROR((-VLOOKUP(LEFT($A165,4),'Cash Flow $s Yr1'!$B$12:$R$150,5,FALSE)),0)</f>
        <v>0</v>
      </c>
      <c r="I165" s="150">
        <f>IFERROR((-VLOOKUP(LEFT($A165,4),'Cash Flow $s Yr1'!$B$12:$R$150,6,FALSE)),0)</f>
        <v>0</v>
      </c>
      <c r="J165" s="150">
        <f>IFERROR((-VLOOKUP(LEFT($A165,4),'Cash Flow $s Yr1'!$B$12:$R$150,7,FALSE)),0)</f>
        <v>0</v>
      </c>
      <c r="K165" s="150">
        <f>IFERROR((-VLOOKUP(LEFT($A165,4),'Cash Flow $s Yr1'!$B$12:$R$150,8,FALSE)),0)</f>
        <v>0</v>
      </c>
      <c r="L165" s="150">
        <f>IFERROR((-VLOOKUP(LEFT($A165,4),'Cash Flow $s Yr1'!$B$12:$R$150,9,FALSE)),0)</f>
        <v>0</v>
      </c>
      <c r="M165" s="150">
        <f>IFERROR((-VLOOKUP(LEFT($A165,4),'Cash Flow $s Yr1'!$B$12:$R$150,10,FALSE)),0)</f>
        <v>0</v>
      </c>
      <c r="N165" s="150">
        <f>IFERROR((-VLOOKUP(LEFT($A165,4),'Cash Flow $s Yr1'!$B$12:$R$150,11,FALSE)),0)</f>
        <v>0</v>
      </c>
      <c r="O165" s="150">
        <f>IFERROR((-VLOOKUP(LEFT($A165,4),'Cash Flow $s Yr1'!$B$12:$R$150,12,FALSE)),0)</f>
        <v>0</v>
      </c>
      <c r="P165" s="150">
        <f>IFERROR((-VLOOKUP(LEFT($A165,4),'Cash Flow $s Yr1'!$B$12:$R$150,13,FALSE)),0)</f>
        <v>0</v>
      </c>
      <c r="Q165" s="150">
        <f>IFERROR((-VLOOKUP(LEFT($A165,4),'Cash Flow $s Yr1'!$B$12:$R$150,14,FALSE)-VLOOKUP(LEFT($A165,4),'Cash Flow $s Yr1'!$B$12:$R$150,15,FALSE)-VLOOKUP(LEFT($A165,4),'Cash Flow $s Yr1'!$B$12:$R$150,16,FALSE)-VLOOKUP(LEFT($A165,4),'Cash Flow $s Yr1'!$B$12:$R$150,17,FALSE)),0)</f>
        <v>0</v>
      </c>
    </row>
    <row r="166" spans="1:20" x14ac:dyDescent="0.6">
      <c r="A166" s="143" t="s">
        <v>1014</v>
      </c>
      <c r="B166" s="142" t="s">
        <v>1260</v>
      </c>
      <c r="C166" s="140" t="s">
        <v>862</v>
      </c>
      <c r="D166" s="140" t="s">
        <v>863</v>
      </c>
      <c r="E166" s="140" t="s">
        <v>864</v>
      </c>
      <c r="F166" s="149">
        <v>0</v>
      </c>
      <c r="G166" s="149">
        <v>0</v>
      </c>
      <c r="H166" s="149">
        <v>0</v>
      </c>
      <c r="I166" s="149">
        <v>0</v>
      </c>
      <c r="J166" s="149">
        <v>0</v>
      </c>
      <c r="K166" s="149">
        <v>0</v>
      </c>
      <c r="L166" s="149">
        <v>0</v>
      </c>
      <c r="M166" s="149">
        <v>0</v>
      </c>
      <c r="N166" s="149">
        <v>0</v>
      </c>
      <c r="O166" s="149">
        <v>0</v>
      </c>
      <c r="P166" s="149">
        <v>0</v>
      </c>
      <c r="Q166" s="149">
        <v>0</v>
      </c>
    </row>
    <row r="167" spans="1:20" x14ac:dyDescent="0.6">
      <c r="A167" s="143" t="s">
        <v>1015</v>
      </c>
      <c r="B167" s="142" t="s">
        <v>1260</v>
      </c>
      <c r="C167" s="140" t="s">
        <v>862</v>
      </c>
      <c r="D167" s="140" t="s">
        <v>863</v>
      </c>
      <c r="E167" s="140" t="s">
        <v>864</v>
      </c>
      <c r="F167" s="150">
        <f>IFERROR((-VLOOKUP(LEFT($A167,4),'Cash Flow $s Yr1'!$B$12:$R$150,3,FALSE)),0)</f>
        <v>0</v>
      </c>
      <c r="G167" s="150">
        <f>IFERROR((-VLOOKUP(LEFT($A167,4),'Cash Flow $s Yr1'!$B$12:$R$150,4,FALSE)),0)</f>
        <v>0</v>
      </c>
      <c r="H167" s="150">
        <f>IFERROR((-VLOOKUP(LEFT($A167,4),'Cash Flow $s Yr1'!$B$12:$R$150,5,FALSE)),0)</f>
        <v>0</v>
      </c>
      <c r="I167" s="150">
        <f>IFERROR((-VLOOKUP(LEFT($A167,4),'Cash Flow $s Yr1'!$B$12:$R$150,6,FALSE)),0)</f>
        <v>0</v>
      </c>
      <c r="J167" s="150">
        <f>IFERROR((-VLOOKUP(LEFT($A167,4),'Cash Flow $s Yr1'!$B$12:$R$150,7,FALSE)),0)</f>
        <v>0</v>
      </c>
      <c r="K167" s="150">
        <f>IFERROR((-VLOOKUP(LEFT($A167,4),'Cash Flow $s Yr1'!$B$12:$R$150,8,FALSE)),0)</f>
        <v>0</v>
      </c>
      <c r="L167" s="150">
        <f>IFERROR((-VLOOKUP(LEFT($A167,4),'Cash Flow $s Yr1'!$B$12:$R$150,9,FALSE)),0)</f>
        <v>0</v>
      </c>
      <c r="M167" s="150">
        <f>IFERROR((-VLOOKUP(LEFT($A167,4),'Cash Flow $s Yr1'!$B$12:$R$150,10,FALSE)),0)</f>
        <v>0</v>
      </c>
      <c r="N167" s="150">
        <f>IFERROR((-VLOOKUP(LEFT($A167,4),'Cash Flow $s Yr1'!$B$12:$R$150,11,FALSE)),0)</f>
        <v>0</v>
      </c>
      <c r="O167" s="150">
        <f>IFERROR((-VLOOKUP(LEFT($A167,4),'Cash Flow $s Yr1'!$B$12:$R$150,12,FALSE)),0)</f>
        <v>0</v>
      </c>
      <c r="P167" s="150">
        <f>IFERROR((-VLOOKUP(LEFT($A167,4),'Cash Flow $s Yr1'!$B$12:$R$150,13,FALSE)),0)</f>
        <v>0</v>
      </c>
      <c r="Q167" s="150">
        <f>IFERROR((-VLOOKUP(LEFT($A167,4),'Cash Flow $s Yr1'!$B$12:$R$150,14,FALSE)-VLOOKUP(LEFT($A167,4),'Cash Flow $s Yr1'!$B$12:$R$150,15,FALSE)-VLOOKUP(LEFT($A167,4),'Cash Flow $s Yr1'!$B$12:$R$150,16,FALSE)-VLOOKUP(LEFT($A167,4),'Cash Flow $s Yr1'!$B$12:$R$150,17,FALSE)),0)</f>
        <v>0</v>
      </c>
      <c r="R167" s="191"/>
      <c r="S167" s="140"/>
      <c r="T167" s="140"/>
    </row>
    <row r="168" spans="1:20" x14ac:dyDescent="0.6">
      <c r="A168" s="143" t="s">
        <v>1016</v>
      </c>
      <c r="B168" s="142" t="s">
        <v>1260</v>
      </c>
      <c r="C168" s="140" t="s">
        <v>862</v>
      </c>
      <c r="D168" s="140" t="s">
        <v>863</v>
      </c>
      <c r="E168" s="140" t="s">
        <v>864</v>
      </c>
      <c r="F168" s="150">
        <f>IFERROR((-VLOOKUP(LEFT($A168,4),'Cash Flow $s Yr1'!$B$12:$R$150,3,FALSE)),0)</f>
        <v>0</v>
      </c>
      <c r="G168" s="150">
        <f>IFERROR((-VLOOKUP(LEFT($A168,4),'Cash Flow $s Yr1'!$B$12:$R$150,4,FALSE)),0)</f>
        <v>0</v>
      </c>
      <c r="H168" s="150">
        <f>IFERROR((-VLOOKUP(LEFT($A168,4),'Cash Flow $s Yr1'!$B$12:$R$150,5,FALSE)),0)</f>
        <v>0</v>
      </c>
      <c r="I168" s="150">
        <f>IFERROR((-VLOOKUP(LEFT($A168,4),'Cash Flow $s Yr1'!$B$12:$R$150,6,FALSE)),0)</f>
        <v>0</v>
      </c>
      <c r="J168" s="150">
        <f>IFERROR((-VLOOKUP(LEFT($A168,4),'Cash Flow $s Yr1'!$B$12:$R$150,7,FALSE)),0)</f>
        <v>0</v>
      </c>
      <c r="K168" s="150">
        <f>IFERROR((-VLOOKUP(LEFT($A168,4),'Cash Flow $s Yr1'!$B$12:$R$150,8,FALSE)),0)</f>
        <v>0</v>
      </c>
      <c r="L168" s="150">
        <f>IFERROR((-VLOOKUP(LEFT($A168,4),'Cash Flow $s Yr1'!$B$12:$R$150,9,FALSE)),0)</f>
        <v>0</v>
      </c>
      <c r="M168" s="150">
        <f>IFERROR((-VLOOKUP(LEFT($A168,4),'Cash Flow $s Yr1'!$B$12:$R$150,10,FALSE)),0)</f>
        <v>0</v>
      </c>
      <c r="N168" s="150">
        <f>IFERROR((-VLOOKUP(LEFT($A168,4),'Cash Flow $s Yr1'!$B$12:$R$150,11,FALSE)),0)</f>
        <v>0</v>
      </c>
      <c r="O168" s="150">
        <f>IFERROR((-VLOOKUP(LEFT($A168,4),'Cash Flow $s Yr1'!$B$12:$R$150,12,FALSE)),0)</f>
        <v>0</v>
      </c>
      <c r="P168" s="150">
        <f>IFERROR((-VLOOKUP(LEFT($A168,4),'Cash Flow $s Yr1'!$B$12:$R$150,13,FALSE)),0)</f>
        <v>0</v>
      </c>
      <c r="Q168" s="150">
        <f>IFERROR((-VLOOKUP(LEFT($A168,4),'Cash Flow $s Yr1'!$B$12:$R$150,14,FALSE)-VLOOKUP(LEFT($A168,4),'Cash Flow $s Yr1'!$B$12:$R$150,15,FALSE)-VLOOKUP(LEFT($A168,4),'Cash Flow $s Yr1'!$B$12:$R$150,16,FALSE)-VLOOKUP(LEFT($A168,4),'Cash Flow $s Yr1'!$B$12:$R$150,17,FALSE)),0)</f>
        <v>0</v>
      </c>
    </row>
    <row r="169" spans="1:20" x14ac:dyDescent="0.6">
      <c r="A169" s="143" t="s">
        <v>1017</v>
      </c>
      <c r="B169" s="142" t="s">
        <v>1260</v>
      </c>
      <c r="C169" s="140" t="s">
        <v>862</v>
      </c>
      <c r="D169" s="140" t="s">
        <v>863</v>
      </c>
      <c r="E169" s="140" t="s">
        <v>864</v>
      </c>
      <c r="F169" s="150">
        <f>IFERROR((-VLOOKUP(LEFT($A169,4),'Cash Flow $s Yr1'!$B$12:$R$150,3,FALSE)),0)</f>
        <v>0</v>
      </c>
      <c r="G169" s="150">
        <f>IFERROR((-VLOOKUP(LEFT($A169,4),'Cash Flow $s Yr1'!$B$12:$R$150,4,FALSE)),0)</f>
        <v>0</v>
      </c>
      <c r="H169" s="150">
        <f>IFERROR((-VLOOKUP(LEFT($A169,4),'Cash Flow $s Yr1'!$B$12:$R$150,5,FALSE)),0)</f>
        <v>0</v>
      </c>
      <c r="I169" s="150">
        <f>IFERROR((-VLOOKUP(LEFT($A169,4),'Cash Flow $s Yr1'!$B$12:$R$150,6,FALSE)),0)</f>
        <v>0</v>
      </c>
      <c r="J169" s="150">
        <f>IFERROR((-VLOOKUP(LEFT($A169,4),'Cash Flow $s Yr1'!$B$12:$R$150,7,FALSE)),0)</f>
        <v>0</v>
      </c>
      <c r="K169" s="150">
        <f>IFERROR((-VLOOKUP(LEFT($A169,4),'Cash Flow $s Yr1'!$B$12:$R$150,8,FALSE)),0)</f>
        <v>0</v>
      </c>
      <c r="L169" s="150">
        <f>IFERROR((-VLOOKUP(LEFT($A169,4),'Cash Flow $s Yr1'!$B$12:$R$150,9,FALSE)),0)</f>
        <v>0</v>
      </c>
      <c r="M169" s="150">
        <f>IFERROR((-VLOOKUP(LEFT($A169,4),'Cash Flow $s Yr1'!$B$12:$R$150,10,FALSE)),0)</f>
        <v>0</v>
      </c>
      <c r="N169" s="150">
        <f>IFERROR((-VLOOKUP(LEFT($A169,4),'Cash Flow $s Yr1'!$B$12:$R$150,11,FALSE)),0)</f>
        <v>0</v>
      </c>
      <c r="O169" s="150">
        <f>IFERROR((-VLOOKUP(LEFT($A169,4),'Cash Flow $s Yr1'!$B$12:$R$150,12,FALSE)),0)</f>
        <v>0</v>
      </c>
      <c r="P169" s="150">
        <f>IFERROR((-VLOOKUP(LEFT($A169,4),'Cash Flow $s Yr1'!$B$12:$R$150,13,FALSE)),0)</f>
        <v>0</v>
      </c>
      <c r="Q169" s="150">
        <f>IFERROR((-VLOOKUP(LEFT($A169,4),'Cash Flow $s Yr1'!$B$12:$R$150,14,FALSE)-VLOOKUP(LEFT($A169,4),'Cash Flow $s Yr1'!$B$12:$R$150,15,FALSE)-VLOOKUP(LEFT($A169,4),'Cash Flow $s Yr1'!$B$12:$R$150,16,FALSE)-VLOOKUP(LEFT($A169,4),'Cash Flow $s Yr1'!$B$12:$R$150,17,FALSE)),0)</f>
        <v>0</v>
      </c>
    </row>
    <row r="170" spans="1:20" x14ac:dyDescent="0.6">
      <c r="A170" s="143" t="s">
        <v>1018</v>
      </c>
      <c r="B170" s="142" t="s">
        <v>1260</v>
      </c>
      <c r="C170" s="140" t="s">
        <v>862</v>
      </c>
      <c r="D170" s="140" t="s">
        <v>863</v>
      </c>
      <c r="E170" s="140" t="s">
        <v>864</v>
      </c>
      <c r="F170" s="150">
        <f>IFERROR((-VLOOKUP(LEFT($A170,4),'Cash Flow $s Yr1'!$B$12:$R$150,3,FALSE)),0)</f>
        <v>0</v>
      </c>
      <c r="G170" s="150">
        <f>IFERROR((-VLOOKUP(LEFT($A170,4),'Cash Flow $s Yr1'!$B$12:$R$150,4,FALSE)),0)</f>
        <v>0</v>
      </c>
      <c r="H170" s="150">
        <f>IFERROR((-VLOOKUP(LEFT($A170,4),'Cash Flow $s Yr1'!$B$12:$R$150,5,FALSE)),0)</f>
        <v>0</v>
      </c>
      <c r="I170" s="150">
        <f>IFERROR((-VLOOKUP(LEFT($A170,4),'Cash Flow $s Yr1'!$B$12:$R$150,6,FALSE)),0)</f>
        <v>0</v>
      </c>
      <c r="J170" s="150">
        <f>IFERROR((-VLOOKUP(LEFT($A170,4),'Cash Flow $s Yr1'!$B$12:$R$150,7,FALSE)),0)</f>
        <v>0</v>
      </c>
      <c r="K170" s="150">
        <f>IFERROR((-VLOOKUP(LEFT($A170,4),'Cash Flow $s Yr1'!$B$12:$R$150,8,FALSE)),0)</f>
        <v>0</v>
      </c>
      <c r="L170" s="150">
        <f>IFERROR((-VLOOKUP(LEFT($A170,4),'Cash Flow $s Yr1'!$B$12:$R$150,9,FALSE)),0)</f>
        <v>0</v>
      </c>
      <c r="M170" s="150">
        <f>IFERROR((-VLOOKUP(LEFT($A170,4),'Cash Flow $s Yr1'!$B$12:$R$150,10,FALSE)),0)</f>
        <v>0</v>
      </c>
      <c r="N170" s="150">
        <f>IFERROR((-VLOOKUP(LEFT($A170,4),'Cash Flow $s Yr1'!$B$12:$R$150,11,FALSE)),0)</f>
        <v>0</v>
      </c>
      <c r="O170" s="150">
        <f>IFERROR((-VLOOKUP(LEFT($A170,4),'Cash Flow $s Yr1'!$B$12:$R$150,12,FALSE)),0)</f>
        <v>0</v>
      </c>
      <c r="P170" s="150">
        <f>IFERROR((-VLOOKUP(LEFT($A170,4),'Cash Flow $s Yr1'!$B$12:$R$150,13,FALSE)),0)</f>
        <v>0</v>
      </c>
      <c r="Q170" s="150">
        <f>IFERROR((-VLOOKUP(LEFT($A170,4),'Cash Flow $s Yr1'!$B$12:$R$150,14,FALSE)-VLOOKUP(LEFT($A170,4),'Cash Flow $s Yr1'!$B$12:$R$150,15,FALSE)-VLOOKUP(LEFT($A170,4),'Cash Flow $s Yr1'!$B$12:$R$150,16,FALSE)-VLOOKUP(LEFT($A170,4),'Cash Flow $s Yr1'!$B$12:$R$150,17,FALSE)),0)</f>
        <v>0</v>
      </c>
    </row>
    <row r="171" spans="1:20" x14ac:dyDescent="0.6">
      <c r="A171" s="143" t="s">
        <v>1019</v>
      </c>
      <c r="B171" s="142" t="s">
        <v>1260</v>
      </c>
      <c r="C171" s="140" t="s">
        <v>862</v>
      </c>
      <c r="D171" s="140" t="s">
        <v>863</v>
      </c>
      <c r="E171" s="140" t="s">
        <v>864</v>
      </c>
      <c r="F171" s="150">
        <f>IFERROR((-VLOOKUP(LEFT($A171,4),'Cash Flow $s Yr1'!$B$12:$R$150,3,FALSE)),0)</f>
        <v>0</v>
      </c>
      <c r="G171" s="150">
        <f>IFERROR((-VLOOKUP(LEFT($A171,4),'Cash Flow $s Yr1'!$B$12:$R$150,4,FALSE)),0)</f>
        <v>0</v>
      </c>
      <c r="H171" s="150">
        <f>IFERROR((-VLOOKUP(LEFT($A171,4),'Cash Flow $s Yr1'!$B$12:$R$150,5,FALSE)),0)</f>
        <v>0</v>
      </c>
      <c r="I171" s="150">
        <f>IFERROR((-VLOOKUP(LEFT($A171,4),'Cash Flow $s Yr1'!$B$12:$R$150,6,FALSE)),0)</f>
        <v>0</v>
      </c>
      <c r="J171" s="150">
        <f>IFERROR((-VLOOKUP(LEFT($A171,4),'Cash Flow $s Yr1'!$B$12:$R$150,7,FALSE)),0)</f>
        <v>0</v>
      </c>
      <c r="K171" s="150">
        <f>IFERROR((-VLOOKUP(LEFT($A171,4),'Cash Flow $s Yr1'!$B$12:$R$150,8,FALSE)),0)</f>
        <v>0</v>
      </c>
      <c r="L171" s="150">
        <f>IFERROR((-VLOOKUP(LEFT($A171,4),'Cash Flow $s Yr1'!$B$12:$R$150,9,FALSE)),0)</f>
        <v>0</v>
      </c>
      <c r="M171" s="150">
        <f>IFERROR((-VLOOKUP(LEFT($A171,4),'Cash Flow $s Yr1'!$B$12:$R$150,10,FALSE)),0)</f>
        <v>0</v>
      </c>
      <c r="N171" s="150">
        <f>IFERROR((-VLOOKUP(LEFT($A171,4),'Cash Flow $s Yr1'!$B$12:$R$150,11,FALSE)),0)</f>
        <v>0</v>
      </c>
      <c r="O171" s="150">
        <f>IFERROR((-VLOOKUP(LEFT($A171,4),'Cash Flow $s Yr1'!$B$12:$R$150,12,FALSE)),0)</f>
        <v>0</v>
      </c>
      <c r="P171" s="150">
        <f>IFERROR((-VLOOKUP(LEFT($A171,4),'Cash Flow $s Yr1'!$B$12:$R$150,13,FALSE)),0)</f>
        <v>0</v>
      </c>
      <c r="Q171" s="150">
        <f>IFERROR((-VLOOKUP(LEFT($A171,4),'Cash Flow $s Yr1'!$B$12:$R$150,14,FALSE)-VLOOKUP(LEFT($A171,4),'Cash Flow $s Yr1'!$B$12:$R$150,15,FALSE)-VLOOKUP(LEFT($A171,4),'Cash Flow $s Yr1'!$B$12:$R$150,16,FALSE)-VLOOKUP(LEFT($A171,4),'Cash Flow $s Yr1'!$B$12:$R$150,17,FALSE)),0)</f>
        <v>0</v>
      </c>
    </row>
    <row r="172" spans="1:20" x14ac:dyDescent="0.6">
      <c r="A172" s="143" t="s">
        <v>1020</v>
      </c>
      <c r="B172" s="142" t="s">
        <v>1260</v>
      </c>
      <c r="C172" s="140" t="s">
        <v>862</v>
      </c>
      <c r="D172" s="140" t="s">
        <v>863</v>
      </c>
      <c r="E172" s="140" t="s">
        <v>864</v>
      </c>
      <c r="F172" s="150">
        <f>IFERROR((-VLOOKUP(LEFT($A172,4),'Cash Flow $s Yr1'!$B$12:$R$150,3,FALSE)),0)</f>
        <v>0</v>
      </c>
      <c r="G172" s="150">
        <f>IFERROR((-VLOOKUP(LEFT($A172,4),'Cash Flow $s Yr1'!$B$12:$R$150,4,FALSE)),0)</f>
        <v>0</v>
      </c>
      <c r="H172" s="150">
        <f>IFERROR((-VLOOKUP(LEFT($A172,4),'Cash Flow $s Yr1'!$B$12:$R$150,5,FALSE)),0)</f>
        <v>0</v>
      </c>
      <c r="I172" s="150">
        <f>IFERROR((-VLOOKUP(LEFT($A172,4),'Cash Flow $s Yr1'!$B$12:$R$150,6,FALSE)),0)</f>
        <v>0</v>
      </c>
      <c r="J172" s="150">
        <f>IFERROR((-VLOOKUP(LEFT($A172,4),'Cash Flow $s Yr1'!$B$12:$R$150,7,FALSE)),0)</f>
        <v>0</v>
      </c>
      <c r="K172" s="150">
        <f>IFERROR((-VLOOKUP(LEFT($A172,4),'Cash Flow $s Yr1'!$B$12:$R$150,8,FALSE)),0)</f>
        <v>0</v>
      </c>
      <c r="L172" s="150">
        <f>IFERROR((-VLOOKUP(LEFT($A172,4),'Cash Flow $s Yr1'!$B$12:$R$150,9,FALSE)),0)</f>
        <v>0</v>
      </c>
      <c r="M172" s="150">
        <f>IFERROR((-VLOOKUP(LEFT($A172,4),'Cash Flow $s Yr1'!$B$12:$R$150,10,FALSE)),0)</f>
        <v>0</v>
      </c>
      <c r="N172" s="150">
        <f>IFERROR((-VLOOKUP(LEFT($A172,4),'Cash Flow $s Yr1'!$B$12:$R$150,11,FALSE)),0)</f>
        <v>0</v>
      </c>
      <c r="O172" s="150">
        <f>IFERROR((-VLOOKUP(LEFT($A172,4),'Cash Flow $s Yr1'!$B$12:$R$150,12,FALSE)),0)</f>
        <v>0</v>
      </c>
      <c r="P172" s="150">
        <f>IFERROR((-VLOOKUP(LEFT($A172,4),'Cash Flow $s Yr1'!$B$12:$R$150,13,FALSE)),0)</f>
        <v>0</v>
      </c>
      <c r="Q172" s="150">
        <f>IFERROR((-VLOOKUP(LEFT($A172,4),'Cash Flow $s Yr1'!$B$12:$R$150,14,FALSE)-VLOOKUP(LEFT($A172,4),'Cash Flow $s Yr1'!$B$12:$R$150,15,FALSE)-VLOOKUP(LEFT($A172,4),'Cash Flow $s Yr1'!$B$12:$R$150,16,FALSE)-VLOOKUP(LEFT($A172,4),'Cash Flow $s Yr1'!$B$12:$R$150,17,FALSE)),0)</f>
        <v>0</v>
      </c>
    </row>
    <row r="173" spans="1:20" x14ac:dyDescent="0.6">
      <c r="A173" s="143" t="s">
        <v>1021</v>
      </c>
      <c r="B173" s="142" t="s">
        <v>1260</v>
      </c>
      <c r="C173" s="140" t="s">
        <v>862</v>
      </c>
      <c r="D173" s="140" t="s">
        <v>863</v>
      </c>
      <c r="E173" s="140" t="s">
        <v>864</v>
      </c>
      <c r="F173" s="150">
        <v>0</v>
      </c>
      <c r="G173" s="150">
        <v>0</v>
      </c>
      <c r="H173" s="150">
        <v>0</v>
      </c>
      <c r="I173" s="150">
        <v>0</v>
      </c>
      <c r="J173" s="150">
        <v>0</v>
      </c>
      <c r="K173" s="150">
        <v>0</v>
      </c>
      <c r="L173" s="150">
        <v>0</v>
      </c>
      <c r="M173" s="150">
        <v>0</v>
      </c>
      <c r="N173" s="150">
        <v>0</v>
      </c>
      <c r="O173" s="150">
        <v>0</v>
      </c>
      <c r="P173" s="150">
        <v>0</v>
      </c>
      <c r="Q173" s="150">
        <v>0</v>
      </c>
      <c r="S173" s="147" t="s">
        <v>1053</v>
      </c>
    </row>
    <row r="174" spans="1:20" x14ac:dyDescent="0.6">
      <c r="A174" s="143" t="s">
        <v>1022</v>
      </c>
      <c r="B174" s="142" t="s">
        <v>1260</v>
      </c>
      <c r="C174" s="140" t="s">
        <v>862</v>
      </c>
      <c r="D174" s="140" t="s">
        <v>863</v>
      </c>
      <c r="E174" s="140" t="s">
        <v>864</v>
      </c>
      <c r="F174" s="150">
        <v>0</v>
      </c>
      <c r="G174" s="150">
        <v>0</v>
      </c>
      <c r="H174" s="150">
        <v>0</v>
      </c>
      <c r="I174" s="150">
        <v>0</v>
      </c>
      <c r="J174" s="150">
        <v>0</v>
      </c>
      <c r="K174" s="150">
        <v>0</v>
      </c>
      <c r="L174" s="150">
        <v>0</v>
      </c>
      <c r="M174" s="150">
        <v>0</v>
      </c>
      <c r="N174" s="150">
        <v>0</v>
      </c>
      <c r="O174" s="150">
        <v>0</v>
      </c>
      <c r="P174" s="150">
        <v>0</v>
      </c>
      <c r="Q174" s="150">
        <v>0</v>
      </c>
      <c r="S174" s="145" t="e">
        <f>SUM('Cash Flow $s Yr1'!D33:R33)/-SUM(Fiscal_Sets!F163:Q174)</f>
        <v>#DIV/0!</v>
      </c>
    </row>
    <row r="175" spans="1:20" x14ac:dyDescent="0.6">
      <c r="A175" s="143" t="s">
        <v>1023</v>
      </c>
      <c r="B175" s="142" t="s">
        <v>1260</v>
      </c>
      <c r="C175" s="140" t="s">
        <v>862</v>
      </c>
      <c r="D175" s="140" t="s">
        <v>863</v>
      </c>
      <c r="E175" s="140" t="s">
        <v>864</v>
      </c>
      <c r="F175" s="150">
        <f>IFERROR((-VLOOKUP(LEFT($A175,4),'Cash Flow $s Yr1'!$B$12:$R$150,3,FALSE)),0)</f>
        <v>0</v>
      </c>
      <c r="G175" s="150">
        <f>IFERROR((-VLOOKUP(LEFT($A175,4),'Cash Flow $s Yr1'!$B$12:$R$150,4,FALSE)),0)</f>
        <v>0</v>
      </c>
      <c r="H175" s="150">
        <f>IFERROR((-VLOOKUP(LEFT($A175,4),'Cash Flow $s Yr1'!$B$12:$R$150,5,FALSE)),0)</f>
        <v>0</v>
      </c>
      <c r="I175" s="150">
        <f>IFERROR((-VLOOKUP(LEFT($A175,4),'Cash Flow $s Yr1'!$B$12:$R$150,6,FALSE)),0)</f>
        <v>0</v>
      </c>
      <c r="J175" s="150">
        <f>IFERROR((-VLOOKUP(LEFT($A175,4),'Cash Flow $s Yr1'!$B$12:$R$150,7,FALSE)),0)</f>
        <v>0</v>
      </c>
      <c r="K175" s="150">
        <f>IFERROR((-VLOOKUP(LEFT($A175,4),'Cash Flow $s Yr1'!$B$12:$R$150,8,FALSE)),0)</f>
        <v>0</v>
      </c>
      <c r="L175" s="150">
        <f>IFERROR((-VLOOKUP(LEFT($A175,4),'Cash Flow $s Yr1'!$B$12:$R$150,9,FALSE)),0)</f>
        <v>0</v>
      </c>
      <c r="M175" s="150">
        <f>IFERROR((-VLOOKUP(LEFT($A175,4),'Cash Flow $s Yr1'!$B$12:$R$150,10,FALSE)),0)</f>
        <v>0</v>
      </c>
      <c r="N175" s="150">
        <f>IFERROR((-VLOOKUP(LEFT($A175,4),'Cash Flow $s Yr1'!$B$12:$R$150,11,FALSE)),0)</f>
        <v>0</v>
      </c>
      <c r="O175" s="150">
        <f>IFERROR((-VLOOKUP(LEFT($A175,4),'Cash Flow $s Yr1'!$B$12:$R$150,12,FALSE)),0)</f>
        <v>0</v>
      </c>
      <c r="P175" s="150">
        <f>IFERROR((-VLOOKUP(LEFT($A175,4),'Cash Flow $s Yr1'!$B$12:$R$150,13,FALSE)),0)</f>
        <v>0</v>
      </c>
      <c r="Q175" s="150">
        <f>IFERROR((-VLOOKUP(LEFT($A175,4),'Cash Flow $s Yr1'!$B$12:$R$150,14,FALSE)-VLOOKUP(LEFT($A175,4),'Cash Flow $s Yr1'!$B$12:$R$150,15,FALSE)-VLOOKUP(LEFT($A175,4),'Cash Flow $s Yr1'!$B$12:$R$150,16,FALSE)-VLOOKUP(LEFT($A175,4),'Cash Flow $s Yr1'!$B$12:$R$150,17,FALSE)),0)</f>
        <v>0</v>
      </c>
    </row>
    <row r="176" spans="1:20" x14ac:dyDescent="0.6">
      <c r="A176" s="143" t="s">
        <v>1259</v>
      </c>
      <c r="B176" s="142" t="s">
        <v>1260</v>
      </c>
      <c r="C176" s="140" t="s">
        <v>862</v>
      </c>
      <c r="D176" s="140" t="s">
        <v>863</v>
      </c>
      <c r="E176" s="140" t="s">
        <v>864</v>
      </c>
      <c r="F176" s="150">
        <f>IFERROR((-VLOOKUP(LEFT($A176,4),'Cash Flow $s Yr1'!$B$12:$R$150,3,FALSE)),0)</f>
        <v>0</v>
      </c>
      <c r="G176" s="150">
        <f>IFERROR((-VLOOKUP(LEFT($A176,4),'Cash Flow $s Yr1'!$B$12:$R$150,4,FALSE)),0)</f>
        <v>0</v>
      </c>
      <c r="H176" s="150">
        <f>IFERROR((-VLOOKUP(LEFT($A176,4),'Cash Flow $s Yr1'!$B$12:$R$150,5,FALSE)),0)</f>
        <v>0</v>
      </c>
      <c r="I176" s="150">
        <f>IFERROR((-VLOOKUP(LEFT($A176,4),'Cash Flow $s Yr1'!$B$12:$R$150,6,FALSE)),0)</f>
        <v>0</v>
      </c>
      <c r="J176" s="150">
        <f>IFERROR((-VLOOKUP(LEFT($A176,4),'Cash Flow $s Yr1'!$B$12:$R$150,7,FALSE)),0)</f>
        <v>0</v>
      </c>
      <c r="K176" s="150">
        <f>IFERROR((-VLOOKUP(LEFT($A176,4),'Cash Flow $s Yr1'!$B$12:$R$150,8,FALSE)),0)</f>
        <v>0</v>
      </c>
      <c r="L176" s="150">
        <f>IFERROR((-VLOOKUP(LEFT($A176,4),'Cash Flow $s Yr1'!$B$12:$R$150,9,FALSE)),0)</f>
        <v>0</v>
      </c>
      <c r="M176" s="150">
        <f>IFERROR((-VLOOKUP(LEFT($A176,4),'Cash Flow $s Yr1'!$B$12:$R$150,10,FALSE)),0)</f>
        <v>0</v>
      </c>
      <c r="N176" s="150">
        <f>IFERROR((-VLOOKUP(LEFT($A176,4),'Cash Flow $s Yr1'!$B$12:$R$150,11,FALSE)),0)</f>
        <v>0</v>
      </c>
      <c r="O176" s="150">
        <f>IFERROR((-VLOOKUP(LEFT($A176,4),'Cash Flow $s Yr1'!$B$12:$R$150,12,FALSE)),0)</f>
        <v>0</v>
      </c>
      <c r="P176" s="150">
        <f>IFERROR((-VLOOKUP(LEFT($A176,4),'Cash Flow $s Yr1'!$B$12:$R$150,13,FALSE)),0)</f>
        <v>0</v>
      </c>
      <c r="Q176" s="150">
        <f>IFERROR((-VLOOKUP(LEFT($A176,4),'Cash Flow $s Yr1'!$B$12:$R$150,14,FALSE)-VLOOKUP(LEFT($A176,4),'Cash Flow $s Yr1'!$B$12:$R$150,15,FALSE)-VLOOKUP(LEFT($A176,4),'Cash Flow $s Yr1'!$B$12:$R$150,16,FALSE)-VLOOKUP(LEFT($A176,4),'Cash Flow $s Yr1'!$B$12:$R$150,17,FALSE)),0)</f>
        <v>0</v>
      </c>
    </row>
    <row r="177" spans="1:19" x14ac:dyDescent="0.6">
      <c r="A177" s="143" t="s">
        <v>1024</v>
      </c>
      <c r="B177" s="142" t="s">
        <v>1260</v>
      </c>
      <c r="C177" s="140" t="s">
        <v>862</v>
      </c>
      <c r="D177" s="140" t="s">
        <v>863</v>
      </c>
      <c r="E177" s="140" t="s">
        <v>864</v>
      </c>
      <c r="F177" s="150">
        <f>IFERROR((-VLOOKUP(LEFT($A177,4),'Cash Flow $s Yr1'!$B$12:$R$150,3,FALSE)),0)</f>
        <v>0</v>
      </c>
      <c r="G177" s="150">
        <f>IFERROR((-VLOOKUP(LEFT($A177,4),'Cash Flow $s Yr1'!$B$12:$R$150,4,FALSE)),0)</f>
        <v>0</v>
      </c>
      <c r="H177" s="150">
        <f>IFERROR((-VLOOKUP(LEFT($A177,4),'Cash Flow $s Yr1'!$B$12:$R$150,5,FALSE)),0)</f>
        <v>0</v>
      </c>
      <c r="I177" s="150">
        <f>IFERROR((-VLOOKUP(LEFT($A177,4),'Cash Flow $s Yr1'!$B$12:$R$150,6,FALSE)),0)</f>
        <v>0</v>
      </c>
      <c r="J177" s="150">
        <f>IFERROR((-VLOOKUP(LEFT($A177,4),'Cash Flow $s Yr1'!$B$12:$R$150,7,FALSE)),0)</f>
        <v>0</v>
      </c>
      <c r="K177" s="150">
        <f>IFERROR((-VLOOKUP(LEFT($A177,4),'Cash Flow $s Yr1'!$B$12:$R$150,8,FALSE)),0)</f>
        <v>0</v>
      </c>
      <c r="L177" s="150">
        <f>IFERROR((-VLOOKUP(LEFT($A177,4),'Cash Flow $s Yr1'!$B$12:$R$150,9,FALSE)),0)</f>
        <v>0</v>
      </c>
      <c r="M177" s="150">
        <f>IFERROR((-VLOOKUP(LEFT($A177,4),'Cash Flow $s Yr1'!$B$12:$R$150,10,FALSE)),0)</f>
        <v>0</v>
      </c>
      <c r="N177" s="150">
        <f>IFERROR((-VLOOKUP(LEFT($A177,4),'Cash Flow $s Yr1'!$B$12:$R$150,11,FALSE)),0)</f>
        <v>0</v>
      </c>
      <c r="O177" s="150">
        <f>IFERROR((-VLOOKUP(LEFT($A177,4),'Cash Flow $s Yr1'!$B$12:$R$150,12,FALSE)),0)</f>
        <v>0</v>
      </c>
      <c r="P177" s="150">
        <f>IFERROR((-VLOOKUP(LEFT($A177,4),'Cash Flow $s Yr1'!$B$12:$R$150,13,FALSE)),0)</f>
        <v>0</v>
      </c>
      <c r="Q177" s="150">
        <f>IFERROR((-VLOOKUP(LEFT($A177,4),'Cash Flow $s Yr1'!$B$12:$R$150,14,FALSE)-VLOOKUP(LEFT($A177,4),'Cash Flow $s Yr1'!$B$12:$R$150,15,FALSE)-VLOOKUP(LEFT($A177,4),'Cash Flow $s Yr1'!$B$12:$R$150,16,FALSE)-VLOOKUP(LEFT($A177,4),'Cash Flow $s Yr1'!$B$12:$R$150,17,FALSE)),0)</f>
        <v>0</v>
      </c>
    </row>
    <row r="178" spans="1:19" x14ac:dyDescent="0.6">
      <c r="A178" s="143" t="s">
        <v>1025</v>
      </c>
      <c r="B178" s="142" t="s">
        <v>1260</v>
      </c>
      <c r="C178" s="140" t="s">
        <v>862</v>
      </c>
      <c r="D178" s="140" t="s">
        <v>863</v>
      </c>
      <c r="E178" s="140" t="s">
        <v>864</v>
      </c>
      <c r="F178" s="149">
        <v>0</v>
      </c>
      <c r="G178" s="149">
        <v>0</v>
      </c>
      <c r="H178" s="149">
        <v>0</v>
      </c>
      <c r="I178" s="149">
        <v>0</v>
      </c>
      <c r="J178" s="149">
        <v>0</v>
      </c>
      <c r="K178" s="149">
        <v>0</v>
      </c>
      <c r="L178" s="149">
        <v>0</v>
      </c>
      <c r="M178" s="149">
        <v>0</v>
      </c>
      <c r="N178" s="149">
        <v>0</v>
      </c>
      <c r="O178" s="149">
        <v>0</v>
      </c>
      <c r="P178" s="149">
        <v>0</v>
      </c>
      <c r="Q178" s="149">
        <v>0</v>
      </c>
    </row>
    <row r="179" spans="1:19" x14ac:dyDescent="0.6">
      <c r="A179" s="143" t="s">
        <v>1026</v>
      </c>
      <c r="B179" s="142" t="s">
        <v>1260</v>
      </c>
      <c r="C179" s="140" t="s">
        <v>862</v>
      </c>
      <c r="D179" s="140" t="s">
        <v>863</v>
      </c>
      <c r="E179" s="140" t="s">
        <v>864</v>
      </c>
      <c r="F179" s="150">
        <f>IFERROR((-VLOOKUP(LEFT($A179,4),'Cash Flow $s Yr1'!$B$12:$R$150,3,FALSE)),0)</f>
        <v>0</v>
      </c>
      <c r="G179" s="150">
        <f>IFERROR((-VLOOKUP(LEFT($A179,4),'Cash Flow $s Yr1'!$B$12:$R$150,4,FALSE)),0)</f>
        <v>0</v>
      </c>
      <c r="H179" s="150">
        <f>IFERROR((-VLOOKUP(LEFT($A179,4),'Cash Flow $s Yr1'!$B$12:$R$150,5,FALSE)),0)</f>
        <v>0</v>
      </c>
      <c r="I179" s="150">
        <f>IFERROR((-VLOOKUP(LEFT($A179,4),'Cash Flow $s Yr1'!$B$12:$R$150,6,FALSE)),0)</f>
        <v>0</v>
      </c>
      <c r="J179" s="150">
        <f>IFERROR((-VLOOKUP(LEFT($A179,4),'Cash Flow $s Yr1'!$B$12:$R$150,7,FALSE)),0)</f>
        <v>0</v>
      </c>
      <c r="K179" s="150">
        <f>IFERROR((-VLOOKUP(LEFT($A179,4),'Cash Flow $s Yr1'!$B$12:$R$150,8,FALSE)),0)</f>
        <v>0</v>
      </c>
      <c r="L179" s="150">
        <f>IFERROR((-VLOOKUP(LEFT($A179,4),'Cash Flow $s Yr1'!$B$12:$R$150,9,FALSE)),0)</f>
        <v>0</v>
      </c>
      <c r="M179" s="150">
        <f>IFERROR((-VLOOKUP(LEFT($A179,4),'Cash Flow $s Yr1'!$B$12:$R$150,10,FALSE)),0)</f>
        <v>0</v>
      </c>
      <c r="N179" s="150">
        <f>IFERROR((-VLOOKUP(LEFT($A179,4),'Cash Flow $s Yr1'!$B$12:$R$150,11,FALSE)),0)</f>
        <v>0</v>
      </c>
      <c r="O179" s="150">
        <f>IFERROR((-VLOOKUP(LEFT($A179,4),'Cash Flow $s Yr1'!$B$12:$R$150,12,FALSE)),0)</f>
        <v>0</v>
      </c>
      <c r="P179" s="150">
        <f>IFERROR((-VLOOKUP(LEFT($A179,4),'Cash Flow $s Yr1'!$B$12:$R$150,13,FALSE)),0)</f>
        <v>0</v>
      </c>
      <c r="Q179" s="150">
        <f>IFERROR((-VLOOKUP(LEFT($A179,4),'Cash Flow $s Yr1'!$B$12:$R$150,14,FALSE)-VLOOKUP(LEFT($A179,4),'Cash Flow $s Yr1'!$B$12:$R$150,15,FALSE)-VLOOKUP(LEFT($A179,4),'Cash Flow $s Yr1'!$B$12:$R$150,16,FALSE)-VLOOKUP(LEFT($A179,4),'Cash Flow $s Yr1'!$B$12:$R$150,17,FALSE)),0)</f>
        <v>0</v>
      </c>
    </row>
    <row r="180" spans="1:19" x14ac:dyDescent="0.6">
      <c r="A180" s="143" t="s">
        <v>1027</v>
      </c>
      <c r="B180" s="142" t="s">
        <v>1260</v>
      </c>
      <c r="C180" s="140" t="s">
        <v>862</v>
      </c>
      <c r="D180" s="140" t="s">
        <v>863</v>
      </c>
      <c r="E180" s="140" t="s">
        <v>864</v>
      </c>
      <c r="F180" s="150">
        <f>IFERROR((-VLOOKUP(LEFT($A180,4),'Cash Flow $s Yr1'!$B$12:$R$150,3,FALSE)),0)</f>
        <v>0</v>
      </c>
      <c r="G180" s="150">
        <f>IFERROR((-VLOOKUP(LEFT($A180,4),'Cash Flow $s Yr1'!$B$12:$R$150,4,FALSE)),0)</f>
        <v>0</v>
      </c>
      <c r="H180" s="150">
        <f>IFERROR((-VLOOKUP(LEFT($A180,4),'Cash Flow $s Yr1'!$B$12:$R$150,5,FALSE)),0)</f>
        <v>0</v>
      </c>
      <c r="I180" s="150">
        <f>IFERROR((-VLOOKUP(LEFT($A180,4),'Cash Flow $s Yr1'!$B$12:$R$150,6,FALSE)),0)</f>
        <v>0</v>
      </c>
      <c r="J180" s="150">
        <f>IFERROR((-VLOOKUP(LEFT($A180,4),'Cash Flow $s Yr1'!$B$12:$R$150,7,FALSE)),0)</f>
        <v>0</v>
      </c>
      <c r="K180" s="150">
        <f>IFERROR((-VLOOKUP(LEFT($A180,4),'Cash Flow $s Yr1'!$B$12:$R$150,8,FALSE)),0)</f>
        <v>0</v>
      </c>
      <c r="L180" s="150">
        <f>IFERROR((-VLOOKUP(LEFT($A180,4),'Cash Flow $s Yr1'!$B$12:$R$150,9,FALSE)),0)</f>
        <v>0</v>
      </c>
      <c r="M180" s="150">
        <f>IFERROR((-VLOOKUP(LEFT($A180,4),'Cash Flow $s Yr1'!$B$12:$R$150,10,FALSE)),0)</f>
        <v>0</v>
      </c>
      <c r="N180" s="150">
        <f>IFERROR((-VLOOKUP(LEFT($A180,4),'Cash Flow $s Yr1'!$B$12:$R$150,11,FALSE)),0)</f>
        <v>0</v>
      </c>
      <c r="O180" s="150">
        <f>IFERROR((-VLOOKUP(LEFT($A180,4),'Cash Flow $s Yr1'!$B$12:$R$150,12,FALSE)),0)</f>
        <v>0</v>
      </c>
      <c r="P180" s="150">
        <f>IFERROR((-VLOOKUP(LEFT($A180,4),'Cash Flow $s Yr1'!$B$12:$R$150,13,FALSE)),0)</f>
        <v>0</v>
      </c>
      <c r="Q180" s="150">
        <f>IFERROR((-VLOOKUP(LEFT($A180,4),'Cash Flow $s Yr1'!$B$12:$R$150,14,FALSE)-VLOOKUP(LEFT($A180,4),'Cash Flow $s Yr1'!$B$12:$R$150,15,FALSE)-VLOOKUP(LEFT($A180,4),'Cash Flow $s Yr1'!$B$12:$R$150,16,FALSE)-VLOOKUP(LEFT($A180,4),'Cash Flow $s Yr1'!$B$12:$R$150,17,FALSE)),0)</f>
        <v>0</v>
      </c>
    </row>
    <row r="181" spans="1:19" x14ac:dyDescent="0.6">
      <c r="A181" s="143" t="s">
        <v>1028</v>
      </c>
      <c r="B181" s="142" t="s">
        <v>1260</v>
      </c>
      <c r="C181" s="140" t="s">
        <v>862</v>
      </c>
      <c r="D181" s="140" t="s">
        <v>863</v>
      </c>
      <c r="E181" s="140" t="s">
        <v>864</v>
      </c>
      <c r="F181" s="150">
        <f>IFERROR((-VLOOKUP(LEFT($A181,4),'Cash Flow $s Yr1'!$B$12:$R$150,3,FALSE)),0)</f>
        <v>0</v>
      </c>
      <c r="G181" s="150">
        <f>IFERROR((-VLOOKUP(LEFT($A181,4),'Cash Flow $s Yr1'!$B$12:$R$150,4,FALSE)),0)</f>
        <v>0</v>
      </c>
      <c r="H181" s="150">
        <f>IFERROR((-VLOOKUP(LEFT($A181,4),'Cash Flow $s Yr1'!$B$12:$R$150,5,FALSE)),0)</f>
        <v>0</v>
      </c>
      <c r="I181" s="150">
        <f>IFERROR((-VLOOKUP(LEFT($A181,4),'Cash Flow $s Yr1'!$B$12:$R$150,6,FALSE)),0)</f>
        <v>0</v>
      </c>
      <c r="J181" s="150">
        <f>IFERROR((-VLOOKUP(LEFT($A181,4),'Cash Flow $s Yr1'!$B$12:$R$150,7,FALSE)),0)</f>
        <v>0</v>
      </c>
      <c r="K181" s="150">
        <f>IFERROR((-VLOOKUP(LEFT($A181,4),'Cash Flow $s Yr1'!$B$12:$R$150,8,FALSE)),0)</f>
        <v>0</v>
      </c>
      <c r="L181" s="150">
        <f>IFERROR((-VLOOKUP(LEFT($A181,4),'Cash Flow $s Yr1'!$B$12:$R$150,9,FALSE)),0)</f>
        <v>0</v>
      </c>
      <c r="M181" s="150">
        <f>IFERROR((-VLOOKUP(LEFT($A181,4),'Cash Flow $s Yr1'!$B$12:$R$150,10,FALSE)),0)</f>
        <v>0</v>
      </c>
      <c r="N181" s="150">
        <f>IFERROR((-VLOOKUP(LEFT($A181,4),'Cash Flow $s Yr1'!$B$12:$R$150,11,FALSE)),0)</f>
        <v>0</v>
      </c>
      <c r="O181" s="150">
        <f>IFERROR((-VLOOKUP(LEFT($A181,4),'Cash Flow $s Yr1'!$B$12:$R$150,12,FALSE)),0)</f>
        <v>0</v>
      </c>
      <c r="P181" s="150">
        <f>IFERROR((-VLOOKUP(LEFT($A181,4),'Cash Flow $s Yr1'!$B$12:$R$150,13,FALSE)),0)</f>
        <v>0</v>
      </c>
      <c r="Q181" s="150">
        <f>IFERROR((-VLOOKUP(LEFT($A181,4),'Cash Flow $s Yr1'!$B$12:$R$150,14,FALSE)-VLOOKUP(LEFT($A181,4),'Cash Flow $s Yr1'!$B$12:$R$150,15,FALSE)-VLOOKUP(LEFT($A181,4),'Cash Flow $s Yr1'!$B$12:$R$150,16,FALSE)-VLOOKUP(LEFT($A181,4),'Cash Flow $s Yr1'!$B$12:$R$150,17,FALSE)),0)</f>
        <v>0</v>
      </c>
    </row>
    <row r="182" spans="1:19" x14ac:dyDescent="0.6">
      <c r="A182" s="143" t="s">
        <v>1029</v>
      </c>
      <c r="B182" s="142" t="s">
        <v>1260</v>
      </c>
      <c r="C182" s="140" t="s">
        <v>862</v>
      </c>
      <c r="D182" s="140" t="s">
        <v>863</v>
      </c>
      <c r="E182" s="140" t="s">
        <v>864</v>
      </c>
      <c r="F182" s="149">
        <v>0</v>
      </c>
      <c r="G182" s="149">
        <v>0</v>
      </c>
      <c r="H182" s="149">
        <v>0</v>
      </c>
      <c r="I182" s="149">
        <v>0</v>
      </c>
      <c r="J182" s="149">
        <v>0</v>
      </c>
      <c r="K182" s="149">
        <v>0</v>
      </c>
      <c r="L182" s="149">
        <v>0</v>
      </c>
      <c r="M182" s="149">
        <v>0</v>
      </c>
      <c r="N182" s="149">
        <v>0</v>
      </c>
      <c r="O182" s="149">
        <v>0</v>
      </c>
      <c r="P182" s="149">
        <v>0</v>
      </c>
      <c r="Q182" s="149">
        <v>0</v>
      </c>
    </row>
    <row r="183" spans="1:19" x14ac:dyDescent="0.6">
      <c r="A183" s="143" t="s">
        <v>1030</v>
      </c>
      <c r="B183" s="142" t="s">
        <v>1260</v>
      </c>
      <c r="C183" s="140" t="s">
        <v>862</v>
      </c>
      <c r="D183" s="140" t="s">
        <v>863</v>
      </c>
      <c r="E183" s="140" t="s">
        <v>864</v>
      </c>
      <c r="F183" s="150">
        <f>IFERROR((-VLOOKUP(LEFT($A183,4),'Cash Flow $s Yr1'!$B$12:$R$150,3,FALSE)),0)</f>
        <v>0</v>
      </c>
      <c r="G183" s="150">
        <f>IFERROR((-VLOOKUP(LEFT($A183,4),'Cash Flow $s Yr1'!$B$12:$R$150,4,FALSE)),0)</f>
        <v>0</v>
      </c>
      <c r="H183" s="150">
        <f>IFERROR((-VLOOKUP(LEFT($A183,4),'Cash Flow $s Yr1'!$B$12:$R$150,5,FALSE)),0)</f>
        <v>0</v>
      </c>
      <c r="I183" s="150">
        <f>IFERROR((-VLOOKUP(LEFT($A183,4),'Cash Flow $s Yr1'!$B$12:$R$150,6,FALSE)),0)</f>
        <v>0</v>
      </c>
      <c r="J183" s="150">
        <f>IFERROR((-VLOOKUP(LEFT($A183,4),'Cash Flow $s Yr1'!$B$12:$R$150,7,FALSE)),0)</f>
        <v>0</v>
      </c>
      <c r="K183" s="150">
        <f>IFERROR((-VLOOKUP(LEFT($A183,4),'Cash Flow $s Yr1'!$B$12:$R$150,8,FALSE)),0)</f>
        <v>0</v>
      </c>
      <c r="L183" s="150">
        <f>IFERROR((-VLOOKUP(LEFT($A183,4),'Cash Flow $s Yr1'!$B$12:$R$150,9,FALSE)),0)</f>
        <v>0</v>
      </c>
      <c r="M183" s="150">
        <f>IFERROR((-VLOOKUP(LEFT($A183,4),'Cash Flow $s Yr1'!$B$12:$R$150,10,FALSE)),0)</f>
        <v>0</v>
      </c>
      <c r="N183" s="150">
        <f>IFERROR((-VLOOKUP(LEFT($A183,4),'Cash Flow $s Yr1'!$B$12:$R$150,11,FALSE)),0)</f>
        <v>0</v>
      </c>
      <c r="O183" s="150">
        <f>IFERROR((-VLOOKUP(LEFT($A183,4),'Cash Flow $s Yr1'!$B$12:$R$150,12,FALSE)),0)</f>
        <v>0</v>
      </c>
      <c r="P183" s="150">
        <f>IFERROR((-VLOOKUP(LEFT($A183,4),'Cash Flow $s Yr1'!$B$12:$R$150,13,FALSE)),0)</f>
        <v>0</v>
      </c>
      <c r="Q183" s="150">
        <f>IFERROR((-VLOOKUP(LEFT($A183,4),'Cash Flow $s Yr1'!$B$12:$R$150,14,FALSE)-VLOOKUP(LEFT($A183,4),'Cash Flow $s Yr1'!$B$12:$R$150,15,FALSE)-VLOOKUP(LEFT($A183,4),'Cash Flow $s Yr1'!$B$12:$R$150,16,FALSE)-VLOOKUP(LEFT($A183,4),'Cash Flow $s Yr1'!$B$12:$R$150,17,FALSE)),0)</f>
        <v>0</v>
      </c>
    </row>
    <row r="184" spans="1:19" x14ac:dyDescent="0.6">
      <c r="A184" s="143" t="s">
        <v>1031</v>
      </c>
      <c r="B184" s="142" t="s">
        <v>1260</v>
      </c>
      <c r="C184" s="140" t="s">
        <v>862</v>
      </c>
      <c r="D184" s="140" t="s">
        <v>863</v>
      </c>
      <c r="E184" s="140" t="s">
        <v>864</v>
      </c>
      <c r="F184" s="150">
        <f>IFERROR((-VLOOKUP(LEFT($A184,4),'Cash Flow $s Yr1'!$B$12:$R$150,3,FALSE)),0)</f>
        <v>0</v>
      </c>
      <c r="G184" s="150">
        <f>IFERROR((-VLOOKUP(LEFT($A184,4),'Cash Flow $s Yr1'!$B$12:$R$150,4,FALSE)),0)</f>
        <v>0</v>
      </c>
      <c r="H184" s="150">
        <f>IFERROR((-VLOOKUP(LEFT($A184,4),'Cash Flow $s Yr1'!$B$12:$R$150,5,FALSE)),0)</f>
        <v>0</v>
      </c>
      <c r="I184" s="150">
        <f>IFERROR((-VLOOKUP(LEFT($A184,4),'Cash Flow $s Yr1'!$B$12:$R$150,6,FALSE)),0)</f>
        <v>0</v>
      </c>
      <c r="J184" s="150">
        <f>IFERROR((-VLOOKUP(LEFT($A184,4),'Cash Flow $s Yr1'!$B$12:$R$150,7,FALSE)),0)</f>
        <v>0</v>
      </c>
      <c r="K184" s="150">
        <f>IFERROR((-VLOOKUP(LEFT($A184,4),'Cash Flow $s Yr1'!$B$12:$R$150,8,FALSE)),0)</f>
        <v>0</v>
      </c>
      <c r="L184" s="150">
        <f>IFERROR((-VLOOKUP(LEFT($A184,4),'Cash Flow $s Yr1'!$B$12:$R$150,9,FALSE)),0)</f>
        <v>0</v>
      </c>
      <c r="M184" s="150">
        <f>IFERROR((-VLOOKUP(LEFT($A184,4),'Cash Flow $s Yr1'!$B$12:$R$150,10,FALSE)),0)</f>
        <v>0</v>
      </c>
      <c r="N184" s="150">
        <f>IFERROR((-VLOOKUP(LEFT($A184,4),'Cash Flow $s Yr1'!$B$12:$R$150,11,FALSE)),0)</f>
        <v>0</v>
      </c>
      <c r="O184" s="150">
        <f>IFERROR((-VLOOKUP(LEFT($A184,4),'Cash Flow $s Yr1'!$B$12:$R$150,12,FALSE)),0)</f>
        <v>0</v>
      </c>
      <c r="P184" s="150">
        <f>IFERROR((-VLOOKUP(LEFT($A184,4),'Cash Flow $s Yr1'!$B$12:$R$150,13,FALSE)),0)</f>
        <v>0</v>
      </c>
      <c r="Q184" s="150">
        <f>IFERROR((-VLOOKUP(LEFT($A184,4),'Cash Flow $s Yr1'!$B$12:$R$150,14,FALSE)-VLOOKUP(LEFT($A184,4),'Cash Flow $s Yr1'!$B$12:$R$150,15,FALSE)-VLOOKUP(LEFT($A184,4),'Cash Flow $s Yr1'!$B$12:$R$150,16,FALSE)-VLOOKUP(LEFT($A184,4),'Cash Flow $s Yr1'!$B$12:$R$150,17,FALSE)),0)</f>
        <v>0</v>
      </c>
    </row>
    <row r="185" spans="1:19" x14ac:dyDescent="0.6">
      <c r="A185" s="143" t="s">
        <v>1032</v>
      </c>
      <c r="B185" s="142" t="s">
        <v>1260</v>
      </c>
      <c r="C185" s="140" t="s">
        <v>862</v>
      </c>
      <c r="D185" s="140" t="s">
        <v>863</v>
      </c>
      <c r="E185" s="140" t="s">
        <v>864</v>
      </c>
      <c r="F185" s="150">
        <f>IFERROR((-VLOOKUP(LEFT($A185,4),'Cash Flow $s Yr1'!$B$12:$R$150,3,FALSE)),0)</f>
        <v>0</v>
      </c>
      <c r="G185" s="150">
        <f>IFERROR((-VLOOKUP(LEFT($A185,4),'Cash Flow $s Yr1'!$B$12:$R$150,4,FALSE)),0)</f>
        <v>0</v>
      </c>
      <c r="H185" s="150">
        <f>IFERROR((-VLOOKUP(LEFT($A185,4),'Cash Flow $s Yr1'!$B$12:$R$150,5,FALSE)),0)</f>
        <v>0</v>
      </c>
      <c r="I185" s="150">
        <f>IFERROR((-VLOOKUP(LEFT($A185,4),'Cash Flow $s Yr1'!$B$12:$R$150,6,FALSE)),0)</f>
        <v>0</v>
      </c>
      <c r="J185" s="150">
        <f>IFERROR((-VLOOKUP(LEFT($A185,4),'Cash Flow $s Yr1'!$B$12:$R$150,7,FALSE)),0)</f>
        <v>0</v>
      </c>
      <c r="K185" s="150">
        <f>IFERROR((-VLOOKUP(LEFT($A185,4),'Cash Flow $s Yr1'!$B$12:$R$150,8,FALSE)),0)</f>
        <v>0</v>
      </c>
      <c r="L185" s="150">
        <f>IFERROR((-VLOOKUP(LEFT($A185,4),'Cash Flow $s Yr1'!$B$12:$R$150,9,FALSE)),0)</f>
        <v>0</v>
      </c>
      <c r="M185" s="150">
        <f>IFERROR((-VLOOKUP(LEFT($A185,4),'Cash Flow $s Yr1'!$B$12:$R$150,10,FALSE)),0)</f>
        <v>0</v>
      </c>
      <c r="N185" s="150">
        <f>IFERROR((-VLOOKUP(LEFT($A185,4),'Cash Flow $s Yr1'!$B$12:$R$150,11,FALSE)),0)</f>
        <v>0</v>
      </c>
      <c r="O185" s="150">
        <f>IFERROR((-VLOOKUP(LEFT($A185,4),'Cash Flow $s Yr1'!$B$12:$R$150,12,FALSE)),0)</f>
        <v>0</v>
      </c>
      <c r="P185" s="150">
        <f>IFERROR((-VLOOKUP(LEFT($A185,4),'Cash Flow $s Yr1'!$B$12:$R$150,13,FALSE)),0)</f>
        <v>0</v>
      </c>
      <c r="Q185" s="150">
        <f>IFERROR((-VLOOKUP(LEFT($A185,4),'Cash Flow $s Yr1'!$B$12:$R$150,14,FALSE)-VLOOKUP(LEFT($A185,4),'Cash Flow $s Yr1'!$B$12:$R$150,15,FALSE)-VLOOKUP(LEFT($A185,4),'Cash Flow $s Yr1'!$B$12:$R$150,16,FALSE)-VLOOKUP(LEFT($A185,4),'Cash Flow $s Yr1'!$B$12:$R$150,17,FALSE)),0)</f>
        <v>0</v>
      </c>
    </row>
    <row r="186" spans="1:19" x14ac:dyDescent="0.6">
      <c r="A186" s="143" t="s">
        <v>1033</v>
      </c>
      <c r="B186" s="142" t="s">
        <v>1260</v>
      </c>
      <c r="C186" s="140" t="s">
        <v>862</v>
      </c>
      <c r="D186" s="140" t="s">
        <v>863</v>
      </c>
      <c r="E186" s="140" t="s">
        <v>864</v>
      </c>
      <c r="F186" s="150">
        <f>IFERROR((-VLOOKUP(LEFT($A186,4),'Cash Flow $s Yr1'!$B$12:$R$150,3,FALSE)),0)</f>
        <v>0</v>
      </c>
      <c r="G186" s="150">
        <f>IFERROR((-VLOOKUP(LEFT($A186,4),'Cash Flow $s Yr1'!$B$12:$R$150,4,FALSE)),0)</f>
        <v>0</v>
      </c>
      <c r="H186" s="150">
        <f>IFERROR((-VLOOKUP(LEFT($A186,4),'Cash Flow $s Yr1'!$B$12:$R$150,5,FALSE)),0)</f>
        <v>0</v>
      </c>
      <c r="I186" s="150">
        <f>IFERROR((-VLOOKUP(LEFT($A186,4),'Cash Flow $s Yr1'!$B$12:$R$150,6,FALSE)),0)</f>
        <v>0</v>
      </c>
      <c r="J186" s="150">
        <f>IFERROR((-VLOOKUP(LEFT($A186,4),'Cash Flow $s Yr1'!$B$12:$R$150,7,FALSE)),0)</f>
        <v>0</v>
      </c>
      <c r="K186" s="150">
        <f>IFERROR((-VLOOKUP(LEFT($A186,4),'Cash Flow $s Yr1'!$B$12:$R$150,8,FALSE)),0)</f>
        <v>0</v>
      </c>
      <c r="L186" s="150">
        <f>IFERROR((-VLOOKUP(LEFT($A186,4),'Cash Flow $s Yr1'!$B$12:$R$150,9,FALSE)),0)</f>
        <v>0</v>
      </c>
      <c r="M186" s="150">
        <f>IFERROR((-VLOOKUP(LEFT($A186,4),'Cash Flow $s Yr1'!$B$12:$R$150,10,FALSE)),0)</f>
        <v>0</v>
      </c>
      <c r="N186" s="150">
        <f>IFERROR((-VLOOKUP(LEFT($A186,4),'Cash Flow $s Yr1'!$B$12:$R$150,11,FALSE)),0)</f>
        <v>0</v>
      </c>
      <c r="O186" s="150">
        <f>IFERROR((-VLOOKUP(LEFT($A186,4),'Cash Flow $s Yr1'!$B$12:$R$150,12,FALSE)),0)</f>
        <v>0</v>
      </c>
      <c r="P186" s="150">
        <f>IFERROR((-VLOOKUP(LEFT($A186,4),'Cash Flow $s Yr1'!$B$12:$R$150,13,FALSE)),0)</f>
        <v>0</v>
      </c>
      <c r="Q186" s="150">
        <f>IFERROR((-VLOOKUP(LEFT($A186,4),'Cash Flow $s Yr1'!$B$12:$R$150,14,FALSE)-VLOOKUP(LEFT($A186,4),'Cash Flow $s Yr1'!$B$12:$R$150,15,FALSE)-VLOOKUP(LEFT($A186,4),'Cash Flow $s Yr1'!$B$12:$R$150,16,FALSE)-VLOOKUP(LEFT($A186,4),'Cash Flow $s Yr1'!$B$12:$R$150,17,FALSE)),0)</f>
        <v>0</v>
      </c>
    </row>
    <row r="187" spans="1:19" x14ac:dyDescent="0.6">
      <c r="A187" s="143" t="s">
        <v>1034</v>
      </c>
      <c r="B187" s="142" t="s">
        <v>1260</v>
      </c>
      <c r="C187" s="140" t="s">
        <v>862</v>
      </c>
      <c r="D187" s="140" t="s">
        <v>863</v>
      </c>
      <c r="E187" s="140" t="s">
        <v>864</v>
      </c>
      <c r="F187" s="150">
        <f>IFERROR((-VLOOKUP(LEFT($A187,4),'Cash Flow $s Yr1'!$B$12:$R$150,3,FALSE)),0)</f>
        <v>0</v>
      </c>
      <c r="G187" s="150">
        <f>IFERROR((-VLOOKUP(LEFT($A187,4),'Cash Flow $s Yr1'!$B$12:$R$150,4,FALSE)),0)</f>
        <v>0</v>
      </c>
      <c r="H187" s="150">
        <f>IFERROR((-VLOOKUP(LEFT($A187,4),'Cash Flow $s Yr1'!$B$12:$R$150,5,FALSE)),0)</f>
        <v>0</v>
      </c>
      <c r="I187" s="150">
        <f>IFERROR((-VLOOKUP(LEFT($A187,4),'Cash Flow $s Yr1'!$B$12:$R$150,6,FALSE)),0)</f>
        <v>0</v>
      </c>
      <c r="J187" s="150">
        <f>IFERROR((-VLOOKUP(LEFT($A187,4),'Cash Flow $s Yr1'!$B$12:$R$150,7,FALSE)),0)</f>
        <v>0</v>
      </c>
      <c r="K187" s="150">
        <f>IFERROR((-VLOOKUP(LEFT($A187,4),'Cash Flow $s Yr1'!$B$12:$R$150,8,FALSE)),0)</f>
        <v>0</v>
      </c>
      <c r="L187" s="150">
        <f>IFERROR((-VLOOKUP(LEFT($A187,4),'Cash Flow $s Yr1'!$B$12:$R$150,9,FALSE)),0)</f>
        <v>0</v>
      </c>
      <c r="M187" s="150">
        <f>IFERROR((-VLOOKUP(LEFT($A187,4),'Cash Flow $s Yr1'!$B$12:$R$150,10,FALSE)),0)</f>
        <v>0</v>
      </c>
      <c r="N187" s="150">
        <f>IFERROR((-VLOOKUP(LEFT($A187,4),'Cash Flow $s Yr1'!$B$12:$R$150,11,FALSE)),0)</f>
        <v>0</v>
      </c>
      <c r="O187" s="150">
        <f>IFERROR((-VLOOKUP(LEFT($A187,4),'Cash Flow $s Yr1'!$B$12:$R$150,12,FALSE)),0)</f>
        <v>0</v>
      </c>
      <c r="P187" s="150">
        <f>IFERROR((-VLOOKUP(LEFT($A187,4),'Cash Flow $s Yr1'!$B$12:$R$150,13,FALSE)),0)</f>
        <v>0</v>
      </c>
      <c r="Q187" s="150">
        <f>IFERROR((-VLOOKUP(LEFT($A187,4),'Cash Flow $s Yr1'!$B$12:$R$150,14,FALSE)-VLOOKUP(LEFT($A187,4),'Cash Flow $s Yr1'!$B$12:$R$150,15,FALSE)-VLOOKUP(LEFT($A187,4),'Cash Flow $s Yr1'!$B$12:$R$150,16,FALSE)-VLOOKUP(LEFT($A187,4),'Cash Flow $s Yr1'!$B$12:$R$150,17,FALSE)),0)</f>
        <v>0</v>
      </c>
    </row>
    <row r="188" spans="1:19" x14ac:dyDescent="0.6">
      <c r="A188" s="143" t="s">
        <v>1035</v>
      </c>
      <c r="B188" s="142" t="s">
        <v>1260</v>
      </c>
      <c r="C188" s="140" t="s">
        <v>862</v>
      </c>
      <c r="D188" s="140" t="s">
        <v>863</v>
      </c>
      <c r="E188" s="140" t="s">
        <v>864</v>
      </c>
      <c r="F188" s="150">
        <f>IFERROR((-VLOOKUP(LEFT($A188,4),'Cash Flow $s Yr1'!$B$12:$R$150,3,FALSE)),0)</f>
        <v>0</v>
      </c>
      <c r="G188" s="150">
        <f>IFERROR((-VLOOKUP(LEFT($A188,4),'Cash Flow $s Yr1'!$B$12:$R$150,4,FALSE)),0)</f>
        <v>0</v>
      </c>
      <c r="H188" s="150">
        <f>IFERROR((-VLOOKUP(LEFT($A188,4),'Cash Flow $s Yr1'!$B$12:$R$150,5,FALSE)),0)</f>
        <v>0</v>
      </c>
      <c r="I188" s="150">
        <f>IFERROR((-VLOOKUP(LEFT($A188,4),'Cash Flow $s Yr1'!$B$12:$R$150,6,FALSE)),0)</f>
        <v>0</v>
      </c>
      <c r="J188" s="150">
        <f>IFERROR((-VLOOKUP(LEFT($A188,4),'Cash Flow $s Yr1'!$B$12:$R$150,7,FALSE)),0)</f>
        <v>0</v>
      </c>
      <c r="K188" s="150">
        <f>IFERROR((-VLOOKUP(LEFT($A188,4),'Cash Flow $s Yr1'!$B$12:$R$150,8,FALSE)),0)</f>
        <v>0</v>
      </c>
      <c r="L188" s="150">
        <f>IFERROR((-VLOOKUP(LEFT($A188,4),'Cash Flow $s Yr1'!$B$12:$R$150,9,FALSE)),0)</f>
        <v>0</v>
      </c>
      <c r="M188" s="150">
        <f>IFERROR((-VLOOKUP(LEFT($A188,4),'Cash Flow $s Yr1'!$B$12:$R$150,10,FALSE)),0)</f>
        <v>0</v>
      </c>
      <c r="N188" s="150">
        <f>IFERROR((-VLOOKUP(LEFT($A188,4),'Cash Flow $s Yr1'!$B$12:$R$150,11,FALSE)),0)</f>
        <v>0</v>
      </c>
      <c r="O188" s="150">
        <f>IFERROR((-VLOOKUP(LEFT($A188,4),'Cash Flow $s Yr1'!$B$12:$R$150,12,FALSE)),0)</f>
        <v>0</v>
      </c>
      <c r="P188" s="150">
        <f>IFERROR((-VLOOKUP(LEFT($A188,4),'Cash Flow $s Yr1'!$B$12:$R$150,13,FALSE)),0)</f>
        <v>0</v>
      </c>
      <c r="Q188" s="150">
        <f>IFERROR((-VLOOKUP(LEFT($A188,4),'Cash Flow $s Yr1'!$B$12:$R$150,14,FALSE)-VLOOKUP(LEFT($A188,4),'Cash Flow $s Yr1'!$B$12:$R$150,15,FALSE)-VLOOKUP(LEFT($A188,4),'Cash Flow $s Yr1'!$B$12:$R$150,16,FALSE)-VLOOKUP(LEFT($A188,4),'Cash Flow $s Yr1'!$B$12:$R$150,17,FALSE)),0)</f>
        <v>0</v>
      </c>
    </row>
    <row r="189" spans="1:19" x14ac:dyDescent="0.6">
      <c r="A189" s="143" t="s">
        <v>1036</v>
      </c>
      <c r="B189" s="142" t="s">
        <v>1260</v>
      </c>
      <c r="C189" s="140" t="s">
        <v>862</v>
      </c>
      <c r="D189" s="140" t="s">
        <v>863</v>
      </c>
      <c r="E189" s="140" t="s">
        <v>864</v>
      </c>
      <c r="F189" s="150">
        <f>IFERROR((-VLOOKUP(LEFT($A189,4),'Cash Flow $s Yr1'!$B$12:$R$150,3,FALSE)),0)</f>
        <v>0</v>
      </c>
      <c r="G189" s="150">
        <f>IFERROR((-VLOOKUP(LEFT($A189,4),'Cash Flow $s Yr1'!$B$12:$R$150,4,FALSE)),0)</f>
        <v>0</v>
      </c>
      <c r="H189" s="150">
        <f>IFERROR((-VLOOKUP(LEFT($A189,4),'Cash Flow $s Yr1'!$B$12:$R$150,5,FALSE)),0)</f>
        <v>0</v>
      </c>
      <c r="I189" s="150">
        <f>IFERROR((-VLOOKUP(LEFT($A189,4),'Cash Flow $s Yr1'!$B$12:$R$150,6,FALSE)),0)</f>
        <v>0</v>
      </c>
      <c r="J189" s="150">
        <f>IFERROR((-VLOOKUP(LEFT($A189,4),'Cash Flow $s Yr1'!$B$12:$R$150,7,FALSE)),0)</f>
        <v>0</v>
      </c>
      <c r="K189" s="150">
        <f>IFERROR((-VLOOKUP(LEFT($A189,4),'Cash Flow $s Yr1'!$B$12:$R$150,8,FALSE)),0)</f>
        <v>0</v>
      </c>
      <c r="L189" s="150">
        <f>IFERROR((-VLOOKUP(LEFT($A189,4),'Cash Flow $s Yr1'!$B$12:$R$150,9,FALSE)),0)</f>
        <v>0</v>
      </c>
      <c r="M189" s="150">
        <f>IFERROR((-VLOOKUP(LEFT($A189,4),'Cash Flow $s Yr1'!$B$12:$R$150,10,FALSE)),0)</f>
        <v>0</v>
      </c>
      <c r="N189" s="150">
        <f>IFERROR((-VLOOKUP(LEFT($A189,4),'Cash Flow $s Yr1'!$B$12:$R$150,11,FALSE)),0)</f>
        <v>0</v>
      </c>
      <c r="O189" s="150">
        <f>IFERROR((-VLOOKUP(LEFT($A189,4),'Cash Flow $s Yr1'!$B$12:$R$150,12,FALSE)),0)</f>
        <v>0</v>
      </c>
      <c r="P189" s="150">
        <f>IFERROR((-VLOOKUP(LEFT($A189,4),'Cash Flow $s Yr1'!$B$12:$R$150,13,FALSE)),0)</f>
        <v>0</v>
      </c>
      <c r="Q189" s="150">
        <f>IFERROR((-VLOOKUP(LEFT($A189,4),'Cash Flow $s Yr1'!$B$12:$R$150,14,FALSE)-VLOOKUP(LEFT($A189,4),'Cash Flow $s Yr1'!$B$12:$R$150,15,FALSE)-VLOOKUP(LEFT($A189,4),'Cash Flow $s Yr1'!$B$12:$R$150,16,FALSE)-VLOOKUP(LEFT($A189,4),'Cash Flow $s Yr1'!$B$12:$R$150,17,FALSE)),0)</f>
        <v>0</v>
      </c>
    </row>
    <row r="190" spans="1:19" x14ac:dyDescent="0.6">
      <c r="A190" s="143" t="s">
        <v>1037</v>
      </c>
      <c r="B190" s="142" t="s">
        <v>1260</v>
      </c>
      <c r="C190" s="140" t="s">
        <v>862</v>
      </c>
      <c r="D190" s="140" t="s">
        <v>863</v>
      </c>
      <c r="E190" s="140" t="s">
        <v>864</v>
      </c>
      <c r="F190" s="150">
        <f>IFERROR((-VLOOKUP(LEFT($A190,4),'Cash Flow $s Yr1'!$B$12:$R$150,3,FALSE)),0)</f>
        <v>0</v>
      </c>
      <c r="G190" s="150">
        <f>IFERROR((-VLOOKUP(LEFT($A190,4),'Cash Flow $s Yr1'!$B$12:$R$150,4,FALSE)),0)</f>
        <v>0</v>
      </c>
      <c r="H190" s="150">
        <f>IFERROR((-VLOOKUP(LEFT($A190,4),'Cash Flow $s Yr1'!$B$12:$R$150,5,FALSE)),0)</f>
        <v>0</v>
      </c>
      <c r="I190" s="150">
        <f>IFERROR((-VLOOKUP(LEFT($A190,4),'Cash Flow $s Yr1'!$B$12:$R$150,6,FALSE)),0)</f>
        <v>0</v>
      </c>
      <c r="J190" s="150">
        <f>IFERROR((-VLOOKUP(LEFT($A190,4),'Cash Flow $s Yr1'!$B$12:$R$150,7,FALSE)),0)</f>
        <v>0</v>
      </c>
      <c r="K190" s="150">
        <f>IFERROR((-VLOOKUP(LEFT($A190,4),'Cash Flow $s Yr1'!$B$12:$R$150,8,FALSE)),0)</f>
        <v>0</v>
      </c>
      <c r="L190" s="150">
        <f>IFERROR((-VLOOKUP(LEFT($A190,4),'Cash Flow $s Yr1'!$B$12:$R$150,9,FALSE)),0)</f>
        <v>0</v>
      </c>
      <c r="M190" s="150">
        <f>IFERROR((-VLOOKUP(LEFT($A190,4),'Cash Flow $s Yr1'!$B$12:$R$150,10,FALSE)),0)</f>
        <v>0</v>
      </c>
      <c r="N190" s="150">
        <f>IFERROR((-VLOOKUP(LEFT($A190,4),'Cash Flow $s Yr1'!$B$12:$R$150,11,FALSE)),0)</f>
        <v>0</v>
      </c>
      <c r="O190" s="150">
        <f>IFERROR((-VLOOKUP(LEFT($A190,4),'Cash Flow $s Yr1'!$B$12:$R$150,12,FALSE)),0)</f>
        <v>0</v>
      </c>
      <c r="P190" s="150">
        <f>IFERROR((-VLOOKUP(LEFT($A190,4),'Cash Flow $s Yr1'!$B$12:$R$150,13,FALSE)),0)</f>
        <v>0</v>
      </c>
      <c r="Q190" s="150">
        <f>IFERROR((-VLOOKUP(LEFT($A190,4),'Cash Flow $s Yr1'!$B$12:$R$150,14,FALSE)-VLOOKUP(LEFT($A190,4),'Cash Flow $s Yr1'!$B$12:$R$150,15,FALSE)-VLOOKUP(LEFT($A190,4),'Cash Flow $s Yr1'!$B$12:$R$150,16,FALSE)-VLOOKUP(LEFT($A190,4),'Cash Flow $s Yr1'!$B$12:$R$150,17,FALSE)),0)</f>
        <v>0</v>
      </c>
    </row>
    <row r="191" spans="1:19" x14ac:dyDescent="0.6">
      <c r="A191" s="143" t="s">
        <v>1038</v>
      </c>
      <c r="B191" s="142" t="s">
        <v>1260</v>
      </c>
      <c r="C191" s="140" t="s">
        <v>862</v>
      </c>
      <c r="D191" s="140" t="s">
        <v>863</v>
      </c>
      <c r="E191" s="140" t="s">
        <v>864</v>
      </c>
      <c r="F191" s="150">
        <f>IFERROR((-VLOOKUP(LEFT($A191,4),'Cash Flow $s Yr1'!$B$12:$R$150,3,FALSE)),0)</f>
        <v>0</v>
      </c>
      <c r="G191" s="150">
        <f>IFERROR((-VLOOKUP(LEFT($A191,4),'Cash Flow $s Yr1'!$B$12:$R$150,4,FALSE)),0)</f>
        <v>0</v>
      </c>
      <c r="H191" s="150">
        <f>IFERROR((-VLOOKUP(LEFT($A191,4),'Cash Flow $s Yr1'!$B$12:$R$150,5,FALSE)),0)</f>
        <v>0</v>
      </c>
      <c r="I191" s="150">
        <f>IFERROR((-VLOOKUP(LEFT($A191,4),'Cash Flow $s Yr1'!$B$12:$R$150,6,FALSE)),0)</f>
        <v>0</v>
      </c>
      <c r="J191" s="150">
        <f>IFERROR((-VLOOKUP(LEFT($A191,4),'Cash Flow $s Yr1'!$B$12:$R$150,7,FALSE)),0)</f>
        <v>0</v>
      </c>
      <c r="K191" s="150">
        <f>IFERROR((-VLOOKUP(LEFT($A191,4),'Cash Flow $s Yr1'!$B$12:$R$150,8,FALSE)),0)</f>
        <v>0</v>
      </c>
      <c r="L191" s="150">
        <f>IFERROR((-VLOOKUP(LEFT($A191,4),'Cash Flow $s Yr1'!$B$12:$R$150,9,FALSE)),0)</f>
        <v>0</v>
      </c>
      <c r="M191" s="150">
        <f>IFERROR((-VLOOKUP(LEFT($A191,4),'Cash Flow $s Yr1'!$B$12:$R$150,10,FALSE)),0)</f>
        <v>0</v>
      </c>
      <c r="N191" s="150">
        <f>IFERROR((-VLOOKUP(LEFT($A191,4),'Cash Flow $s Yr1'!$B$12:$R$150,11,FALSE)),0)</f>
        <v>0</v>
      </c>
      <c r="O191" s="150">
        <f>IFERROR((-VLOOKUP(LEFT($A191,4),'Cash Flow $s Yr1'!$B$12:$R$150,12,FALSE)),0)</f>
        <v>0</v>
      </c>
      <c r="P191" s="150">
        <f>IFERROR((-VLOOKUP(LEFT($A191,4),'Cash Flow $s Yr1'!$B$12:$R$150,13,FALSE)),0)</f>
        <v>0</v>
      </c>
      <c r="Q191" s="150">
        <f>IFERROR((-VLOOKUP(LEFT($A191,4),'Cash Flow $s Yr1'!$B$12:$R$150,14,FALSE)-VLOOKUP(LEFT($A191,4),'Cash Flow $s Yr1'!$B$12:$R$150,15,FALSE)-VLOOKUP(LEFT($A191,4),'Cash Flow $s Yr1'!$B$12:$R$150,16,FALSE)-VLOOKUP(LEFT($A191,4),'Cash Flow $s Yr1'!$B$12:$R$150,17,FALSE)),0)</f>
        <v>0</v>
      </c>
      <c r="S191" s="147" t="s">
        <v>1054</v>
      </c>
    </row>
    <row r="192" spans="1:19" x14ac:dyDescent="0.6">
      <c r="A192" s="143" t="s">
        <v>1039</v>
      </c>
      <c r="B192" s="142" t="s">
        <v>1260</v>
      </c>
      <c r="C192" s="140" t="s">
        <v>862</v>
      </c>
      <c r="D192" s="140" t="s">
        <v>863</v>
      </c>
      <c r="E192" s="140" t="s">
        <v>864</v>
      </c>
      <c r="F192" s="149">
        <v>0</v>
      </c>
      <c r="G192" s="149">
        <v>0</v>
      </c>
      <c r="H192" s="149">
        <v>0</v>
      </c>
      <c r="I192" s="149">
        <v>0</v>
      </c>
      <c r="J192" s="149">
        <v>0</v>
      </c>
      <c r="K192" s="149">
        <v>0</v>
      </c>
      <c r="L192" s="149">
        <v>0</v>
      </c>
      <c r="M192" s="149">
        <v>0</v>
      </c>
      <c r="N192" s="149">
        <v>0</v>
      </c>
      <c r="O192" s="149">
        <v>0</v>
      </c>
      <c r="P192" s="149">
        <v>0</v>
      </c>
      <c r="Q192" s="149">
        <v>0</v>
      </c>
      <c r="S192" s="145" t="e">
        <f>SUM('Cash Flow $s Yr1'!D22:R22,'Cash Flow $s Yr1'!D48:R48)/-SUM(Fiscal_Sets!F175:Q192,Fiscal_Sets!F159:Q162)</f>
        <v>#DIV/0!</v>
      </c>
    </row>
    <row r="193" spans="1:19" x14ac:dyDescent="0.6">
      <c r="A193" s="144"/>
    </row>
    <row r="194" spans="1:19" x14ac:dyDescent="0.6">
      <c r="A194" s="144"/>
      <c r="S194" s="147"/>
    </row>
    <row r="195" spans="1:19" x14ac:dyDescent="0.6">
      <c r="A195" s="144"/>
    </row>
    <row r="196" spans="1:19" x14ac:dyDescent="0.6">
      <c r="A196" s="144"/>
    </row>
  </sheetData>
  <pageMargins left="0.75" right="0.75" top="1" bottom="1" header="0.5" footer="0.5"/>
  <pageSetup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Q57"/>
  <sheetViews>
    <sheetView workbookViewId="0"/>
  </sheetViews>
  <sheetFormatPr defaultRowHeight="15.75" outlineLevelRow="1" x14ac:dyDescent="0.75"/>
  <cols>
    <col min="1" max="1" width="5.6796875" style="34" customWidth="1"/>
    <col min="2" max="2" width="5.08984375" style="39" customWidth="1"/>
    <col min="3" max="3" width="20" style="1" customWidth="1"/>
    <col min="4" max="15" width="12.453125" style="84" customWidth="1"/>
    <col min="16" max="16" width="10.31640625" style="1" bestFit="1" customWidth="1"/>
    <col min="17" max="252" width="9.08984375" style="1"/>
    <col min="253" max="253" width="22.86328125" style="1" customWidth="1"/>
    <col min="254" max="508" width="9.08984375" style="1"/>
    <col min="509" max="509" width="22.86328125" style="1" customWidth="1"/>
    <col min="510" max="764" width="9.08984375" style="1"/>
    <col min="765" max="765" width="22.86328125" style="1" customWidth="1"/>
    <col min="766" max="1020" width="9.08984375" style="1"/>
    <col min="1021" max="1021" width="22.86328125" style="1" customWidth="1"/>
    <col min="1022" max="1276" width="9.08984375" style="1"/>
    <col min="1277" max="1277" width="22.86328125" style="1" customWidth="1"/>
    <col min="1278" max="1532" width="9.08984375" style="1"/>
    <col min="1533" max="1533" width="22.86328125" style="1" customWidth="1"/>
    <col min="1534" max="1788" width="9.08984375" style="1"/>
    <col min="1789" max="1789" width="22.86328125" style="1" customWidth="1"/>
    <col min="1790" max="2044" width="9.08984375" style="1"/>
    <col min="2045" max="2045" width="22.86328125" style="1" customWidth="1"/>
    <col min="2046" max="2300" width="9.08984375" style="1"/>
    <col min="2301" max="2301" width="22.86328125" style="1" customWidth="1"/>
    <col min="2302" max="2556" width="9.08984375" style="1"/>
    <col min="2557" max="2557" width="22.86328125" style="1" customWidth="1"/>
    <col min="2558" max="2812" width="9.08984375" style="1"/>
    <col min="2813" max="2813" width="22.86328125" style="1" customWidth="1"/>
    <col min="2814" max="3068" width="9.08984375" style="1"/>
    <col min="3069" max="3069" width="22.86328125" style="1" customWidth="1"/>
    <col min="3070" max="3324" width="9.08984375" style="1"/>
    <col min="3325" max="3325" width="22.86328125" style="1" customWidth="1"/>
    <col min="3326" max="3580" width="9.08984375" style="1"/>
    <col min="3581" max="3581" width="22.86328125" style="1" customWidth="1"/>
    <col min="3582" max="3836" width="9.08984375" style="1"/>
    <col min="3837" max="3837" width="22.86328125" style="1" customWidth="1"/>
    <col min="3838" max="4092" width="9.08984375" style="1"/>
    <col min="4093" max="4093" width="22.86328125" style="1" customWidth="1"/>
    <col min="4094" max="4348" width="9.08984375" style="1"/>
    <col min="4349" max="4349" width="22.86328125" style="1" customWidth="1"/>
    <col min="4350" max="4604" width="9.08984375" style="1"/>
    <col min="4605" max="4605" width="22.86328125" style="1" customWidth="1"/>
    <col min="4606" max="4860" width="9.08984375" style="1"/>
    <col min="4861" max="4861" width="22.86328125" style="1" customWidth="1"/>
    <col min="4862" max="5116" width="9.08984375" style="1"/>
    <col min="5117" max="5117" width="22.86328125" style="1" customWidth="1"/>
    <col min="5118" max="5372" width="9.08984375" style="1"/>
    <col min="5373" max="5373" width="22.86328125" style="1" customWidth="1"/>
    <col min="5374" max="5628" width="9.08984375" style="1"/>
    <col min="5629" max="5629" width="22.86328125" style="1" customWidth="1"/>
    <col min="5630" max="5884" width="9.08984375" style="1"/>
    <col min="5885" max="5885" width="22.86328125" style="1" customWidth="1"/>
    <col min="5886" max="6140" width="9.08984375" style="1"/>
    <col min="6141" max="6141" width="22.86328125" style="1" customWidth="1"/>
    <col min="6142" max="6396" width="9.08984375" style="1"/>
    <col min="6397" max="6397" width="22.86328125" style="1" customWidth="1"/>
    <col min="6398" max="6652" width="9.08984375" style="1"/>
    <col min="6653" max="6653" width="22.86328125" style="1" customWidth="1"/>
    <col min="6654" max="6908" width="9.08984375" style="1"/>
    <col min="6909" max="6909" width="22.86328125" style="1" customWidth="1"/>
    <col min="6910" max="7164" width="9.08984375" style="1"/>
    <col min="7165" max="7165" width="22.86328125" style="1" customWidth="1"/>
    <col min="7166" max="7420" width="9.08984375" style="1"/>
    <col min="7421" max="7421" width="22.86328125" style="1" customWidth="1"/>
    <col min="7422" max="7676" width="9.08984375" style="1"/>
    <col min="7677" max="7677" width="22.86328125" style="1" customWidth="1"/>
    <col min="7678" max="7932" width="9.08984375" style="1"/>
    <col min="7933" max="7933" width="22.86328125" style="1" customWidth="1"/>
    <col min="7934" max="8188" width="9.08984375" style="1"/>
    <col min="8189" max="8189" width="22.86328125" style="1" customWidth="1"/>
    <col min="8190" max="8444" width="9.08984375" style="1"/>
    <col min="8445" max="8445" width="22.86328125" style="1" customWidth="1"/>
    <col min="8446" max="8700" width="9.08984375" style="1"/>
    <col min="8701" max="8701" width="22.86328125" style="1" customWidth="1"/>
    <col min="8702" max="8956" width="9.08984375" style="1"/>
    <col min="8957" max="8957" width="22.86328125" style="1" customWidth="1"/>
    <col min="8958" max="9212" width="9.08984375" style="1"/>
    <col min="9213" max="9213" width="22.86328125" style="1" customWidth="1"/>
    <col min="9214" max="9468" width="9.08984375" style="1"/>
    <col min="9469" max="9469" width="22.86328125" style="1" customWidth="1"/>
    <col min="9470" max="9724" width="9.08984375" style="1"/>
    <col min="9725" max="9725" width="22.86328125" style="1" customWidth="1"/>
    <col min="9726" max="9980" width="9.08984375" style="1"/>
    <col min="9981" max="9981" width="22.86328125" style="1" customWidth="1"/>
    <col min="9982" max="10236" width="9.08984375" style="1"/>
    <col min="10237" max="10237" width="22.86328125" style="1" customWidth="1"/>
    <col min="10238" max="10492" width="9.08984375" style="1"/>
    <col min="10493" max="10493" width="22.86328125" style="1" customWidth="1"/>
    <col min="10494" max="10748" width="9.08984375" style="1"/>
    <col min="10749" max="10749" width="22.86328125" style="1" customWidth="1"/>
    <col min="10750" max="11004" width="9.08984375" style="1"/>
    <col min="11005" max="11005" width="22.86328125" style="1" customWidth="1"/>
    <col min="11006" max="11260" width="9.08984375" style="1"/>
    <col min="11261" max="11261" width="22.86328125" style="1" customWidth="1"/>
    <col min="11262" max="11516" width="9.08984375" style="1"/>
    <col min="11517" max="11517" width="22.86328125" style="1" customWidth="1"/>
    <col min="11518" max="11772" width="9.08984375" style="1"/>
    <col min="11773" max="11773" width="22.86328125" style="1" customWidth="1"/>
    <col min="11774" max="12028" width="9.08984375" style="1"/>
    <col min="12029" max="12029" width="22.86328125" style="1" customWidth="1"/>
    <col min="12030" max="12284" width="9.08984375" style="1"/>
    <col min="12285" max="12285" width="22.86328125" style="1" customWidth="1"/>
    <col min="12286" max="12540" width="9.08984375" style="1"/>
    <col min="12541" max="12541" width="22.86328125" style="1" customWidth="1"/>
    <col min="12542" max="12796" width="9.08984375" style="1"/>
    <col min="12797" max="12797" width="22.86328125" style="1" customWidth="1"/>
    <col min="12798" max="13052" width="9.08984375" style="1"/>
    <col min="13053" max="13053" width="22.86328125" style="1" customWidth="1"/>
    <col min="13054" max="13308" width="9.08984375" style="1"/>
    <col min="13309" max="13309" width="22.86328125" style="1" customWidth="1"/>
    <col min="13310" max="13564" width="9.08984375" style="1"/>
    <col min="13565" max="13565" width="22.86328125" style="1" customWidth="1"/>
    <col min="13566" max="13820" width="9.08984375" style="1"/>
    <col min="13821" max="13821" width="22.86328125" style="1" customWidth="1"/>
    <col min="13822" max="14076" width="9.08984375" style="1"/>
    <col min="14077" max="14077" width="22.86328125" style="1" customWidth="1"/>
    <col min="14078" max="14332" width="9.08984375" style="1"/>
    <col min="14333" max="14333" width="22.86328125" style="1" customWidth="1"/>
    <col min="14334" max="14588" width="9.08984375" style="1"/>
    <col min="14589" max="14589" width="22.86328125" style="1" customWidth="1"/>
    <col min="14590" max="14844" width="9.08984375" style="1"/>
    <col min="14845" max="14845" width="22.86328125" style="1" customWidth="1"/>
    <col min="14846" max="15100" width="9.08984375" style="1"/>
    <col min="15101" max="15101" width="22.86328125" style="1" customWidth="1"/>
    <col min="15102" max="15356" width="9.08984375" style="1"/>
    <col min="15357" max="15357" width="22.86328125" style="1" customWidth="1"/>
    <col min="15358" max="15612" width="9.08984375" style="1"/>
    <col min="15613" max="15613" width="22.86328125" style="1" customWidth="1"/>
    <col min="15614" max="15868" width="9.08984375" style="1"/>
    <col min="15869" max="15869" width="22.86328125" style="1" customWidth="1"/>
    <col min="15870" max="16124" width="9.08984375" style="1"/>
    <col min="16125" max="16125" width="22.86328125" style="1" customWidth="1"/>
    <col min="16126" max="16384" width="9.08984375" style="1"/>
  </cols>
  <sheetData>
    <row r="1" spans="1:17" ht="20.25" x14ac:dyDescent="0.85">
      <c r="A1" s="22" t="str">
        <f>'Student Info w MYP'!$A$1</f>
        <v>Compass Charter Schools</v>
      </c>
    </row>
    <row r="2" spans="1:17" ht="17.75" x14ac:dyDescent="0.75">
      <c r="A2" s="21" t="s">
        <v>817</v>
      </c>
    </row>
    <row r="3" spans="1:17" ht="17.75" x14ac:dyDescent="0.75">
      <c r="A3" s="21" t="str">
        <f>'Student Info w MYP'!$A$3</f>
        <v>2023-24 Budget- Adopted 5.38% COLA</v>
      </c>
    </row>
    <row r="4" spans="1:17" ht="17.75" x14ac:dyDescent="0.75">
      <c r="A4" s="21"/>
    </row>
    <row r="5" spans="1:17" ht="17.75" x14ac:dyDescent="0.75">
      <c r="A5" s="29"/>
      <c r="B5" s="40"/>
      <c r="C5" s="29"/>
      <c r="D5" s="85"/>
      <c r="E5" s="85"/>
      <c r="F5" s="85"/>
      <c r="G5" s="85"/>
      <c r="H5" s="85"/>
      <c r="I5" s="85"/>
      <c r="J5" s="85"/>
      <c r="K5" s="85"/>
      <c r="L5" s="85"/>
      <c r="M5" s="85"/>
      <c r="N5" s="85"/>
      <c r="O5" s="85"/>
    </row>
    <row r="6" spans="1:17" ht="17.75" x14ac:dyDescent="0.75">
      <c r="A6" s="21">
        <f>'Student Info w MYP'!D6</f>
        <v>0</v>
      </c>
      <c r="B6" s="1"/>
      <c r="D6" s="31"/>
      <c r="F6" s="85"/>
      <c r="G6" s="85"/>
      <c r="H6" s="85"/>
      <c r="I6" s="31"/>
      <c r="J6" s="31"/>
      <c r="K6" s="85"/>
      <c r="L6" s="85"/>
      <c r="M6" s="85"/>
      <c r="N6" s="85"/>
      <c r="O6" s="85"/>
    </row>
    <row r="7" spans="1:17" ht="159.75" customHeight="1" x14ac:dyDescent="0.75">
      <c r="A7" s="29"/>
      <c r="B7" s="29"/>
      <c r="C7" s="29"/>
      <c r="D7" s="29"/>
      <c r="E7" s="29"/>
      <c r="F7" s="29"/>
      <c r="G7" s="29"/>
      <c r="H7" s="29"/>
      <c r="I7" s="29"/>
      <c r="J7" s="29"/>
      <c r="K7" s="29"/>
      <c r="L7" s="29"/>
      <c r="M7" s="29"/>
      <c r="N7" s="29"/>
      <c r="O7" s="29"/>
      <c r="P7" s="29"/>
      <c r="Q7" s="29"/>
    </row>
    <row r="8" spans="1:17" ht="159.75" customHeight="1" x14ac:dyDescent="0.75">
      <c r="A8" s="29"/>
      <c r="B8" s="29"/>
      <c r="C8" s="29"/>
      <c r="D8" s="29"/>
      <c r="E8" s="29"/>
      <c r="F8" s="29"/>
      <c r="G8" s="29"/>
      <c r="H8" s="29"/>
      <c r="I8" s="29"/>
      <c r="J8" s="29"/>
      <c r="K8" s="29"/>
      <c r="L8" s="29"/>
      <c r="M8" s="29"/>
      <c r="N8" s="29"/>
      <c r="O8" s="29"/>
      <c r="P8" s="29"/>
      <c r="Q8" s="29"/>
    </row>
    <row r="9" spans="1:17" ht="159.75" customHeight="1" x14ac:dyDescent="0.75">
      <c r="A9" s="29"/>
      <c r="B9" s="29"/>
      <c r="C9" s="29"/>
      <c r="D9" s="29"/>
      <c r="E9" s="29"/>
      <c r="F9" s="29"/>
      <c r="G9" s="29"/>
      <c r="H9" s="29"/>
      <c r="I9" s="29"/>
      <c r="J9" s="29"/>
      <c r="K9" s="29"/>
      <c r="L9" s="29"/>
      <c r="M9" s="29"/>
      <c r="N9" s="29"/>
      <c r="O9" s="29"/>
      <c r="P9" s="29"/>
      <c r="Q9" s="29"/>
    </row>
    <row r="10" spans="1:17" s="39" customFormat="1" ht="16.5" thickBot="1" x14ac:dyDescent="0.9">
      <c r="A10" s="2"/>
      <c r="C10" s="1"/>
      <c r="D10" s="94" t="s">
        <v>799</v>
      </c>
      <c r="E10" s="94" t="s">
        <v>800</v>
      </c>
      <c r="F10" s="94" t="s">
        <v>801</v>
      </c>
      <c r="G10" s="94" t="s">
        <v>802</v>
      </c>
      <c r="H10" s="94" t="s">
        <v>803</v>
      </c>
      <c r="I10" s="94" t="s">
        <v>804</v>
      </c>
      <c r="J10" s="94" t="s">
        <v>805</v>
      </c>
      <c r="K10" s="94" t="s">
        <v>806</v>
      </c>
      <c r="L10" s="94" t="s">
        <v>807</v>
      </c>
      <c r="M10" s="94" t="s">
        <v>808</v>
      </c>
      <c r="N10" s="94" t="s">
        <v>809</v>
      </c>
      <c r="O10" s="94" t="s">
        <v>810</v>
      </c>
    </row>
    <row r="11" spans="1:17" s="39" customFormat="1" ht="16.5" thickBot="1" x14ac:dyDescent="0.9">
      <c r="A11" s="126"/>
      <c r="B11" s="114"/>
      <c r="C11" s="127" t="str">
        <f>'Cash Flow $s Yr1'!A165</f>
        <v>Projected Monthly Cash Balance</v>
      </c>
      <c r="D11" s="128" t="e">
        <f>'Cash Flow $s Yr1'!D$165</f>
        <v>#REF!</v>
      </c>
      <c r="E11" s="128" t="e">
        <f>'Cash Flow $s Yr1'!E$165</f>
        <v>#REF!</v>
      </c>
      <c r="F11" s="128" t="e">
        <f>'Cash Flow $s Yr1'!F$165</f>
        <v>#REF!</v>
      </c>
      <c r="G11" s="128" t="e">
        <f>'Cash Flow $s Yr1'!G$165</f>
        <v>#REF!</v>
      </c>
      <c r="H11" s="128" t="e">
        <f>'Cash Flow $s Yr1'!H$165</f>
        <v>#REF!</v>
      </c>
      <c r="I11" s="128" t="e">
        <f>'Cash Flow $s Yr1'!I$165</f>
        <v>#REF!</v>
      </c>
      <c r="J11" s="128" t="e">
        <f>'Cash Flow $s Yr1'!J$165</f>
        <v>#REF!</v>
      </c>
      <c r="K11" s="128" t="e">
        <f>'Cash Flow $s Yr1'!K$165</f>
        <v>#REF!</v>
      </c>
      <c r="L11" s="128" t="e">
        <f>'Cash Flow $s Yr1'!L$165</f>
        <v>#REF!</v>
      </c>
      <c r="M11" s="128" t="e">
        <f>'Cash Flow $s Yr1'!M$165</f>
        <v>#REF!</v>
      </c>
      <c r="N11" s="128" t="e">
        <f>'Cash Flow $s Yr1'!N$165</f>
        <v>#REF!</v>
      </c>
      <c r="O11" s="129" t="e">
        <f>'Cash Flow $s Yr1'!O$165</f>
        <v>#REF!</v>
      </c>
    </row>
    <row r="12" spans="1:17" s="39" customFormat="1" hidden="1" outlineLevel="1" x14ac:dyDescent="0.75">
      <c r="A12" s="35"/>
      <c r="C12" s="1"/>
      <c r="D12" s="84"/>
      <c r="E12" s="84"/>
      <c r="F12" s="84"/>
      <c r="G12" s="84"/>
      <c r="H12" s="84"/>
      <c r="I12" s="84"/>
      <c r="J12" s="84"/>
      <c r="K12" s="84"/>
      <c r="L12" s="84"/>
      <c r="M12" s="84"/>
      <c r="N12" s="84"/>
      <c r="O12" s="84"/>
    </row>
    <row r="13" spans="1:17" s="39" customFormat="1" ht="17.75" hidden="1" outlineLevel="1" x14ac:dyDescent="0.75">
      <c r="A13" s="21">
        <f>'Student Info w MYP'!E6</f>
        <v>0</v>
      </c>
      <c r="C13" s="1"/>
      <c r="D13" s="31"/>
      <c r="E13" s="84"/>
      <c r="F13" s="85"/>
      <c r="G13" s="85"/>
      <c r="H13" s="85"/>
      <c r="I13" s="31"/>
      <c r="J13" s="31"/>
      <c r="K13" s="85"/>
      <c r="L13" s="85"/>
      <c r="M13" s="85"/>
      <c r="N13" s="85"/>
      <c r="O13" s="85"/>
    </row>
    <row r="14" spans="1:17" s="39" customFormat="1" ht="150.75" hidden="1" customHeight="1" outlineLevel="1" x14ac:dyDescent="0.75">
      <c r="A14" s="29"/>
      <c r="B14" s="29"/>
      <c r="C14" s="29"/>
      <c r="D14" s="29"/>
      <c r="E14" s="29"/>
      <c r="F14" s="29"/>
      <c r="G14" s="29"/>
      <c r="H14" s="29"/>
      <c r="I14" s="29"/>
      <c r="J14" s="29"/>
      <c r="K14" s="29"/>
      <c r="L14" s="29"/>
      <c r="M14" s="29"/>
      <c r="N14" s="29"/>
      <c r="O14" s="29"/>
    </row>
    <row r="15" spans="1:17" s="39" customFormat="1" ht="150.75" hidden="1" customHeight="1" outlineLevel="1" x14ac:dyDescent="0.75">
      <c r="A15" s="29"/>
      <c r="B15" s="29"/>
      <c r="C15" s="29"/>
      <c r="D15" s="29"/>
      <c r="E15" s="29"/>
      <c r="F15" s="29"/>
      <c r="G15" s="29"/>
      <c r="H15" s="29"/>
      <c r="I15" s="29"/>
      <c r="J15" s="29"/>
      <c r="K15" s="29"/>
      <c r="L15" s="29"/>
      <c r="M15" s="29"/>
      <c r="N15" s="29"/>
      <c r="O15" s="29"/>
    </row>
    <row r="16" spans="1:17" s="39" customFormat="1" ht="150.75" hidden="1" customHeight="1" outlineLevel="1" x14ac:dyDescent="0.75">
      <c r="A16" s="29"/>
      <c r="B16" s="29"/>
      <c r="C16" s="29"/>
      <c r="D16" s="29"/>
      <c r="E16" s="29"/>
      <c r="F16" s="29"/>
      <c r="G16" s="29"/>
      <c r="H16" s="29"/>
      <c r="I16" s="29"/>
      <c r="J16" s="29"/>
      <c r="K16" s="29"/>
      <c r="L16" s="29"/>
      <c r="M16" s="29"/>
      <c r="N16" s="29"/>
      <c r="O16" s="29"/>
    </row>
    <row r="17" spans="1:15" s="39" customFormat="1" ht="16.5" hidden="1" outlineLevel="1" thickBot="1" x14ac:dyDescent="0.9">
      <c r="A17" s="2"/>
      <c r="C17" s="1"/>
      <c r="D17" s="94" t="s">
        <v>799</v>
      </c>
      <c r="E17" s="94" t="s">
        <v>800</v>
      </c>
      <c r="F17" s="94" t="s">
        <v>801</v>
      </c>
      <c r="G17" s="94" t="s">
        <v>802</v>
      </c>
      <c r="H17" s="94" t="s">
        <v>803</v>
      </c>
      <c r="I17" s="94" t="s">
        <v>804</v>
      </c>
      <c r="J17" s="94" t="s">
        <v>805</v>
      </c>
      <c r="K17" s="94" t="s">
        <v>806</v>
      </c>
      <c r="L17" s="94" t="s">
        <v>807</v>
      </c>
      <c r="M17" s="94" t="s">
        <v>808</v>
      </c>
      <c r="N17" s="94" t="s">
        <v>809</v>
      </c>
      <c r="O17" s="94" t="s">
        <v>810</v>
      </c>
    </row>
    <row r="18" spans="1:15" s="39" customFormat="1" ht="16.5" hidden="1" outlineLevel="1" thickBot="1" x14ac:dyDescent="0.9">
      <c r="A18" s="126"/>
      <c r="B18" s="114"/>
      <c r="C18" s="127" t="str">
        <f>$C$11</f>
        <v>Projected Monthly Cash Balance</v>
      </c>
      <c r="D18" s="128" t="e">
        <f>'Cash Flow $s Yr2'!D$165</f>
        <v>#REF!</v>
      </c>
      <c r="E18" s="128" t="e">
        <f>'Cash Flow $s Yr2'!E$165</f>
        <v>#REF!</v>
      </c>
      <c r="F18" s="128" t="e">
        <f>'Cash Flow $s Yr2'!F$165</f>
        <v>#REF!</v>
      </c>
      <c r="G18" s="128" t="e">
        <f>'Cash Flow $s Yr2'!G$165</f>
        <v>#REF!</v>
      </c>
      <c r="H18" s="128" t="e">
        <f>'Cash Flow $s Yr2'!H$165</f>
        <v>#REF!</v>
      </c>
      <c r="I18" s="128" t="e">
        <f>'Cash Flow $s Yr2'!I$165</f>
        <v>#REF!</v>
      </c>
      <c r="J18" s="128" t="e">
        <f>'Cash Flow $s Yr2'!J$165</f>
        <v>#REF!</v>
      </c>
      <c r="K18" s="128" t="e">
        <f>'Cash Flow $s Yr2'!K$165</f>
        <v>#REF!</v>
      </c>
      <c r="L18" s="128" t="e">
        <f>'Cash Flow $s Yr2'!L$165</f>
        <v>#REF!</v>
      </c>
      <c r="M18" s="128" t="e">
        <f>'Cash Flow $s Yr2'!M$165</f>
        <v>#REF!</v>
      </c>
      <c r="N18" s="128" t="e">
        <f>'Cash Flow $s Yr2'!N$165</f>
        <v>#REF!</v>
      </c>
      <c r="O18" s="129" t="e">
        <f>'Cash Flow $s Yr2'!O$165</f>
        <v>#REF!</v>
      </c>
    </row>
    <row r="19" spans="1:15" hidden="1" outlineLevel="1" x14ac:dyDescent="0.75"/>
    <row r="20" spans="1:15" ht="17.75" hidden="1" outlineLevel="1" x14ac:dyDescent="0.75">
      <c r="A20" s="21" t="str">
        <f>'Student Info w MYP'!F6</f>
        <v>Yolo</v>
      </c>
      <c r="B20" s="1"/>
      <c r="D20" s="31"/>
      <c r="F20" s="85"/>
      <c r="G20" s="85"/>
      <c r="H20" s="85"/>
      <c r="I20" s="31"/>
      <c r="J20" s="31"/>
      <c r="K20" s="85"/>
      <c r="L20" s="85"/>
      <c r="M20" s="85"/>
      <c r="N20" s="85"/>
      <c r="O20" s="85"/>
    </row>
    <row r="21" spans="1:15" ht="159" hidden="1" customHeight="1" outlineLevel="1" x14ac:dyDescent="0.75">
      <c r="A21" s="29"/>
      <c r="B21" s="29"/>
      <c r="C21" s="29"/>
      <c r="D21" s="29"/>
      <c r="E21" s="29"/>
      <c r="F21" s="29"/>
      <c r="G21" s="29"/>
      <c r="H21" s="29"/>
      <c r="I21" s="29"/>
      <c r="J21" s="29"/>
      <c r="K21" s="29"/>
      <c r="L21" s="29"/>
      <c r="M21" s="29"/>
      <c r="N21" s="29"/>
      <c r="O21" s="29"/>
    </row>
    <row r="22" spans="1:15" ht="159" hidden="1" customHeight="1" outlineLevel="1" x14ac:dyDescent="0.75">
      <c r="A22" s="29"/>
      <c r="B22" s="29"/>
      <c r="C22" s="29"/>
      <c r="D22" s="29"/>
      <c r="E22" s="29"/>
      <c r="F22" s="29"/>
      <c r="G22" s="29"/>
      <c r="H22" s="29"/>
      <c r="I22" s="29"/>
      <c r="J22" s="29"/>
      <c r="K22" s="29"/>
      <c r="L22" s="29"/>
      <c r="M22" s="29"/>
      <c r="N22" s="29"/>
      <c r="O22" s="29"/>
    </row>
    <row r="23" spans="1:15" ht="159" hidden="1" customHeight="1" outlineLevel="1" x14ac:dyDescent="0.75">
      <c r="A23" s="29"/>
      <c r="B23" s="29"/>
      <c r="C23" s="29"/>
      <c r="D23" s="29"/>
      <c r="E23" s="29"/>
      <c r="F23" s="29"/>
      <c r="G23" s="29"/>
      <c r="H23" s="29"/>
      <c r="I23" s="29"/>
      <c r="J23" s="29"/>
      <c r="K23" s="29"/>
      <c r="L23" s="29"/>
      <c r="M23" s="29"/>
      <c r="N23" s="29"/>
      <c r="O23" s="29"/>
    </row>
    <row r="24" spans="1:15" ht="16.5" hidden="1" outlineLevel="1" thickBot="1" x14ac:dyDescent="0.9">
      <c r="A24" s="2"/>
      <c r="D24" s="94" t="s">
        <v>799</v>
      </c>
      <c r="E24" s="94" t="s">
        <v>800</v>
      </c>
      <c r="F24" s="94" t="s">
        <v>801</v>
      </c>
      <c r="G24" s="94" t="s">
        <v>802</v>
      </c>
      <c r="H24" s="94" t="s">
        <v>803</v>
      </c>
      <c r="I24" s="94" t="s">
        <v>804</v>
      </c>
      <c r="J24" s="94" t="s">
        <v>805</v>
      </c>
      <c r="K24" s="94" t="s">
        <v>806</v>
      </c>
      <c r="L24" s="94" t="s">
        <v>807</v>
      </c>
      <c r="M24" s="94" t="s">
        <v>808</v>
      </c>
      <c r="N24" s="94" t="s">
        <v>809</v>
      </c>
      <c r="O24" s="94" t="s">
        <v>810</v>
      </c>
    </row>
    <row r="25" spans="1:15" ht="16.5" hidden="1" outlineLevel="1" thickBot="1" x14ac:dyDescent="0.9">
      <c r="A25" s="126"/>
      <c r="B25" s="114"/>
      <c r="C25" s="127" t="str">
        <f>$C$11</f>
        <v>Projected Monthly Cash Balance</v>
      </c>
      <c r="D25" s="135" t="e">
        <f>'Cash Flow $s Yr3'!D$165</f>
        <v>#REF!</v>
      </c>
      <c r="E25" s="128" t="e">
        <f>'Cash Flow $s Yr3'!E$165</f>
        <v>#REF!</v>
      </c>
      <c r="F25" s="128" t="e">
        <f>'Cash Flow $s Yr3'!F$165</f>
        <v>#REF!</v>
      </c>
      <c r="G25" s="128" t="e">
        <f>'Cash Flow $s Yr3'!G$165</f>
        <v>#REF!</v>
      </c>
      <c r="H25" s="128" t="e">
        <f>'Cash Flow $s Yr3'!H$165</f>
        <v>#REF!</v>
      </c>
      <c r="I25" s="128" t="e">
        <f>'Cash Flow $s Yr3'!I$165</f>
        <v>#REF!</v>
      </c>
      <c r="J25" s="128" t="e">
        <f>'Cash Flow $s Yr3'!J$165</f>
        <v>#REF!</v>
      </c>
      <c r="K25" s="128" t="e">
        <f>'Cash Flow $s Yr3'!K$165</f>
        <v>#REF!</v>
      </c>
      <c r="L25" s="128" t="e">
        <f>'Cash Flow $s Yr3'!L$165</f>
        <v>#REF!</v>
      </c>
      <c r="M25" s="128" t="e">
        <f>'Cash Flow $s Yr3'!M$165</f>
        <v>#REF!</v>
      </c>
      <c r="N25" s="128" t="e">
        <f>'Cash Flow $s Yr3'!N$165</f>
        <v>#REF!</v>
      </c>
      <c r="O25" s="129" t="e">
        <f>'Cash Flow $s Yr3'!O$165</f>
        <v>#REF!</v>
      </c>
    </row>
    <row r="26" spans="1:15" hidden="1" outlineLevel="1" x14ac:dyDescent="0.75"/>
    <row r="27" spans="1:15" ht="17.75" hidden="1" outlineLevel="1" x14ac:dyDescent="0.75">
      <c r="A27" s="21" t="str">
        <f>'Student Info w MYP'!G6</f>
        <v>San Diego</v>
      </c>
      <c r="B27" s="1"/>
      <c r="D27" s="31"/>
      <c r="F27" s="85"/>
      <c r="G27" s="85"/>
      <c r="H27" s="85"/>
      <c r="I27" s="31"/>
      <c r="J27" s="31"/>
      <c r="K27" s="85"/>
      <c r="L27" s="85"/>
      <c r="M27" s="85"/>
      <c r="N27" s="85"/>
      <c r="O27" s="85"/>
    </row>
    <row r="28" spans="1:15" ht="159" hidden="1" customHeight="1" outlineLevel="1" x14ac:dyDescent="0.75">
      <c r="A28" s="29"/>
      <c r="B28" s="29"/>
      <c r="C28" s="29"/>
      <c r="D28" s="29"/>
      <c r="E28" s="29"/>
      <c r="F28" s="29"/>
      <c r="G28" s="29"/>
      <c r="H28" s="29"/>
      <c r="I28" s="29"/>
      <c r="J28" s="29"/>
      <c r="K28" s="29"/>
      <c r="L28" s="29"/>
      <c r="M28" s="29"/>
      <c r="N28" s="29"/>
      <c r="O28" s="29"/>
    </row>
    <row r="29" spans="1:15" ht="159" hidden="1" customHeight="1" outlineLevel="1" x14ac:dyDescent="0.75">
      <c r="A29" s="29"/>
      <c r="B29" s="29"/>
      <c r="C29" s="29"/>
      <c r="D29" s="29"/>
      <c r="E29" s="29"/>
      <c r="F29" s="29"/>
      <c r="G29" s="29"/>
      <c r="H29" s="29"/>
      <c r="I29" s="29"/>
      <c r="J29" s="29"/>
      <c r="K29" s="29"/>
      <c r="L29" s="29"/>
      <c r="M29" s="29"/>
      <c r="N29" s="29"/>
      <c r="O29" s="29"/>
    </row>
    <row r="30" spans="1:15" ht="159" hidden="1" customHeight="1" outlineLevel="1" x14ac:dyDescent="0.75">
      <c r="A30" s="29"/>
      <c r="B30" s="29"/>
      <c r="C30" s="29"/>
      <c r="D30" s="29"/>
      <c r="E30" s="29"/>
      <c r="F30" s="29"/>
      <c r="G30" s="29"/>
      <c r="H30" s="29"/>
      <c r="I30" s="29"/>
      <c r="J30" s="29"/>
      <c r="K30" s="29"/>
      <c r="L30" s="29"/>
      <c r="M30" s="29"/>
      <c r="N30" s="29"/>
      <c r="O30" s="29"/>
    </row>
    <row r="31" spans="1:15" ht="16.5" hidden="1" outlineLevel="1" thickBot="1" x14ac:dyDescent="0.9">
      <c r="A31" s="2"/>
      <c r="D31" s="94" t="s">
        <v>799</v>
      </c>
      <c r="E31" s="94" t="s">
        <v>800</v>
      </c>
      <c r="F31" s="94" t="s">
        <v>801</v>
      </c>
      <c r="G31" s="94" t="s">
        <v>802</v>
      </c>
      <c r="H31" s="94" t="s">
        <v>803</v>
      </c>
      <c r="I31" s="94" t="s">
        <v>804</v>
      </c>
      <c r="J31" s="94" t="s">
        <v>805</v>
      </c>
      <c r="K31" s="94" t="s">
        <v>806</v>
      </c>
      <c r="L31" s="94" t="s">
        <v>807</v>
      </c>
      <c r="M31" s="94" t="s">
        <v>808</v>
      </c>
      <c r="N31" s="94" t="s">
        <v>809</v>
      </c>
      <c r="O31" s="94" t="s">
        <v>810</v>
      </c>
    </row>
    <row r="32" spans="1:15" ht="16.5" hidden="1" outlineLevel="1" thickBot="1" x14ac:dyDescent="0.9">
      <c r="A32" s="126"/>
      <c r="B32" s="114"/>
      <c r="C32" s="127" t="str">
        <f>$C$11</f>
        <v>Projected Monthly Cash Balance</v>
      </c>
      <c r="D32" s="135" t="e">
        <f>'Cash Flow $s Yr4'!D$165</f>
        <v>#REF!</v>
      </c>
      <c r="E32" s="128" t="e">
        <f>'Cash Flow $s Yr4'!E$165</f>
        <v>#REF!</v>
      </c>
      <c r="F32" s="128" t="e">
        <f>'Cash Flow $s Yr4'!F$165</f>
        <v>#REF!</v>
      </c>
      <c r="G32" s="128" t="e">
        <f>'Cash Flow $s Yr4'!G$165</f>
        <v>#REF!</v>
      </c>
      <c r="H32" s="128" t="e">
        <f>'Cash Flow $s Yr4'!H$165</f>
        <v>#REF!</v>
      </c>
      <c r="I32" s="128" t="e">
        <f>'Cash Flow $s Yr4'!I$165</f>
        <v>#REF!</v>
      </c>
      <c r="J32" s="128" t="e">
        <f>'Cash Flow $s Yr4'!J$165</f>
        <v>#REF!</v>
      </c>
      <c r="K32" s="128" t="e">
        <f>'Cash Flow $s Yr4'!K$165</f>
        <v>#REF!</v>
      </c>
      <c r="L32" s="128" t="e">
        <f>'Cash Flow $s Yr4'!L$165</f>
        <v>#REF!</v>
      </c>
      <c r="M32" s="128" t="e">
        <f>'Cash Flow $s Yr4'!M$165</f>
        <v>#REF!</v>
      </c>
      <c r="N32" s="128" t="e">
        <f>'Cash Flow $s Yr4'!N$165</f>
        <v>#REF!</v>
      </c>
      <c r="O32" s="129" t="e">
        <f>'Cash Flow $s Yr4'!O$165</f>
        <v>#REF!</v>
      </c>
    </row>
    <row r="33" spans="1:17" hidden="1" outlineLevel="1" x14ac:dyDescent="0.75"/>
    <row r="34" spans="1:17" ht="17.75" hidden="1" outlineLevel="1" x14ac:dyDescent="0.75">
      <c r="A34" s="21" t="str">
        <f>'Student Info w MYP'!H6</f>
        <v>Los Angeles</v>
      </c>
      <c r="B34" s="1"/>
      <c r="D34" s="31"/>
      <c r="F34" s="85"/>
      <c r="G34" s="85"/>
      <c r="H34" s="85"/>
      <c r="I34" s="31"/>
      <c r="J34" s="31"/>
      <c r="K34" s="85"/>
      <c r="L34" s="85"/>
      <c r="M34" s="85"/>
      <c r="N34" s="85"/>
      <c r="O34" s="85"/>
    </row>
    <row r="35" spans="1:17" ht="159.75" hidden="1" customHeight="1" outlineLevel="1" x14ac:dyDescent="0.75">
      <c r="A35" s="29"/>
      <c r="B35" s="29"/>
      <c r="C35" s="29"/>
      <c r="D35" s="29"/>
      <c r="E35" s="29"/>
      <c r="F35" s="29"/>
      <c r="G35" s="29"/>
      <c r="H35" s="29"/>
      <c r="I35" s="29"/>
      <c r="J35" s="29"/>
      <c r="K35" s="29"/>
      <c r="L35" s="29"/>
      <c r="M35" s="29"/>
      <c r="N35" s="29"/>
      <c r="O35" s="29"/>
    </row>
    <row r="36" spans="1:17" ht="159.75" hidden="1" customHeight="1" outlineLevel="1" x14ac:dyDescent="0.75">
      <c r="A36" s="29"/>
      <c r="B36" s="29"/>
      <c r="C36" s="29"/>
      <c r="D36" s="29"/>
      <c r="E36" s="29"/>
      <c r="F36" s="29"/>
      <c r="G36" s="29"/>
      <c r="H36" s="29"/>
      <c r="I36" s="29"/>
      <c r="J36" s="29"/>
      <c r="K36" s="29"/>
      <c r="L36" s="29"/>
      <c r="M36" s="29"/>
      <c r="N36" s="29"/>
      <c r="O36" s="29"/>
    </row>
    <row r="37" spans="1:17" ht="159.75" hidden="1" customHeight="1" outlineLevel="1" x14ac:dyDescent="0.75">
      <c r="A37" s="29"/>
      <c r="B37" s="29"/>
      <c r="C37" s="29"/>
      <c r="D37" s="29"/>
      <c r="E37" s="29"/>
      <c r="F37" s="29"/>
      <c r="G37" s="29"/>
      <c r="H37" s="29"/>
      <c r="I37" s="29"/>
      <c r="J37" s="29"/>
      <c r="K37" s="29"/>
      <c r="L37" s="29"/>
      <c r="M37" s="29"/>
      <c r="N37" s="29"/>
      <c r="O37" s="29"/>
    </row>
    <row r="38" spans="1:17" ht="16.5" hidden="1" outlineLevel="1" thickBot="1" x14ac:dyDescent="0.9">
      <c r="A38" s="2"/>
      <c r="D38" s="94" t="s">
        <v>799</v>
      </c>
      <c r="E38" s="94" t="s">
        <v>800</v>
      </c>
      <c r="F38" s="94" t="s">
        <v>801</v>
      </c>
      <c r="G38" s="94" t="s">
        <v>802</v>
      </c>
      <c r="H38" s="94" t="s">
        <v>803</v>
      </c>
      <c r="I38" s="94" t="s">
        <v>804</v>
      </c>
      <c r="J38" s="94" t="s">
        <v>805</v>
      </c>
      <c r="K38" s="94" t="s">
        <v>806</v>
      </c>
      <c r="L38" s="94" t="s">
        <v>807</v>
      </c>
      <c r="M38" s="94" t="s">
        <v>808</v>
      </c>
      <c r="N38" s="94" t="s">
        <v>809</v>
      </c>
      <c r="O38" s="94" t="s">
        <v>810</v>
      </c>
    </row>
    <row r="39" spans="1:17" ht="16.5" hidden="1" outlineLevel="1" thickBot="1" x14ac:dyDescent="0.9">
      <c r="A39" s="126"/>
      <c r="B39" s="114"/>
      <c r="C39" s="127" t="str">
        <f>$C$11</f>
        <v>Projected Monthly Cash Balance</v>
      </c>
      <c r="D39" s="135" t="e">
        <f>'Cash Flow $s Yr5'!D$165</f>
        <v>#REF!</v>
      </c>
      <c r="E39" s="128" t="e">
        <f>'Cash Flow $s Yr5'!E$165</f>
        <v>#REF!</v>
      </c>
      <c r="F39" s="128" t="e">
        <f>'Cash Flow $s Yr5'!F$165</f>
        <v>#REF!</v>
      </c>
      <c r="G39" s="128" t="e">
        <f>'Cash Flow $s Yr5'!G$165</f>
        <v>#REF!</v>
      </c>
      <c r="H39" s="128" t="e">
        <f>'Cash Flow $s Yr5'!H$165</f>
        <v>#REF!</v>
      </c>
      <c r="I39" s="128" t="e">
        <f>'Cash Flow $s Yr5'!I$165</f>
        <v>#REF!</v>
      </c>
      <c r="J39" s="128" t="e">
        <f>'Cash Flow $s Yr5'!J$165</f>
        <v>#REF!</v>
      </c>
      <c r="K39" s="128" t="e">
        <f>'Cash Flow $s Yr5'!K$165</f>
        <v>#REF!</v>
      </c>
      <c r="L39" s="128" t="e">
        <f>'Cash Flow $s Yr5'!L$165</f>
        <v>#REF!</v>
      </c>
      <c r="M39" s="128" t="e">
        <f>'Cash Flow $s Yr5'!M$165</f>
        <v>#REF!</v>
      </c>
      <c r="N39" s="128" t="e">
        <f>'Cash Flow $s Yr5'!N$165</f>
        <v>#REF!</v>
      </c>
      <c r="O39" s="129" t="e">
        <f>'Cash Flow $s Yr5'!O$165</f>
        <v>#REF!</v>
      </c>
    </row>
    <row r="40" spans="1:17" hidden="1" outlineLevel="1" x14ac:dyDescent="0.75"/>
    <row r="41" spans="1:17" ht="17.75" hidden="1" outlineLevel="1" x14ac:dyDescent="0.75">
      <c r="A41" s="21" t="s">
        <v>675</v>
      </c>
      <c r="B41" s="1"/>
      <c r="D41" s="31"/>
      <c r="F41" s="85"/>
      <c r="G41" s="85"/>
      <c r="H41" s="85"/>
      <c r="I41" s="31"/>
      <c r="J41" s="31"/>
      <c r="K41" s="85"/>
      <c r="L41" s="85"/>
      <c r="M41" s="85"/>
      <c r="N41" s="85"/>
      <c r="O41" s="85"/>
    </row>
    <row r="42" spans="1:17" ht="159.75" hidden="1" customHeight="1" outlineLevel="1" x14ac:dyDescent="0.75">
      <c r="A42" s="29"/>
      <c r="B42" s="29"/>
      <c r="C42" s="29"/>
      <c r="D42" s="29"/>
      <c r="E42" s="29"/>
      <c r="F42" s="29"/>
      <c r="G42" s="29"/>
      <c r="H42" s="29"/>
      <c r="I42" s="29"/>
      <c r="J42" s="29"/>
      <c r="K42" s="29"/>
      <c r="L42" s="29"/>
      <c r="M42" s="29"/>
      <c r="N42" s="29"/>
      <c r="O42" s="29"/>
      <c r="P42" s="29"/>
      <c r="Q42" s="29"/>
    </row>
    <row r="43" spans="1:17" ht="159.75" hidden="1" customHeight="1" outlineLevel="1" x14ac:dyDescent="0.75">
      <c r="A43" s="29"/>
      <c r="B43" s="29"/>
      <c r="C43" s="29"/>
      <c r="D43" s="29"/>
      <c r="E43" s="29"/>
      <c r="F43" s="29"/>
      <c r="G43" s="29"/>
      <c r="H43" s="29"/>
      <c r="I43" s="29"/>
      <c r="J43" s="29"/>
      <c r="K43" s="29"/>
      <c r="L43" s="29"/>
      <c r="M43" s="29"/>
      <c r="N43" s="29"/>
      <c r="O43" s="29"/>
      <c r="P43" s="29"/>
      <c r="Q43" s="29"/>
    </row>
    <row r="44" spans="1:17" ht="159.75" hidden="1" customHeight="1" outlineLevel="1" x14ac:dyDescent="0.75">
      <c r="A44" s="29"/>
      <c r="B44" s="29"/>
      <c r="C44" s="29"/>
      <c r="D44" s="29"/>
      <c r="E44" s="29"/>
      <c r="F44" s="29"/>
      <c r="G44" s="29"/>
      <c r="H44" s="29"/>
      <c r="I44" s="29"/>
      <c r="J44" s="29"/>
      <c r="K44" s="29"/>
      <c r="L44" s="29"/>
      <c r="M44" s="29"/>
      <c r="N44" s="29"/>
      <c r="O44" s="29"/>
      <c r="P44" s="29"/>
      <c r="Q44" s="29"/>
    </row>
    <row r="45" spans="1:17" s="39" customFormat="1" ht="16.5" hidden="1" outlineLevel="1" thickBot="1" x14ac:dyDescent="0.9">
      <c r="A45" s="2"/>
      <c r="C45" s="1"/>
      <c r="D45" s="94" t="s">
        <v>799</v>
      </c>
      <c r="E45" s="94" t="s">
        <v>800</v>
      </c>
      <c r="F45" s="94" t="s">
        <v>801</v>
      </c>
      <c r="G45" s="94" t="s">
        <v>802</v>
      </c>
      <c r="H45" s="94" t="s">
        <v>803</v>
      </c>
      <c r="I45" s="94" t="s">
        <v>804</v>
      </c>
      <c r="J45" s="94" t="s">
        <v>805</v>
      </c>
      <c r="K45" s="94" t="s">
        <v>806</v>
      </c>
      <c r="L45" s="94" t="s">
        <v>807</v>
      </c>
      <c r="M45" s="94" t="s">
        <v>808</v>
      </c>
      <c r="N45" s="94" t="s">
        <v>809</v>
      </c>
      <c r="O45" s="94" t="s">
        <v>810</v>
      </c>
    </row>
    <row r="46" spans="1:17" s="39" customFormat="1" ht="16.5" hidden="1" outlineLevel="1" thickBot="1" x14ac:dyDescent="0.9">
      <c r="A46" s="126"/>
      <c r="B46" s="114"/>
      <c r="C46" s="127" t="str">
        <f>$C$11</f>
        <v>Projected Monthly Cash Balance</v>
      </c>
      <c r="D46" s="128" t="e">
        <f>SUM(D39,D32,D25,D18,D11)</f>
        <v>#REF!</v>
      </c>
      <c r="E46" s="128" t="e">
        <f t="shared" ref="E46:O46" si="0">SUM(E39,E32,E25,E18,E11)</f>
        <v>#REF!</v>
      </c>
      <c r="F46" s="128" t="e">
        <f t="shared" si="0"/>
        <v>#REF!</v>
      </c>
      <c r="G46" s="128" t="e">
        <f t="shared" si="0"/>
        <v>#REF!</v>
      </c>
      <c r="H46" s="128" t="e">
        <f t="shared" si="0"/>
        <v>#REF!</v>
      </c>
      <c r="I46" s="128" t="e">
        <f t="shared" si="0"/>
        <v>#REF!</v>
      </c>
      <c r="J46" s="128" t="e">
        <f t="shared" si="0"/>
        <v>#REF!</v>
      </c>
      <c r="K46" s="128" t="e">
        <f t="shared" si="0"/>
        <v>#REF!</v>
      </c>
      <c r="L46" s="128" t="e">
        <f t="shared" si="0"/>
        <v>#REF!</v>
      </c>
      <c r="M46" s="128" t="e">
        <f t="shared" si="0"/>
        <v>#REF!</v>
      </c>
      <c r="N46" s="128" t="e">
        <f t="shared" si="0"/>
        <v>#REF!</v>
      </c>
      <c r="O46" s="129" t="e">
        <f t="shared" si="0"/>
        <v>#REF!</v>
      </c>
    </row>
    <row r="47" spans="1:17" hidden="1" outlineLevel="1" x14ac:dyDescent="0.75"/>
    <row r="48" spans="1:17" hidden="1" outlineLevel="1" x14ac:dyDescent="0.75"/>
    <row r="49" hidden="1" outlineLevel="1" x14ac:dyDescent="0.75"/>
    <row r="50" hidden="1" outlineLevel="1" x14ac:dyDescent="0.75"/>
    <row r="51" hidden="1" outlineLevel="1" x14ac:dyDescent="0.75"/>
    <row r="52" hidden="1" outlineLevel="1" x14ac:dyDescent="0.75"/>
    <row r="53" hidden="1" outlineLevel="1" x14ac:dyDescent="0.75"/>
    <row r="54" hidden="1" outlineLevel="1" x14ac:dyDescent="0.75"/>
    <row r="55" hidden="1" outlineLevel="1" x14ac:dyDescent="0.75"/>
    <row r="56" hidden="1" outlineLevel="1" x14ac:dyDescent="0.75"/>
    <row r="57" collapsed="1" x14ac:dyDescent="0.75"/>
  </sheetData>
  <pageMargins left="0.25" right="0.25" top="0.5" bottom="0.5" header="0.25" footer="0.25"/>
  <pageSetup scale="74" fitToHeight="5" orientation="landscape" r:id="rId1"/>
  <headerFooter alignWithMargins="0">
    <oddHeader>&amp;A</oddHeader>
    <oddFooter>Page &amp;P</oddFooter>
  </headerFooter>
  <rowBreaks count="5" manualBreakCount="5">
    <brk id="11" max="16383" man="1"/>
    <brk id="18" max="16383" man="1"/>
    <brk id="25" max="16383" man="1"/>
    <brk id="32" max="16383" man="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J150"/>
  <sheetViews>
    <sheetView workbookViewId="0"/>
  </sheetViews>
  <sheetFormatPr defaultColWidth="37" defaultRowHeight="14.75" x14ac:dyDescent="0.75"/>
  <cols>
    <col min="1" max="1" width="7.453125" bestFit="1" customWidth="1"/>
    <col min="2" max="2" width="56.6796875" bestFit="1" customWidth="1"/>
    <col min="3" max="3" width="74.453125" customWidth="1"/>
    <col min="4" max="4" width="20.08984375" customWidth="1"/>
    <col min="5" max="5" width="11.6796875" bestFit="1" customWidth="1"/>
  </cols>
  <sheetData>
    <row r="1" spans="1:6" x14ac:dyDescent="0.75">
      <c r="A1" s="178" t="s">
        <v>567</v>
      </c>
      <c r="B1" s="178" t="s">
        <v>568</v>
      </c>
    </row>
    <row r="2" spans="1:6" x14ac:dyDescent="0.75">
      <c r="A2" s="178" t="s">
        <v>10</v>
      </c>
      <c r="B2" s="178" t="s">
        <v>569</v>
      </c>
      <c r="C2" s="179"/>
    </row>
    <row r="3" spans="1:6" x14ac:dyDescent="0.75">
      <c r="A3" s="178" t="s">
        <v>710</v>
      </c>
      <c r="B3" s="178" t="s">
        <v>570</v>
      </c>
    </row>
    <row r="4" spans="1:6" x14ac:dyDescent="0.75">
      <c r="A4" s="178" t="s">
        <v>556</v>
      </c>
      <c r="B4" s="178" t="s">
        <v>571</v>
      </c>
      <c r="D4" s="179" t="s">
        <v>1094</v>
      </c>
    </row>
    <row r="5" spans="1:6" x14ac:dyDescent="0.75">
      <c r="A5" s="178" t="s">
        <v>12</v>
      </c>
      <c r="B5" s="178" t="s">
        <v>572</v>
      </c>
    </row>
    <row r="6" spans="1:6" x14ac:dyDescent="0.75">
      <c r="A6" s="178" t="s">
        <v>14</v>
      </c>
      <c r="B6" s="178" t="s">
        <v>573</v>
      </c>
      <c r="D6" s="180" t="s">
        <v>1095</v>
      </c>
      <c r="E6" s="179"/>
    </row>
    <row r="7" spans="1:6" x14ac:dyDescent="0.75">
      <c r="A7" s="178" t="s">
        <v>711</v>
      </c>
      <c r="B7" s="178" t="s">
        <v>574</v>
      </c>
      <c r="D7" s="180" t="s">
        <v>1096</v>
      </c>
      <c r="E7" s="179"/>
    </row>
    <row r="8" spans="1:6" x14ac:dyDescent="0.75">
      <c r="A8" s="178" t="s">
        <v>16</v>
      </c>
      <c r="B8" s="178" t="s">
        <v>575</v>
      </c>
      <c r="D8" s="180" t="s">
        <v>1097</v>
      </c>
      <c r="E8" s="179"/>
    </row>
    <row r="9" spans="1:6" x14ac:dyDescent="0.75">
      <c r="A9" s="178" t="s">
        <v>712</v>
      </c>
      <c r="B9" s="178" t="s">
        <v>576</v>
      </c>
      <c r="D9" s="180" t="s">
        <v>1098</v>
      </c>
      <c r="E9" s="179"/>
    </row>
    <row r="10" spans="1:6" x14ac:dyDescent="0.75">
      <c r="A10" s="178" t="s">
        <v>18</v>
      </c>
      <c r="B10" s="178" t="s">
        <v>577</v>
      </c>
      <c r="D10" s="180" t="s">
        <v>1099</v>
      </c>
      <c r="E10" s="179"/>
    </row>
    <row r="11" spans="1:6" x14ac:dyDescent="0.75">
      <c r="A11" s="178" t="s">
        <v>557</v>
      </c>
      <c r="B11" s="178" t="s">
        <v>578</v>
      </c>
      <c r="D11" s="180" t="s">
        <v>1100</v>
      </c>
      <c r="E11" s="179"/>
      <c r="F11" s="179"/>
    </row>
    <row r="12" spans="1:6" x14ac:dyDescent="0.75">
      <c r="A12" s="178" t="s">
        <v>20</v>
      </c>
      <c r="B12" s="178" t="s">
        <v>579</v>
      </c>
      <c r="D12" s="180" t="s">
        <v>1101</v>
      </c>
      <c r="E12" s="179"/>
    </row>
    <row r="13" spans="1:6" x14ac:dyDescent="0.75">
      <c r="A13" s="178" t="s">
        <v>713</v>
      </c>
      <c r="B13" s="178" t="s">
        <v>580</v>
      </c>
    </row>
    <row r="14" spans="1:6" x14ac:dyDescent="0.75">
      <c r="A14" s="178" t="s">
        <v>22</v>
      </c>
      <c r="B14" s="178" t="s">
        <v>581</v>
      </c>
    </row>
    <row r="15" spans="1:6" x14ac:dyDescent="0.75">
      <c r="A15" s="178" t="s">
        <v>24</v>
      </c>
      <c r="B15" s="178" t="s">
        <v>582</v>
      </c>
    </row>
    <row r="16" spans="1:6" x14ac:dyDescent="0.75">
      <c r="A16" s="178" t="s">
        <v>549</v>
      </c>
      <c r="B16" s="178" t="s">
        <v>583</v>
      </c>
    </row>
    <row r="17" spans="1:10" x14ac:dyDescent="0.75">
      <c r="A17" s="178" t="s">
        <v>26</v>
      </c>
      <c r="B17" s="178" t="s">
        <v>584</v>
      </c>
    </row>
    <row r="18" spans="1:10" x14ac:dyDescent="0.75">
      <c r="A18" s="178" t="s">
        <v>714</v>
      </c>
      <c r="B18" s="178" t="s">
        <v>585</v>
      </c>
    </row>
    <row r="19" spans="1:10" x14ac:dyDescent="0.75">
      <c r="A19" s="178" t="s">
        <v>715</v>
      </c>
      <c r="B19" s="178" t="s">
        <v>586</v>
      </c>
    </row>
    <row r="20" spans="1:10" x14ac:dyDescent="0.75">
      <c r="A20" s="178" t="s">
        <v>30</v>
      </c>
      <c r="B20" s="178" t="s">
        <v>587</v>
      </c>
    </row>
    <row r="21" spans="1:10" x14ac:dyDescent="0.75">
      <c r="A21" s="178" t="s">
        <v>38</v>
      </c>
      <c r="B21" s="178" t="s">
        <v>588</v>
      </c>
    </row>
    <row r="22" spans="1:10" x14ac:dyDescent="0.75">
      <c r="A22" s="180" t="s">
        <v>1065</v>
      </c>
      <c r="B22" s="178" t="s">
        <v>1066</v>
      </c>
      <c r="C22" s="181" t="s">
        <v>1102</v>
      </c>
      <c r="D22" s="181"/>
      <c r="E22" s="181"/>
      <c r="F22" s="181"/>
      <c r="G22" s="182"/>
      <c r="H22" s="181"/>
      <c r="I22" s="182"/>
      <c r="J22" s="182"/>
    </row>
    <row r="23" spans="1:10" x14ac:dyDescent="0.75">
      <c r="A23" s="180" t="s">
        <v>1067</v>
      </c>
      <c r="B23" s="178" t="s">
        <v>1068</v>
      </c>
      <c r="C23" s="181" t="s">
        <v>1103</v>
      </c>
      <c r="D23" s="183"/>
      <c r="E23" s="181"/>
      <c r="F23" s="184"/>
      <c r="G23" s="182"/>
      <c r="H23" s="182"/>
      <c r="I23" s="182"/>
      <c r="J23" s="182"/>
    </row>
    <row r="24" spans="1:10" ht="21.75" customHeight="1" x14ac:dyDescent="0.75">
      <c r="A24" s="178" t="s">
        <v>716</v>
      </c>
      <c r="B24" s="178" t="s">
        <v>589</v>
      </c>
      <c r="C24" s="181" t="s">
        <v>1104</v>
      </c>
      <c r="D24" s="182"/>
      <c r="E24" s="182"/>
      <c r="F24" s="182"/>
      <c r="G24" s="182"/>
      <c r="H24" s="182"/>
      <c r="I24" s="182"/>
      <c r="J24" s="182"/>
    </row>
    <row r="25" spans="1:10" ht="30" customHeight="1" x14ac:dyDescent="0.75">
      <c r="A25" s="178" t="s">
        <v>717</v>
      </c>
      <c r="B25" s="178" t="s">
        <v>590</v>
      </c>
      <c r="C25" s="181" t="s">
        <v>1105</v>
      </c>
      <c r="D25" s="182"/>
      <c r="E25" s="182"/>
      <c r="F25" s="182"/>
      <c r="G25" s="182"/>
      <c r="H25" s="182"/>
      <c r="I25" s="182"/>
      <c r="J25" s="182"/>
    </row>
    <row r="26" spans="1:10" x14ac:dyDescent="0.75">
      <c r="A26" s="178" t="s">
        <v>718</v>
      </c>
      <c r="B26" s="178" t="s">
        <v>591</v>
      </c>
      <c r="C26" s="181" t="s">
        <v>1106</v>
      </c>
      <c r="D26" s="182"/>
      <c r="E26" s="182"/>
      <c r="F26" s="182"/>
      <c r="G26" s="182"/>
      <c r="H26" s="182"/>
      <c r="I26" s="182"/>
      <c r="J26" s="182"/>
    </row>
    <row r="27" spans="1:10" x14ac:dyDescent="0.75">
      <c r="A27" s="178" t="s">
        <v>1074</v>
      </c>
      <c r="B27" s="178" t="s">
        <v>1075</v>
      </c>
      <c r="C27" s="181"/>
      <c r="D27" s="182"/>
      <c r="E27" s="182"/>
      <c r="F27" s="182"/>
      <c r="G27" s="182"/>
      <c r="H27" s="182"/>
      <c r="I27" s="182"/>
      <c r="J27" s="182"/>
    </row>
    <row r="28" spans="1:10" x14ac:dyDescent="0.75">
      <c r="A28" s="178" t="s">
        <v>1073</v>
      </c>
      <c r="B28" s="178" t="s">
        <v>1107</v>
      </c>
      <c r="C28" s="181" t="s">
        <v>1108</v>
      </c>
      <c r="D28" s="182"/>
      <c r="E28" s="182"/>
      <c r="F28" s="182"/>
      <c r="G28" s="182"/>
      <c r="H28" s="182"/>
      <c r="I28" s="182"/>
      <c r="J28" s="182"/>
    </row>
    <row r="29" spans="1:10" x14ac:dyDescent="0.75">
      <c r="A29" s="178" t="s">
        <v>86</v>
      </c>
      <c r="B29" s="178" t="s">
        <v>592</v>
      </c>
      <c r="C29" s="182"/>
      <c r="D29" s="182"/>
      <c r="E29" s="182"/>
      <c r="F29" s="182"/>
      <c r="G29" s="182"/>
      <c r="H29" s="182"/>
      <c r="I29" s="182"/>
      <c r="J29" s="182"/>
    </row>
    <row r="30" spans="1:10" x14ac:dyDescent="0.75">
      <c r="A30" s="178" t="s">
        <v>88</v>
      </c>
      <c r="B30" s="178" t="s">
        <v>593</v>
      </c>
      <c r="C30" s="182"/>
      <c r="D30" s="182"/>
      <c r="E30" s="182"/>
      <c r="F30" s="182"/>
      <c r="G30" s="182"/>
      <c r="H30" s="182"/>
      <c r="I30" s="182"/>
      <c r="J30" s="182"/>
    </row>
    <row r="31" spans="1:10" x14ac:dyDescent="0.75">
      <c r="A31" s="178" t="s">
        <v>833</v>
      </c>
      <c r="B31" s="178" t="s">
        <v>594</v>
      </c>
      <c r="C31" s="181" t="s">
        <v>1109</v>
      </c>
      <c r="D31" s="182"/>
      <c r="E31" s="182"/>
      <c r="G31" s="182"/>
      <c r="H31" s="182"/>
      <c r="I31" s="182"/>
      <c r="J31" s="182"/>
    </row>
    <row r="32" spans="1:10" ht="26.75" x14ac:dyDescent="0.75">
      <c r="A32" s="178" t="s">
        <v>90</v>
      </c>
      <c r="B32" s="178" t="s">
        <v>595</v>
      </c>
      <c r="C32" s="181" t="s">
        <v>1110</v>
      </c>
      <c r="D32" s="181"/>
      <c r="E32" s="182"/>
      <c r="G32" s="182"/>
      <c r="H32" s="182"/>
      <c r="I32" s="182"/>
      <c r="J32" s="182"/>
    </row>
    <row r="33" spans="1:10" x14ac:dyDescent="0.75">
      <c r="A33" s="178" t="s">
        <v>92</v>
      </c>
      <c r="B33" s="178" t="s">
        <v>596</v>
      </c>
      <c r="C33" s="181" t="s">
        <v>1111</v>
      </c>
      <c r="D33" s="182"/>
      <c r="E33" s="182"/>
      <c r="F33" s="182"/>
      <c r="G33" s="182"/>
      <c r="H33" s="182"/>
      <c r="I33" s="182"/>
      <c r="J33" s="182"/>
    </row>
    <row r="34" spans="1:10" ht="31.5" customHeight="1" x14ac:dyDescent="0.75">
      <c r="A34" s="178" t="s">
        <v>677</v>
      </c>
      <c r="B34" s="180" t="s">
        <v>1112</v>
      </c>
      <c r="C34" s="181" t="s">
        <v>1113</v>
      </c>
      <c r="D34" s="182"/>
      <c r="E34" s="182"/>
      <c r="F34" s="182"/>
      <c r="G34" s="182"/>
      <c r="H34" s="182"/>
      <c r="I34" s="182"/>
      <c r="J34" s="182"/>
    </row>
    <row r="35" spans="1:10" x14ac:dyDescent="0.75">
      <c r="A35" s="178" t="s">
        <v>94</v>
      </c>
      <c r="B35" s="180" t="s">
        <v>1078</v>
      </c>
      <c r="C35" s="181" t="s">
        <v>1114</v>
      </c>
      <c r="D35" s="182"/>
      <c r="E35" s="182"/>
      <c r="F35" s="182"/>
      <c r="G35" s="182"/>
      <c r="H35" s="182"/>
      <c r="I35" s="182"/>
      <c r="J35" s="182"/>
    </row>
    <row r="36" spans="1:10" ht="26.75" x14ac:dyDescent="0.75">
      <c r="A36" s="178" t="s">
        <v>98</v>
      </c>
      <c r="B36" s="178" t="s">
        <v>597</v>
      </c>
      <c r="C36" s="181" t="s">
        <v>1115</v>
      </c>
      <c r="D36" s="182"/>
      <c r="E36" s="182"/>
      <c r="F36" s="182"/>
      <c r="G36" s="182"/>
      <c r="H36" s="182"/>
      <c r="I36" s="182"/>
      <c r="J36" s="182"/>
    </row>
    <row r="37" spans="1:10" x14ac:dyDescent="0.75">
      <c r="A37" s="178" t="s">
        <v>550</v>
      </c>
      <c r="B37" s="178" t="s">
        <v>598</v>
      </c>
      <c r="C37" s="182"/>
      <c r="D37" s="182"/>
      <c r="E37" s="182"/>
      <c r="F37" s="182"/>
      <c r="G37" s="182"/>
      <c r="H37" s="182"/>
      <c r="I37" s="182"/>
      <c r="J37" s="182"/>
    </row>
    <row r="38" spans="1:10" x14ac:dyDescent="0.75">
      <c r="A38" s="178" t="s">
        <v>100</v>
      </c>
      <c r="B38" s="178" t="s">
        <v>599</v>
      </c>
      <c r="C38" s="181" t="s">
        <v>1116</v>
      </c>
      <c r="D38" s="182"/>
      <c r="E38" s="182"/>
      <c r="F38" s="182"/>
      <c r="G38" s="182"/>
      <c r="H38" s="182"/>
      <c r="I38" s="182"/>
      <c r="J38" s="182"/>
    </row>
    <row r="39" spans="1:10" x14ac:dyDescent="0.75">
      <c r="A39" s="178" t="s">
        <v>102</v>
      </c>
      <c r="B39" s="178" t="s">
        <v>600</v>
      </c>
      <c r="C39" s="181" t="s">
        <v>1117</v>
      </c>
      <c r="D39" s="182"/>
      <c r="E39" s="182"/>
      <c r="F39" s="182"/>
      <c r="G39" s="182"/>
      <c r="H39" s="182"/>
      <c r="I39" s="182"/>
      <c r="J39" s="182"/>
    </row>
    <row r="40" spans="1:10" x14ac:dyDescent="0.75">
      <c r="A40" s="178" t="s">
        <v>108</v>
      </c>
      <c r="B40" s="178" t="s">
        <v>1118</v>
      </c>
      <c r="C40" s="181" t="s">
        <v>1119</v>
      </c>
      <c r="D40" s="182"/>
      <c r="E40" s="182"/>
      <c r="F40" s="182"/>
      <c r="G40" s="182"/>
      <c r="H40" s="182"/>
      <c r="I40" s="182"/>
      <c r="J40" s="182"/>
    </row>
    <row r="41" spans="1:10" x14ac:dyDescent="0.75">
      <c r="A41" s="178" t="s">
        <v>678</v>
      </c>
      <c r="B41" s="178" t="s">
        <v>602</v>
      </c>
      <c r="C41" s="181" t="s">
        <v>1120</v>
      </c>
      <c r="D41" s="182"/>
      <c r="E41" s="182"/>
      <c r="F41" s="182"/>
      <c r="G41" s="182"/>
      <c r="H41" s="182"/>
      <c r="I41" s="182"/>
      <c r="J41" s="182"/>
    </row>
    <row r="42" spans="1:10" x14ac:dyDescent="0.75">
      <c r="A42" s="178" t="s">
        <v>679</v>
      </c>
      <c r="B42" s="178" t="s">
        <v>1121</v>
      </c>
      <c r="C42" s="181" t="s">
        <v>1122</v>
      </c>
      <c r="D42" s="182"/>
      <c r="E42" s="182"/>
      <c r="F42" s="182"/>
      <c r="G42" s="182"/>
      <c r="H42" s="182"/>
      <c r="I42" s="182"/>
      <c r="J42" s="182"/>
    </row>
    <row r="43" spans="1:10" x14ac:dyDescent="0.75">
      <c r="A43" s="178" t="s">
        <v>110</v>
      </c>
      <c r="B43" s="178" t="s">
        <v>603</v>
      </c>
      <c r="C43" s="182" t="s">
        <v>1123</v>
      </c>
      <c r="D43" s="182"/>
      <c r="E43" s="182"/>
      <c r="F43" s="182"/>
      <c r="G43" s="182"/>
      <c r="H43" s="182"/>
      <c r="I43" s="182"/>
      <c r="J43" s="182"/>
    </row>
    <row r="44" spans="1:10" x14ac:dyDescent="0.75">
      <c r="A44" s="178" t="s">
        <v>680</v>
      </c>
      <c r="B44" s="178" t="s">
        <v>604</v>
      </c>
      <c r="C44" s="182" t="s">
        <v>1124</v>
      </c>
      <c r="D44" s="182"/>
      <c r="E44" s="182"/>
      <c r="F44" s="182"/>
      <c r="G44" s="182"/>
      <c r="H44" s="182"/>
      <c r="I44" s="182"/>
      <c r="J44" s="182"/>
    </row>
    <row r="45" spans="1:10" x14ac:dyDescent="0.75">
      <c r="A45" s="178" t="s">
        <v>1080</v>
      </c>
      <c r="B45" s="178" t="s">
        <v>1081</v>
      </c>
      <c r="C45" s="182" t="s">
        <v>1125</v>
      </c>
      <c r="D45" s="182"/>
      <c r="E45" s="182"/>
      <c r="F45" s="182"/>
      <c r="G45" s="182"/>
      <c r="H45" s="182"/>
      <c r="I45" s="182"/>
      <c r="J45" s="182"/>
    </row>
    <row r="46" spans="1:10" x14ac:dyDescent="0.75">
      <c r="A46" s="178" t="s">
        <v>551</v>
      </c>
      <c r="B46" s="178" t="s">
        <v>605</v>
      </c>
      <c r="C46" s="182"/>
      <c r="D46" s="182"/>
      <c r="E46" s="182"/>
      <c r="F46" s="182"/>
      <c r="G46" s="182"/>
      <c r="H46" s="182"/>
      <c r="I46" s="182"/>
      <c r="J46" s="182"/>
    </row>
    <row r="47" spans="1:10" x14ac:dyDescent="0.75">
      <c r="A47" s="178" t="s">
        <v>552</v>
      </c>
      <c r="B47" s="178" t="s">
        <v>606</v>
      </c>
      <c r="C47" s="182" t="s">
        <v>1126</v>
      </c>
      <c r="D47" s="182"/>
      <c r="E47" s="182"/>
      <c r="F47" s="182"/>
      <c r="G47" s="182"/>
      <c r="H47" s="182"/>
      <c r="I47" s="182"/>
      <c r="J47" s="182"/>
    </row>
    <row r="48" spans="1:10" ht="26.75" x14ac:dyDescent="0.75">
      <c r="A48" s="178" t="s">
        <v>116</v>
      </c>
      <c r="B48" s="178" t="s">
        <v>607</v>
      </c>
      <c r="C48" s="181" t="s">
        <v>1127</v>
      </c>
      <c r="D48" s="182"/>
      <c r="E48" s="182"/>
      <c r="F48" s="182"/>
      <c r="G48" s="182"/>
      <c r="H48" s="182"/>
      <c r="I48" s="182"/>
      <c r="J48" s="182"/>
    </row>
    <row r="49" spans="1:10" x14ac:dyDescent="0.75">
      <c r="A49" s="178" t="s">
        <v>681</v>
      </c>
      <c r="B49" s="178" t="s">
        <v>608</v>
      </c>
      <c r="C49" s="182"/>
      <c r="D49" s="182"/>
      <c r="E49" s="182"/>
      <c r="F49" s="182"/>
      <c r="G49" s="182"/>
      <c r="H49" s="182"/>
      <c r="I49" s="182"/>
      <c r="J49" s="182"/>
    </row>
    <row r="50" spans="1:10" x14ac:dyDescent="0.75">
      <c r="A50" s="178" t="s">
        <v>682</v>
      </c>
      <c r="B50" s="180" t="s">
        <v>1082</v>
      </c>
      <c r="C50" s="182"/>
      <c r="D50" s="182"/>
      <c r="E50" s="182"/>
      <c r="F50" s="182"/>
      <c r="G50" s="182"/>
      <c r="H50" s="182"/>
      <c r="I50" s="182"/>
      <c r="J50" s="182"/>
    </row>
    <row r="51" spans="1:10" x14ac:dyDescent="0.75">
      <c r="A51" s="178" t="s">
        <v>553</v>
      </c>
      <c r="B51" s="178" t="s">
        <v>609</v>
      </c>
      <c r="C51" s="182"/>
      <c r="D51" s="182"/>
      <c r="E51" s="182"/>
      <c r="F51" s="182"/>
      <c r="G51" s="182"/>
      <c r="H51" s="182"/>
      <c r="I51" s="182"/>
      <c r="J51" s="182"/>
    </row>
    <row r="52" spans="1:10" x14ac:dyDescent="0.75">
      <c r="A52" s="178" t="s">
        <v>835</v>
      </c>
      <c r="B52" s="178" t="s">
        <v>1128</v>
      </c>
      <c r="C52" s="181" t="s">
        <v>1129</v>
      </c>
      <c r="D52" s="182"/>
      <c r="E52" s="182"/>
      <c r="F52" s="182"/>
      <c r="G52" s="182"/>
      <c r="H52" s="182"/>
      <c r="I52" s="182"/>
      <c r="J52" s="182"/>
    </row>
    <row r="53" spans="1:10" x14ac:dyDescent="0.75">
      <c r="A53" s="178" t="s">
        <v>837</v>
      </c>
      <c r="B53" s="178" t="s">
        <v>614</v>
      </c>
      <c r="C53" s="181" t="s">
        <v>1130</v>
      </c>
      <c r="D53" s="182"/>
      <c r="E53" s="182"/>
      <c r="F53" s="182"/>
      <c r="G53" s="182"/>
      <c r="H53" s="182"/>
      <c r="I53" s="182"/>
      <c r="J53" s="182"/>
    </row>
    <row r="54" spans="1:10" x14ac:dyDescent="0.75">
      <c r="A54" s="180" t="s">
        <v>838</v>
      </c>
      <c r="B54" s="180" t="s">
        <v>1131</v>
      </c>
      <c r="C54" s="181" t="s">
        <v>1132</v>
      </c>
      <c r="D54" s="182"/>
      <c r="E54" s="182"/>
      <c r="F54" s="182"/>
      <c r="G54" s="182"/>
      <c r="H54" s="182"/>
      <c r="I54" s="182"/>
      <c r="J54" s="182"/>
    </row>
    <row r="55" spans="1:10" ht="31.5" customHeight="1" x14ac:dyDescent="0.75">
      <c r="A55" s="180" t="s">
        <v>840</v>
      </c>
      <c r="B55" s="180" t="s">
        <v>841</v>
      </c>
      <c r="C55" s="181" t="s">
        <v>1133</v>
      </c>
      <c r="D55" s="182"/>
      <c r="E55" s="182"/>
      <c r="F55" s="182"/>
      <c r="G55" s="182"/>
      <c r="H55" s="182"/>
      <c r="I55" s="182"/>
      <c r="J55" s="182"/>
    </row>
    <row r="56" spans="1:10" x14ac:dyDescent="0.75">
      <c r="A56" s="180" t="s">
        <v>842</v>
      </c>
      <c r="B56" s="180" t="s">
        <v>1134</v>
      </c>
      <c r="C56" s="181" t="s">
        <v>1135</v>
      </c>
      <c r="D56" s="182"/>
      <c r="E56" s="182"/>
      <c r="F56" s="182"/>
      <c r="G56" s="182"/>
      <c r="H56" s="182"/>
      <c r="I56" s="182"/>
      <c r="J56" s="182"/>
    </row>
    <row r="57" spans="1:10" ht="21" customHeight="1" x14ac:dyDescent="0.75">
      <c r="A57" s="178" t="s">
        <v>118</v>
      </c>
      <c r="B57" s="178" t="s">
        <v>610</v>
      </c>
      <c r="C57" s="181" t="s">
        <v>1136</v>
      </c>
      <c r="D57" s="182"/>
      <c r="E57" s="182"/>
      <c r="F57" s="182"/>
      <c r="G57" s="182"/>
      <c r="H57" s="182"/>
      <c r="I57" s="182"/>
      <c r="J57" s="182"/>
    </row>
    <row r="58" spans="1:10" ht="21" customHeight="1" x14ac:dyDescent="0.75">
      <c r="A58" s="180" t="s">
        <v>1083</v>
      </c>
      <c r="B58" s="178" t="s">
        <v>1084</v>
      </c>
      <c r="C58" s="181" t="s">
        <v>1137</v>
      </c>
      <c r="D58" s="182"/>
      <c r="E58" s="182"/>
      <c r="F58" s="182"/>
      <c r="G58" s="182"/>
      <c r="H58" s="182"/>
      <c r="I58" s="182"/>
      <c r="J58" s="182"/>
    </row>
    <row r="59" spans="1:10" x14ac:dyDescent="0.75">
      <c r="A59" s="178" t="s">
        <v>132</v>
      </c>
      <c r="B59" s="178" t="s">
        <v>611</v>
      </c>
      <c r="C59" s="182"/>
      <c r="D59" s="182"/>
      <c r="E59" s="182"/>
      <c r="F59" s="182"/>
      <c r="G59" s="182"/>
      <c r="H59" s="182"/>
      <c r="I59" s="182"/>
      <c r="J59" s="182"/>
    </row>
    <row r="60" spans="1:10" x14ac:dyDescent="0.75">
      <c r="A60" s="178" t="s">
        <v>683</v>
      </c>
      <c r="B60" s="178" t="s">
        <v>612</v>
      </c>
      <c r="C60" s="182"/>
      <c r="D60" s="182"/>
      <c r="E60" s="182"/>
      <c r="F60" s="182"/>
      <c r="G60" s="182"/>
      <c r="H60" s="182"/>
      <c r="I60" s="182"/>
      <c r="J60" s="182"/>
    </row>
    <row r="61" spans="1:10" x14ac:dyDescent="0.75">
      <c r="A61" s="178" t="s">
        <v>554</v>
      </c>
      <c r="B61" s="180" t="s">
        <v>613</v>
      </c>
      <c r="C61" s="182"/>
      <c r="D61" s="182"/>
      <c r="E61" s="182"/>
      <c r="F61" s="182"/>
      <c r="G61" s="182"/>
      <c r="H61" s="182"/>
      <c r="I61" s="182"/>
      <c r="J61" s="182"/>
    </row>
    <row r="62" spans="1:10" x14ac:dyDescent="0.75">
      <c r="A62" s="178" t="s">
        <v>184</v>
      </c>
      <c r="B62" s="178" t="s">
        <v>615</v>
      </c>
      <c r="C62" s="181" t="s">
        <v>1138</v>
      </c>
      <c r="D62" s="182"/>
      <c r="E62" s="182"/>
      <c r="F62" s="182"/>
      <c r="G62" s="182"/>
      <c r="H62" s="182"/>
      <c r="I62" s="182"/>
      <c r="J62" s="182"/>
    </row>
    <row r="63" spans="1:10" x14ac:dyDescent="0.75">
      <c r="A63" s="178" t="s">
        <v>561</v>
      </c>
      <c r="B63" s="178" t="s">
        <v>616</v>
      </c>
      <c r="C63" s="182"/>
      <c r="D63" s="182"/>
      <c r="E63" s="182"/>
      <c r="F63" s="182"/>
      <c r="G63" s="182"/>
      <c r="H63" s="182"/>
      <c r="I63" s="182"/>
      <c r="J63" s="182"/>
    </row>
    <row r="64" spans="1:10" x14ac:dyDescent="0.75">
      <c r="A64" s="178">
        <v>8011</v>
      </c>
      <c r="B64" s="178" t="s">
        <v>1242</v>
      </c>
      <c r="C64" s="199" t="s">
        <v>1243</v>
      </c>
      <c r="D64" s="182"/>
      <c r="E64" s="182"/>
      <c r="F64" s="182"/>
      <c r="G64" s="182"/>
      <c r="H64" s="182"/>
      <c r="I64" s="182"/>
      <c r="J64" s="182"/>
    </row>
    <row r="65" spans="1:10" x14ac:dyDescent="0.75">
      <c r="A65" s="178" t="s">
        <v>228</v>
      </c>
      <c r="B65" s="178" t="s">
        <v>1139</v>
      </c>
      <c r="C65" s="181" t="s">
        <v>1140</v>
      </c>
      <c r="D65" s="182"/>
      <c r="E65" s="182"/>
      <c r="F65" s="182"/>
      <c r="G65" s="182"/>
      <c r="H65" s="182"/>
      <c r="I65" s="182"/>
      <c r="J65" s="182"/>
    </row>
    <row r="66" spans="1:10" x14ac:dyDescent="0.75">
      <c r="A66" s="178" t="s">
        <v>274</v>
      </c>
      <c r="B66" s="178" t="s">
        <v>617</v>
      </c>
      <c r="C66" s="182" t="s">
        <v>1241</v>
      </c>
      <c r="D66" s="182"/>
      <c r="E66" s="182"/>
      <c r="F66" s="182"/>
      <c r="G66" s="182"/>
      <c r="H66" s="182"/>
      <c r="I66" s="182"/>
      <c r="J66" s="182"/>
    </row>
    <row r="67" spans="1:10" x14ac:dyDescent="0.75">
      <c r="A67" s="178" t="s">
        <v>278</v>
      </c>
      <c r="B67" s="178" t="s">
        <v>618</v>
      </c>
      <c r="C67" s="182"/>
      <c r="D67" s="182"/>
      <c r="E67" s="182"/>
      <c r="F67" s="182"/>
      <c r="G67" s="182"/>
      <c r="H67" s="182"/>
      <c r="I67" s="182"/>
      <c r="J67" s="182"/>
    </row>
    <row r="68" spans="1:10" ht="26.75" x14ac:dyDescent="0.75">
      <c r="A68" s="178" t="s">
        <v>292</v>
      </c>
      <c r="B68" s="178" t="s">
        <v>619</v>
      </c>
      <c r="C68" s="181" t="s">
        <v>1141</v>
      </c>
      <c r="D68" s="182"/>
      <c r="E68" s="182"/>
      <c r="F68" s="182"/>
      <c r="G68" s="182"/>
      <c r="H68" s="182"/>
      <c r="I68" s="182"/>
      <c r="J68" s="182"/>
    </row>
    <row r="69" spans="1:10" x14ac:dyDescent="0.75">
      <c r="A69" s="178" t="s">
        <v>684</v>
      </c>
      <c r="B69" s="178" t="s">
        <v>783</v>
      </c>
      <c r="C69" s="181" t="s">
        <v>1142</v>
      </c>
      <c r="D69" s="182"/>
      <c r="E69" s="182"/>
      <c r="F69" s="182"/>
      <c r="G69" s="182"/>
      <c r="H69" s="182"/>
      <c r="I69" s="182"/>
      <c r="J69" s="182"/>
    </row>
    <row r="70" spans="1:10" x14ac:dyDescent="0.75">
      <c r="A70" s="178" t="s">
        <v>685</v>
      </c>
      <c r="B70" s="178" t="s">
        <v>784</v>
      </c>
      <c r="C70" s="181" t="s">
        <v>1143</v>
      </c>
      <c r="D70" s="182"/>
      <c r="E70" s="182"/>
      <c r="F70" s="182"/>
      <c r="G70" s="182"/>
      <c r="H70" s="182"/>
      <c r="I70" s="182"/>
      <c r="J70" s="182"/>
    </row>
    <row r="71" spans="1:10" x14ac:dyDescent="0.75">
      <c r="A71" s="178" t="s">
        <v>686</v>
      </c>
      <c r="B71" s="178" t="s">
        <v>785</v>
      </c>
      <c r="C71" s="181" t="s">
        <v>1144</v>
      </c>
      <c r="D71" s="182"/>
      <c r="E71" s="182"/>
      <c r="F71" s="182"/>
      <c r="G71" s="182"/>
      <c r="H71" s="182"/>
      <c r="I71" s="182"/>
      <c r="J71" s="182"/>
    </row>
    <row r="72" spans="1:10" x14ac:dyDescent="0.75">
      <c r="A72" s="178" t="s">
        <v>687</v>
      </c>
      <c r="B72" s="178" t="s">
        <v>786</v>
      </c>
      <c r="C72" s="181" t="s">
        <v>1145</v>
      </c>
      <c r="D72" s="182"/>
      <c r="E72" s="182"/>
      <c r="F72" s="182"/>
      <c r="G72" s="182"/>
      <c r="H72" s="182"/>
      <c r="I72" s="182"/>
      <c r="J72" s="182"/>
    </row>
    <row r="73" spans="1:10" x14ac:dyDescent="0.75">
      <c r="A73" s="178" t="s">
        <v>688</v>
      </c>
      <c r="B73" s="178" t="s">
        <v>787</v>
      </c>
      <c r="C73" s="181" t="s">
        <v>1146</v>
      </c>
      <c r="D73" s="182"/>
      <c r="E73" s="182"/>
      <c r="F73" s="182"/>
      <c r="G73" s="182"/>
      <c r="H73" s="182"/>
      <c r="I73" s="182"/>
      <c r="J73" s="182"/>
    </row>
    <row r="74" spans="1:10" x14ac:dyDescent="0.75">
      <c r="A74" s="178" t="s">
        <v>1085</v>
      </c>
      <c r="B74" s="178" t="s">
        <v>1086</v>
      </c>
      <c r="C74" s="181" t="s">
        <v>1147</v>
      </c>
      <c r="D74" s="182"/>
      <c r="E74" s="182"/>
      <c r="F74" s="182"/>
      <c r="G74" s="182"/>
      <c r="H74" s="182"/>
      <c r="I74" s="182"/>
      <c r="J74" s="182"/>
    </row>
    <row r="75" spans="1:10" ht="29.25" customHeight="1" x14ac:dyDescent="0.75">
      <c r="A75" s="178" t="s">
        <v>294</v>
      </c>
      <c r="B75" s="180" t="s">
        <v>1087</v>
      </c>
      <c r="C75" s="181" t="s">
        <v>1148</v>
      </c>
      <c r="D75" s="182"/>
      <c r="E75" s="182"/>
      <c r="F75" s="182"/>
      <c r="G75" s="182"/>
      <c r="H75" s="182"/>
      <c r="I75" s="182"/>
      <c r="J75" s="182"/>
    </row>
    <row r="76" spans="1:10" x14ac:dyDescent="0.75">
      <c r="A76" s="178" t="s">
        <v>300</v>
      </c>
      <c r="B76" s="178" t="s">
        <v>1149</v>
      </c>
      <c r="C76" s="182"/>
      <c r="D76" s="182"/>
      <c r="E76" s="182"/>
      <c r="F76" s="182"/>
      <c r="G76" s="182"/>
      <c r="H76" s="182"/>
      <c r="I76" s="182"/>
      <c r="J76" s="182"/>
    </row>
    <row r="77" spans="1:10" x14ac:dyDescent="0.75">
      <c r="A77" s="178" t="s">
        <v>304</v>
      </c>
      <c r="B77" s="178" t="s">
        <v>620</v>
      </c>
      <c r="C77" s="182"/>
      <c r="D77" s="182"/>
      <c r="E77" s="182"/>
      <c r="F77" s="182"/>
      <c r="G77" s="182"/>
      <c r="H77" s="182"/>
      <c r="I77" s="182"/>
      <c r="J77" s="182"/>
    </row>
    <row r="78" spans="1:10" x14ac:dyDescent="0.75">
      <c r="A78" s="178" t="s">
        <v>306</v>
      </c>
      <c r="B78" s="178" t="s">
        <v>621</v>
      </c>
      <c r="C78" s="182"/>
      <c r="D78" s="182"/>
      <c r="E78" s="182"/>
      <c r="F78" s="182"/>
      <c r="G78" s="182"/>
      <c r="H78" s="182"/>
      <c r="I78" s="182"/>
      <c r="J78" s="182"/>
    </row>
    <row r="79" spans="1:10" x14ac:dyDescent="0.75">
      <c r="A79" s="178" t="s">
        <v>316</v>
      </c>
      <c r="B79" s="178" t="s">
        <v>622</v>
      </c>
      <c r="C79" s="182"/>
      <c r="D79" s="182"/>
      <c r="E79" s="182"/>
      <c r="F79" s="182"/>
      <c r="G79" s="182"/>
      <c r="H79" s="182"/>
      <c r="I79" s="182"/>
      <c r="J79" s="182"/>
    </row>
    <row r="80" spans="1:10" x14ac:dyDescent="0.75">
      <c r="A80" s="178" t="s">
        <v>328</v>
      </c>
      <c r="B80" s="178" t="s">
        <v>623</v>
      </c>
      <c r="C80" s="182" t="s">
        <v>1150</v>
      </c>
      <c r="D80" s="182"/>
      <c r="E80" s="182"/>
      <c r="F80" s="182"/>
      <c r="G80" s="182"/>
      <c r="H80" s="182"/>
      <c r="I80" s="182"/>
      <c r="J80" s="182"/>
    </row>
    <row r="81" spans="1:10" ht="26.75" x14ac:dyDescent="0.75">
      <c r="A81" s="178" t="s">
        <v>828</v>
      </c>
      <c r="B81" s="180" t="s">
        <v>1151</v>
      </c>
      <c r="C81" s="181" t="s">
        <v>1152</v>
      </c>
      <c r="D81" s="182"/>
      <c r="E81" s="182"/>
      <c r="F81" s="182"/>
      <c r="G81" s="182"/>
      <c r="H81" s="182"/>
      <c r="I81" s="182"/>
      <c r="J81" s="182"/>
    </row>
    <row r="82" spans="1:10" x14ac:dyDescent="0.75">
      <c r="A82" s="180" t="s">
        <v>831</v>
      </c>
      <c r="B82" s="180" t="s">
        <v>1153</v>
      </c>
      <c r="C82" s="181" t="s">
        <v>1154</v>
      </c>
      <c r="D82" s="182"/>
      <c r="E82" s="182"/>
      <c r="F82" s="182"/>
      <c r="G82" s="182"/>
      <c r="H82" s="182"/>
      <c r="I82" s="182"/>
      <c r="J82" s="182"/>
    </row>
    <row r="83" spans="1:10" x14ac:dyDescent="0.75">
      <c r="A83" s="180" t="s">
        <v>1088</v>
      </c>
      <c r="B83" s="180" t="s">
        <v>1089</v>
      </c>
      <c r="C83" s="181" t="s">
        <v>1155</v>
      </c>
      <c r="D83" s="182"/>
      <c r="E83" s="182"/>
      <c r="F83" s="182"/>
      <c r="G83" s="182"/>
      <c r="H83" s="182"/>
      <c r="I83" s="182"/>
      <c r="J83" s="182"/>
    </row>
    <row r="84" spans="1:10" x14ac:dyDescent="0.75">
      <c r="A84" s="178" t="s">
        <v>364</v>
      </c>
      <c r="B84" s="178" t="s">
        <v>624</v>
      </c>
      <c r="C84" s="182"/>
      <c r="D84" s="182"/>
      <c r="E84" s="182"/>
      <c r="F84" s="182"/>
      <c r="G84" s="182"/>
      <c r="H84" s="182"/>
      <c r="I84" s="182"/>
      <c r="J84" s="182"/>
    </row>
    <row r="85" spans="1:10" x14ac:dyDescent="0.75">
      <c r="A85" s="178" t="s">
        <v>266</v>
      </c>
      <c r="B85" s="178" t="s">
        <v>625</v>
      </c>
      <c r="C85" s="182" t="s">
        <v>1244</v>
      </c>
      <c r="D85" s="182"/>
      <c r="E85" s="182"/>
      <c r="F85" s="182"/>
      <c r="G85" s="182"/>
      <c r="H85" s="182"/>
      <c r="I85" s="182"/>
      <c r="J85" s="182"/>
    </row>
    <row r="86" spans="1:10" x14ac:dyDescent="0.75">
      <c r="A86" s="185">
        <v>8782</v>
      </c>
      <c r="B86" s="178" t="s">
        <v>626</v>
      </c>
      <c r="C86" s="181" t="s">
        <v>1156</v>
      </c>
      <c r="D86" s="182"/>
      <c r="E86" s="182"/>
      <c r="F86" s="182"/>
      <c r="G86" s="182"/>
      <c r="H86" s="182"/>
      <c r="I86" s="182"/>
      <c r="J86" s="182"/>
    </row>
    <row r="87" spans="1:10" x14ac:dyDescent="0.75">
      <c r="A87" s="178" t="s">
        <v>689</v>
      </c>
      <c r="B87" s="178" t="s">
        <v>627</v>
      </c>
      <c r="C87" s="181" t="s">
        <v>1156</v>
      </c>
      <c r="D87" s="182"/>
      <c r="E87" s="182"/>
      <c r="F87" s="182"/>
      <c r="G87" s="182"/>
      <c r="H87" s="182"/>
      <c r="I87" s="182"/>
      <c r="J87" s="182"/>
    </row>
    <row r="88" spans="1:10" x14ac:dyDescent="0.75">
      <c r="A88" s="178" t="s">
        <v>402</v>
      </c>
      <c r="B88" s="178" t="s">
        <v>1157</v>
      </c>
      <c r="C88" s="181" t="s">
        <v>1158</v>
      </c>
      <c r="D88" s="182"/>
      <c r="E88" s="182"/>
      <c r="F88" s="182"/>
      <c r="G88" s="182"/>
      <c r="H88" s="182"/>
      <c r="I88" s="182"/>
      <c r="J88" s="182"/>
    </row>
    <row r="89" spans="1:10" x14ac:dyDescent="0.75">
      <c r="A89" s="178" t="s">
        <v>844</v>
      </c>
      <c r="B89" s="178" t="s">
        <v>1134</v>
      </c>
      <c r="C89" s="181" t="s">
        <v>1159</v>
      </c>
      <c r="E89" s="182"/>
      <c r="F89" s="182"/>
      <c r="G89" s="182"/>
      <c r="H89" s="182"/>
      <c r="I89" s="182"/>
      <c r="J89" s="182"/>
    </row>
    <row r="90" spans="1:10" x14ac:dyDescent="0.75">
      <c r="A90" s="178" t="s">
        <v>440</v>
      </c>
      <c r="B90" s="178" t="s">
        <v>628</v>
      </c>
      <c r="C90" s="182"/>
      <c r="D90" s="182"/>
      <c r="E90" s="182"/>
      <c r="F90" s="182"/>
      <c r="G90" s="182"/>
      <c r="H90" s="182"/>
      <c r="I90" s="182"/>
      <c r="J90" s="182"/>
    </row>
    <row r="91" spans="1:10" x14ac:dyDescent="0.75">
      <c r="A91" s="178" t="s">
        <v>690</v>
      </c>
      <c r="B91" s="178" t="s">
        <v>1160</v>
      </c>
      <c r="C91" s="182"/>
      <c r="D91" s="182"/>
      <c r="E91" s="182"/>
      <c r="F91" s="182"/>
      <c r="G91" s="182"/>
      <c r="H91" s="182"/>
      <c r="I91" s="182"/>
      <c r="J91" s="182"/>
    </row>
    <row r="92" spans="1:10" ht="29.5" x14ac:dyDescent="0.75">
      <c r="A92" s="178" t="s">
        <v>691</v>
      </c>
      <c r="B92" s="178" t="s">
        <v>1161</v>
      </c>
      <c r="C92" s="182" t="s">
        <v>1162</v>
      </c>
      <c r="D92" s="182"/>
      <c r="E92" s="182"/>
      <c r="F92" s="182"/>
      <c r="G92" s="182"/>
      <c r="H92" s="182"/>
      <c r="I92" s="182"/>
      <c r="J92" s="182"/>
    </row>
    <row r="93" spans="1:10" x14ac:dyDescent="0.75">
      <c r="A93" s="178" t="s">
        <v>692</v>
      </c>
      <c r="B93" s="178" t="s">
        <v>629</v>
      </c>
      <c r="C93" s="182"/>
      <c r="D93" s="182"/>
      <c r="E93" s="182"/>
      <c r="F93" s="182"/>
      <c r="G93" s="182"/>
      <c r="H93" s="182"/>
      <c r="I93" s="182"/>
      <c r="J93" s="182"/>
    </row>
    <row r="94" spans="1:10" x14ac:dyDescent="0.75">
      <c r="A94" s="178" t="s">
        <v>693</v>
      </c>
      <c r="B94" s="178" t="s">
        <v>630</v>
      </c>
      <c r="C94" s="181" t="s">
        <v>1163</v>
      </c>
      <c r="D94" s="182"/>
      <c r="E94" s="182"/>
      <c r="F94" s="182"/>
      <c r="G94" s="182"/>
      <c r="H94" s="182"/>
      <c r="I94" s="182"/>
      <c r="J94" s="182"/>
    </row>
    <row r="95" spans="1:10" x14ac:dyDescent="0.75">
      <c r="A95" s="178" t="s">
        <v>694</v>
      </c>
      <c r="B95" s="178" t="s">
        <v>631</v>
      </c>
      <c r="C95" s="181" t="s">
        <v>1164</v>
      </c>
      <c r="D95" s="182"/>
      <c r="E95" s="182"/>
      <c r="F95" s="182"/>
      <c r="G95" s="182"/>
      <c r="H95" s="182"/>
      <c r="I95" s="182"/>
      <c r="J95" s="182"/>
    </row>
    <row r="96" spans="1:10" x14ac:dyDescent="0.75">
      <c r="A96" s="178" t="s">
        <v>1091</v>
      </c>
      <c r="B96" s="178" t="s">
        <v>1165</v>
      </c>
      <c r="C96" s="181"/>
      <c r="D96" s="182"/>
      <c r="E96" s="182"/>
      <c r="F96" s="182"/>
      <c r="G96" s="182"/>
      <c r="H96" s="182"/>
      <c r="I96" s="182"/>
      <c r="J96" s="182"/>
    </row>
    <row r="97" spans="1:10" x14ac:dyDescent="0.75">
      <c r="A97" s="178" t="s">
        <v>1092</v>
      </c>
      <c r="B97" s="178" t="s">
        <v>1093</v>
      </c>
      <c r="C97" s="181" t="s">
        <v>1166</v>
      </c>
      <c r="D97" s="182"/>
      <c r="E97" s="182"/>
      <c r="F97" s="182"/>
      <c r="G97" s="182"/>
      <c r="H97" s="182"/>
      <c r="I97" s="182"/>
      <c r="J97" s="182"/>
    </row>
    <row r="98" spans="1:10" ht="26.75" x14ac:dyDescent="0.75">
      <c r="A98" s="178" t="s">
        <v>454</v>
      </c>
      <c r="B98" s="178" t="s">
        <v>632</v>
      </c>
      <c r="C98" s="181" t="s">
        <v>1167</v>
      </c>
      <c r="D98" s="182"/>
      <c r="E98" s="182"/>
      <c r="F98" s="182"/>
      <c r="G98" s="182"/>
      <c r="H98" s="182"/>
      <c r="I98" s="182"/>
      <c r="J98" s="182"/>
    </row>
    <row r="99" spans="1:10" x14ac:dyDescent="0.75">
      <c r="A99" s="178" t="s">
        <v>695</v>
      </c>
      <c r="B99" s="178" t="s">
        <v>1168</v>
      </c>
      <c r="C99" s="181"/>
      <c r="D99" s="182"/>
      <c r="E99" s="182"/>
      <c r="F99" s="182"/>
      <c r="G99" s="182"/>
      <c r="H99" s="182"/>
      <c r="I99" s="182"/>
      <c r="J99" s="182"/>
    </row>
    <row r="100" spans="1:10" x14ac:dyDescent="0.75">
      <c r="A100" s="178" t="s">
        <v>462</v>
      </c>
      <c r="B100" s="178" t="s">
        <v>633</v>
      </c>
      <c r="C100" s="182"/>
      <c r="D100" s="182"/>
      <c r="E100" s="182"/>
      <c r="F100" s="182"/>
      <c r="G100" s="182"/>
      <c r="H100" s="182"/>
      <c r="I100" s="182"/>
      <c r="J100" s="182"/>
    </row>
    <row r="101" spans="1:10" x14ac:dyDescent="0.75">
      <c r="A101" s="178" t="s">
        <v>464</v>
      </c>
      <c r="B101" s="178" t="s">
        <v>634</v>
      </c>
      <c r="C101" s="182"/>
      <c r="D101" s="182"/>
      <c r="E101" s="182"/>
      <c r="F101" s="182"/>
      <c r="G101" s="182"/>
      <c r="H101" s="182"/>
      <c r="I101" s="182"/>
      <c r="J101" s="182"/>
    </row>
    <row r="102" spans="1:10" x14ac:dyDescent="0.75">
      <c r="A102" s="178" t="s">
        <v>696</v>
      </c>
      <c r="B102" s="178" t="s">
        <v>635</v>
      </c>
      <c r="C102" s="182"/>
      <c r="D102" s="182"/>
      <c r="E102" s="182"/>
      <c r="F102" s="182"/>
      <c r="G102" s="182"/>
      <c r="H102" s="182"/>
      <c r="I102" s="182"/>
      <c r="J102" s="182"/>
    </row>
    <row r="103" spans="1:10" x14ac:dyDescent="0.75">
      <c r="A103" s="178" t="s">
        <v>472</v>
      </c>
      <c r="B103" s="178" t="s">
        <v>636</v>
      </c>
      <c r="C103" s="182"/>
      <c r="D103" s="182"/>
      <c r="E103" s="182"/>
      <c r="F103" s="182"/>
      <c r="G103" s="182"/>
      <c r="H103" s="182"/>
      <c r="I103" s="182"/>
      <c r="J103" s="182"/>
    </row>
    <row r="104" spans="1:10" x14ac:dyDescent="0.75">
      <c r="A104" s="178" t="s">
        <v>697</v>
      </c>
      <c r="B104" s="178" t="s">
        <v>637</v>
      </c>
      <c r="C104" s="181" t="s">
        <v>1169</v>
      </c>
      <c r="D104" s="182"/>
      <c r="E104" s="182"/>
      <c r="F104" s="182"/>
      <c r="G104" s="182"/>
      <c r="H104" s="182"/>
      <c r="I104" s="182"/>
      <c r="J104" s="182"/>
    </row>
    <row r="105" spans="1:10" x14ac:dyDescent="0.75">
      <c r="A105" s="178" t="s">
        <v>474</v>
      </c>
      <c r="B105" s="178" t="s">
        <v>638</v>
      </c>
      <c r="C105" s="182"/>
      <c r="D105" s="182"/>
      <c r="E105" s="182"/>
      <c r="F105" s="182"/>
      <c r="G105" s="182"/>
      <c r="H105" s="182"/>
      <c r="I105" s="182"/>
      <c r="J105" s="182"/>
    </row>
    <row r="106" spans="1:10" x14ac:dyDescent="0.75">
      <c r="A106" s="178" t="s">
        <v>698</v>
      </c>
      <c r="B106" s="178" t="s">
        <v>639</v>
      </c>
      <c r="C106" s="182"/>
      <c r="D106" s="182"/>
      <c r="E106" s="182"/>
      <c r="F106" s="182"/>
      <c r="G106" s="182"/>
      <c r="H106" s="182"/>
      <c r="I106" s="182"/>
      <c r="J106" s="182"/>
    </row>
    <row r="107" spans="1:10" x14ac:dyDescent="0.75">
      <c r="A107" s="178" t="s">
        <v>476</v>
      </c>
      <c r="B107" s="178" t="s">
        <v>640</v>
      </c>
      <c r="C107" s="182"/>
      <c r="D107" s="182"/>
      <c r="E107" s="182"/>
      <c r="F107" s="182"/>
      <c r="G107" s="182"/>
      <c r="H107" s="182"/>
      <c r="I107" s="182"/>
      <c r="J107" s="182"/>
    </row>
    <row r="108" spans="1:10" x14ac:dyDescent="0.75">
      <c r="A108" s="178" t="s">
        <v>1170</v>
      </c>
      <c r="B108" s="178" t="s">
        <v>1171</v>
      </c>
      <c r="C108" s="182"/>
      <c r="D108" s="182"/>
      <c r="E108" s="182"/>
      <c r="F108" s="182"/>
      <c r="G108" s="182"/>
      <c r="H108" s="182"/>
      <c r="I108" s="182"/>
      <c r="J108" s="182"/>
    </row>
    <row r="109" spans="1:10" x14ac:dyDescent="0.75">
      <c r="A109" s="178" t="s">
        <v>477</v>
      </c>
      <c r="B109" s="178" t="s">
        <v>641</v>
      </c>
      <c r="C109" s="182"/>
      <c r="D109" s="182"/>
      <c r="E109" s="182"/>
      <c r="F109" s="182"/>
      <c r="G109" s="182"/>
      <c r="H109" s="182"/>
      <c r="I109" s="182"/>
      <c r="J109" s="182"/>
    </row>
    <row r="110" spans="1:10" x14ac:dyDescent="0.75">
      <c r="A110" s="178" t="s">
        <v>478</v>
      </c>
      <c r="B110" s="178" t="s">
        <v>642</v>
      </c>
      <c r="C110" s="182"/>
      <c r="D110" s="182"/>
      <c r="E110" s="182"/>
      <c r="F110" s="182"/>
      <c r="G110" s="182"/>
      <c r="H110" s="182"/>
      <c r="I110" s="182"/>
      <c r="J110" s="182"/>
    </row>
    <row r="111" spans="1:10" x14ac:dyDescent="0.75">
      <c r="A111" s="178" t="s">
        <v>480</v>
      </c>
      <c r="B111" s="178" t="s">
        <v>643</v>
      </c>
      <c r="C111" s="182"/>
      <c r="D111" s="182"/>
      <c r="E111" s="182"/>
      <c r="F111" s="182"/>
      <c r="G111" s="182"/>
      <c r="H111" s="182"/>
      <c r="I111" s="182"/>
      <c r="J111" s="182"/>
    </row>
    <row r="112" spans="1:10" x14ac:dyDescent="0.75">
      <c r="A112" s="178" t="s">
        <v>482</v>
      </c>
      <c r="B112" s="178" t="s">
        <v>644</v>
      </c>
      <c r="C112" s="182"/>
      <c r="D112" s="182"/>
      <c r="E112" s="182"/>
      <c r="F112" s="182"/>
      <c r="G112" s="182"/>
      <c r="H112" s="182"/>
      <c r="I112" s="182"/>
      <c r="J112" s="182"/>
    </row>
    <row r="113" spans="1:10" x14ac:dyDescent="0.75">
      <c r="A113" s="178" t="s">
        <v>484</v>
      </c>
      <c r="B113" s="178" t="s">
        <v>645</v>
      </c>
      <c r="C113" s="182"/>
      <c r="D113" s="182"/>
      <c r="E113" s="182"/>
      <c r="F113" s="182"/>
      <c r="G113" s="182"/>
      <c r="H113" s="182"/>
      <c r="I113" s="182"/>
      <c r="J113" s="182"/>
    </row>
    <row r="114" spans="1:10" x14ac:dyDescent="0.75">
      <c r="A114" s="178" t="s">
        <v>699</v>
      </c>
      <c r="B114" s="178" t="s">
        <v>646</v>
      </c>
      <c r="C114" s="182"/>
      <c r="D114" s="182"/>
      <c r="E114" s="182"/>
      <c r="F114" s="182"/>
      <c r="G114" s="182"/>
      <c r="H114" s="182"/>
      <c r="I114" s="182"/>
      <c r="J114" s="182"/>
    </row>
    <row r="115" spans="1:10" x14ac:dyDescent="0.75">
      <c r="A115" s="178" t="s">
        <v>700</v>
      </c>
      <c r="B115" s="178" t="s">
        <v>647</v>
      </c>
      <c r="C115" s="182"/>
      <c r="D115" s="182"/>
      <c r="E115" s="182"/>
      <c r="F115" s="182"/>
      <c r="G115" s="182"/>
      <c r="H115" s="182"/>
      <c r="I115" s="182"/>
      <c r="J115" s="182"/>
    </row>
    <row r="116" spans="1:10" x14ac:dyDescent="0.75">
      <c r="A116" s="178" t="s">
        <v>485</v>
      </c>
      <c r="B116" s="178" t="s">
        <v>648</v>
      </c>
      <c r="C116" s="182"/>
      <c r="D116" s="182"/>
      <c r="E116" s="182"/>
      <c r="F116" s="182"/>
      <c r="G116" s="182"/>
      <c r="H116" s="182"/>
      <c r="I116" s="182"/>
      <c r="J116" s="182"/>
    </row>
    <row r="117" spans="1:10" x14ac:dyDescent="0.75">
      <c r="A117" s="178" t="s">
        <v>701</v>
      </c>
      <c r="B117" s="178" t="s">
        <v>649</v>
      </c>
      <c r="C117" s="182"/>
      <c r="D117" s="182"/>
      <c r="E117" s="182"/>
      <c r="F117" s="182"/>
      <c r="G117" s="182"/>
      <c r="H117" s="182"/>
      <c r="I117" s="182"/>
      <c r="J117" s="182"/>
    </row>
    <row r="118" spans="1:10" x14ac:dyDescent="0.75">
      <c r="A118" s="178" t="s">
        <v>702</v>
      </c>
      <c r="B118" s="178" t="s">
        <v>650</v>
      </c>
      <c r="C118" s="182"/>
      <c r="D118" s="182"/>
      <c r="E118" s="182"/>
      <c r="F118" s="182"/>
      <c r="G118" s="182"/>
      <c r="H118" s="182"/>
      <c r="I118" s="182"/>
      <c r="J118" s="182"/>
    </row>
    <row r="119" spans="1:10" x14ac:dyDescent="0.75">
      <c r="A119" s="178" t="s">
        <v>487</v>
      </c>
      <c r="B119" s="178" t="s">
        <v>651</v>
      </c>
      <c r="C119" s="182"/>
      <c r="D119" s="182"/>
      <c r="E119" s="182"/>
      <c r="F119" s="182"/>
      <c r="G119" s="182"/>
      <c r="H119" s="182"/>
      <c r="I119" s="182"/>
      <c r="J119" s="182"/>
    </row>
    <row r="120" spans="1:10" x14ac:dyDescent="0.75">
      <c r="A120" s="178" t="s">
        <v>489</v>
      </c>
      <c r="B120" s="178" t="s">
        <v>652</v>
      </c>
      <c r="C120" s="182"/>
      <c r="D120" s="182"/>
      <c r="E120" s="182"/>
      <c r="F120" s="182"/>
      <c r="G120" s="182"/>
      <c r="H120" s="182"/>
      <c r="I120" s="182"/>
      <c r="J120" s="182"/>
    </row>
    <row r="121" spans="1:10" x14ac:dyDescent="0.75">
      <c r="A121" s="178" t="s">
        <v>703</v>
      </c>
      <c r="B121" s="178" t="s">
        <v>653</v>
      </c>
      <c r="C121" s="182"/>
      <c r="D121" s="182"/>
      <c r="E121" s="182"/>
      <c r="F121" s="182"/>
      <c r="G121" s="182"/>
      <c r="H121" s="182"/>
      <c r="I121" s="182"/>
      <c r="J121" s="182"/>
    </row>
    <row r="122" spans="1:10" x14ac:dyDescent="0.75">
      <c r="A122" s="178" t="s">
        <v>704</v>
      </c>
      <c r="B122" s="178" t="s">
        <v>654</v>
      </c>
      <c r="C122" s="182"/>
      <c r="D122" s="182"/>
      <c r="E122" s="182"/>
      <c r="F122" s="182"/>
      <c r="G122" s="182"/>
      <c r="H122" s="182"/>
      <c r="I122" s="182"/>
      <c r="J122" s="182"/>
    </row>
    <row r="123" spans="1:10" x14ac:dyDescent="0.75">
      <c r="A123" s="178" t="s">
        <v>705</v>
      </c>
      <c r="B123" s="178" t="s">
        <v>655</v>
      </c>
      <c r="C123" s="182"/>
      <c r="D123" s="182"/>
      <c r="E123" s="182"/>
      <c r="F123" s="182"/>
      <c r="G123" s="182"/>
      <c r="H123" s="182"/>
      <c r="I123" s="182"/>
      <c r="J123" s="182"/>
    </row>
    <row r="124" spans="1:10" x14ac:dyDescent="0.75">
      <c r="A124" s="178" t="s">
        <v>706</v>
      </c>
      <c r="B124" s="178" t="s">
        <v>656</v>
      </c>
      <c r="C124" s="182"/>
      <c r="D124" s="182"/>
      <c r="E124" s="182"/>
      <c r="F124" s="182"/>
      <c r="G124" s="182"/>
      <c r="H124" s="182"/>
      <c r="I124" s="182"/>
      <c r="J124" s="182"/>
    </row>
    <row r="125" spans="1:10" x14ac:dyDescent="0.75">
      <c r="A125" s="178" t="s">
        <v>707</v>
      </c>
      <c r="B125" s="178" t="s">
        <v>657</v>
      </c>
      <c r="C125" s="182"/>
      <c r="D125" s="182"/>
      <c r="E125" s="182"/>
      <c r="F125" s="182"/>
      <c r="G125" s="182"/>
      <c r="H125" s="182"/>
      <c r="I125" s="182"/>
      <c r="J125" s="182"/>
    </row>
    <row r="126" spans="1:10" x14ac:dyDescent="0.75">
      <c r="A126" s="178" t="s">
        <v>1172</v>
      </c>
      <c r="B126" s="178" t="s">
        <v>1173</v>
      </c>
      <c r="C126" s="181" t="s">
        <v>1174</v>
      </c>
      <c r="D126" s="182"/>
      <c r="E126" s="182"/>
      <c r="F126" s="182"/>
      <c r="G126" s="182"/>
      <c r="H126" s="182"/>
      <c r="I126" s="182"/>
      <c r="J126" s="182"/>
    </row>
    <row r="127" spans="1:10" x14ac:dyDescent="0.75">
      <c r="A127" s="178" t="s">
        <v>497</v>
      </c>
      <c r="B127" s="178" t="s">
        <v>658</v>
      </c>
      <c r="C127" s="181" t="s">
        <v>1175</v>
      </c>
      <c r="D127" s="182"/>
      <c r="E127" s="182"/>
      <c r="F127" s="182"/>
      <c r="G127" s="182"/>
      <c r="H127" s="182"/>
      <c r="I127" s="182"/>
      <c r="J127" s="182"/>
    </row>
    <row r="128" spans="1:10" x14ac:dyDescent="0.75">
      <c r="A128" s="178" t="s">
        <v>499</v>
      </c>
      <c r="B128" s="178" t="s">
        <v>659</v>
      </c>
      <c r="C128" s="182"/>
      <c r="D128" s="182"/>
      <c r="E128" s="182"/>
      <c r="F128" s="182"/>
      <c r="G128" s="182"/>
      <c r="H128" s="182"/>
      <c r="I128" s="182"/>
      <c r="J128" s="182"/>
    </row>
    <row r="129" spans="1:10" x14ac:dyDescent="0.75">
      <c r="A129" s="178" t="s">
        <v>708</v>
      </c>
      <c r="B129" s="178" t="s">
        <v>660</v>
      </c>
      <c r="C129" s="182"/>
      <c r="D129" s="182"/>
      <c r="E129" s="182"/>
      <c r="F129" s="182"/>
      <c r="G129" s="182"/>
      <c r="H129" s="182"/>
      <c r="I129" s="182"/>
      <c r="J129" s="182"/>
    </row>
    <row r="130" spans="1:10" x14ac:dyDescent="0.75">
      <c r="A130" s="178" t="s">
        <v>709</v>
      </c>
      <c r="B130" s="178" t="s">
        <v>661</v>
      </c>
      <c r="C130" s="182"/>
      <c r="D130" s="182"/>
      <c r="E130" s="182"/>
      <c r="F130" s="182"/>
      <c r="G130" s="182"/>
      <c r="H130" s="182"/>
      <c r="I130" s="182"/>
      <c r="J130" s="182"/>
    </row>
    <row r="131" spans="1:10" x14ac:dyDescent="0.75">
      <c r="A131" s="178" t="s">
        <v>505</v>
      </c>
      <c r="B131" s="178" t="s">
        <v>662</v>
      </c>
      <c r="C131" s="182"/>
      <c r="D131" s="182"/>
      <c r="E131" s="182"/>
      <c r="F131" s="182"/>
      <c r="G131" s="182"/>
      <c r="H131" s="182"/>
      <c r="I131" s="182"/>
      <c r="J131" s="182"/>
    </row>
    <row r="132" spans="1:10" x14ac:dyDescent="0.75">
      <c r="A132" s="178" t="s">
        <v>507</v>
      </c>
      <c r="B132" s="178" t="s">
        <v>663</v>
      </c>
      <c r="C132" s="182"/>
      <c r="D132" s="182"/>
      <c r="E132" s="182"/>
      <c r="F132" s="182"/>
      <c r="G132" s="182"/>
      <c r="H132" s="182"/>
      <c r="I132" s="182"/>
      <c r="J132" s="182"/>
    </row>
    <row r="133" spans="1:10" x14ac:dyDescent="0.75">
      <c r="A133" s="178" t="s">
        <v>511</v>
      </c>
      <c r="B133" s="178" t="s">
        <v>664</v>
      </c>
      <c r="C133" s="182"/>
      <c r="D133" s="182"/>
      <c r="E133" s="182"/>
      <c r="F133" s="182"/>
      <c r="G133" s="182"/>
      <c r="H133" s="182"/>
      <c r="I133" s="182"/>
      <c r="J133" s="182"/>
    </row>
    <row r="134" spans="1:10" x14ac:dyDescent="0.75">
      <c r="A134" s="178" t="s">
        <v>515</v>
      </c>
      <c r="B134" s="178" t="s">
        <v>665</v>
      </c>
      <c r="C134" s="182"/>
      <c r="D134" s="182"/>
      <c r="E134" s="182"/>
      <c r="F134" s="182"/>
      <c r="G134" s="182"/>
      <c r="H134" s="182"/>
      <c r="I134" s="182"/>
      <c r="J134" s="182"/>
    </row>
    <row r="135" spans="1:10" x14ac:dyDescent="0.75">
      <c r="A135" s="178" t="s">
        <v>529</v>
      </c>
      <c r="B135" s="178" t="s">
        <v>666</v>
      </c>
      <c r="C135" s="182"/>
      <c r="D135" s="182"/>
      <c r="E135" s="182"/>
      <c r="F135" s="182"/>
      <c r="G135" s="182"/>
      <c r="H135" s="182"/>
      <c r="I135" s="182"/>
      <c r="J135" s="182"/>
    </row>
    <row r="136" spans="1:10" x14ac:dyDescent="0.75">
      <c r="A136" s="178" t="s">
        <v>535</v>
      </c>
      <c r="B136" s="178" t="s">
        <v>667</v>
      </c>
      <c r="C136" s="182"/>
      <c r="D136" s="182"/>
      <c r="E136" s="182"/>
      <c r="F136" s="182"/>
      <c r="G136" s="182"/>
      <c r="H136" s="182"/>
      <c r="I136" s="182"/>
      <c r="J136" s="182"/>
    </row>
    <row r="139" spans="1:10" x14ac:dyDescent="0.75">
      <c r="B139" s="179" t="s">
        <v>1176</v>
      </c>
    </row>
    <row r="140" spans="1:10" x14ac:dyDescent="0.75">
      <c r="B140" s="179" t="s">
        <v>1177</v>
      </c>
    </row>
    <row r="150" spans="2:2" x14ac:dyDescent="0.75">
      <c r="B150" s="179"/>
    </row>
  </sheetData>
  <conditionalFormatting sqref="A2:B137">
    <cfRule type="expression" dxfId="0" priority="1" stopIfTrue="1">
      <formula>MOD(ROW(),2)=1</formula>
    </cfRule>
  </conditionalFormatting>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9322-3FC5-41CD-BE25-73C954BA2E97}">
  <sheetPr>
    <tabColor theme="4"/>
  </sheetPr>
  <dimension ref="A1:AB77"/>
  <sheetViews>
    <sheetView topLeftCell="A3" zoomScale="70" zoomScaleNormal="70" workbookViewId="0">
      <selection activeCell="N20" sqref="N20"/>
    </sheetView>
  </sheetViews>
  <sheetFormatPr defaultRowHeight="14.75" x14ac:dyDescent="0.75"/>
  <cols>
    <col min="1" max="1" width="18" customWidth="1"/>
    <col min="2" max="2" width="25.2265625" customWidth="1"/>
    <col min="3" max="3" width="37.31640625" bestFit="1" customWidth="1"/>
    <col min="6" max="6" width="13.54296875" bestFit="1" customWidth="1"/>
    <col min="7" max="7" width="7.453125" bestFit="1" customWidth="1"/>
    <col min="8" max="8" width="13.76953125" bestFit="1" customWidth="1"/>
    <col min="9" max="9" width="7.453125" bestFit="1" customWidth="1"/>
    <col min="10" max="10" width="15.08984375" bestFit="1" customWidth="1"/>
    <col min="11" max="11" width="7.453125" bestFit="1" customWidth="1"/>
    <col min="12" max="12" width="15.453125" customWidth="1"/>
    <col min="13" max="14" width="13.76953125" bestFit="1" customWidth="1"/>
    <col min="15" max="15" width="11" bestFit="1" customWidth="1"/>
    <col min="17" max="17" width="19" bestFit="1" customWidth="1"/>
    <col min="18" max="20" width="13.76953125" bestFit="1" customWidth="1"/>
    <col min="21" max="21" width="6.54296875" bestFit="1" customWidth="1"/>
    <col min="22" max="22" width="13.54296875" bestFit="1" customWidth="1"/>
    <col min="23" max="23" width="22.08984375" bestFit="1" customWidth="1"/>
    <col min="24" max="25" width="13.76953125" bestFit="1" customWidth="1"/>
  </cols>
  <sheetData>
    <row r="1" spans="1:28" ht="21" thickBot="1" x14ac:dyDescent="1">
      <c r="A1" s="22" t="s">
        <v>1633</v>
      </c>
      <c r="B1" s="39"/>
      <c r="C1" s="1"/>
      <c r="D1" s="31"/>
      <c r="E1" s="31"/>
      <c r="F1" s="803"/>
      <c r="G1" s="803"/>
      <c r="H1" s="803"/>
      <c r="I1" s="803"/>
      <c r="J1" s="803"/>
      <c r="K1" s="31"/>
      <c r="L1" s="31"/>
      <c r="Q1" t="s">
        <v>2127</v>
      </c>
      <c r="T1" s="1"/>
      <c r="U1" s="1"/>
      <c r="V1" s="1"/>
      <c r="W1" s="1"/>
      <c r="X1" s="1"/>
      <c r="Y1" s="1"/>
      <c r="Z1" s="1"/>
      <c r="AA1" s="1"/>
      <c r="AB1" s="1"/>
    </row>
    <row r="2" spans="1:28" ht="18.5" thickBot="1" x14ac:dyDescent="0.9">
      <c r="A2" s="21" t="s">
        <v>795</v>
      </c>
      <c r="B2" s="39"/>
      <c r="C2" s="1"/>
      <c r="D2" s="31"/>
      <c r="E2" s="31"/>
      <c r="F2" s="584">
        <v>155912.11382000009</v>
      </c>
      <c r="G2" s="31"/>
      <c r="H2" s="584">
        <v>46435.891999999993</v>
      </c>
      <c r="I2" s="31"/>
      <c r="J2" s="584">
        <v>158338.51596000011</v>
      </c>
      <c r="K2" s="31"/>
      <c r="L2" s="31"/>
      <c r="M2" s="31"/>
      <c r="Q2" t="s">
        <v>2128</v>
      </c>
      <c r="T2" s="1"/>
      <c r="U2" s="1"/>
      <c r="V2" s="1"/>
      <c r="W2" s="1"/>
      <c r="X2" s="1"/>
      <c r="Y2" s="1"/>
      <c r="Z2" s="1"/>
      <c r="AA2" s="1"/>
      <c r="AB2" s="1"/>
    </row>
    <row r="3" spans="1:28" ht="48" thickBot="1" x14ac:dyDescent="0.9">
      <c r="A3" s="654" t="s">
        <v>2129</v>
      </c>
      <c r="B3" s="655"/>
      <c r="C3" s="656"/>
      <c r="D3" s="31"/>
      <c r="E3" s="31"/>
      <c r="F3" s="621" t="s">
        <v>1979</v>
      </c>
      <c r="G3" s="31"/>
      <c r="H3" s="621" t="s">
        <v>1979</v>
      </c>
      <c r="I3" s="31"/>
      <c r="J3" s="621" t="s">
        <v>1979</v>
      </c>
      <c r="K3" s="31"/>
      <c r="L3" s="31"/>
      <c r="M3" s="31"/>
      <c r="Q3" s="804" t="s">
        <v>2130</v>
      </c>
      <c r="R3" s="804"/>
      <c r="S3" s="804"/>
      <c r="T3" s="1"/>
      <c r="U3" s="1"/>
      <c r="V3" s="804" t="s">
        <v>2130</v>
      </c>
      <c r="W3" s="804"/>
      <c r="X3" s="804"/>
      <c r="Y3" s="1"/>
      <c r="Z3" s="1"/>
      <c r="AA3" s="1"/>
      <c r="AB3" s="1"/>
    </row>
    <row r="4" spans="1:28" ht="16.5" thickBot="1" x14ac:dyDescent="0.9">
      <c r="A4" s="554"/>
      <c r="B4" s="39"/>
      <c r="C4" s="1"/>
      <c r="D4" s="31"/>
      <c r="E4" s="31"/>
      <c r="F4" s="31"/>
      <c r="G4" s="31"/>
      <c r="H4" s="31"/>
      <c r="I4" s="31"/>
      <c r="J4" s="31"/>
      <c r="K4" s="31"/>
      <c r="L4" s="31"/>
      <c r="M4" s="561" t="s">
        <v>1941</v>
      </c>
      <c r="Q4" s="746">
        <v>0</v>
      </c>
      <c r="R4" s="746">
        <v>0</v>
      </c>
      <c r="S4" s="746">
        <v>0</v>
      </c>
      <c r="V4" s="746">
        <v>0</v>
      </c>
      <c r="W4" s="746">
        <v>0</v>
      </c>
      <c r="X4" s="746">
        <v>0</v>
      </c>
      <c r="Y4" s="1"/>
      <c r="Z4" s="1"/>
      <c r="AA4" s="1"/>
      <c r="AB4" s="1"/>
    </row>
    <row r="5" spans="1:28" ht="16.5" thickBot="1" x14ac:dyDescent="0.9">
      <c r="A5" s="34"/>
      <c r="B5" s="39"/>
      <c r="C5" s="126" t="s">
        <v>2131</v>
      </c>
      <c r="D5" s="555"/>
      <c r="E5" s="555"/>
      <c r="F5" s="747">
        <v>-74538.743076583371</v>
      </c>
      <c r="G5" s="748"/>
      <c r="H5" s="749">
        <v>6385.101678032428</v>
      </c>
      <c r="I5" s="748"/>
      <c r="J5" s="747">
        <v>-202489.46567667834</v>
      </c>
      <c r="K5" s="748"/>
      <c r="L5" s="747">
        <v>-270643.10707522929</v>
      </c>
      <c r="M5" s="559">
        <v>2455.38</v>
      </c>
      <c r="T5" s="1"/>
      <c r="U5" s="1"/>
      <c r="V5" s="1"/>
      <c r="W5" s="1"/>
      <c r="X5" s="1"/>
      <c r="Y5" s="1"/>
      <c r="Z5" s="1"/>
      <c r="AA5" s="1"/>
      <c r="AB5" s="1"/>
    </row>
    <row r="6" spans="1:28" ht="18.5" thickBot="1" x14ac:dyDescent="0.9">
      <c r="A6" s="29"/>
      <c r="B6" s="40"/>
      <c r="C6" s="126" t="s">
        <v>2132</v>
      </c>
      <c r="D6" s="555"/>
      <c r="E6" s="555"/>
      <c r="F6" s="749">
        <v>19677.045188594609</v>
      </c>
      <c r="G6" s="748"/>
      <c r="H6" s="749">
        <v>119724.39063145965</v>
      </c>
      <c r="I6" s="748"/>
      <c r="J6" s="749">
        <v>343176.66685120016</v>
      </c>
      <c r="K6" s="748"/>
      <c r="L6" s="749">
        <v>482578.10267125443</v>
      </c>
      <c r="M6" s="559">
        <v>2323.4099429999997</v>
      </c>
      <c r="Q6" s="800" t="s">
        <v>1957</v>
      </c>
      <c r="R6" s="801"/>
      <c r="S6" s="801"/>
      <c r="T6" s="801"/>
      <c r="U6" s="801"/>
      <c r="V6" s="801"/>
      <c r="W6" s="801"/>
      <c r="X6" s="801"/>
      <c r="Y6" s="802"/>
      <c r="Z6" s="1"/>
      <c r="AA6" s="1"/>
      <c r="AB6" s="1"/>
    </row>
    <row r="7" spans="1:28" ht="18.5" thickBot="1" x14ac:dyDescent="0.9">
      <c r="A7" s="29"/>
      <c r="B7" s="40"/>
      <c r="C7" s="126"/>
      <c r="D7" s="555"/>
      <c r="E7" s="555"/>
      <c r="F7" s="748"/>
      <c r="G7" s="748"/>
      <c r="H7" s="748"/>
      <c r="I7" s="748"/>
      <c r="J7" s="748"/>
      <c r="K7" s="748"/>
      <c r="L7" s="748">
        <v>0</v>
      </c>
      <c r="M7" s="560">
        <v>2335</v>
      </c>
      <c r="N7" t="s">
        <v>1349</v>
      </c>
      <c r="Q7" s="1"/>
      <c r="R7" s="601" t="s">
        <v>1958</v>
      </c>
      <c r="S7" s="2"/>
      <c r="T7" s="1"/>
      <c r="U7" s="1"/>
      <c r="V7" s="75"/>
      <c r="W7" s="593" t="s">
        <v>2053</v>
      </c>
      <c r="X7" s="2"/>
      <c r="Y7" s="1"/>
      <c r="Z7" s="1"/>
      <c r="AA7" s="1"/>
      <c r="AB7" s="1"/>
    </row>
    <row r="8" spans="1:28" ht="36.75" thickBot="1" x14ac:dyDescent="1">
      <c r="A8" s="30"/>
      <c r="B8" s="41"/>
      <c r="C8" s="30"/>
      <c r="D8" s="32">
        <v>0</v>
      </c>
      <c r="E8" s="32">
        <v>0</v>
      </c>
      <c r="F8" s="750" t="s">
        <v>1630</v>
      </c>
      <c r="G8" s="751"/>
      <c r="H8" s="750" t="s">
        <v>1631</v>
      </c>
      <c r="I8" s="32"/>
      <c r="J8" s="750" t="s">
        <v>1632</v>
      </c>
      <c r="K8" s="32"/>
      <c r="L8" s="32" t="s">
        <v>675</v>
      </c>
      <c r="M8" s="560">
        <v>2295.3050000000003</v>
      </c>
      <c r="N8" t="s">
        <v>1941</v>
      </c>
      <c r="O8" s="505">
        <v>-28.104942999999366</v>
      </c>
      <c r="P8" s="505"/>
      <c r="Q8" s="260" t="s">
        <v>1630</v>
      </c>
      <c r="R8" s="260" t="s">
        <v>1631</v>
      </c>
      <c r="S8" s="260" t="s">
        <v>1632</v>
      </c>
      <c r="T8" s="32" t="s">
        <v>675</v>
      </c>
      <c r="U8" s="31"/>
      <c r="V8" s="260" t="s">
        <v>1630</v>
      </c>
      <c r="W8" s="260" t="s">
        <v>1631</v>
      </c>
      <c r="X8" s="260" t="s">
        <v>1632</v>
      </c>
      <c r="Y8" s="32" t="s">
        <v>675</v>
      </c>
      <c r="Z8" s="1"/>
      <c r="AA8" s="1"/>
      <c r="AB8" s="1"/>
    </row>
    <row r="9" spans="1:28" ht="36.75" thickBot="1" x14ac:dyDescent="0.9">
      <c r="A9" s="29" t="s">
        <v>789</v>
      </c>
      <c r="B9" s="40"/>
      <c r="C9" s="29"/>
      <c r="D9" s="46"/>
      <c r="E9" s="46"/>
      <c r="F9" s="641">
        <v>0.27662326936387488</v>
      </c>
      <c r="G9" s="46"/>
      <c r="H9" s="641">
        <v>0.33952784909649419</v>
      </c>
      <c r="I9" s="46"/>
      <c r="J9" s="641">
        <v>0.38384888153963104</v>
      </c>
      <c r="K9" s="752"/>
      <c r="L9" s="777" t="s">
        <v>2077</v>
      </c>
      <c r="M9" s="46"/>
      <c r="N9" s="753" t="s">
        <v>2133</v>
      </c>
      <c r="O9" s="753" t="s">
        <v>2134</v>
      </c>
      <c r="P9" s="273"/>
      <c r="T9" s="1"/>
      <c r="U9" s="1"/>
      <c r="V9" s="1"/>
      <c r="W9" s="1"/>
      <c r="X9" s="1"/>
      <c r="Y9" s="1"/>
      <c r="Z9" s="1"/>
      <c r="AA9" s="1"/>
      <c r="AB9" s="1"/>
    </row>
    <row r="10" spans="1:28" ht="17.75" x14ac:dyDescent="0.75">
      <c r="A10" s="29"/>
      <c r="B10" s="754"/>
      <c r="C10" s="755" t="s">
        <v>778</v>
      </c>
      <c r="D10" s="538" t="s">
        <v>2135</v>
      </c>
      <c r="E10" s="538" t="s">
        <v>2135</v>
      </c>
      <c r="F10" s="640">
        <v>7580529.5102400007</v>
      </c>
      <c r="G10" s="538"/>
      <c r="H10" s="538">
        <v>9981687.5639999993</v>
      </c>
      <c r="I10" s="538"/>
      <c r="J10" s="538">
        <v>10299869.0996</v>
      </c>
      <c r="K10" s="538"/>
      <c r="L10" s="538">
        <v>27862086.173839998</v>
      </c>
      <c r="M10" s="538"/>
      <c r="N10" s="538">
        <v>27774062.025638681</v>
      </c>
      <c r="O10" s="273">
        <v>88024.148201316595</v>
      </c>
      <c r="P10" s="273"/>
      <c r="Q10" s="538">
        <v>8347388.8515257873</v>
      </c>
      <c r="R10" s="538">
        <v>10355956.746654192</v>
      </c>
      <c r="S10" s="538">
        <v>11733627.677419322</v>
      </c>
      <c r="T10" s="538">
        <v>30436973.275599301</v>
      </c>
      <c r="U10" s="1"/>
      <c r="V10" s="538">
        <v>9039699.9465357009</v>
      </c>
      <c r="W10" s="538">
        <v>11132143.161355034</v>
      </c>
      <c r="X10" s="538">
        <v>12682291.863819852</v>
      </c>
      <c r="Y10" s="538">
        <v>32854134.971710585</v>
      </c>
      <c r="Z10" s="1"/>
      <c r="AA10" s="1"/>
      <c r="AB10" s="1"/>
    </row>
    <row r="11" spans="1:28" ht="17.75" x14ac:dyDescent="0.75">
      <c r="A11" s="29"/>
      <c r="B11" s="754"/>
      <c r="C11" s="755" t="s">
        <v>782</v>
      </c>
      <c r="D11" s="538" t="s">
        <v>2135</v>
      </c>
      <c r="E11" s="538" t="s">
        <v>2135</v>
      </c>
      <c r="F11" s="538">
        <v>389906.3075</v>
      </c>
      <c r="G11" s="538"/>
      <c r="H11" s="538">
        <v>770611.41874999995</v>
      </c>
      <c r="I11" s="538"/>
      <c r="J11" s="538">
        <v>806100.32499999995</v>
      </c>
      <c r="K11" s="538"/>
      <c r="L11" s="538">
        <v>1966618.05125</v>
      </c>
      <c r="M11" s="538"/>
      <c r="N11" s="538">
        <v>2417590.9155887496</v>
      </c>
      <c r="O11" s="273">
        <v>-450972.86433874955</v>
      </c>
      <c r="P11" s="273"/>
      <c r="Q11" s="538">
        <v>294387.34299999999</v>
      </c>
      <c r="R11" s="538">
        <v>832181.87950000004</v>
      </c>
      <c r="S11" s="538">
        <v>956792.97987499996</v>
      </c>
      <c r="T11" s="538">
        <v>2083362.2023749999</v>
      </c>
      <c r="U11" s="1"/>
      <c r="V11" s="538">
        <v>175518.34299999999</v>
      </c>
      <c r="W11" s="538">
        <v>462544.87949999998</v>
      </c>
      <c r="X11" s="538">
        <v>455934.97987500002</v>
      </c>
      <c r="Y11" s="538">
        <v>1093998.2023749999</v>
      </c>
      <c r="Z11" s="1"/>
      <c r="AA11" s="1"/>
      <c r="AB11" s="1"/>
    </row>
    <row r="12" spans="1:28" ht="17.75" x14ac:dyDescent="0.75">
      <c r="A12" s="29"/>
      <c r="B12" s="754"/>
      <c r="C12" s="755" t="s">
        <v>790</v>
      </c>
      <c r="D12" s="538" t="s">
        <v>2135</v>
      </c>
      <c r="E12" s="538" t="s">
        <v>2135</v>
      </c>
      <c r="F12" s="538">
        <v>559830.88180000009</v>
      </c>
      <c r="G12" s="538"/>
      <c r="H12" s="538">
        <v>722642.81819999998</v>
      </c>
      <c r="I12" s="538"/>
      <c r="J12" s="538">
        <v>730827.022</v>
      </c>
      <c r="K12" s="538"/>
      <c r="L12" s="538">
        <v>2013300.7220000001</v>
      </c>
      <c r="M12" s="538"/>
      <c r="N12" s="538">
        <v>2005786.1536622001</v>
      </c>
      <c r="O12" s="273">
        <v>7514.5683377999812</v>
      </c>
      <c r="P12" s="273"/>
      <c r="Q12" s="538">
        <v>481231.47696000006</v>
      </c>
      <c r="R12" s="538">
        <v>663521.24074000004</v>
      </c>
      <c r="S12" s="538">
        <v>624153.56488500012</v>
      </c>
      <c r="T12" s="538">
        <v>1768906.2825849999</v>
      </c>
      <c r="U12" s="1"/>
      <c r="V12" s="538">
        <v>481231.47696000006</v>
      </c>
      <c r="W12" s="538">
        <v>663521.24074000004</v>
      </c>
      <c r="X12" s="538">
        <v>624153.56488500012</v>
      </c>
      <c r="Y12" s="538">
        <v>1768906.2825849999</v>
      </c>
      <c r="Z12" s="1"/>
      <c r="AA12" s="1"/>
      <c r="AB12" s="1"/>
    </row>
    <row r="13" spans="1:28" ht="17.75" x14ac:dyDescent="0.75">
      <c r="A13" s="29"/>
      <c r="B13" s="34" t="s">
        <v>794</v>
      </c>
      <c r="C13" s="34"/>
      <c r="D13" s="153" t="s">
        <v>2135</v>
      </c>
      <c r="E13" s="153" t="s">
        <v>2135</v>
      </c>
      <c r="F13" s="153">
        <v>8530266.6995400004</v>
      </c>
      <c r="G13" s="153"/>
      <c r="H13" s="153">
        <v>11474941.800949998</v>
      </c>
      <c r="I13" s="153"/>
      <c r="J13" s="153">
        <v>11836796.446599999</v>
      </c>
      <c r="K13" s="153"/>
      <c r="L13" s="153">
        <v>31842004.947089996</v>
      </c>
      <c r="M13" s="153"/>
      <c r="N13" s="153">
        <v>32197439.09488963</v>
      </c>
      <c r="O13" s="273">
        <v>-355434.14779963344</v>
      </c>
      <c r="P13" s="273"/>
      <c r="Q13" s="153">
        <v>9123007.6714857873</v>
      </c>
      <c r="R13" s="153">
        <v>11851659.866894193</v>
      </c>
      <c r="S13" s="153">
        <v>13314574.222179322</v>
      </c>
      <c r="T13" s="153">
        <v>34289241.760559298</v>
      </c>
      <c r="U13" s="1"/>
      <c r="V13" s="153">
        <v>9696449.7664957009</v>
      </c>
      <c r="W13" s="153">
        <v>12258209.281595033</v>
      </c>
      <c r="X13" s="153">
        <v>13762380.408579852</v>
      </c>
      <c r="Y13" s="153">
        <v>35717039.456670582</v>
      </c>
      <c r="Z13" s="1"/>
      <c r="AA13" s="1"/>
      <c r="AB13" s="1"/>
    </row>
    <row r="14" spans="1:28" ht="15.75" x14ac:dyDescent="0.75">
      <c r="A14" s="35"/>
      <c r="B14" s="39"/>
      <c r="C14" s="1"/>
      <c r="D14" s="207"/>
      <c r="E14" s="207"/>
      <c r="F14" s="207"/>
      <c r="G14" s="207"/>
      <c r="H14" s="207"/>
      <c r="I14" s="207"/>
      <c r="J14" s="31"/>
      <c r="K14" s="207"/>
      <c r="L14" s="31"/>
      <c r="M14" s="207"/>
      <c r="N14" s="31"/>
      <c r="O14" s="273"/>
      <c r="P14" s="273"/>
      <c r="Q14" s="31"/>
      <c r="R14" s="31"/>
      <c r="S14" s="31"/>
      <c r="T14" s="31"/>
      <c r="U14" s="39"/>
      <c r="V14" s="31"/>
      <c r="W14" s="31"/>
      <c r="X14" s="31"/>
      <c r="Y14" s="31"/>
      <c r="Z14" s="39"/>
      <c r="AA14" s="39"/>
      <c r="AB14" s="39"/>
    </row>
    <row r="15" spans="1:28" ht="17.75" x14ac:dyDescent="0.75">
      <c r="A15" s="29" t="s">
        <v>796</v>
      </c>
      <c r="B15" s="40"/>
      <c r="C15" s="29"/>
      <c r="D15" s="162"/>
      <c r="E15" s="162"/>
      <c r="F15" s="162"/>
      <c r="G15" s="162"/>
      <c r="H15" s="162"/>
      <c r="I15" s="162"/>
      <c r="J15" s="162"/>
      <c r="K15" s="162"/>
      <c r="L15" s="162"/>
      <c r="M15" s="162"/>
      <c r="N15" s="162"/>
      <c r="O15" s="273"/>
      <c r="P15" s="273"/>
      <c r="Q15" s="162"/>
      <c r="R15" s="162"/>
      <c r="S15" s="162"/>
      <c r="T15" s="162"/>
      <c r="U15" s="1"/>
      <c r="V15" s="162"/>
      <c r="W15" s="162"/>
      <c r="X15" s="162"/>
      <c r="Y15" s="162"/>
      <c r="Z15" s="1"/>
      <c r="AA15" s="1"/>
      <c r="AB15" s="1"/>
    </row>
    <row r="16" spans="1:28" ht="17.75" x14ac:dyDescent="0.75">
      <c r="A16" s="29"/>
      <c r="B16" s="756" t="s">
        <v>555</v>
      </c>
      <c r="C16" s="757" t="s">
        <v>731</v>
      </c>
      <c r="D16" s="538" t="s">
        <v>2135</v>
      </c>
      <c r="E16" s="538" t="s">
        <v>2135</v>
      </c>
      <c r="F16" s="538">
        <v>3341826.7340622265</v>
      </c>
      <c r="G16" s="758">
        <v>0.40169109071984677</v>
      </c>
      <c r="H16" s="538">
        <v>4810639.3104536962</v>
      </c>
      <c r="I16" s="758">
        <v>0.41798300980987807</v>
      </c>
      <c r="J16" s="538">
        <v>4634925.9918448767</v>
      </c>
      <c r="K16" s="758">
        <v>0.39163429798459953</v>
      </c>
      <c r="L16" s="538">
        <v>12787392.036360798</v>
      </c>
      <c r="M16" s="758">
        <v>0.40385403234210038</v>
      </c>
      <c r="N16" s="538">
        <v>12937247.915480798</v>
      </c>
      <c r="O16" s="273">
        <v>-149855.87911999971</v>
      </c>
      <c r="P16" s="273"/>
      <c r="Q16" s="538">
        <v>3465140.1405491233</v>
      </c>
      <c r="R16" s="538">
        <v>4988151.9010094386</v>
      </c>
      <c r="S16" s="538">
        <v>4745954.7609439529</v>
      </c>
      <c r="T16" s="538">
        <v>13199246.802502513</v>
      </c>
      <c r="U16" s="273"/>
      <c r="V16" s="538">
        <v>3565629.2046250477</v>
      </c>
      <c r="W16" s="538">
        <v>5132808.3061387111</v>
      </c>
      <c r="X16" s="538">
        <v>4883587.4490113268</v>
      </c>
      <c r="Y16" s="538">
        <v>13582024.959775085</v>
      </c>
      <c r="Z16" s="1"/>
      <c r="AA16" s="1"/>
      <c r="AB16" s="1"/>
    </row>
    <row r="17" spans="1:28" ht="17.75" x14ac:dyDescent="0.75">
      <c r="A17" s="29"/>
      <c r="B17" s="759" t="s">
        <v>736</v>
      </c>
      <c r="C17" s="757" t="s">
        <v>732</v>
      </c>
      <c r="D17" s="538" t="s">
        <v>2135</v>
      </c>
      <c r="E17" s="538" t="s">
        <v>2135</v>
      </c>
      <c r="F17" s="538">
        <v>889228.82180554175</v>
      </c>
      <c r="G17" s="758">
        <v>0.10688624029780149</v>
      </c>
      <c r="H17" s="538">
        <v>1180710.7714231024</v>
      </c>
      <c r="I17" s="758">
        <v>0.10258866028096113</v>
      </c>
      <c r="J17" s="538">
        <v>1233310.4337441558</v>
      </c>
      <c r="K17" s="758">
        <v>0.10421022186035367</v>
      </c>
      <c r="L17" s="538">
        <v>3303250.0269728</v>
      </c>
      <c r="M17" s="758">
        <v>0.10432391839038141</v>
      </c>
      <c r="N17" s="538">
        <v>4299833.7570581334</v>
      </c>
      <c r="O17" s="273">
        <v>-996583.73008533334</v>
      </c>
      <c r="P17" s="273"/>
      <c r="Q17" s="538">
        <v>922041.36533016618</v>
      </c>
      <c r="R17" s="538">
        <v>1224278.9988886146</v>
      </c>
      <c r="S17" s="538">
        <v>1278819.5887493151</v>
      </c>
      <c r="T17" s="538">
        <v>3425139.9529680964</v>
      </c>
      <c r="U17" s="273"/>
      <c r="V17" s="538">
        <v>948780.56492474105</v>
      </c>
      <c r="W17" s="538">
        <v>1259783.0898563843</v>
      </c>
      <c r="X17" s="538">
        <v>1315905.3568230453</v>
      </c>
      <c r="Y17" s="538">
        <v>3524469.0116041708</v>
      </c>
      <c r="Z17" s="1"/>
      <c r="AA17" s="1"/>
      <c r="AB17" s="1"/>
    </row>
    <row r="18" spans="1:28" ht="18.5" thickBot="1" x14ac:dyDescent="0.9">
      <c r="A18" s="29"/>
      <c r="B18" s="759" t="s">
        <v>737</v>
      </c>
      <c r="C18" s="757" t="s">
        <v>672</v>
      </c>
      <c r="D18" s="538" t="s">
        <v>2135</v>
      </c>
      <c r="E18" s="538" t="s">
        <v>2135</v>
      </c>
      <c r="F18" s="760">
        <v>1350091.7914407344</v>
      </c>
      <c r="G18" s="761">
        <v>0.16228245430801028</v>
      </c>
      <c r="H18" s="760">
        <v>1943330.800690715</v>
      </c>
      <c r="I18" s="761">
        <v>0.16885058403024161</v>
      </c>
      <c r="J18" s="760">
        <v>1872501.4890040515</v>
      </c>
      <c r="K18" s="761">
        <v>0.15821952872851019</v>
      </c>
      <c r="L18" s="538">
        <v>5165924.0811355012</v>
      </c>
      <c r="M18" s="761">
        <v>0.16315127158121229</v>
      </c>
      <c r="N18" s="760">
        <v>5321493.4113865234</v>
      </c>
      <c r="O18" s="273">
        <v>-155569.33025102224</v>
      </c>
      <c r="P18" s="273"/>
      <c r="Q18" s="760">
        <v>1399910.1785448974</v>
      </c>
      <c r="R18" s="760">
        <v>2015039.7072362024</v>
      </c>
      <c r="S18" s="760">
        <v>1941596.7939483013</v>
      </c>
      <c r="T18" s="760">
        <v>5356546.6797294011</v>
      </c>
      <c r="U18" s="273"/>
      <c r="V18" s="760">
        <v>1440507.5737226994</v>
      </c>
      <c r="W18" s="760">
        <v>2073475.858746052</v>
      </c>
      <c r="X18" s="760">
        <v>1997903.1009728017</v>
      </c>
      <c r="Y18" s="760">
        <v>5511886.5334415538</v>
      </c>
      <c r="Z18" s="1"/>
      <c r="AA18" s="1"/>
      <c r="AB18" s="1"/>
    </row>
    <row r="19" spans="1:28" x14ac:dyDescent="0.75">
      <c r="A19" s="263"/>
      <c r="B19" s="762"/>
      <c r="C19" s="763" t="s">
        <v>1326</v>
      </c>
      <c r="D19" s="266"/>
      <c r="E19" s="267"/>
      <c r="F19" s="266">
        <v>5581147.3473085025</v>
      </c>
      <c r="G19" s="267">
        <v>0.67085978532565849</v>
      </c>
      <c r="H19" s="266">
        <v>7934680.8825675137</v>
      </c>
      <c r="I19" s="267">
        <v>0.68942225412108082</v>
      </c>
      <c r="J19" s="266">
        <v>7740737.9145930838</v>
      </c>
      <c r="K19" s="267">
        <v>0.65406404857346334</v>
      </c>
      <c r="L19" s="266">
        <v>21256566.144469101</v>
      </c>
      <c r="M19" s="267">
        <v>0.67132922231369407</v>
      </c>
      <c r="N19" s="266">
        <v>22558575.083925456</v>
      </c>
      <c r="O19" s="273">
        <v>-1302008.9394563548</v>
      </c>
      <c r="P19" s="273"/>
      <c r="Q19" s="266">
        <v>5787091.6844241871</v>
      </c>
      <c r="R19" s="266">
        <v>8227470.6071342556</v>
      </c>
      <c r="S19" s="266">
        <v>7966371.1436415697</v>
      </c>
      <c r="T19" s="266">
        <v>21980933.435200009</v>
      </c>
      <c r="U19" s="273"/>
      <c r="V19" s="266">
        <v>5954917.3432724886</v>
      </c>
      <c r="W19" s="266">
        <v>8466067.2547411472</v>
      </c>
      <c r="X19" s="266">
        <v>8197395.906807173</v>
      </c>
      <c r="Y19" s="266">
        <v>22618380.504820809</v>
      </c>
      <c r="Z19" s="263"/>
      <c r="AA19" s="263"/>
      <c r="AB19" s="263"/>
    </row>
    <row r="20" spans="1:28" ht="17.75" x14ac:dyDescent="0.75">
      <c r="A20" s="29"/>
      <c r="B20" s="759" t="s">
        <v>558</v>
      </c>
      <c r="C20" s="757" t="s">
        <v>676</v>
      </c>
      <c r="D20" s="538" t="s">
        <v>2135</v>
      </c>
      <c r="E20" s="538" t="s">
        <v>2135</v>
      </c>
      <c r="F20" s="538">
        <v>1227652.6863205298</v>
      </c>
      <c r="G20" s="758">
        <v>0.14756514500492982</v>
      </c>
      <c r="H20" s="538">
        <v>1510322.8966509956</v>
      </c>
      <c r="I20" s="758">
        <v>0.13122773697773218</v>
      </c>
      <c r="J20" s="538">
        <v>1762898.4170284749</v>
      </c>
      <c r="K20" s="758">
        <v>0.14895846992721851</v>
      </c>
      <c r="L20" s="538">
        <v>4500874.0000000009</v>
      </c>
      <c r="M20" s="758">
        <v>0.14214752381057227</v>
      </c>
      <c r="N20" s="538">
        <v>4609889</v>
      </c>
      <c r="O20" s="273">
        <v>-109014.99999999907</v>
      </c>
      <c r="P20" s="273"/>
      <c r="Q20" s="538">
        <v>1272953.0704457574</v>
      </c>
      <c r="R20" s="538">
        <v>1566053.8115374171</v>
      </c>
      <c r="S20" s="538">
        <v>1827949.3686168257</v>
      </c>
      <c r="T20" s="538">
        <v>4666956.2506000008</v>
      </c>
      <c r="U20" s="273"/>
      <c r="V20" s="538">
        <v>1309868.7094886841</v>
      </c>
      <c r="W20" s="538">
        <v>1611469.3720720022</v>
      </c>
      <c r="X20" s="538">
        <v>1880959.9003067133</v>
      </c>
      <c r="Y20" s="538">
        <v>4802297.9818674009</v>
      </c>
      <c r="Z20" s="1"/>
      <c r="AA20" s="1"/>
      <c r="AB20" s="1"/>
    </row>
    <row r="21" spans="1:28" ht="17.75" x14ac:dyDescent="0.75">
      <c r="A21" s="29"/>
      <c r="B21" s="759" t="s">
        <v>559</v>
      </c>
      <c r="C21" s="757" t="s">
        <v>720</v>
      </c>
      <c r="D21" s="538" t="s">
        <v>2135</v>
      </c>
      <c r="E21" s="538" t="s">
        <v>2135</v>
      </c>
      <c r="F21" s="538">
        <v>1510594.6735663342</v>
      </c>
      <c r="G21" s="758">
        <v>0.18157506966941178</v>
      </c>
      <c r="H21" s="538">
        <v>2064170.5114825466</v>
      </c>
      <c r="I21" s="758">
        <v>0.17935000890118696</v>
      </c>
      <c r="J21" s="538">
        <v>2331195.3358212616</v>
      </c>
      <c r="K21" s="758">
        <v>0.19697748149931804</v>
      </c>
      <c r="L21" s="538">
        <v>5905960.5208701435</v>
      </c>
      <c r="M21" s="758">
        <v>0.18652325387573357</v>
      </c>
      <c r="N21" s="538">
        <v>4852165.8962858506</v>
      </c>
      <c r="O21" s="273">
        <v>1053794.624584293</v>
      </c>
      <c r="P21" s="273"/>
      <c r="Q21" s="538">
        <v>1539490.6170209318</v>
      </c>
      <c r="R21" s="538">
        <v>2139415.9033562527</v>
      </c>
      <c r="S21" s="538">
        <v>2332779.3839870673</v>
      </c>
      <c r="T21" s="538">
        <v>6011685.9043642515</v>
      </c>
      <c r="U21" s="273"/>
      <c r="V21" s="538">
        <v>1584135.8449145386</v>
      </c>
      <c r="W21" s="538">
        <v>2201458.9645535843</v>
      </c>
      <c r="X21" s="538">
        <v>2400429.9861226915</v>
      </c>
      <c r="Y21" s="538">
        <v>6186024.7955908142</v>
      </c>
      <c r="Z21" s="1"/>
      <c r="AA21" s="1"/>
      <c r="AB21" s="1"/>
    </row>
    <row r="22" spans="1:28" ht="17.75" x14ac:dyDescent="0.75">
      <c r="A22" s="29"/>
      <c r="B22" s="759" t="s">
        <v>560</v>
      </c>
      <c r="C22" s="764" t="s">
        <v>721</v>
      </c>
      <c r="D22" s="538" t="s">
        <v>2135</v>
      </c>
      <c r="E22" s="538" t="s">
        <v>2135</v>
      </c>
      <c r="F22" s="538" t="s">
        <v>2135</v>
      </c>
      <c r="G22" s="765"/>
      <c r="H22" s="538"/>
      <c r="I22" s="758"/>
      <c r="J22" s="538"/>
      <c r="K22" s="758"/>
      <c r="L22" s="538"/>
      <c r="M22" s="758"/>
      <c r="N22" s="538"/>
      <c r="O22" s="273"/>
      <c r="P22" s="273"/>
      <c r="Q22" s="538">
        <v>0</v>
      </c>
      <c r="R22" s="538">
        <v>0</v>
      </c>
      <c r="S22" s="538">
        <v>0</v>
      </c>
      <c r="T22" s="538">
        <v>0</v>
      </c>
      <c r="U22" s="273"/>
      <c r="V22" s="538">
        <v>0</v>
      </c>
      <c r="W22" s="538">
        <v>0</v>
      </c>
      <c r="X22" s="538">
        <v>0</v>
      </c>
      <c r="Y22" s="538">
        <v>0</v>
      </c>
      <c r="Z22" s="1"/>
      <c r="AA22" s="1"/>
      <c r="AB22" s="1"/>
    </row>
    <row r="23" spans="1:28" ht="17.75" x14ac:dyDescent="0.75">
      <c r="A23" s="29"/>
      <c r="B23" s="759" t="s">
        <v>683</v>
      </c>
      <c r="C23" s="764" t="s">
        <v>722</v>
      </c>
      <c r="D23" s="538" t="s">
        <v>2135</v>
      </c>
      <c r="E23" s="538" t="s">
        <v>2135</v>
      </c>
      <c r="F23" s="538" t="s">
        <v>2135</v>
      </c>
      <c r="G23" s="538"/>
      <c r="H23" s="538" t="s">
        <v>2135</v>
      </c>
      <c r="I23" s="538"/>
      <c r="J23" s="538"/>
      <c r="K23" s="538"/>
      <c r="L23" s="538" t="s">
        <v>2135</v>
      </c>
      <c r="M23" s="538"/>
      <c r="N23" s="538" t="s">
        <v>2135</v>
      </c>
      <c r="O23" s="273"/>
      <c r="P23" s="273"/>
      <c r="Q23" s="538">
        <v>0</v>
      </c>
      <c r="R23" s="538">
        <v>0</v>
      </c>
      <c r="S23" s="538">
        <v>0</v>
      </c>
      <c r="T23" s="538">
        <v>0</v>
      </c>
      <c r="U23" s="273"/>
      <c r="V23" s="538">
        <v>0</v>
      </c>
      <c r="W23" s="538">
        <v>0</v>
      </c>
      <c r="X23" s="538">
        <v>0</v>
      </c>
      <c r="Y23" s="538">
        <v>0</v>
      </c>
      <c r="Z23" s="1"/>
      <c r="AA23" s="1"/>
      <c r="AB23" s="1"/>
    </row>
    <row r="24" spans="1:28" ht="17.75" x14ac:dyDescent="0.75">
      <c r="A24" s="29"/>
      <c r="B24" s="34" t="s">
        <v>730</v>
      </c>
      <c r="C24" s="34"/>
      <c r="D24" s="153" t="s">
        <v>2135</v>
      </c>
      <c r="E24" s="153" t="s">
        <v>2135</v>
      </c>
      <c r="F24" s="153">
        <v>8319394.7071953658</v>
      </c>
      <c r="G24" s="153"/>
      <c r="H24" s="153">
        <v>11509174.290701056</v>
      </c>
      <c r="I24" s="153"/>
      <c r="J24" s="153">
        <v>11834831.667442821</v>
      </c>
      <c r="K24" s="153"/>
      <c r="L24" s="153">
        <v>31663400.665339246</v>
      </c>
      <c r="M24" s="153"/>
      <c r="N24" s="153">
        <v>32020629.980211306</v>
      </c>
      <c r="O24" s="273">
        <v>-357229.31487205997</v>
      </c>
      <c r="P24" s="273"/>
      <c r="Q24" s="153">
        <v>8599535.3718908764</v>
      </c>
      <c r="R24" s="153">
        <v>11932940.322027925</v>
      </c>
      <c r="S24" s="153">
        <v>12127099.896245463</v>
      </c>
      <c r="T24" s="153">
        <v>32659575.590164259</v>
      </c>
      <c r="U24" s="153" t="s">
        <v>2135</v>
      </c>
      <c r="V24" s="153">
        <v>8848921.8976757117</v>
      </c>
      <c r="W24" s="153">
        <v>12278995.591366734</v>
      </c>
      <c r="X24" s="153">
        <v>12478785.793236578</v>
      </c>
      <c r="Y24" s="153">
        <v>33606703.282279029</v>
      </c>
      <c r="Z24" s="1"/>
      <c r="AA24" s="1"/>
      <c r="AB24" s="1"/>
    </row>
    <row r="25" spans="1:28" ht="16.5" thickBot="1" x14ac:dyDescent="0.9">
      <c r="A25" s="82"/>
      <c r="B25" s="80"/>
      <c r="C25" s="81"/>
      <c r="D25" s="163"/>
      <c r="E25" s="163"/>
      <c r="F25" s="163"/>
      <c r="G25" s="163"/>
      <c r="H25" s="163"/>
      <c r="I25" s="163"/>
      <c r="J25" s="163"/>
      <c r="K25" s="163"/>
      <c r="L25" s="163"/>
      <c r="M25" s="163"/>
      <c r="N25" s="163"/>
      <c r="O25" s="273"/>
      <c r="P25" s="273"/>
      <c r="Q25" s="163"/>
      <c r="R25" s="163"/>
      <c r="S25" s="163"/>
      <c r="T25" s="163"/>
      <c r="U25" s="164"/>
      <c r="V25" s="163"/>
      <c r="W25" s="163"/>
      <c r="X25" s="163"/>
      <c r="Y25" s="163"/>
      <c r="Z25" s="31"/>
      <c r="AA25" s="31"/>
      <c r="AB25" s="31"/>
    </row>
    <row r="26" spans="1:28" ht="16.5" thickBot="1" x14ac:dyDescent="0.9">
      <c r="A26" s="34" t="s">
        <v>2136</v>
      </c>
      <c r="B26" s="3"/>
      <c r="C26" s="2"/>
      <c r="D26" s="153" t="s">
        <v>2135</v>
      </c>
      <c r="E26" s="153" t="s">
        <v>2135</v>
      </c>
      <c r="F26" s="153">
        <v>210871.99234463461</v>
      </c>
      <c r="G26" s="153"/>
      <c r="H26" s="153">
        <v>-34232.489751057699</v>
      </c>
      <c r="I26" s="153"/>
      <c r="J26" s="153">
        <v>1964.7791571784765</v>
      </c>
      <c r="K26" s="153"/>
      <c r="L26" s="574">
        <v>178604.28175075538</v>
      </c>
      <c r="M26" s="153"/>
      <c r="N26" s="574">
        <v>482578.10267125443</v>
      </c>
      <c r="O26" s="273">
        <v>-303973.82092049904</v>
      </c>
      <c r="P26" s="273"/>
      <c r="Q26" s="153">
        <v>523472.29959491082</v>
      </c>
      <c r="R26" s="153">
        <v>-81280.455133732408</v>
      </c>
      <c r="S26" s="153">
        <v>1187474.3259338588</v>
      </c>
      <c r="T26" s="153">
        <v>1629666.170395039</v>
      </c>
      <c r="U26" s="273"/>
      <c r="V26" s="153">
        <v>847527.86881998926</v>
      </c>
      <c r="W26" s="153">
        <v>-20786.309771701694</v>
      </c>
      <c r="X26" s="153">
        <v>1283594.6153432745</v>
      </c>
      <c r="Y26" s="153">
        <v>2110336.1743915528</v>
      </c>
      <c r="Z26" s="31"/>
      <c r="AA26" s="31"/>
      <c r="AB26" s="31"/>
    </row>
    <row r="27" spans="1:28" ht="15.75" x14ac:dyDescent="0.75">
      <c r="A27" s="34"/>
      <c r="B27" s="39" t="s">
        <v>1235</v>
      </c>
      <c r="C27" s="2"/>
      <c r="D27" s="31"/>
      <c r="E27" s="31"/>
      <c r="F27" s="207">
        <v>2.9700167089515506E-2</v>
      </c>
      <c r="G27" s="207"/>
      <c r="H27" s="207">
        <v>-3.8945171238345963E-3</v>
      </c>
      <c r="I27" s="207"/>
      <c r="J27" s="207">
        <v>2.0499106852749598E-4</v>
      </c>
      <c r="K27" s="110"/>
      <c r="L27" s="195"/>
      <c r="M27" s="110"/>
      <c r="N27" s="195"/>
      <c r="O27" s="273"/>
      <c r="P27" s="273"/>
      <c r="T27" s="31"/>
      <c r="U27" s="31"/>
      <c r="V27" s="31"/>
      <c r="W27" s="31"/>
      <c r="X27" s="31"/>
      <c r="Y27" s="31"/>
      <c r="Z27" s="31"/>
      <c r="AA27" s="31"/>
      <c r="AB27" s="31"/>
    </row>
    <row r="28" spans="1:28" ht="15.75" x14ac:dyDescent="0.75">
      <c r="A28" s="35"/>
      <c r="B28" s="39"/>
      <c r="C28" s="1"/>
      <c r="D28" s="207"/>
      <c r="E28" s="207"/>
      <c r="F28" s="207">
        <v>1.1806659408026356</v>
      </c>
      <c r="G28" s="207"/>
      <c r="H28" s="207">
        <v>-0.19166668019095751</v>
      </c>
      <c r="I28" s="207"/>
      <c r="J28" s="207">
        <v>1.1000739388321896E-2</v>
      </c>
      <c r="K28" s="207"/>
      <c r="L28" s="31"/>
      <c r="M28" s="207"/>
      <c r="N28" s="31"/>
      <c r="O28" s="273"/>
      <c r="P28" s="273"/>
      <c r="T28" s="39"/>
      <c r="U28" s="39"/>
      <c r="V28" s="39"/>
      <c r="W28" s="39"/>
      <c r="X28" s="39"/>
      <c r="Y28" s="39"/>
      <c r="Z28" s="39"/>
      <c r="AA28" s="39"/>
      <c r="AB28" s="39"/>
    </row>
    <row r="29" spans="1:28" ht="16.5" thickBot="1" x14ac:dyDescent="0.9">
      <c r="A29" s="35"/>
      <c r="B29" s="39"/>
      <c r="C29" s="1"/>
      <c r="D29" s="207"/>
      <c r="E29" s="207"/>
      <c r="F29" s="310"/>
      <c r="G29" s="310"/>
      <c r="H29" s="310"/>
      <c r="I29" s="310"/>
      <c r="J29" s="310"/>
      <c r="K29" s="310"/>
      <c r="L29" s="766" t="s">
        <v>2137</v>
      </c>
      <c r="M29" s="207" t="s">
        <v>2071</v>
      </c>
      <c r="N29" s="766"/>
      <c r="O29" s="273"/>
      <c r="P29" s="273"/>
      <c r="T29" s="39"/>
      <c r="U29" s="39"/>
      <c r="V29" s="39"/>
      <c r="W29" s="39"/>
      <c r="X29" s="39"/>
      <c r="Y29" s="39"/>
      <c r="Z29" s="39"/>
      <c r="AA29" s="39"/>
      <c r="AB29" s="39"/>
    </row>
    <row r="30" spans="1:28" ht="16.75" thickBot="1" x14ac:dyDescent="0.95">
      <c r="A30" s="259"/>
      <c r="B30" s="259"/>
      <c r="C30" s="308" t="s">
        <v>2057</v>
      </c>
      <c r="D30" s="153"/>
      <c r="E30" s="153"/>
      <c r="F30" s="574">
        <v>554090.6</v>
      </c>
      <c r="G30" s="153"/>
      <c r="H30" s="574">
        <v>832556</v>
      </c>
      <c r="I30" s="153"/>
      <c r="J30" s="574">
        <v>800132.1</v>
      </c>
      <c r="K30" s="153"/>
      <c r="L30" s="574">
        <v>8256843.1399999997</v>
      </c>
      <c r="M30" s="153">
        <v>10443621.84</v>
      </c>
      <c r="N30" s="574">
        <v>8256843</v>
      </c>
      <c r="O30" s="273"/>
      <c r="P30" s="273"/>
      <c r="Q30" s="259"/>
      <c r="R30" s="259"/>
      <c r="S30" s="259"/>
      <c r="T30" s="259"/>
      <c r="U30" s="259"/>
      <c r="V30" s="767">
        <v>10443621.84</v>
      </c>
      <c r="W30" s="768" t="s">
        <v>2138</v>
      </c>
      <c r="X30" s="259"/>
      <c r="Y30" s="259"/>
      <c r="Z30" s="259"/>
      <c r="AA30" s="259"/>
      <c r="AB30" s="259"/>
    </row>
    <row r="31" spans="1:28" ht="16" x14ac:dyDescent="0.8">
      <c r="A31" s="259"/>
      <c r="B31" s="259"/>
      <c r="C31" s="308" t="s">
        <v>2139</v>
      </c>
      <c r="D31" s="153"/>
      <c r="E31" s="153"/>
      <c r="F31" s="153">
        <v>-54959.878524634521</v>
      </c>
      <c r="G31" s="153"/>
      <c r="H31" s="524">
        <v>80668.381751057692</v>
      </c>
      <c r="I31" s="153"/>
      <c r="J31" s="153">
        <v>156373.73680282163</v>
      </c>
      <c r="K31" s="153"/>
      <c r="L31" s="153">
        <v>182082.2400292448</v>
      </c>
      <c r="M31" s="153"/>
      <c r="N31" s="538"/>
      <c r="O31" s="153"/>
      <c r="P31" s="153"/>
      <c r="Q31" s="259"/>
      <c r="R31" s="259"/>
      <c r="S31" s="259"/>
      <c r="T31" s="259"/>
      <c r="U31" s="259"/>
      <c r="V31" s="259"/>
      <c r="W31" s="259"/>
      <c r="X31" s="259"/>
      <c r="Y31" s="259"/>
      <c r="Z31" s="259"/>
      <c r="AA31" s="259"/>
      <c r="AB31" s="259"/>
    </row>
    <row r="32" spans="1:28" ht="16" x14ac:dyDescent="0.8">
      <c r="A32" s="259"/>
      <c r="B32" s="259"/>
      <c r="C32" s="308" t="s">
        <v>1345</v>
      </c>
      <c r="D32" s="153"/>
      <c r="E32" s="309"/>
      <c r="F32" s="153">
        <v>710002.71382000006</v>
      </c>
      <c r="G32" s="309"/>
      <c r="H32" s="153">
        <v>878991.89199999999</v>
      </c>
      <c r="I32" s="309"/>
      <c r="J32" s="153">
        <v>958470.61596000008</v>
      </c>
      <c r="K32" s="309"/>
      <c r="L32" s="153">
        <v>8074760.899970755</v>
      </c>
      <c r="M32" s="153">
        <v>10622226.121750753</v>
      </c>
      <c r="N32" s="259"/>
      <c r="O32" s="153"/>
      <c r="P32" s="153"/>
      <c r="Q32" s="259"/>
      <c r="R32" s="153"/>
      <c r="S32" s="153"/>
      <c r="T32" s="259"/>
      <c r="U32" s="769">
        <v>0.25</v>
      </c>
      <c r="V32" s="770">
        <v>2610905.46</v>
      </c>
      <c r="W32" s="771" t="s">
        <v>2140</v>
      </c>
      <c r="X32" s="259"/>
      <c r="Y32" s="259"/>
      <c r="Z32" s="259"/>
      <c r="AA32" s="259"/>
      <c r="AB32" s="259"/>
    </row>
    <row r="33" spans="1:28" ht="16" x14ac:dyDescent="0.8">
      <c r="A33" s="35"/>
      <c r="B33" s="39"/>
      <c r="C33" s="209" t="s">
        <v>1275</v>
      </c>
      <c r="D33" s="257" t="e">
        <v>#DIV/0!</v>
      </c>
      <c r="E33" s="257" t="e">
        <v>#DIV/0!</v>
      </c>
      <c r="F33" s="210">
        <v>0.1</v>
      </c>
      <c r="G33" s="210"/>
      <c r="H33" s="210">
        <v>0.1</v>
      </c>
      <c r="I33" s="210"/>
      <c r="J33" s="210">
        <v>0.1</v>
      </c>
      <c r="K33" s="257"/>
      <c r="L33" s="210"/>
      <c r="M33" s="257"/>
      <c r="N33" s="39"/>
      <c r="Q33" s="39"/>
      <c r="T33" s="39"/>
      <c r="U33" s="769">
        <v>0.2</v>
      </c>
      <c r="V33" s="770">
        <v>2088724.368</v>
      </c>
      <c r="W33" s="772" t="s">
        <v>2141</v>
      </c>
      <c r="X33" s="39"/>
      <c r="Y33" s="39"/>
      <c r="Z33" s="39"/>
      <c r="AA33" s="39"/>
      <c r="AB33" s="39"/>
    </row>
    <row r="34" spans="1:28" ht="16" x14ac:dyDescent="0.8">
      <c r="A34" s="35"/>
      <c r="B34" s="39"/>
      <c r="C34" s="308" t="s">
        <v>1346</v>
      </c>
      <c r="D34" s="31"/>
      <c r="E34" s="31"/>
      <c r="F34" s="157">
        <f>+F26+F31</f>
        <v>155912.11382000009</v>
      </c>
      <c r="G34" s="31"/>
      <c r="H34" s="157">
        <f>+H26+H31</f>
        <v>46435.891999999993</v>
      </c>
      <c r="I34" s="31"/>
      <c r="J34" s="157">
        <f>+J26+J31</f>
        <v>158338.51596000011</v>
      </c>
      <c r="K34" s="31"/>
      <c r="L34" s="157">
        <f>+L26+L31</f>
        <v>360686.52178000018</v>
      </c>
      <c r="M34" s="31"/>
      <c r="N34" s="157">
        <f>+N26+N31</f>
        <v>482578.10267125443</v>
      </c>
      <c r="Q34" s="39"/>
      <c r="T34" s="39"/>
      <c r="U34" s="769">
        <v>0.2</v>
      </c>
      <c r="V34" s="770">
        <v>2088724.368</v>
      </c>
      <c r="W34" s="772" t="s">
        <v>2142</v>
      </c>
      <c r="X34" s="39"/>
      <c r="Y34" s="39"/>
      <c r="Z34" s="39"/>
      <c r="AA34" s="39"/>
      <c r="AB34" s="39"/>
    </row>
    <row r="35" spans="1:28" ht="16.75" thickBot="1" x14ac:dyDescent="0.95">
      <c r="A35" s="35"/>
      <c r="B35" s="39"/>
      <c r="C35" s="1"/>
      <c r="D35" s="31"/>
      <c r="E35" s="31"/>
      <c r="F35" s="31"/>
      <c r="G35" s="31"/>
      <c r="H35" s="31"/>
      <c r="I35" s="31"/>
      <c r="J35" s="31"/>
      <c r="K35" s="31"/>
      <c r="L35" s="646" t="s">
        <v>2143</v>
      </c>
      <c r="M35" s="31"/>
      <c r="N35" s="39"/>
      <c r="Q35" s="39"/>
      <c r="T35" s="39"/>
      <c r="U35" s="769">
        <v>0.15</v>
      </c>
      <c r="V35" s="770">
        <v>1566543.2759999998</v>
      </c>
      <c r="W35" s="772" t="s">
        <v>2144</v>
      </c>
      <c r="X35" s="39"/>
      <c r="Y35" s="39"/>
      <c r="Z35" s="39"/>
      <c r="AA35" s="39"/>
      <c r="AB35" s="39"/>
    </row>
    <row r="36" spans="1:28" ht="16" x14ac:dyDescent="0.8">
      <c r="A36" s="246"/>
      <c r="B36" s="247"/>
      <c r="C36" s="248" t="s">
        <v>1315</v>
      </c>
      <c r="D36" s="249"/>
      <c r="E36" s="249"/>
      <c r="F36" s="249"/>
      <c r="G36" s="249"/>
      <c r="H36" s="249"/>
      <c r="I36" s="249"/>
      <c r="J36" s="250"/>
      <c r="K36" s="259"/>
      <c r="L36" s="773" t="s">
        <v>2145</v>
      </c>
      <c r="M36" s="259"/>
      <c r="N36" s="247"/>
      <c r="O36" s="247"/>
      <c r="P36" s="247"/>
      <c r="Q36" s="247"/>
      <c r="R36" s="247"/>
      <c r="S36" s="247"/>
      <c r="T36" s="247"/>
      <c r="U36" s="769">
        <v>0.2</v>
      </c>
      <c r="V36" s="770">
        <v>2088724.368</v>
      </c>
      <c r="W36" s="772" t="s">
        <v>2146</v>
      </c>
      <c r="X36" s="247"/>
      <c r="Y36" s="247"/>
      <c r="Z36" s="247"/>
      <c r="AA36" s="247"/>
      <c r="AB36" s="247"/>
    </row>
    <row r="37" spans="1:28" ht="16" x14ac:dyDescent="0.8">
      <c r="A37" s="246"/>
      <c r="B37" s="247"/>
      <c r="C37" s="251" t="s">
        <v>1316</v>
      </c>
      <c r="D37" s="575" t="e">
        <v>#VALUE!</v>
      </c>
      <c r="E37" s="575" t="e">
        <v>#VALUE!</v>
      </c>
      <c r="F37" s="576">
        <v>0.64905284832811261</v>
      </c>
      <c r="G37" s="576"/>
      <c r="H37" s="576">
        <v>0.74650199203969236</v>
      </c>
      <c r="I37" s="576"/>
      <c r="J37" s="583">
        <v>0.66683769345916588</v>
      </c>
      <c r="K37" s="252"/>
      <c r="L37" s="773" t="s">
        <v>2147</v>
      </c>
      <c r="M37" s="252"/>
      <c r="N37" s="247"/>
      <c r="O37" s="247"/>
      <c r="P37" s="247"/>
      <c r="Q37" s="247"/>
      <c r="R37" s="247"/>
      <c r="S37" s="247"/>
      <c r="T37" s="247"/>
      <c r="U37" s="769"/>
      <c r="V37" s="770"/>
      <c r="W37" s="772"/>
      <c r="X37" s="247"/>
      <c r="Y37" s="247"/>
      <c r="Z37" s="247"/>
      <c r="AA37" s="247"/>
      <c r="AB37" s="247"/>
    </row>
    <row r="38" spans="1:28" ht="16" x14ac:dyDescent="0.8">
      <c r="A38" s="246"/>
      <c r="B38" s="247"/>
      <c r="C38" s="251" t="s">
        <v>1317</v>
      </c>
      <c r="D38" s="575" t="e">
        <v>#VALUE!</v>
      </c>
      <c r="E38" s="575" t="e">
        <v>#VALUE!</v>
      </c>
      <c r="F38" s="576">
        <v>0.81098738887459243</v>
      </c>
      <c r="G38" s="576"/>
      <c r="H38" s="576">
        <v>0.83982272494225418</v>
      </c>
      <c r="I38" s="576"/>
      <c r="J38" s="583">
        <v>0.83298134988403982</v>
      </c>
      <c r="K38" s="252"/>
      <c r="L38" s="773" t="s">
        <v>2148</v>
      </c>
      <c r="M38" s="252"/>
      <c r="N38" s="247"/>
      <c r="O38" s="247"/>
      <c r="P38" s="247"/>
      <c r="Q38" s="247"/>
      <c r="R38" s="247"/>
      <c r="S38" s="247"/>
      <c r="T38" s="247"/>
      <c r="U38" s="769"/>
      <c r="V38" s="770"/>
      <c r="W38" s="772"/>
      <c r="X38" s="247"/>
      <c r="Y38" s="247"/>
      <c r="Z38" s="247"/>
      <c r="AA38" s="247"/>
      <c r="AB38" s="247"/>
    </row>
    <row r="39" spans="1:28" ht="16" x14ac:dyDescent="0.8">
      <c r="A39" s="246"/>
      <c r="B39" s="247"/>
      <c r="C39" s="251" t="s">
        <v>1318</v>
      </c>
      <c r="D39" s="212" t="e">
        <v>#VALUE!</v>
      </c>
      <c r="E39" s="212" t="e">
        <v>#VALUE!</v>
      </c>
      <c r="F39" s="577" t="s">
        <v>2149</v>
      </c>
      <c r="G39" s="578"/>
      <c r="H39" s="577" t="s">
        <v>2149</v>
      </c>
      <c r="I39" s="578"/>
      <c r="J39" s="579" t="s">
        <v>2149</v>
      </c>
      <c r="K39" s="212"/>
      <c r="L39" s="773" t="s">
        <v>2150</v>
      </c>
      <c r="M39" s="212"/>
      <c r="N39" s="247"/>
      <c r="O39" s="247"/>
      <c r="P39" s="247"/>
      <c r="Q39" s="247"/>
      <c r="R39" s="247"/>
      <c r="S39" s="247"/>
      <c r="T39" s="247"/>
      <c r="U39" s="769"/>
      <c r="V39" s="770"/>
      <c r="W39" s="772"/>
      <c r="X39" s="247"/>
      <c r="Y39" s="247"/>
      <c r="Z39" s="247"/>
      <c r="AA39" s="247"/>
      <c r="AB39" s="247"/>
    </row>
    <row r="40" spans="1:28" ht="16.75" thickBot="1" x14ac:dyDescent="0.95">
      <c r="A40" s="246"/>
      <c r="B40" s="247"/>
      <c r="C40" s="253" t="s">
        <v>1319</v>
      </c>
      <c r="D40" s="254" t="e">
        <v>#VALUE!</v>
      </c>
      <c r="E40" s="254" t="e">
        <v>#VALUE!</v>
      </c>
      <c r="F40" s="580" t="s">
        <v>2149</v>
      </c>
      <c r="G40" s="581"/>
      <c r="H40" s="580" t="s">
        <v>2149</v>
      </c>
      <c r="I40" s="581"/>
      <c r="J40" s="582" t="s">
        <v>2149</v>
      </c>
      <c r="K40" s="212"/>
      <c r="L40" s="773" t="s">
        <v>2151</v>
      </c>
      <c r="M40" s="212"/>
      <c r="N40" s="247"/>
      <c r="O40" s="247"/>
      <c r="P40" s="247"/>
      <c r="Q40" s="247"/>
      <c r="R40" s="247"/>
      <c r="S40" s="247"/>
      <c r="T40" s="247"/>
      <c r="U40" s="247"/>
      <c r="V40" s="247"/>
      <c r="W40" s="772"/>
      <c r="X40" s="247"/>
      <c r="Y40" s="247"/>
      <c r="Z40" s="247"/>
      <c r="AA40" s="247"/>
      <c r="AB40" s="247"/>
    </row>
    <row r="41" spans="1:28" ht="15.75" x14ac:dyDescent="0.75">
      <c r="A41" s="35"/>
      <c r="B41" s="39"/>
      <c r="C41" s="1"/>
      <c r="D41" s="31"/>
      <c r="E41" s="31"/>
      <c r="F41" s="31"/>
      <c r="G41" s="31"/>
      <c r="H41" s="31"/>
      <c r="I41" s="31"/>
      <c r="J41" s="31"/>
      <c r="K41" s="31"/>
      <c r="L41" s="773" t="s">
        <v>2152</v>
      </c>
      <c r="M41" s="31"/>
      <c r="N41" s="39"/>
      <c r="Q41" s="39"/>
      <c r="T41" s="39"/>
      <c r="U41" s="39"/>
      <c r="V41" s="39"/>
      <c r="W41" s="772"/>
      <c r="X41" s="39"/>
      <c r="Y41" s="39"/>
      <c r="Z41" s="39"/>
      <c r="AA41" s="39"/>
      <c r="AB41" s="39"/>
    </row>
    <row r="42" spans="1:28" ht="16" x14ac:dyDescent="0.8">
      <c r="A42" s="35"/>
      <c r="B42" s="39"/>
      <c r="C42" s="1" t="s">
        <v>1955</v>
      </c>
      <c r="D42" s="31"/>
      <c r="E42" s="31"/>
      <c r="F42" s="307">
        <v>355001.35691000003</v>
      </c>
      <c r="G42" s="259"/>
      <c r="H42" s="307">
        <v>439495.946</v>
      </c>
      <c r="I42" s="259"/>
      <c r="J42" s="307">
        <v>479235.30798000004</v>
      </c>
      <c r="K42" s="31"/>
      <c r="L42" s="773" t="s">
        <v>2153</v>
      </c>
      <c r="M42" s="31"/>
      <c r="N42" s="39"/>
      <c r="Q42" s="39"/>
      <c r="T42" s="39"/>
      <c r="U42" s="39"/>
      <c r="V42" s="39"/>
      <c r="W42" s="772"/>
      <c r="X42" s="39"/>
      <c r="Y42" s="39"/>
      <c r="Z42" s="39"/>
      <c r="AA42" s="39"/>
      <c r="AB42" s="39"/>
    </row>
    <row r="43" spans="1:28" ht="16.5" thickBot="1" x14ac:dyDescent="0.9">
      <c r="A43" s="35"/>
      <c r="B43" s="39"/>
      <c r="C43" s="1"/>
      <c r="D43" s="31"/>
      <c r="E43" s="31"/>
      <c r="F43" s="31"/>
      <c r="G43" s="31"/>
      <c r="H43" s="31"/>
      <c r="I43" s="31"/>
      <c r="J43" s="31"/>
      <c r="K43" s="31"/>
      <c r="L43" s="773" t="s">
        <v>2154</v>
      </c>
      <c r="M43" s="31"/>
      <c r="N43" s="39"/>
      <c r="Q43" s="39"/>
      <c r="T43" s="39"/>
      <c r="U43" s="39"/>
      <c r="V43" s="39"/>
      <c r="W43" s="772"/>
      <c r="X43" s="39"/>
      <c r="Y43" s="39"/>
      <c r="Z43" s="39"/>
      <c r="AA43" s="39"/>
      <c r="AB43" s="39"/>
    </row>
    <row r="44" spans="1:28" ht="16.5" thickBot="1" x14ac:dyDescent="0.9">
      <c r="A44" s="34"/>
      <c r="B44" s="650" t="s">
        <v>2060</v>
      </c>
      <c r="C44" s="651"/>
      <c r="D44" s="31"/>
      <c r="E44" s="31"/>
      <c r="F44" s="584"/>
      <c r="G44" s="310"/>
      <c r="H44" s="310"/>
      <c r="I44" s="310"/>
      <c r="J44" s="584"/>
      <c r="K44" s="31"/>
      <c r="L44" s="773" t="s">
        <v>2155</v>
      </c>
      <c r="M44" s="31"/>
      <c r="T44" s="1"/>
      <c r="U44" s="1"/>
      <c r="V44" s="1"/>
      <c r="W44" s="772"/>
      <c r="X44" s="1"/>
      <c r="Y44" s="1"/>
      <c r="Z44" s="1"/>
      <c r="AA44" s="1"/>
      <c r="AB44" s="1"/>
    </row>
    <row r="45" spans="1:28" ht="15.75" x14ac:dyDescent="0.75">
      <c r="A45" s="34"/>
      <c r="B45" s="618"/>
      <c r="C45" s="618"/>
      <c r="D45" s="31"/>
      <c r="E45" s="31"/>
      <c r="F45" s="31"/>
      <c r="G45" s="31"/>
      <c r="H45" s="31"/>
      <c r="I45" s="31"/>
      <c r="J45" s="31"/>
      <c r="K45" s="31"/>
      <c r="L45" s="773"/>
      <c r="M45" s="31"/>
      <c r="T45" s="1"/>
      <c r="U45" s="774">
        <v>1</v>
      </c>
      <c r="V45" s="602">
        <v>10443621.84</v>
      </c>
      <c r="W45" s="775" t="s">
        <v>2071</v>
      </c>
      <c r="X45" s="1"/>
      <c r="Y45" s="1"/>
      <c r="Z45" s="1"/>
      <c r="AA45" s="1"/>
      <c r="AB45" s="1"/>
    </row>
    <row r="46" spans="1:28" ht="15.75" x14ac:dyDescent="0.75">
      <c r="A46" s="34"/>
      <c r="B46" s="618"/>
      <c r="C46" s="1"/>
      <c r="D46" s="31"/>
      <c r="E46" s="31"/>
      <c r="F46" s="31"/>
      <c r="G46" s="31"/>
      <c r="H46" s="31"/>
      <c r="I46" s="31"/>
      <c r="J46" s="31"/>
      <c r="K46" s="31"/>
      <c r="L46" s="773"/>
      <c r="M46" s="645" t="s">
        <v>2156</v>
      </c>
      <c r="T46" s="1"/>
      <c r="U46" s="1"/>
      <c r="V46" s="1"/>
      <c r="W46" s="772"/>
      <c r="X46" s="1"/>
      <c r="Y46" s="1"/>
      <c r="Z46" s="1"/>
      <c r="AA46" s="1"/>
      <c r="AB46" s="1"/>
    </row>
    <row r="47" spans="1:28" ht="15.75" x14ac:dyDescent="0.75">
      <c r="A47" s="34"/>
      <c r="B47" s="39"/>
      <c r="C47" s="1"/>
      <c r="D47" s="31"/>
      <c r="E47" s="31"/>
      <c r="F47" s="31"/>
      <c r="G47" s="31"/>
      <c r="H47" s="31"/>
      <c r="I47" s="31"/>
      <c r="J47" s="31"/>
      <c r="K47" s="31"/>
      <c r="L47" s="773"/>
      <c r="M47" s="75">
        <v>4102</v>
      </c>
      <c r="T47" s="1"/>
      <c r="U47" s="1"/>
      <c r="V47" s="1"/>
      <c r="W47" s="772"/>
      <c r="X47" s="1"/>
      <c r="Y47" s="1"/>
      <c r="Z47" s="1"/>
      <c r="AA47" s="1"/>
      <c r="AB47" s="1"/>
    </row>
    <row r="48" spans="1:28" ht="15.75" x14ac:dyDescent="0.75">
      <c r="A48" s="34"/>
      <c r="B48" s="39"/>
      <c r="C48" s="1"/>
      <c r="D48" s="31"/>
      <c r="E48" s="31"/>
      <c r="F48" s="31"/>
      <c r="G48" s="31"/>
      <c r="H48" s="31"/>
      <c r="I48" s="31"/>
      <c r="J48" s="31"/>
      <c r="K48" s="31"/>
      <c r="L48" s="773"/>
      <c r="M48" s="75">
        <v>4102</v>
      </c>
      <c r="O48" s="519"/>
      <c r="P48" s="519"/>
      <c r="T48" s="1"/>
      <c r="U48" s="1"/>
      <c r="V48" s="1"/>
      <c r="W48" s="772"/>
      <c r="X48" s="1"/>
      <c r="Y48" s="1"/>
      <c r="Z48" s="1"/>
      <c r="AA48" s="1"/>
      <c r="AB48" s="1"/>
    </row>
    <row r="49" spans="1:28" ht="15.75" x14ac:dyDescent="0.75">
      <c r="A49" s="34"/>
      <c r="B49" s="39"/>
      <c r="C49" s="1"/>
      <c r="D49" s="31"/>
      <c r="E49" s="31"/>
      <c r="F49" s="31"/>
      <c r="G49" s="31"/>
      <c r="H49" s="310"/>
      <c r="I49" s="31"/>
      <c r="J49" s="157"/>
      <c r="K49" s="31"/>
      <c r="L49" s="773"/>
      <c r="M49" s="75">
        <v>5877</v>
      </c>
      <c r="T49" s="1"/>
      <c r="U49" s="1"/>
      <c r="V49" s="1"/>
      <c r="W49" s="772"/>
      <c r="X49" s="1"/>
      <c r="Y49" s="1"/>
      <c r="Z49" s="1"/>
      <c r="AA49" s="1"/>
      <c r="AB49" s="1"/>
    </row>
    <row r="50" spans="1:28" ht="15.75" x14ac:dyDescent="0.75">
      <c r="A50" s="34"/>
      <c r="B50" s="39"/>
      <c r="C50" s="1"/>
      <c r="D50" s="31"/>
      <c r="E50" s="31"/>
      <c r="F50" s="157"/>
      <c r="G50" s="31"/>
      <c r="H50" s="157"/>
      <c r="I50" s="31"/>
      <c r="J50" s="157"/>
      <c r="K50" s="31"/>
      <c r="L50" s="773"/>
      <c r="M50" s="75">
        <v>4102</v>
      </c>
      <c r="T50" s="1"/>
      <c r="U50" s="1"/>
      <c r="V50" s="1"/>
      <c r="W50" s="772"/>
      <c r="X50" s="1"/>
      <c r="Y50" s="1"/>
      <c r="Z50" s="1"/>
      <c r="AA50" s="1"/>
      <c r="AB50" s="1"/>
    </row>
    <row r="51" spans="1:28" ht="15.75" x14ac:dyDescent="0.75">
      <c r="A51" s="34"/>
      <c r="B51" s="39"/>
      <c r="C51" s="1"/>
      <c r="D51" s="31"/>
      <c r="E51" s="31"/>
      <c r="F51" s="31"/>
      <c r="G51" s="31"/>
      <c r="H51" s="31"/>
      <c r="I51" s="31"/>
      <c r="J51" s="31"/>
      <c r="K51" s="31"/>
      <c r="L51" s="773"/>
      <c r="M51" s="75">
        <v>4410</v>
      </c>
      <c r="T51" s="1"/>
      <c r="U51" s="1"/>
      <c r="V51" s="1"/>
      <c r="W51" s="772"/>
      <c r="X51" s="1"/>
      <c r="Y51" s="1"/>
      <c r="Z51" s="1"/>
      <c r="AA51" s="1"/>
      <c r="AB51" s="1"/>
    </row>
    <row r="52" spans="1:28" ht="15.75" x14ac:dyDescent="0.75">
      <c r="A52" s="34"/>
      <c r="B52" s="39"/>
      <c r="C52" s="1"/>
      <c r="D52" s="31"/>
      <c r="E52" s="31"/>
      <c r="F52" s="31"/>
      <c r="G52" s="31"/>
      <c r="H52" s="31"/>
      <c r="I52" s="31"/>
      <c r="J52" s="31"/>
      <c r="K52" s="31"/>
      <c r="L52" s="773"/>
      <c r="M52" s="75">
        <v>4410</v>
      </c>
      <c r="O52" s="519"/>
      <c r="P52" s="519"/>
      <c r="T52" s="1"/>
      <c r="U52" s="1"/>
      <c r="V52" s="1"/>
      <c r="W52" s="772"/>
      <c r="X52" s="1"/>
      <c r="Y52" s="1"/>
      <c r="Z52" s="1"/>
      <c r="AA52" s="1"/>
      <c r="AB52" s="1"/>
    </row>
    <row r="53" spans="1:28" ht="15.75" x14ac:dyDescent="0.75">
      <c r="A53" s="34"/>
      <c r="B53" s="39"/>
      <c r="C53" s="1"/>
      <c r="D53" s="31"/>
      <c r="E53" s="31"/>
      <c r="F53" s="31"/>
      <c r="G53" s="31"/>
      <c r="H53" s="31"/>
      <c r="I53" s="31"/>
      <c r="J53" s="31"/>
      <c r="K53" s="31"/>
      <c r="L53" s="773"/>
      <c r="M53" s="75"/>
      <c r="T53" s="1"/>
      <c r="U53" s="1"/>
      <c r="V53" s="1"/>
      <c r="W53" s="772"/>
      <c r="X53" s="1"/>
      <c r="Y53" s="1"/>
      <c r="Z53" s="1"/>
      <c r="AA53" s="1"/>
      <c r="AB53" s="1"/>
    </row>
    <row r="54" spans="1:28" ht="15.75" x14ac:dyDescent="0.75">
      <c r="A54" s="34"/>
      <c r="B54" s="39"/>
      <c r="C54" s="1"/>
      <c r="D54" s="31"/>
      <c r="E54" s="31"/>
      <c r="F54" s="31"/>
      <c r="G54" s="31"/>
      <c r="H54" s="31"/>
      <c r="I54" s="31"/>
      <c r="J54" s="31"/>
      <c r="K54" s="31"/>
      <c r="L54" s="773"/>
      <c r="M54" s="75">
        <v>4410</v>
      </c>
      <c r="O54" s="519"/>
      <c r="P54" s="519"/>
      <c r="T54" s="1"/>
      <c r="U54" s="1"/>
      <c r="V54" s="1"/>
      <c r="W54" s="772"/>
      <c r="X54" s="1"/>
      <c r="Y54" s="1"/>
      <c r="Z54" s="1"/>
      <c r="AA54" s="1"/>
      <c r="AB54" s="1"/>
    </row>
    <row r="55" spans="1:28" ht="15.75" x14ac:dyDescent="0.75">
      <c r="A55" s="34"/>
      <c r="B55" s="39"/>
      <c r="C55" s="1"/>
      <c r="D55" s="31"/>
      <c r="E55" s="31"/>
      <c r="F55" s="31"/>
      <c r="G55" s="31"/>
      <c r="H55" s="31"/>
      <c r="I55" s="31"/>
      <c r="J55" s="31"/>
      <c r="K55" s="31"/>
      <c r="L55" s="773"/>
      <c r="M55" s="31"/>
      <c r="T55" s="1"/>
      <c r="U55" s="1"/>
      <c r="V55" s="1"/>
      <c r="W55" s="772"/>
      <c r="X55" s="1"/>
      <c r="Y55" s="1"/>
      <c r="Z55" s="1"/>
      <c r="AA55" s="1"/>
      <c r="AB55" s="1"/>
    </row>
    <row r="56" spans="1:28" ht="15.75" x14ac:dyDescent="0.75">
      <c r="A56" s="34"/>
      <c r="B56" s="39"/>
      <c r="C56" s="1"/>
      <c r="D56" s="31"/>
      <c r="E56" s="31"/>
      <c r="F56" s="31"/>
      <c r="G56" s="31"/>
      <c r="H56" s="31"/>
      <c r="I56" s="31"/>
      <c r="J56" s="31"/>
      <c r="K56" s="31"/>
      <c r="L56" s="773"/>
      <c r="M56" s="75">
        <v>4102</v>
      </c>
      <c r="O56" s="519"/>
      <c r="P56" s="519"/>
      <c r="T56" s="1"/>
      <c r="U56" s="1"/>
      <c r="V56" s="1"/>
      <c r="W56" s="772"/>
      <c r="X56" s="1"/>
      <c r="Y56" s="1"/>
      <c r="Z56" s="1"/>
      <c r="AA56" s="1"/>
      <c r="AB56" s="1"/>
    </row>
    <row r="57" spans="1:28" ht="15.75" x14ac:dyDescent="0.75">
      <c r="A57" s="34"/>
      <c r="B57" s="39"/>
      <c r="C57" s="1"/>
      <c r="D57" s="31"/>
      <c r="E57" s="31"/>
      <c r="F57" s="31"/>
      <c r="G57" s="31"/>
      <c r="H57" s="31"/>
      <c r="I57" s="31"/>
      <c r="J57" s="31"/>
      <c r="K57" s="31"/>
      <c r="L57" s="773"/>
      <c r="M57" s="31"/>
      <c r="T57" s="1"/>
      <c r="U57" s="1"/>
      <c r="V57" s="1"/>
      <c r="W57" s="772"/>
      <c r="X57" s="1"/>
      <c r="Y57" s="1"/>
      <c r="Z57" s="1"/>
      <c r="AA57" s="1"/>
      <c r="AB57" s="1"/>
    </row>
    <row r="58" spans="1:28" ht="15.75" x14ac:dyDescent="0.75">
      <c r="A58" s="34"/>
      <c r="B58" s="39"/>
      <c r="C58" s="1"/>
      <c r="D58" s="31"/>
      <c r="E58" s="31"/>
      <c r="F58" s="31"/>
      <c r="G58" s="31"/>
      <c r="H58" s="31"/>
      <c r="I58" s="31"/>
      <c r="J58" s="31"/>
      <c r="K58" s="31"/>
      <c r="L58" s="773"/>
      <c r="M58" s="31"/>
      <c r="T58" s="1"/>
      <c r="U58" s="1"/>
      <c r="V58" s="1"/>
      <c r="W58" s="772"/>
      <c r="X58" s="1"/>
      <c r="Y58" s="1"/>
      <c r="Z58" s="1"/>
      <c r="AA58" s="1"/>
      <c r="AB58" s="1"/>
    </row>
    <row r="59" spans="1:28" ht="15.75" x14ac:dyDescent="0.75">
      <c r="A59" s="34"/>
      <c r="B59" s="39"/>
      <c r="C59" s="1"/>
      <c r="D59" s="31"/>
      <c r="E59" s="31"/>
      <c r="F59" s="31"/>
      <c r="G59" s="31"/>
      <c r="H59" s="31"/>
      <c r="I59" s="31"/>
      <c r="J59" s="31"/>
      <c r="K59" s="31"/>
      <c r="L59" s="773"/>
      <c r="M59" s="75">
        <v>4400</v>
      </c>
      <c r="O59" s="519"/>
      <c r="P59" s="519"/>
      <c r="T59" s="1"/>
      <c r="U59" s="1"/>
      <c r="V59" s="1"/>
      <c r="W59" s="772"/>
      <c r="X59" s="1"/>
      <c r="Y59" s="1"/>
      <c r="Z59" s="1"/>
      <c r="AA59" s="1"/>
      <c r="AB59" s="1"/>
    </row>
    <row r="60" spans="1:28" ht="15.75" x14ac:dyDescent="0.75">
      <c r="A60" s="34"/>
      <c r="B60" s="39"/>
      <c r="C60" s="1"/>
      <c r="D60" s="31"/>
      <c r="E60" s="31"/>
      <c r="F60" s="31"/>
      <c r="G60" s="31"/>
      <c r="H60" s="31"/>
      <c r="I60" s="31"/>
      <c r="J60" s="31"/>
      <c r="K60" s="31"/>
      <c r="L60" s="773"/>
      <c r="M60" s="75">
        <v>4400</v>
      </c>
      <c r="O60" s="519"/>
      <c r="P60" s="519"/>
      <c r="R60" s="164"/>
      <c r="T60" s="1"/>
      <c r="U60" s="1"/>
      <c r="V60" s="1"/>
      <c r="W60" s="772"/>
      <c r="X60" s="1"/>
      <c r="Y60" s="1"/>
      <c r="Z60" s="1"/>
      <c r="AA60" s="1"/>
      <c r="AB60" s="1"/>
    </row>
    <row r="61" spans="1:28" ht="15.75" x14ac:dyDescent="0.75">
      <c r="A61" s="34"/>
      <c r="B61" s="39"/>
      <c r="C61" s="1"/>
      <c r="D61" s="31"/>
      <c r="E61" s="31"/>
      <c r="F61" s="31"/>
      <c r="G61" s="31"/>
      <c r="H61" s="31"/>
      <c r="I61" s="31"/>
      <c r="J61" s="31"/>
      <c r="K61" s="31"/>
      <c r="L61" s="773"/>
      <c r="M61" s="75">
        <v>4102</v>
      </c>
      <c r="T61" s="1"/>
      <c r="U61" s="1"/>
      <c r="V61" s="1"/>
      <c r="W61" s="772"/>
      <c r="X61" s="1"/>
      <c r="Y61" s="1"/>
      <c r="Z61" s="1"/>
      <c r="AA61" s="1"/>
      <c r="AB61" s="1"/>
    </row>
    <row r="62" spans="1:28" ht="15.75" x14ac:dyDescent="0.75">
      <c r="A62" s="34"/>
      <c r="B62" s="39"/>
      <c r="C62" s="1"/>
      <c r="D62" s="31"/>
      <c r="E62" s="31"/>
      <c r="F62" s="31"/>
      <c r="G62" s="31"/>
      <c r="H62" s="31"/>
      <c r="I62" s="31"/>
      <c r="J62" s="31"/>
      <c r="K62" s="31"/>
      <c r="L62" s="773"/>
      <c r="M62" s="31"/>
      <c r="O62" s="164"/>
      <c r="P62" s="164"/>
      <c r="T62" s="1"/>
      <c r="U62" s="1"/>
      <c r="V62" s="1"/>
      <c r="W62" s="772"/>
      <c r="X62" s="1"/>
      <c r="Y62" s="1"/>
      <c r="Z62" s="1"/>
      <c r="AA62" s="1"/>
      <c r="AB62" s="1"/>
    </row>
    <row r="63" spans="1:28" ht="15.75" x14ac:dyDescent="0.75">
      <c r="A63" s="34"/>
      <c r="B63" s="39"/>
      <c r="C63" s="1"/>
      <c r="D63" s="31"/>
      <c r="E63" s="31"/>
      <c r="F63" s="31"/>
      <c r="G63" s="31"/>
      <c r="H63" s="31"/>
      <c r="I63" s="31"/>
      <c r="J63" s="31"/>
      <c r="K63" s="31"/>
      <c r="L63" s="773"/>
      <c r="M63" s="31"/>
      <c r="T63" s="1"/>
      <c r="U63" s="1"/>
      <c r="V63" s="1"/>
      <c r="W63" s="772"/>
      <c r="X63" s="1"/>
      <c r="Y63" s="1"/>
      <c r="Z63" s="1"/>
      <c r="AA63" s="1"/>
      <c r="AB63" s="1"/>
    </row>
    <row r="64" spans="1:28" ht="15.75" x14ac:dyDescent="0.75">
      <c r="A64" s="34"/>
      <c r="B64" s="39"/>
      <c r="C64" s="1"/>
      <c r="D64" s="31"/>
      <c r="E64" s="31"/>
      <c r="F64" s="31"/>
      <c r="G64" s="31"/>
      <c r="H64" s="31"/>
      <c r="I64" s="31"/>
      <c r="J64" s="31"/>
      <c r="K64" s="31"/>
      <c r="L64" s="773"/>
      <c r="M64" s="31"/>
      <c r="T64" s="1"/>
      <c r="U64" s="1"/>
      <c r="V64" s="1"/>
      <c r="W64" s="772"/>
      <c r="X64" s="1"/>
      <c r="Y64" s="1"/>
      <c r="Z64" s="1"/>
      <c r="AA64" s="1"/>
      <c r="AB64" s="1"/>
    </row>
    <row r="65" spans="1:28" ht="15.75" x14ac:dyDescent="0.75">
      <c r="A65" s="34"/>
      <c r="B65" s="39"/>
      <c r="C65" s="1"/>
      <c r="D65" s="31"/>
      <c r="E65" s="31"/>
      <c r="F65" s="31"/>
      <c r="G65" s="31"/>
      <c r="H65" s="31"/>
      <c r="I65" s="31"/>
      <c r="J65" s="31"/>
      <c r="K65" s="31"/>
      <c r="L65" s="773"/>
      <c r="M65" s="31"/>
      <c r="T65" s="1"/>
      <c r="U65" s="1"/>
      <c r="V65" s="1"/>
      <c r="W65" s="772"/>
      <c r="X65" s="1"/>
      <c r="Y65" s="1"/>
      <c r="Z65" s="1"/>
      <c r="AA65" s="1"/>
      <c r="AB65" s="1"/>
    </row>
    <row r="66" spans="1:28" ht="15.75" x14ac:dyDescent="0.75">
      <c r="A66" s="34"/>
      <c r="B66" s="39"/>
      <c r="C66" s="1"/>
      <c r="D66" s="31"/>
      <c r="E66" s="31"/>
      <c r="F66" s="31"/>
      <c r="G66" s="31"/>
      <c r="H66" s="31"/>
      <c r="I66" s="31"/>
      <c r="J66" s="31"/>
      <c r="K66" s="31"/>
      <c r="L66" s="773"/>
      <c r="M66" s="31"/>
      <c r="T66" s="1"/>
      <c r="U66" s="1"/>
      <c r="V66" s="1"/>
      <c r="W66" s="772"/>
      <c r="X66" s="1"/>
      <c r="Y66" s="1"/>
      <c r="Z66" s="1"/>
      <c r="AA66" s="1"/>
      <c r="AB66" s="1"/>
    </row>
    <row r="67" spans="1:28" ht="15.75" x14ac:dyDescent="0.75">
      <c r="A67" s="34"/>
      <c r="B67" s="39"/>
      <c r="C67" s="1"/>
      <c r="D67" s="31"/>
      <c r="E67" s="31"/>
      <c r="F67" s="31"/>
      <c r="G67" s="31"/>
      <c r="H67" s="31"/>
      <c r="I67" s="31"/>
      <c r="J67" s="31"/>
      <c r="K67" s="31"/>
      <c r="L67" s="773"/>
      <c r="M67" s="75"/>
      <c r="T67" s="1"/>
      <c r="U67" s="1"/>
      <c r="V67" s="1"/>
      <c r="W67" s="772"/>
      <c r="X67" s="1"/>
      <c r="Y67" s="1"/>
      <c r="Z67" s="1"/>
      <c r="AA67" s="1"/>
      <c r="AB67" s="1"/>
    </row>
    <row r="68" spans="1:28" ht="15.75" x14ac:dyDescent="0.75">
      <c r="A68" s="34"/>
      <c r="B68" s="39"/>
      <c r="C68" s="1"/>
      <c r="D68" s="31"/>
      <c r="E68" s="31"/>
      <c r="F68" s="31"/>
      <c r="G68" s="31"/>
      <c r="H68" s="31"/>
      <c r="I68" s="31"/>
      <c r="J68" s="31"/>
      <c r="K68" s="31"/>
      <c r="L68" s="773" t="s">
        <v>2157</v>
      </c>
      <c r="M68" s="31"/>
      <c r="T68" s="1"/>
      <c r="U68" s="1"/>
      <c r="V68" s="599">
        <v>0</v>
      </c>
      <c r="W68" s="772"/>
      <c r="X68" s="1"/>
      <c r="Y68" s="1"/>
      <c r="Z68" s="1"/>
      <c r="AA68" s="1"/>
      <c r="AB68" s="1"/>
    </row>
    <row r="69" spans="1:28" ht="15.75" x14ac:dyDescent="0.75">
      <c r="A69" s="34"/>
      <c r="B69" s="39"/>
      <c r="C69" s="1"/>
      <c r="D69" s="31"/>
      <c r="E69" s="31"/>
      <c r="F69" s="31"/>
      <c r="G69" s="31"/>
      <c r="H69" s="31"/>
      <c r="I69" s="31"/>
      <c r="J69" s="31"/>
      <c r="K69" s="31"/>
      <c r="L69" s="773" t="s">
        <v>2158</v>
      </c>
      <c r="M69" s="31"/>
      <c r="T69" s="1"/>
      <c r="U69" s="1"/>
      <c r="V69" s="1"/>
      <c r="W69" s="772"/>
      <c r="X69" s="1"/>
      <c r="Y69" s="1"/>
      <c r="Z69" s="1"/>
      <c r="AA69" s="1"/>
      <c r="AB69" s="1"/>
    </row>
    <row r="70" spans="1:28" ht="15.75" x14ac:dyDescent="0.75">
      <c r="A70" s="34"/>
      <c r="B70" s="39"/>
      <c r="C70" s="1"/>
      <c r="D70" s="31"/>
      <c r="E70" s="31"/>
      <c r="F70" s="31"/>
      <c r="G70" s="31"/>
      <c r="H70" s="31"/>
      <c r="I70" s="31"/>
      <c r="J70" s="31"/>
      <c r="K70" s="31"/>
      <c r="L70" s="773" t="s">
        <v>2159</v>
      </c>
      <c r="M70" s="31"/>
      <c r="T70" s="1"/>
      <c r="U70" s="1"/>
      <c r="V70" s="1"/>
      <c r="W70" s="772"/>
      <c r="X70" s="1"/>
      <c r="Y70" s="1"/>
      <c r="Z70" s="1"/>
      <c r="AA70" s="1"/>
      <c r="AB70" s="1"/>
    </row>
    <row r="71" spans="1:28" ht="15.75" x14ac:dyDescent="0.75">
      <c r="A71" s="34"/>
      <c r="B71" s="39"/>
      <c r="C71" s="1"/>
      <c r="D71" s="31"/>
      <c r="E71" s="31"/>
      <c r="F71" s="31"/>
      <c r="G71" s="31"/>
      <c r="H71" s="31"/>
      <c r="I71" s="31"/>
      <c r="J71" s="31"/>
      <c r="K71" s="31"/>
      <c r="L71" s="773" t="s">
        <v>2160</v>
      </c>
      <c r="M71" s="31"/>
      <c r="T71" s="1"/>
      <c r="U71" s="1"/>
      <c r="V71" s="1"/>
      <c r="W71" s="1"/>
      <c r="X71" s="1"/>
      <c r="Y71" s="1"/>
      <c r="Z71" s="1"/>
      <c r="AA71" s="1"/>
      <c r="AB71" s="1"/>
    </row>
    <row r="72" spans="1:28" ht="15.75" x14ac:dyDescent="0.75">
      <c r="A72" s="34"/>
      <c r="B72" s="39"/>
      <c r="C72" s="1"/>
      <c r="D72" s="31"/>
      <c r="E72" s="31"/>
      <c r="F72" s="31"/>
      <c r="G72" s="31"/>
      <c r="H72" s="31"/>
      <c r="I72" s="31"/>
      <c r="J72" s="31"/>
      <c r="K72" s="31"/>
      <c r="L72" s="773"/>
      <c r="M72" s="31"/>
      <c r="T72" s="1"/>
      <c r="U72" s="1"/>
      <c r="V72" s="1"/>
      <c r="W72" s="1"/>
      <c r="X72" s="1"/>
      <c r="Y72" s="1"/>
      <c r="Z72" s="1"/>
      <c r="AA72" s="1"/>
      <c r="AB72" s="1"/>
    </row>
    <row r="73" spans="1:28" ht="15.75" x14ac:dyDescent="0.75">
      <c r="A73" s="34"/>
      <c r="B73" s="39"/>
      <c r="C73" s="1"/>
      <c r="D73" s="31"/>
      <c r="E73" s="31"/>
      <c r="F73" s="31"/>
      <c r="G73" s="31"/>
      <c r="H73" s="31"/>
      <c r="I73" s="31"/>
      <c r="J73" s="31"/>
      <c r="K73" s="31"/>
      <c r="L73" s="773" t="s">
        <v>2161</v>
      </c>
      <c r="M73" s="31"/>
      <c r="T73" s="1"/>
      <c r="U73" s="1"/>
      <c r="V73" s="1"/>
      <c r="W73" s="1"/>
      <c r="X73" s="1"/>
      <c r="Y73" s="1"/>
      <c r="Z73" s="1"/>
      <c r="AA73" s="1"/>
      <c r="AB73" s="1"/>
    </row>
    <row r="74" spans="1:28" ht="60.75" x14ac:dyDescent="0.75">
      <c r="A74" s="34"/>
      <c r="B74" s="39"/>
      <c r="C74" s="1"/>
      <c r="D74" s="31"/>
      <c r="E74" s="31"/>
      <c r="F74" s="31"/>
      <c r="G74" s="31"/>
      <c r="H74" s="31"/>
      <c r="I74" s="31"/>
      <c r="J74" s="31"/>
      <c r="K74" s="31"/>
      <c r="L74" s="776" t="s">
        <v>2162</v>
      </c>
      <c r="M74" s="31"/>
      <c r="N74" s="519"/>
      <c r="T74" s="1"/>
      <c r="U74" s="1"/>
      <c r="V74" s="1"/>
      <c r="W74" s="1"/>
      <c r="X74" s="1"/>
      <c r="Y74" s="1"/>
      <c r="Z74" s="1"/>
      <c r="AA74" s="1"/>
      <c r="AB74" s="1"/>
    </row>
    <row r="75" spans="1:28" ht="15.75" x14ac:dyDescent="0.75">
      <c r="A75" s="34"/>
      <c r="B75" s="39"/>
      <c r="C75" s="1"/>
      <c r="D75" s="31"/>
      <c r="E75" s="31"/>
      <c r="F75" s="31"/>
      <c r="G75" s="31"/>
      <c r="H75" s="31"/>
      <c r="I75" s="31"/>
      <c r="J75" s="31"/>
      <c r="K75" s="31"/>
      <c r="L75" s="31"/>
      <c r="M75" s="31"/>
      <c r="N75" s="164"/>
      <c r="T75" s="1"/>
      <c r="U75" s="1"/>
      <c r="V75" s="1"/>
      <c r="W75" s="1"/>
      <c r="X75" s="1"/>
      <c r="Y75" s="1"/>
      <c r="Z75" s="1"/>
      <c r="AA75" s="1"/>
      <c r="AB75" s="1"/>
    </row>
    <row r="76" spans="1:28" ht="15.75" x14ac:dyDescent="0.75">
      <c r="A76" s="34"/>
      <c r="B76" s="39"/>
      <c r="C76" s="1"/>
      <c r="D76" s="31"/>
      <c r="E76" s="31"/>
      <c r="F76" s="31"/>
      <c r="G76" s="31"/>
      <c r="H76" s="31"/>
      <c r="I76" s="31"/>
      <c r="J76" s="31"/>
      <c r="K76" s="31"/>
      <c r="L76" s="31"/>
      <c r="M76" s="31"/>
      <c r="T76" s="1"/>
      <c r="U76" s="1"/>
      <c r="V76" s="1"/>
      <c r="W76" s="1"/>
      <c r="X76" s="1"/>
      <c r="Y76" s="1"/>
      <c r="Z76" s="1"/>
      <c r="AA76" s="1"/>
      <c r="AB76" s="1"/>
    </row>
    <row r="77" spans="1:28" ht="15.75" x14ac:dyDescent="0.75">
      <c r="A77" s="34"/>
      <c r="B77" s="39"/>
      <c r="C77" s="1"/>
      <c r="D77" s="31"/>
      <c r="E77" s="31"/>
      <c r="F77" s="31"/>
      <c r="G77" s="31"/>
      <c r="H77" s="31"/>
      <c r="I77" s="31"/>
      <c r="J77" s="31"/>
      <c r="K77" s="31"/>
      <c r="L77" s="31"/>
      <c r="M77" s="31"/>
      <c r="T77" s="1"/>
      <c r="U77" s="1"/>
      <c r="V77" s="1"/>
      <c r="W77" s="1"/>
      <c r="X77" s="1"/>
      <c r="Y77" s="1"/>
      <c r="Z77" s="1"/>
      <c r="AA77" s="1"/>
      <c r="AB77" s="1"/>
    </row>
  </sheetData>
  <mergeCells count="4">
    <mergeCell ref="F1:J1"/>
    <mergeCell ref="Q3:S3"/>
    <mergeCell ref="V3:X3"/>
    <mergeCell ref="Q6:Y6"/>
  </mergeCells>
  <conditionalFormatting sqref="F39:F40 H39:H40 J39:J40">
    <cfRule type="cellIs" dxfId="4" priority="1" operator="equal">
      <formula>FALSE</formula>
    </cfRule>
    <cfRule type="cellIs" dxfId="3" priority="2" operator="equal">
      <formula>"Met"</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B64"/>
  <sheetViews>
    <sheetView workbookViewId="0"/>
  </sheetViews>
  <sheetFormatPr defaultRowHeight="14.75" x14ac:dyDescent="0.75"/>
  <cols>
    <col min="1" max="1" width="4.453125" bestFit="1" customWidth="1"/>
    <col min="2" max="2" width="52.08984375" customWidth="1"/>
  </cols>
  <sheetData>
    <row r="1" spans="1:2" x14ac:dyDescent="0.75">
      <c r="A1" s="186" t="s">
        <v>1178</v>
      </c>
      <c r="B1" s="187"/>
    </row>
    <row r="2" spans="1:2" x14ac:dyDescent="0.75">
      <c r="A2" s="186"/>
      <c r="B2" s="187"/>
    </row>
    <row r="3" spans="1:2" x14ac:dyDescent="0.75">
      <c r="A3" s="188" t="s">
        <v>1179</v>
      </c>
      <c r="B3" s="188" t="s">
        <v>1180</v>
      </c>
    </row>
    <row r="4" spans="1:2" x14ac:dyDescent="0.75">
      <c r="A4" s="189">
        <v>1100</v>
      </c>
      <c r="B4" t="s">
        <v>1181</v>
      </c>
    </row>
    <row r="5" spans="1:2" x14ac:dyDescent="0.75">
      <c r="A5" s="189"/>
      <c r="B5" t="s">
        <v>1182</v>
      </c>
    </row>
    <row r="6" spans="1:2" x14ac:dyDescent="0.75">
      <c r="A6" s="189"/>
      <c r="B6" t="s">
        <v>1183</v>
      </c>
    </row>
    <row r="7" spans="1:2" x14ac:dyDescent="0.75">
      <c r="A7" s="189"/>
      <c r="B7" t="s">
        <v>1184</v>
      </c>
    </row>
    <row r="8" spans="1:2" x14ac:dyDescent="0.75">
      <c r="A8" s="189"/>
      <c r="B8" t="s">
        <v>1185</v>
      </c>
    </row>
    <row r="9" spans="1:2" x14ac:dyDescent="0.75">
      <c r="A9" s="189"/>
    </row>
    <row r="10" spans="1:2" x14ac:dyDescent="0.75">
      <c r="A10" s="189">
        <v>1200</v>
      </c>
      <c r="B10" t="s">
        <v>1186</v>
      </c>
    </row>
    <row r="11" spans="1:2" x14ac:dyDescent="0.75">
      <c r="A11" s="189"/>
      <c r="B11" t="s">
        <v>1187</v>
      </c>
    </row>
    <row r="12" spans="1:2" x14ac:dyDescent="0.75">
      <c r="A12" s="189"/>
      <c r="B12" t="s">
        <v>1188</v>
      </c>
    </row>
    <row r="13" spans="1:2" x14ac:dyDescent="0.75">
      <c r="A13" s="189"/>
      <c r="B13" t="s">
        <v>1189</v>
      </c>
    </row>
    <row r="14" spans="1:2" x14ac:dyDescent="0.75">
      <c r="A14" s="189"/>
      <c r="B14" t="s">
        <v>1190</v>
      </c>
    </row>
    <row r="15" spans="1:2" x14ac:dyDescent="0.75">
      <c r="A15" s="189"/>
      <c r="B15" t="s">
        <v>1191</v>
      </c>
    </row>
    <row r="16" spans="1:2" x14ac:dyDescent="0.75">
      <c r="A16" s="189"/>
    </row>
    <row r="17" spans="1:2" x14ac:dyDescent="0.75">
      <c r="A17" s="189">
        <v>1300</v>
      </c>
      <c r="B17" t="s">
        <v>1192</v>
      </c>
    </row>
    <row r="18" spans="1:2" x14ac:dyDescent="0.75">
      <c r="A18" s="189"/>
      <c r="B18" t="s">
        <v>1193</v>
      </c>
    </row>
    <row r="19" spans="1:2" x14ac:dyDescent="0.75">
      <c r="A19" s="189"/>
      <c r="B19" t="s">
        <v>1194</v>
      </c>
    </row>
    <row r="20" spans="1:2" x14ac:dyDescent="0.75">
      <c r="A20" s="189"/>
      <c r="B20" t="s">
        <v>1195</v>
      </c>
    </row>
    <row r="21" spans="1:2" x14ac:dyDescent="0.75">
      <c r="A21" s="189"/>
      <c r="B21" t="s">
        <v>1196</v>
      </c>
    </row>
    <row r="22" spans="1:2" x14ac:dyDescent="0.75">
      <c r="A22" s="189"/>
      <c r="B22" t="s">
        <v>1197</v>
      </c>
    </row>
    <row r="23" spans="1:2" x14ac:dyDescent="0.75">
      <c r="A23" s="189"/>
      <c r="B23" t="s">
        <v>1198</v>
      </c>
    </row>
    <row r="24" spans="1:2" x14ac:dyDescent="0.75">
      <c r="A24" s="189"/>
    </row>
    <row r="25" spans="1:2" x14ac:dyDescent="0.75">
      <c r="A25" s="189">
        <v>1900</v>
      </c>
      <c r="B25" t="s">
        <v>1199</v>
      </c>
    </row>
    <row r="26" spans="1:2" x14ac:dyDescent="0.75">
      <c r="A26" s="189"/>
      <c r="B26" t="s">
        <v>1200</v>
      </c>
    </row>
    <row r="27" spans="1:2" x14ac:dyDescent="0.75">
      <c r="A27" s="189"/>
      <c r="B27" t="s">
        <v>1201</v>
      </c>
    </row>
    <row r="28" spans="1:2" x14ac:dyDescent="0.75">
      <c r="A28" s="189"/>
      <c r="B28" t="s">
        <v>1202</v>
      </c>
    </row>
    <row r="29" spans="1:2" x14ac:dyDescent="0.75">
      <c r="A29" s="189"/>
      <c r="B29" s="190" t="s">
        <v>1203</v>
      </c>
    </row>
    <row r="30" spans="1:2" x14ac:dyDescent="0.75">
      <c r="A30" s="189"/>
    </row>
    <row r="31" spans="1:2" x14ac:dyDescent="0.75">
      <c r="A31" s="189">
        <v>2100</v>
      </c>
      <c r="B31" t="s">
        <v>1204</v>
      </c>
    </row>
    <row r="32" spans="1:2" x14ac:dyDescent="0.75">
      <c r="A32" s="189"/>
      <c r="B32" t="s">
        <v>1205</v>
      </c>
    </row>
    <row r="33" spans="1:2" x14ac:dyDescent="0.75">
      <c r="A33" s="189"/>
      <c r="B33" t="s">
        <v>1206</v>
      </c>
    </row>
    <row r="34" spans="1:2" x14ac:dyDescent="0.75">
      <c r="A34" s="189"/>
      <c r="B34" t="s">
        <v>1207</v>
      </c>
    </row>
    <row r="35" spans="1:2" x14ac:dyDescent="0.75">
      <c r="A35" s="189"/>
      <c r="B35" t="s">
        <v>1208</v>
      </c>
    </row>
    <row r="36" spans="1:2" x14ac:dyDescent="0.75">
      <c r="A36" s="189"/>
      <c r="B36" t="s">
        <v>1209</v>
      </c>
    </row>
    <row r="37" spans="1:2" x14ac:dyDescent="0.75">
      <c r="A37" s="189"/>
    </row>
    <row r="38" spans="1:2" x14ac:dyDescent="0.75">
      <c r="A38" s="189">
        <v>2200</v>
      </c>
      <c r="B38" t="s">
        <v>1210</v>
      </c>
    </row>
    <row r="39" spans="1:2" x14ac:dyDescent="0.75">
      <c r="A39" s="189"/>
      <c r="B39" t="s">
        <v>1211</v>
      </c>
    </row>
    <row r="40" spans="1:2" x14ac:dyDescent="0.75">
      <c r="A40" s="189"/>
      <c r="B40" t="s">
        <v>1212</v>
      </c>
    </row>
    <row r="41" spans="1:2" x14ac:dyDescent="0.75">
      <c r="A41" s="189"/>
      <c r="B41" t="s">
        <v>1213</v>
      </c>
    </row>
    <row r="42" spans="1:2" x14ac:dyDescent="0.75">
      <c r="A42" s="189"/>
      <c r="B42" t="s">
        <v>1214</v>
      </c>
    </row>
    <row r="43" spans="1:2" x14ac:dyDescent="0.75">
      <c r="A43" s="189"/>
      <c r="B43" t="s">
        <v>1215</v>
      </c>
    </row>
    <row r="44" spans="1:2" x14ac:dyDescent="0.75">
      <c r="A44" s="189"/>
    </row>
    <row r="45" spans="1:2" x14ac:dyDescent="0.75">
      <c r="A45" s="189">
        <v>2300</v>
      </c>
      <c r="B45" t="s">
        <v>1216</v>
      </c>
    </row>
    <row r="46" spans="1:2" x14ac:dyDescent="0.75">
      <c r="A46" s="189"/>
      <c r="B46" t="s">
        <v>1217</v>
      </c>
    </row>
    <row r="47" spans="1:2" x14ac:dyDescent="0.75">
      <c r="A47" s="189"/>
      <c r="B47" t="s">
        <v>1196</v>
      </c>
    </row>
    <row r="48" spans="1:2" x14ac:dyDescent="0.75">
      <c r="A48" s="189"/>
      <c r="B48" t="s">
        <v>1218</v>
      </c>
    </row>
    <row r="49" spans="1:2" x14ac:dyDescent="0.75">
      <c r="A49" s="189"/>
      <c r="B49" t="s">
        <v>1219</v>
      </c>
    </row>
    <row r="50" spans="1:2" x14ac:dyDescent="0.75">
      <c r="A50" s="189"/>
      <c r="B50" t="s">
        <v>1220</v>
      </c>
    </row>
    <row r="51" spans="1:2" x14ac:dyDescent="0.75">
      <c r="A51" s="189"/>
    </row>
    <row r="52" spans="1:2" x14ac:dyDescent="0.75">
      <c r="A52" s="189">
        <v>2400</v>
      </c>
      <c r="B52" t="s">
        <v>1221</v>
      </c>
    </row>
    <row r="53" spans="1:2" x14ac:dyDescent="0.75">
      <c r="A53" s="189"/>
      <c r="B53" t="s">
        <v>1222</v>
      </c>
    </row>
    <row r="54" spans="1:2" x14ac:dyDescent="0.75">
      <c r="A54" s="189"/>
      <c r="B54" t="s">
        <v>1223</v>
      </c>
    </row>
    <row r="55" spans="1:2" x14ac:dyDescent="0.75">
      <c r="A55" s="189"/>
      <c r="B55" t="s">
        <v>1224</v>
      </c>
    </row>
    <row r="56" spans="1:2" x14ac:dyDescent="0.75">
      <c r="A56" s="189"/>
      <c r="B56" t="s">
        <v>1225</v>
      </c>
    </row>
    <row r="57" spans="1:2" x14ac:dyDescent="0.75">
      <c r="A57" s="189"/>
      <c r="B57" t="s">
        <v>1226</v>
      </c>
    </row>
    <row r="58" spans="1:2" x14ac:dyDescent="0.75">
      <c r="A58" s="189"/>
      <c r="B58" t="s">
        <v>1227</v>
      </c>
    </row>
    <row r="59" spans="1:2" x14ac:dyDescent="0.75">
      <c r="A59" s="189"/>
      <c r="B59" t="s">
        <v>1228</v>
      </c>
    </row>
    <row r="60" spans="1:2" x14ac:dyDescent="0.75">
      <c r="A60" s="189"/>
    </row>
    <row r="61" spans="1:2" x14ac:dyDescent="0.75">
      <c r="A61" s="189">
        <v>2900</v>
      </c>
      <c r="B61" t="s">
        <v>1229</v>
      </c>
    </row>
    <row r="62" spans="1:2" x14ac:dyDescent="0.75">
      <c r="B62" t="s">
        <v>1230</v>
      </c>
    </row>
    <row r="63" spans="1:2" x14ac:dyDescent="0.75">
      <c r="B63" t="s">
        <v>1231</v>
      </c>
    </row>
    <row r="64" spans="1:2" x14ac:dyDescent="0.75">
      <c r="B64" t="s">
        <v>1232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B274"/>
  <sheetViews>
    <sheetView workbookViewId="0"/>
  </sheetViews>
  <sheetFormatPr defaultColWidth="9.08984375" defaultRowHeight="15.75" x14ac:dyDescent="0.75"/>
  <cols>
    <col min="1" max="16384" width="9.08984375" style="5"/>
  </cols>
  <sheetData>
    <row r="1" spans="1:2" x14ac:dyDescent="0.75">
      <c r="A1" s="5" t="s">
        <v>9</v>
      </c>
    </row>
    <row r="3" spans="1:2" x14ac:dyDescent="0.75">
      <c r="A3" s="5" t="s">
        <v>10</v>
      </c>
      <c r="B3" s="5" t="s">
        <v>11</v>
      </c>
    </row>
    <row r="4" spans="1:2" x14ac:dyDescent="0.75">
      <c r="A4" s="5" t="s">
        <v>12</v>
      </c>
      <c r="B4" s="5" t="s">
        <v>13</v>
      </c>
    </row>
    <row r="5" spans="1:2" x14ac:dyDescent="0.75">
      <c r="A5" s="5" t="s">
        <v>14</v>
      </c>
      <c r="B5" s="5" t="s">
        <v>15</v>
      </c>
    </row>
    <row r="6" spans="1:2" x14ac:dyDescent="0.75">
      <c r="A6" s="5" t="s">
        <v>16</v>
      </c>
      <c r="B6" s="5" t="s">
        <v>17</v>
      </c>
    </row>
    <row r="7" spans="1:2" x14ac:dyDescent="0.75">
      <c r="A7" s="5" t="s">
        <v>18</v>
      </c>
      <c r="B7" s="5" t="s">
        <v>19</v>
      </c>
    </row>
    <row r="8" spans="1:2" x14ac:dyDescent="0.75">
      <c r="A8" s="5" t="s">
        <v>20</v>
      </c>
      <c r="B8" s="5" t="s">
        <v>21</v>
      </c>
    </row>
    <row r="9" spans="1:2" x14ac:dyDescent="0.75">
      <c r="A9" s="5" t="s">
        <v>22</v>
      </c>
      <c r="B9" s="5" t="s">
        <v>23</v>
      </c>
    </row>
    <row r="10" spans="1:2" x14ac:dyDescent="0.75">
      <c r="A10" s="5" t="s">
        <v>24</v>
      </c>
      <c r="B10" s="5" t="s">
        <v>25</v>
      </c>
    </row>
    <row r="11" spans="1:2" x14ac:dyDescent="0.75">
      <c r="A11" s="5" t="s">
        <v>26</v>
      </c>
      <c r="B11" s="5" t="s">
        <v>27</v>
      </c>
    </row>
    <row r="12" spans="1:2" x14ac:dyDescent="0.75">
      <c r="A12" s="5" t="s">
        <v>28</v>
      </c>
      <c r="B12" s="5" t="s">
        <v>29</v>
      </c>
    </row>
    <row r="13" spans="1:2" x14ac:dyDescent="0.75">
      <c r="A13" s="5" t="s">
        <v>30</v>
      </c>
      <c r="B13" s="5" t="s">
        <v>31</v>
      </c>
    </row>
    <row r="14" spans="1:2" x14ac:dyDescent="0.75">
      <c r="A14" s="5" t="s">
        <v>32</v>
      </c>
      <c r="B14" s="5" t="s">
        <v>33</v>
      </c>
    </row>
    <row r="15" spans="1:2" x14ac:dyDescent="0.75">
      <c r="A15" s="5" t="s">
        <v>34</v>
      </c>
      <c r="B15" s="5" t="s">
        <v>35</v>
      </c>
    </row>
    <row r="16" spans="1:2" x14ac:dyDescent="0.75">
      <c r="A16" s="5" t="s">
        <v>36</v>
      </c>
      <c r="B16" s="5" t="s">
        <v>37</v>
      </c>
    </row>
    <row r="17" spans="1:2" x14ac:dyDescent="0.75">
      <c r="A17" s="5" t="s">
        <v>38</v>
      </c>
      <c r="B17" s="5" t="s">
        <v>39</v>
      </c>
    </row>
    <row r="18" spans="1:2" x14ac:dyDescent="0.75">
      <c r="A18" s="5" t="s">
        <v>40</v>
      </c>
      <c r="B18" s="5" t="s">
        <v>41</v>
      </c>
    </row>
    <row r="19" spans="1:2" x14ac:dyDescent="0.75">
      <c r="A19" s="5" t="s">
        <v>42</v>
      </c>
      <c r="B19" s="5" t="s">
        <v>43</v>
      </c>
    </row>
    <row r="20" spans="1:2" x14ac:dyDescent="0.75">
      <c r="A20" s="5" t="s">
        <v>44</v>
      </c>
      <c r="B20" s="5" t="s">
        <v>45</v>
      </c>
    </row>
    <row r="21" spans="1:2" x14ac:dyDescent="0.75">
      <c r="A21" s="5" t="s">
        <v>46</v>
      </c>
      <c r="B21" s="5" t="s">
        <v>47</v>
      </c>
    </row>
    <row r="22" spans="1:2" x14ac:dyDescent="0.75">
      <c r="A22" s="5" t="s">
        <v>48</v>
      </c>
      <c r="B22" s="5" t="s">
        <v>49</v>
      </c>
    </row>
    <row r="23" spans="1:2" x14ac:dyDescent="0.75">
      <c r="A23" s="5" t="s">
        <v>50</v>
      </c>
      <c r="B23" s="5" t="s">
        <v>51</v>
      </c>
    </row>
    <row r="24" spans="1:2" x14ac:dyDescent="0.75">
      <c r="A24" s="5" t="s">
        <v>52</v>
      </c>
      <c r="B24" s="5" t="s">
        <v>53</v>
      </c>
    </row>
    <row r="25" spans="1:2" x14ac:dyDescent="0.75">
      <c r="A25" s="5" t="s">
        <v>54</v>
      </c>
      <c r="B25" s="5" t="s">
        <v>55</v>
      </c>
    </row>
    <row r="26" spans="1:2" x14ac:dyDescent="0.75">
      <c r="A26" s="5" t="s">
        <v>56</v>
      </c>
      <c r="B26" s="5" t="s">
        <v>57</v>
      </c>
    </row>
    <row r="27" spans="1:2" x14ac:dyDescent="0.75">
      <c r="A27" s="5" t="s">
        <v>58</v>
      </c>
      <c r="B27" s="5" t="s">
        <v>59</v>
      </c>
    </row>
    <row r="28" spans="1:2" x14ac:dyDescent="0.75">
      <c r="A28" s="5" t="s">
        <v>60</v>
      </c>
      <c r="B28" s="5" t="s">
        <v>61</v>
      </c>
    </row>
    <row r="29" spans="1:2" x14ac:dyDescent="0.75">
      <c r="A29" s="5" t="s">
        <v>62</v>
      </c>
      <c r="B29" s="5" t="s">
        <v>63</v>
      </c>
    </row>
    <row r="30" spans="1:2" x14ac:dyDescent="0.75">
      <c r="A30" s="5" t="s">
        <v>64</v>
      </c>
      <c r="B30" s="5" t="s">
        <v>65</v>
      </c>
    </row>
    <row r="31" spans="1:2" x14ac:dyDescent="0.75">
      <c r="A31" s="5" t="s">
        <v>66</v>
      </c>
      <c r="B31" s="5" t="s">
        <v>67</v>
      </c>
    </row>
    <row r="32" spans="1:2" x14ac:dyDescent="0.75">
      <c r="A32" s="5" t="s">
        <v>68</v>
      </c>
      <c r="B32" s="5" t="s">
        <v>69</v>
      </c>
    </row>
    <row r="33" spans="1:2" x14ac:dyDescent="0.75">
      <c r="A33" s="5" t="s">
        <v>70</v>
      </c>
      <c r="B33" s="5" t="s">
        <v>71</v>
      </c>
    </row>
    <row r="34" spans="1:2" x14ac:dyDescent="0.75">
      <c r="A34" s="5" t="s">
        <v>72</v>
      </c>
      <c r="B34" s="5" t="s">
        <v>73</v>
      </c>
    </row>
    <row r="35" spans="1:2" x14ac:dyDescent="0.75">
      <c r="A35" s="5" t="s">
        <v>74</v>
      </c>
      <c r="B35" s="5" t="s">
        <v>75</v>
      </c>
    </row>
    <row r="36" spans="1:2" x14ac:dyDescent="0.75">
      <c r="A36" s="5" t="s">
        <v>76</v>
      </c>
      <c r="B36" s="5" t="s">
        <v>77</v>
      </c>
    </row>
    <row r="37" spans="1:2" x14ac:dyDescent="0.75">
      <c r="A37" s="5" t="s">
        <v>78</v>
      </c>
      <c r="B37" s="5" t="s">
        <v>79</v>
      </c>
    </row>
    <row r="38" spans="1:2" x14ac:dyDescent="0.75">
      <c r="A38" s="5" t="s">
        <v>80</v>
      </c>
      <c r="B38" s="5" t="s">
        <v>81</v>
      </c>
    </row>
    <row r="39" spans="1:2" x14ac:dyDescent="0.75">
      <c r="A39" s="5" t="s">
        <v>82</v>
      </c>
      <c r="B39" s="5" t="s">
        <v>83</v>
      </c>
    </row>
    <row r="40" spans="1:2" x14ac:dyDescent="0.75">
      <c r="A40" s="5" t="s">
        <v>84</v>
      </c>
      <c r="B40" s="5" t="s">
        <v>85</v>
      </c>
    </row>
    <row r="41" spans="1:2" x14ac:dyDescent="0.75">
      <c r="A41" s="5" t="s">
        <v>86</v>
      </c>
      <c r="B41" s="5" t="s">
        <v>87</v>
      </c>
    </row>
    <row r="42" spans="1:2" x14ac:dyDescent="0.75">
      <c r="A42" s="5" t="s">
        <v>88</v>
      </c>
      <c r="B42" s="5" t="s">
        <v>89</v>
      </c>
    </row>
    <row r="43" spans="1:2" x14ac:dyDescent="0.75">
      <c r="A43" s="5" t="s">
        <v>90</v>
      </c>
      <c r="B43" s="5" t="s">
        <v>91</v>
      </c>
    </row>
    <row r="44" spans="1:2" x14ac:dyDescent="0.75">
      <c r="A44" s="5" t="s">
        <v>92</v>
      </c>
      <c r="B44" s="5" t="s">
        <v>93</v>
      </c>
    </row>
    <row r="45" spans="1:2" x14ac:dyDescent="0.75">
      <c r="A45" s="5" t="s">
        <v>94</v>
      </c>
      <c r="B45" s="5" t="s">
        <v>95</v>
      </c>
    </row>
    <row r="46" spans="1:2" x14ac:dyDescent="0.75">
      <c r="A46" s="5" t="s">
        <v>96</v>
      </c>
      <c r="B46" s="5" t="s">
        <v>97</v>
      </c>
    </row>
    <row r="47" spans="1:2" x14ac:dyDescent="0.75">
      <c r="A47" s="5" t="s">
        <v>98</v>
      </c>
      <c r="B47" s="5" t="s">
        <v>99</v>
      </c>
    </row>
    <row r="48" spans="1:2" x14ac:dyDescent="0.75">
      <c r="A48" s="5" t="s">
        <v>100</v>
      </c>
      <c r="B48" s="5" t="s">
        <v>101</v>
      </c>
    </row>
    <row r="49" spans="1:2" x14ac:dyDescent="0.75">
      <c r="A49" s="5" t="s">
        <v>102</v>
      </c>
      <c r="B49" s="5" t="s">
        <v>103</v>
      </c>
    </row>
    <row r="50" spans="1:2" x14ac:dyDescent="0.75">
      <c r="A50" s="5" t="s">
        <v>104</v>
      </c>
      <c r="B50" s="5" t="s">
        <v>105</v>
      </c>
    </row>
    <row r="51" spans="1:2" x14ac:dyDescent="0.75">
      <c r="A51" s="5" t="s">
        <v>106</v>
      </c>
      <c r="B51" s="5" t="s">
        <v>107</v>
      </c>
    </row>
    <row r="52" spans="1:2" x14ac:dyDescent="0.75">
      <c r="A52" s="5" t="s">
        <v>108</v>
      </c>
      <c r="B52" s="5" t="s">
        <v>109</v>
      </c>
    </row>
    <row r="53" spans="1:2" x14ac:dyDescent="0.75">
      <c r="A53" s="5" t="s">
        <v>110</v>
      </c>
      <c r="B53" s="5" t="s">
        <v>111</v>
      </c>
    </row>
    <row r="54" spans="1:2" x14ac:dyDescent="0.75">
      <c r="A54" s="5" t="s">
        <v>112</v>
      </c>
      <c r="B54" s="5" t="s">
        <v>113</v>
      </c>
    </row>
    <row r="55" spans="1:2" x14ac:dyDescent="0.75">
      <c r="A55" s="5" t="s">
        <v>114</v>
      </c>
      <c r="B55" s="5" t="s">
        <v>115</v>
      </c>
    </row>
    <row r="56" spans="1:2" x14ac:dyDescent="0.75">
      <c r="A56" s="5" t="s">
        <v>116</v>
      </c>
      <c r="B56" s="5" t="s">
        <v>117</v>
      </c>
    </row>
    <row r="57" spans="1:2" x14ac:dyDescent="0.75">
      <c r="A57" s="5" t="s">
        <v>118</v>
      </c>
      <c r="B57" s="5" t="s">
        <v>119</v>
      </c>
    </row>
    <row r="58" spans="1:2" x14ac:dyDescent="0.75">
      <c r="A58" s="5" t="s">
        <v>120</v>
      </c>
      <c r="B58" s="5" t="s">
        <v>121</v>
      </c>
    </row>
    <row r="59" spans="1:2" x14ac:dyDescent="0.75">
      <c r="A59" s="5" t="s">
        <v>122</v>
      </c>
      <c r="B59" s="5" t="s">
        <v>123</v>
      </c>
    </row>
    <row r="60" spans="1:2" x14ac:dyDescent="0.75">
      <c r="A60" s="5" t="s">
        <v>124</v>
      </c>
      <c r="B60" s="5" t="s">
        <v>125</v>
      </c>
    </row>
    <row r="61" spans="1:2" x14ac:dyDescent="0.75">
      <c r="A61" s="5" t="s">
        <v>126</v>
      </c>
      <c r="B61" s="5" t="s">
        <v>127</v>
      </c>
    </row>
    <row r="62" spans="1:2" x14ac:dyDescent="0.75">
      <c r="A62" s="5" t="s">
        <v>128</v>
      </c>
      <c r="B62" s="5" t="s">
        <v>129</v>
      </c>
    </row>
    <row r="63" spans="1:2" x14ac:dyDescent="0.75">
      <c r="A63" s="5" t="s">
        <v>130</v>
      </c>
      <c r="B63" s="5" t="s">
        <v>131</v>
      </c>
    </row>
    <row r="64" spans="1:2" x14ac:dyDescent="0.75">
      <c r="A64" s="5" t="s">
        <v>132</v>
      </c>
      <c r="B64" s="5" t="s">
        <v>133</v>
      </c>
    </row>
    <row r="65" spans="1:2" x14ac:dyDescent="0.75">
      <c r="A65" s="5" t="s">
        <v>134</v>
      </c>
      <c r="B65" s="5" t="s">
        <v>135</v>
      </c>
    </row>
    <row r="66" spans="1:2" x14ac:dyDescent="0.75">
      <c r="A66" s="5" t="s">
        <v>136</v>
      </c>
      <c r="B66" s="5" t="s">
        <v>137</v>
      </c>
    </row>
    <row r="67" spans="1:2" x14ac:dyDescent="0.75">
      <c r="A67" s="5" t="s">
        <v>138</v>
      </c>
      <c r="B67" s="5" t="s">
        <v>139</v>
      </c>
    </row>
    <row r="68" spans="1:2" x14ac:dyDescent="0.75">
      <c r="A68" s="5" t="s">
        <v>140</v>
      </c>
      <c r="B68" s="5" t="s">
        <v>141</v>
      </c>
    </row>
    <row r="69" spans="1:2" x14ac:dyDescent="0.75">
      <c r="A69" s="5" t="s">
        <v>142</v>
      </c>
      <c r="B69" s="5" t="s">
        <v>143</v>
      </c>
    </row>
    <row r="70" spans="1:2" x14ac:dyDescent="0.75">
      <c r="A70" s="5" t="s">
        <v>144</v>
      </c>
      <c r="B70" s="5" t="s">
        <v>145</v>
      </c>
    </row>
    <row r="71" spans="1:2" x14ac:dyDescent="0.75">
      <c r="A71" s="5" t="s">
        <v>146</v>
      </c>
      <c r="B71" s="5" t="s">
        <v>147</v>
      </c>
    </row>
    <row r="72" spans="1:2" x14ac:dyDescent="0.75">
      <c r="A72" s="5" t="s">
        <v>148</v>
      </c>
      <c r="B72" s="5" t="s">
        <v>149</v>
      </c>
    </row>
    <row r="73" spans="1:2" x14ac:dyDescent="0.75">
      <c r="A73" s="5" t="s">
        <v>150</v>
      </c>
      <c r="B73" s="5" t="s">
        <v>151</v>
      </c>
    </row>
    <row r="74" spans="1:2" x14ac:dyDescent="0.75">
      <c r="A74" s="5" t="s">
        <v>152</v>
      </c>
      <c r="B74" s="5" t="s">
        <v>153</v>
      </c>
    </row>
    <row r="75" spans="1:2" x14ac:dyDescent="0.75">
      <c r="A75" s="5" t="s">
        <v>154</v>
      </c>
      <c r="B75" s="5" t="s">
        <v>155</v>
      </c>
    </row>
    <row r="76" spans="1:2" x14ac:dyDescent="0.75">
      <c r="A76" s="5" t="s">
        <v>156</v>
      </c>
      <c r="B76" s="5" t="s">
        <v>157</v>
      </c>
    </row>
    <row r="77" spans="1:2" x14ac:dyDescent="0.75">
      <c r="A77" s="5" t="s">
        <v>158</v>
      </c>
      <c r="B77" s="5" t="s">
        <v>159</v>
      </c>
    </row>
    <row r="78" spans="1:2" x14ac:dyDescent="0.75">
      <c r="A78" s="5" t="s">
        <v>160</v>
      </c>
      <c r="B78" s="5" t="s">
        <v>161</v>
      </c>
    </row>
    <row r="79" spans="1:2" x14ac:dyDescent="0.75">
      <c r="A79" s="5" t="s">
        <v>162</v>
      </c>
      <c r="B79" s="5" t="s">
        <v>163</v>
      </c>
    </row>
    <row r="80" spans="1:2" x14ac:dyDescent="0.75">
      <c r="A80" s="5" t="s">
        <v>164</v>
      </c>
      <c r="B80" s="5" t="s">
        <v>165</v>
      </c>
    </row>
    <row r="81" spans="1:2" x14ac:dyDescent="0.75">
      <c r="A81" s="5" t="s">
        <v>166</v>
      </c>
      <c r="B81" s="5" t="s">
        <v>167</v>
      </c>
    </row>
    <row r="82" spans="1:2" x14ac:dyDescent="0.75">
      <c r="A82" s="5" t="s">
        <v>168</v>
      </c>
      <c r="B82" s="5" t="s">
        <v>169</v>
      </c>
    </row>
    <row r="83" spans="1:2" x14ac:dyDescent="0.75">
      <c r="A83" s="5" t="s">
        <v>170</v>
      </c>
      <c r="B83" s="5" t="s">
        <v>171</v>
      </c>
    </row>
    <row r="84" spans="1:2" x14ac:dyDescent="0.75">
      <c r="A84" s="5" t="s">
        <v>172</v>
      </c>
      <c r="B84" s="5" t="s">
        <v>173</v>
      </c>
    </row>
    <row r="85" spans="1:2" x14ac:dyDescent="0.75">
      <c r="A85" s="5" t="s">
        <v>174</v>
      </c>
      <c r="B85" s="5" t="s">
        <v>175</v>
      </c>
    </row>
    <row r="86" spans="1:2" x14ac:dyDescent="0.75">
      <c r="A86" s="5" t="s">
        <v>176</v>
      </c>
      <c r="B86" s="5" t="s">
        <v>177</v>
      </c>
    </row>
    <row r="87" spans="1:2" x14ac:dyDescent="0.75">
      <c r="A87" s="5" t="s">
        <v>178</v>
      </c>
      <c r="B87" s="5" t="s">
        <v>179</v>
      </c>
    </row>
    <row r="88" spans="1:2" x14ac:dyDescent="0.75">
      <c r="A88" s="5" t="s">
        <v>180</v>
      </c>
      <c r="B88" s="5" t="s">
        <v>181</v>
      </c>
    </row>
    <row r="89" spans="1:2" x14ac:dyDescent="0.75">
      <c r="A89" s="5" t="s">
        <v>182</v>
      </c>
      <c r="B89" s="5" t="s">
        <v>183</v>
      </c>
    </row>
    <row r="90" spans="1:2" x14ac:dyDescent="0.75">
      <c r="A90" s="5" t="s">
        <v>184</v>
      </c>
      <c r="B90" s="5" t="s">
        <v>185</v>
      </c>
    </row>
    <row r="91" spans="1:2" x14ac:dyDescent="0.75">
      <c r="A91" s="5" t="s">
        <v>186</v>
      </c>
      <c r="B91" s="5" t="s">
        <v>187</v>
      </c>
    </row>
    <row r="92" spans="1:2" x14ac:dyDescent="0.75">
      <c r="A92" s="5" t="s">
        <v>188</v>
      </c>
      <c r="B92" s="5" t="s">
        <v>189</v>
      </c>
    </row>
    <row r="93" spans="1:2" x14ac:dyDescent="0.75">
      <c r="A93" s="5" t="s">
        <v>190</v>
      </c>
      <c r="B93" s="5" t="s">
        <v>191</v>
      </c>
    </row>
    <row r="94" spans="1:2" x14ac:dyDescent="0.75">
      <c r="A94" s="5" t="s">
        <v>192</v>
      </c>
      <c r="B94" s="5" t="s">
        <v>193</v>
      </c>
    </row>
    <row r="95" spans="1:2" x14ac:dyDescent="0.75">
      <c r="A95" s="5" t="s">
        <v>194</v>
      </c>
      <c r="B95" s="5" t="s">
        <v>195</v>
      </c>
    </row>
    <row r="96" spans="1:2" x14ac:dyDescent="0.75">
      <c r="A96" s="5" t="s">
        <v>196</v>
      </c>
      <c r="B96" s="5" t="s">
        <v>197</v>
      </c>
    </row>
    <row r="97" spans="1:2" x14ac:dyDescent="0.75">
      <c r="A97" s="5" t="s">
        <v>198</v>
      </c>
      <c r="B97" s="5" t="s">
        <v>199</v>
      </c>
    </row>
    <row r="98" spans="1:2" x14ac:dyDescent="0.75">
      <c r="A98" s="5" t="s">
        <v>200</v>
      </c>
      <c r="B98" s="5" t="s">
        <v>201</v>
      </c>
    </row>
    <row r="99" spans="1:2" x14ac:dyDescent="0.75">
      <c r="A99" s="5" t="s">
        <v>202</v>
      </c>
      <c r="B99" s="5" t="s">
        <v>203</v>
      </c>
    </row>
    <row r="100" spans="1:2" x14ac:dyDescent="0.75">
      <c r="A100" s="5" t="s">
        <v>204</v>
      </c>
      <c r="B100" s="5" t="s">
        <v>205</v>
      </c>
    </row>
    <row r="101" spans="1:2" x14ac:dyDescent="0.75">
      <c r="A101" s="5" t="s">
        <v>206</v>
      </c>
      <c r="B101" s="5" t="s">
        <v>207</v>
      </c>
    </row>
    <row r="102" spans="1:2" x14ac:dyDescent="0.75">
      <c r="A102" s="5" t="s">
        <v>208</v>
      </c>
      <c r="B102" s="5" t="s">
        <v>209</v>
      </c>
    </row>
    <row r="103" spans="1:2" x14ac:dyDescent="0.75">
      <c r="A103" s="5" t="s">
        <v>210</v>
      </c>
      <c r="B103" s="5" t="s">
        <v>211</v>
      </c>
    </row>
    <row r="104" spans="1:2" x14ac:dyDescent="0.75">
      <c r="A104" s="5" t="s">
        <v>212</v>
      </c>
      <c r="B104" s="5" t="s">
        <v>213</v>
      </c>
    </row>
    <row r="105" spans="1:2" x14ac:dyDescent="0.75">
      <c r="A105" s="5" t="s">
        <v>214</v>
      </c>
      <c r="B105" s="5" t="s">
        <v>215</v>
      </c>
    </row>
    <row r="106" spans="1:2" x14ac:dyDescent="0.75">
      <c r="A106" s="5" t="s">
        <v>216</v>
      </c>
      <c r="B106" s="5" t="s">
        <v>217</v>
      </c>
    </row>
    <row r="107" spans="1:2" x14ac:dyDescent="0.75">
      <c r="A107" s="5" t="s">
        <v>218</v>
      </c>
      <c r="B107" s="5" t="s">
        <v>219</v>
      </c>
    </row>
    <row r="108" spans="1:2" x14ac:dyDescent="0.75">
      <c r="A108" s="5" t="s">
        <v>220</v>
      </c>
      <c r="B108" s="5" t="s">
        <v>221</v>
      </c>
    </row>
    <row r="109" spans="1:2" x14ac:dyDescent="0.75">
      <c r="A109" s="5" t="s">
        <v>222</v>
      </c>
      <c r="B109" s="5" t="s">
        <v>223</v>
      </c>
    </row>
    <row r="110" spans="1:2" x14ac:dyDescent="0.75">
      <c r="A110" s="5" t="s">
        <v>224</v>
      </c>
      <c r="B110" s="5" t="s">
        <v>225</v>
      </c>
    </row>
    <row r="111" spans="1:2" x14ac:dyDescent="0.75">
      <c r="A111" s="5" t="s">
        <v>226</v>
      </c>
      <c r="B111" s="5" t="s">
        <v>227</v>
      </c>
    </row>
    <row r="112" spans="1:2" x14ac:dyDescent="0.75">
      <c r="A112" s="5" t="s">
        <v>228</v>
      </c>
      <c r="B112" s="5" t="s">
        <v>229</v>
      </c>
    </row>
    <row r="113" spans="1:2" x14ac:dyDescent="0.75">
      <c r="A113" s="5" t="s">
        <v>230</v>
      </c>
      <c r="B113" s="5" t="s">
        <v>231</v>
      </c>
    </row>
    <row r="114" spans="1:2" x14ac:dyDescent="0.75">
      <c r="A114" s="5" t="s">
        <v>232</v>
      </c>
      <c r="B114" s="5" t="s">
        <v>233</v>
      </c>
    </row>
    <row r="115" spans="1:2" x14ac:dyDescent="0.75">
      <c r="A115" s="5" t="s">
        <v>234</v>
      </c>
      <c r="B115" s="5" t="s">
        <v>235</v>
      </c>
    </row>
    <row r="116" spans="1:2" x14ac:dyDescent="0.75">
      <c r="A116" s="5" t="s">
        <v>236</v>
      </c>
      <c r="B116" s="5" t="s">
        <v>237</v>
      </c>
    </row>
    <row r="117" spans="1:2" x14ac:dyDescent="0.75">
      <c r="A117" s="5" t="s">
        <v>238</v>
      </c>
      <c r="B117" s="5" t="s">
        <v>239</v>
      </c>
    </row>
    <row r="118" spans="1:2" x14ac:dyDescent="0.75">
      <c r="A118" s="5" t="s">
        <v>240</v>
      </c>
      <c r="B118" s="5" t="s">
        <v>241</v>
      </c>
    </row>
    <row r="119" spans="1:2" x14ac:dyDescent="0.75">
      <c r="A119" s="5" t="s">
        <v>242</v>
      </c>
      <c r="B119" s="5" t="s">
        <v>243</v>
      </c>
    </row>
    <row r="120" spans="1:2" x14ac:dyDescent="0.75">
      <c r="A120" s="5" t="s">
        <v>244</v>
      </c>
      <c r="B120" s="5" t="s">
        <v>245</v>
      </c>
    </row>
    <row r="121" spans="1:2" x14ac:dyDescent="0.75">
      <c r="A121" s="5" t="s">
        <v>246</v>
      </c>
      <c r="B121" s="5" t="s">
        <v>247</v>
      </c>
    </row>
    <row r="122" spans="1:2" x14ac:dyDescent="0.75">
      <c r="A122" s="5" t="s">
        <v>248</v>
      </c>
      <c r="B122" s="5" t="s">
        <v>249</v>
      </c>
    </row>
    <row r="123" spans="1:2" x14ac:dyDescent="0.75">
      <c r="A123" s="5" t="s">
        <v>250</v>
      </c>
      <c r="B123" s="5" t="s">
        <v>251</v>
      </c>
    </row>
    <row r="124" spans="1:2" x14ac:dyDescent="0.75">
      <c r="A124" s="5" t="s">
        <v>252</v>
      </c>
      <c r="B124" s="5" t="s">
        <v>253</v>
      </c>
    </row>
    <row r="125" spans="1:2" x14ac:dyDescent="0.75">
      <c r="A125" s="5" t="s">
        <v>254</v>
      </c>
      <c r="B125" s="5" t="s">
        <v>255</v>
      </c>
    </row>
    <row r="126" spans="1:2" x14ac:dyDescent="0.75">
      <c r="A126" s="5" t="s">
        <v>256</v>
      </c>
      <c r="B126" s="5" t="s">
        <v>257</v>
      </c>
    </row>
    <row r="127" spans="1:2" x14ac:dyDescent="0.75">
      <c r="A127" s="5" t="s">
        <v>258</v>
      </c>
      <c r="B127" s="5" t="s">
        <v>259</v>
      </c>
    </row>
    <row r="128" spans="1:2" x14ac:dyDescent="0.75">
      <c r="A128" s="5" t="s">
        <v>260</v>
      </c>
      <c r="B128" s="5" t="s">
        <v>261</v>
      </c>
    </row>
    <row r="129" spans="1:2" x14ac:dyDescent="0.75">
      <c r="A129" s="5" t="s">
        <v>262</v>
      </c>
      <c r="B129" s="5" t="s">
        <v>263</v>
      </c>
    </row>
    <row r="130" spans="1:2" x14ac:dyDescent="0.75">
      <c r="A130" s="5" t="s">
        <v>264</v>
      </c>
      <c r="B130" s="5" t="s">
        <v>265</v>
      </c>
    </row>
    <row r="131" spans="1:2" x14ac:dyDescent="0.75">
      <c r="A131" s="5" t="s">
        <v>266</v>
      </c>
      <c r="B131" s="5" t="s">
        <v>267</v>
      </c>
    </row>
    <row r="132" spans="1:2" x14ac:dyDescent="0.75">
      <c r="A132" s="5" t="s">
        <v>268</v>
      </c>
      <c r="B132" s="5" t="s">
        <v>269</v>
      </c>
    </row>
    <row r="133" spans="1:2" x14ac:dyDescent="0.75">
      <c r="A133" s="5" t="s">
        <v>270</v>
      </c>
      <c r="B133" s="5" t="s">
        <v>271</v>
      </c>
    </row>
    <row r="134" spans="1:2" x14ac:dyDescent="0.75">
      <c r="A134" s="5" t="s">
        <v>272</v>
      </c>
      <c r="B134" s="5" t="s">
        <v>273</v>
      </c>
    </row>
    <row r="135" spans="1:2" x14ac:dyDescent="0.75">
      <c r="A135" s="5" t="s">
        <v>274</v>
      </c>
      <c r="B135" s="5" t="s">
        <v>275</v>
      </c>
    </row>
    <row r="136" spans="1:2" x14ac:dyDescent="0.75">
      <c r="A136" s="5" t="s">
        <v>276</v>
      </c>
      <c r="B136" s="5" t="s">
        <v>277</v>
      </c>
    </row>
    <row r="137" spans="1:2" x14ac:dyDescent="0.75">
      <c r="A137" s="5" t="s">
        <v>278</v>
      </c>
      <c r="B137" s="5" t="s">
        <v>279</v>
      </c>
    </row>
    <row r="138" spans="1:2" x14ac:dyDescent="0.75">
      <c r="A138" s="5" t="s">
        <v>280</v>
      </c>
      <c r="B138" s="5" t="s">
        <v>281</v>
      </c>
    </row>
    <row r="139" spans="1:2" x14ac:dyDescent="0.75">
      <c r="A139" s="5" t="s">
        <v>282</v>
      </c>
      <c r="B139" s="5" t="s">
        <v>283</v>
      </c>
    </row>
    <row r="140" spans="1:2" x14ac:dyDescent="0.75">
      <c r="A140" s="5" t="s">
        <v>284</v>
      </c>
      <c r="B140" s="5" t="s">
        <v>285</v>
      </c>
    </row>
    <row r="141" spans="1:2" x14ac:dyDescent="0.75">
      <c r="A141" s="5" t="s">
        <v>286</v>
      </c>
      <c r="B141" s="5" t="s">
        <v>287</v>
      </c>
    </row>
    <row r="142" spans="1:2" x14ac:dyDescent="0.75">
      <c r="A142" s="5" t="s">
        <v>288</v>
      </c>
      <c r="B142" s="5" t="s">
        <v>289</v>
      </c>
    </row>
    <row r="143" spans="1:2" x14ac:dyDescent="0.75">
      <c r="A143" s="5" t="s">
        <v>290</v>
      </c>
      <c r="B143" s="5" t="s">
        <v>291</v>
      </c>
    </row>
    <row r="144" spans="1:2" x14ac:dyDescent="0.75">
      <c r="A144" s="5" t="s">
        <v>292</v>
      </c>
      <c r="B144" s="5" t="s">
        <v>293</v>
      </c>
    </row>
    <row r="145" spans="1:2" x14ac:dyDescent="0.75">
      <c r="A145" s="5" t="s">
        <v>294</v>
      </c>
      <c r="B145" s="5" t="s">
        <v>295</v>
      </c>
    </row>
    <row r="146" spans="1:2" x14ac:dyDescent="0.75">
      <c r="A146" s="5" t="s">
        <v>296</v>
      </c>
      <c r="B146" s="5" t="s">
        <v>297</v>
      </c>
    </row>
    <row r="147" spans="1:2" x14ac:dyDescent="0.75">
      <c r="A147" s="5" t="s">
        <v>298</v>
      </c>
      <c r="B147" s="5" t="s">
        <v>299</v>
      </c>
    </row>
    <row r="148" spans="1:2" x14ac:dyDescent="0.75">
      <c r="A148" s="5" t="s">
        <v>300</v>
      </c>
      <c r="B148" s="5" t="s">
        <v>301</v>
      </c>
    </row>
    <row r="149" spans="1:2" x14ac:dyDescent="0.75">
      <c r="A149" s="5" t="s">
        <v>302</v>
      </c>
      <c r="B149" s="5" t="s">
        <v>303</v>
      </c>
    </row>
    <row r="150" spans="1:2" x14ac:dyDescent="0.75">
      <c r="A150" s="5" t="s">
        <v>304</v>
      </c>
      <c r="B150" s="5" t="s">
        <v>305</v>
      </c>
    </row>
    <row r="151" spans="1:2" x14ac:dyDescent="0.75">
      <c r="A151" s="5" t="s">
        <v>306</v>
      </c>
      <c r="B151" s="5" t="s">
        <v>307</v>
      </c>
    </row>
    <row r="152" spans="1:2" x14ac:dyDescent="0.75">
      <c r="A152" s="5" t="s">
        <v>308</v>
      </c>
      <c r="B152" s="5" t="s">
        <v>309</v>
      </c>
    </row>
    <row r="153" spans="1:2" x14ac:dyDescent="0.75">
      <c r="A153" s="5" t="s">
        <v>310</v>
      </c>
      <c r="B153" s="5" t="s">
        <v>311</v>
      </c>
    </row>
    <row r="154" spans="1:2" x14ac:dyDescent="0.75">
      <c r="A154" s="5" t="s">
        <v>312</v>
      </c>
      <c r="B154" s="5" t="s">
        <v>313</v>
      </c>
    </row>
    <row r="155" spans="1:2" x14ac:dyDescent="0.75">
      <c r="A155" s="5" t="s">
        <v>314</v>
      </c>
      <c r="B155" s="5" t="s">
        <v>315</v>
      </c>
    </row>
    <row r="156" spans="1:2" x14ac:dyDescent="0.75">
      <c r="A156" s="5" t="s">
        <v>316</v>
      </c>
      <c r="B156" s="5" t="s">
        <v>317</v>
      </c>
    </row>
    <row r="157" spans="1:2" x14ac:dyDescent="0.75">
      <c r="A157" s="5" t="s">
        <v>318</v>
      </c>
      <c r="B157" s="5" t="s">
        <v>319</v>
      </c>
    </row>
    <row r="158" spans="1:2" x14ac:dyDescent="0.75">
      <c r="A158" s="5" t="s">
        <v>320</v>
      </c>
      <c r="B158" s="5" t="s">
        <v>321</v>
      </c>
    </row>
    <row r="159" spans="1:2" x14ac:dyDescent="0.75">
      <c r="A159" s="5" t="s">
        <v>322</v>
      </c>
      <c r="B159" s="5" t="s">
        <v>323</v>
      </c>
    </row>
    <row r="160" spans="1:2" x14ac:dyDescent="0.75">
      <c r="A160" s="5" t="s">
        <v>324</v>
      </c>
      <c r="B160" s="5" t="s">
        <v>325</v>
      </c>
    </row>
    <row r="161" spans="1:2" x14ac:dyDescent="0.75">
      <c r="A161" s="5" t="s">
        <v>326</v>
      </c>
      <c r="B161" s="5" t="s">
        <v>327</v>
      </c>
    </row>
    <row r="162" spans="1:2" x14ac:dyDescent="0.75">
      <c r="A162" s="5" t="s">
        <v>328</v>
      </c>
      <c r="B162" s="5" t="s">
        <v>329</v>
      </c>
    </row>
    <row r="163" spans="1:2" x14ac:dyDescent="0.75">
      <c r="A163" s="5" t="s">
        <v>330</v>
      </c>
      <c r="B163" s="5" t="s">
        <v>331</v>
      </c>
    </row>
    <row r="164" spans="1:2" x14ac:dyDescent="0.75">
      <c r="A164" s="5" t="s">
        <v>332</v>
      </c>
      <c r="B164" s="5" t="s">
        <v>333</v>
      </c>
    </row>
    <row r="165" spans="1:2" x14ac:dyDescent="0.75">
      <c r="A165" s="5" t="s">
        <v>334</v>
      </c>
      <c r="B165" s="5" t="s">
        <v>335</v>
      </c>
    </row>
    <row r="166" spans="1:2" x14ac:dyDescent="0.75">
      <c r="A166" s="5" t="s">
        <v>336</v>
      </c>
      <c r="B166" s="5" t="s">
        <v>337</v>
      </c>
    </row>
    <row r="167" spans="1:2" x14ac:dyDescent="0.75">
      <c r="A167" s="5" t="s">
        <v>338</v>
      </c>
      <c r="B167" s="5" t="s">
        <v>339</v>
      </c>
    </row>
    <row r="168" spans="1:2" x14ac:dyDescent="0.75">
      <c r="A168" s="5" t="s">
        <v>340</v>
      </c>
      <c r="B168" s="5" t="s">
        <v>341</v>
      </c>
    </row>
    <row r="169" spans="1:2" x14ac:dyDescent="0.75">
      <c r="A169" s="5" t="s">
        <v>342</v>
      </c>
      <c r="B169" s="5" t="s">
        <v>343</v>
      </c>
    </row>
    <row r="170" spans="1:2" x14ac:dyDescent="0.75">
      <c r="A170" s="5" t="s">
        <v>344</v>
      </c>
      <c r="B170" s="5" t="s">
        <v>345</v>
      </c>
    </row>
    <row r="171" spans="1:2" x14ac:dyDescent="0.75">
      <c r="A171" s="5" t="s">
        <v>346</v>
      </c>
      <c r="B171" s="5" t="s">
        <v>347</v>
      </c>
    </row>
    <row r="172" spans="1:2" x14ac:dyDescent="0.75">
      <c r="A172" s="5" t="s">
        <v>348</v>
      </c>
      <c r="B172" s="5" t="s">
        <v>349</v>
      </c>
    </row>
    <row r="173" spans="1:2" x14ac:dyDescent="0.75">
      <c r="A173" s="5" t="s">
        <v>350</v>
      </c>
      <c r="B173" s="5" t="s">
        <v>351</v>
      </c>
    </row>
    <row r="174" spans="1:2" x14ac:dyDescent="0.75">
      <c r="A174" s="5" t="s">
        <v>352</v>
      </c>
      <c r="B174" s="5" t="s">
        <v>353</v>
      </c>
    </row>
    <row r="175" spans="1:2" x14ac:dyDescent="0.75">
      <c r="A175" s="5" t="s">
        <v>354</v>
      </c>
      <c r="B175" s="5" t="s">
        <v>355</v>
      </c>
    </row>
    <row r="176" spans="1:2" x14ac:dyDescent="0.75">
      <c r="A176" s="5" t="s">
        <v>356</v>
      </c>
      <c r="B176" s="5" t="s">
        <v>357</v>
      </c>
    </row>
    <row r="177" spans="1:2" x14ac:dyDescent="0.75">
      <c r="A177" s="5" t="s">
        <v>358</v>
      </c>
      <c r="B177" s="5" t="s">
        <v>359</v>
      </c>
    </row>
    <row r="178" spans="1:2" x14ac:dyDescent="0.75">
      <c r="A178" s="5" t="s">
        <v>360</v>
      </c>
      <c r="B178" s="5" t="s">
        <v>361</v>
      </c>
    </row>
    <row r="179" spans="1:2" x14ac:dyDescent="0.75">
      <c r="A179" s="5" t="s">
        <v>362</v>
      </c>
      <c r="B179" s="5" t="s">
        <v>363</v>
      </c>
    </row>
    <row r="180" spans="1:2" x14ac:dyDescent="0.75">
      <c r="A180" s="5" t="s">
        <v>364</v>
      </c>
      <c r="B180" s="5" t="s">
        <v>365</v>
      </c>
    </row>
    <row r="181" spans="1:2" x14ac:dyDescent="0.75">
      <c r="A181" s="5" t="s">
        <v>366</v>
      </c>
      <c r="B181" s="5" t="s">
        <v>367</v>
      </c>
    </row>
    <row r="182" spans="1:2" x14ac:dyDescent="0.75">
      <c r="A182" s="5" t="s">
        <v>368</v>
      </c>
      <c r="B182" s="5" t="s">
        <v>369</v>
      </c>
    </row>
    <row r="183" spans="1:2" x14ac:dyDescent="0.75">
      <c r="A183" s="5" t="s">
        <v>370</v>
      </c>
      <c r="B183" s="5" t="s">
        <v>371</v>
      </c>
    </row>
    <row r="184" spans="1:2" x14ac:dyDescent="0.75">
      <c r="A184" s="5" t="s">
        <v>372</v>
      </c>
      <c r="B184" s="5" t="s">
        <v>373</v>
      </c>
    </row>
    <row r="185" spans="1:2" x14ac:dyDescent="0.75">
      <c r="A185" s="5" t="s">
        <v>374</v>
      </c>
      <c r="B185" s="5" t="s">
        <v>375</v>
      </c>
    </row>
    <row r="186" spans="1:2" x14ac:dyDescent="0.75">
      <c r="A186" s="5" t="s">
        <v>376</v>
      </c>
      <c r="B186" s="5" t="s">
        <v>377</v>
      </c>
    </row>
    <row r="187" spans="1:2" x14ac:dyDescent="0.75">
      <c r="A187" s="5" t="s">
        <v>378</v>
      </c>
      <c r="B187" s="5" t="s">
        <v>379</v>
      </c>
    </row>
    <row r="188" spans="1:2" x14ac:dyDescent="0.75">
      <c r="A188" s="5" t="s">
        <v>380</v>
      </c>
      <c r="B188" s="5" t="s">
        <v>381</v>
      </c>
    </row>
    <row r="189" spans="1:2" x14ac:dyDescent="0.75">
      <c r="A189" s="5" t="s">
        <v>382</v>
      </c>
      <c r="B189" s="5" t="s">
        <v>383</v>
      </c>
    </row>
    <row r="190" spans="1:2" x14ac:dyDescent="0.75">
      <c r="A190" s="5" t="s">
        <v>384</v>
      </c>
      <c r="B190" s="5" t="s">
        <v>385</v>
      </c>
    </row>
    <row r="191" spans="1:2" x14ac:dyDescent="0.75">
      <c r="A191" s="5" t="s">
        <v>386</v>
      </c>
      <c r="B191" s="5" t="s">
        <v>387</v>
      </c>
    </row>
    <row r="192" spans="1:2" x14ac:dyDescent="0.75">
      <c r="A192" s="5" t="s">
        <v>388</v>
      </c>
      <c r="B192" s="5" t="s">
        <v>389</v>
      </c>
    </row>
    <row r="193" spans="1:2" x14ac:dyDescent="0.75">
      <c r="A193" s="5" t="s">
        <v>390</v>
      </c>
      <c r="B193" s="5" t="s">
        <v>391</v>
      </c>
    </row>
    <row r="194" spans="1:2" x14ac:dyDescent="0.75">
      <c r="A194" s="5" t="s">
        <v>392</v>
      </c>
      <c r="B194" s="5" t="s">
        <v>393</v>
      </c>
    </row>
    <row r="195" spans="1:2" x14ac:dyDescent="0.75">
      <c r="A195" s="5" t="s">
        <v>394</v>
      </c>
      <c r="B195" s="5" t="s">
        <v>395</v>
      </c>
    </row>
    <row r="196" spans="1:2" x14ac:dyDescent="0.75">
      <c r="A196" s="5" t="s">
        <v>396</v>
      </c>
      <c r="B196" s="5" t="s">
        <v>397</v>
      </c>
    </row>
    <row r="197" spans="1:2" x14ac:dyDescent="0.75">
      <c r="A197" s="5" t="s">
        <v>398</v>
      </c>
      <c r="B197" s="5" t="s">
        <v>399</v>
      </c>
    </row>
    <row r="198" spans="1:2" x14ac:dyDescent="0.75">
      <c r="A198" s="5" t="s">
        <v>400</v>
      </c>
      <c r="B198" s="5" t="s">
        <v>401</v>
      </c>
    </row>
    <row r="199" spans="1:2" x14ac:dyDescent="0.75">
      <c r="A199" s="5" t="s">
        <v>402</v>
      </c>
      <c r="B199" s="5" t="s">
        <v>403</v>
      </c>
    </row>
    <row r="200" spans="1:2" x14ac:dyDescent="0.75">
      <c r="A200" s="5" t="s">
        <v>404</v>
      </c>
      <c r="B200" s="5" t="s">
        <v>405</v>
      </c>
    </row>
    <row r="201" spans="1:2" x14ac:dyDescent="0.75">
      <c r="A201" s="5" t="s">
        <v>406</v>
      </c>
      <c r="B201" s="5" t="s">
        <v>407</v>
      </c>
    </row>
    <row r="202" spans="1:2" x14ac:dyDescent="0.75">
      <c r="A202" s="5" t="s">
        <v>408</v>
      </c>
      <c r="B202" s="5" t="s">
        <v>409</v>
      </c>
    </row>
    <row r="203" spans="1:2" x14ac:dyDescent="0.75">
      <c r="A203" s="5" t="s">
        <v>410</v>
      </c>
      <c r="B203" s="5" t="s">
        <v>191</v>
      </c>
    </row>
    <row r="204" spans="1:2" x14ac:dyDescent="0.75">
      <c r="A204" s="5" t="s">
        <v>411</v>
      </c>
      <c r="B204" s="5" t="s">
        <v>193</v>
      </c>
    </row>
    <row r="205" spans="1:2" x14ac:dyDescent="0.75">
      <c r="A205" s="5" t="s">
        <v>412</v>
      </c>
      <c r="B205" s="5" t="s">
        <v>413</v>
      </c>
    </row>
    <row r="206" spans="1:2" x14ac:dyDescent="0.75">
      <c r="A206" s="5" t="s">
        <v>414</v>
      </c>
      <c r="B206" s="5" t="s">
        <v>415</v>
      </c>
    </row>
    <row r="207" spans="1:2" x14ac:dyDescent="0.75">
      <c r="A207" s="5" t="s">
        <v>416</v>
      </c>
      <c r="B207" s="5" t="s">
        <v>417</v>
      </c>
    </row>
    <row r="208" spans="1:2" x14ac:dyDescent="0.75">
      <c r="A208" s="5" t="s">
        <v>418</v>
      </c>
      <c r="B208" s="5" t="s">
        <v>419</v>
      </c>
    </row>
    <row r="209" spans="1:2" x14ac:dyDescent="0.75">
      <c r="A209" s="5" t="s">
        <v>420</v>
      </c>
      <c r="B209" s="5" t="s">
        <v>421</v>
      </c>
    </row>
    <row r="210" spans="1:2" x14ac:dyDescent="0.75">
      <c r="A210" s="5" t="s">
        <v>422</v>
      </c>
      <c r="B210" s="5" t="s">
        <v>423</v>
      </c>
    </row>
    <row r="211" spans="1:2" x14ac:dyDescent="0.75">
      <c r="A211" s="5" t="s">
        <v>424</v>
      </c>
      <c r="B211" s="5" t="s">
        <v>425</v>
      </c>
    </row>
    <row r="212" spans="1:2" x14ac:dyDescent="0.75">
      <c r="A212" s="5" t="s">
        <v>426</v>
      </c>
      <c r="B212" s="5" t="s">
        <v>427</v>
      </c>
    </row>
    <row r="213" spans="1:2" x14ac:dyDescent="0.75">
      <c r="A213" s="5" t="s">
        <v>428</v>
      </c>
      <c r="B213" s="5" t="s">
        <v>429</v>
      </c>
    </row>
    <row r="214" spans="1:2" x14ac:dyDescent="0.75">
      <c r="A214" s="5" t="s">
        <v>430</v>
      </c>
      <c r="B214" s="5" t="s">
        <v>431</v>
      </c>
    </row>
    <row r="215" spans="1:2" x14ac:dyDescent="0.75">
      <c r="A215" s="5" t="s">
        <v>432</v>
      </c>
      <c r="B215" s="5" t="s">
        <v>433</v>
      </c>
    </row>
    <row r="216" spans="1:2" x14ac:dyDescent="0.75">
      <c r="A216" s="5" t="s">
        <v>434</v>
      </c>
      <c r="B216" s="5" t="s">
        <v>435</v>
      </c>
    </row>
    <row r="217" spans="1:2" x14ac:dyDescent="0.75">
      <c r="A217" s="5" t="s">
        <v>436</v>
      </c>
      <c r="B217" s="5" t="s">
        <v>437</v>
      </c>
    </row>
    <row r="218" spans="1:2" x14ac:dyDescent="0.75">
      <c r="A218" s="5" t="s">
        <v>438</v>
      </c>
      <c r="B218" s="5" t="s">
        <v>439</v>
      </c>
    </row>
    <row r="219" spans="1:2" x14ac:dyDescent="0.75">
      <c r="A219" s="5" t="s">
        <v>440</v>
      </c>
      <c r="B219" s="5" t="s">
        <v>441</v>
      </c>
    </row>
    <row r="220" spans="1:2" x14ac:dyDescent="0.75">
      <c r="A220" s="5" t="s">
        <v>442</v>
      </c>
      <c r="B220" s="5" t="s">
        <v>443</v>
      </c>
    </row>
    <row r="221" spans="1:2" x14ac:dyDescent="0.75">
      <c r="A221" s="5" t="s">
        <v>444</v>
      </c>
      <c r="B221" s="5" t="s">
        <v>445</v>
      </c>
    </row>
    <row r="222" spans="1:2" x14ac:dyDescent="0.75">
      <c r="A222" s="5" t="s">
        <v>446</v>
      </c>
      <c r="B222" s="5" t="s">
        <v>447</v>
      </c>
    </row>
    <row r="223" spans="1:2" x14ac:dyDescent="0.75">
      <c r="A223" s="5" t="s">
        <v>448</v>
      </c>
      <c r="B223" s="5" t="s">
        <v>449</v>
      </c>
    </row>
    <row r="224" spans="1:2" x14ac:dyDescent="0.75">
      <c r="A224" s="5" t="s">
        <v>450</v>
      </c>
      <c r="B224" s="5" t="s">
        <v>451</v>
      </c>
    </row>
    <row r="225" spans="1:2" x14ac:dyDescent="0.75">
      <c r="A225" s="5" t="s">
        <v>452</v>
      </c>
      <c r="B225" s="5" t="s">
        <v>453</v>
      </c>
    </row>
    <row r="226" spans="1:2" x14ac:dyDescent="0.75">
      <c r="A226" s="5" t="s">
        <v>454</v>
      </c>
      <c r="B226" s="5" t="s">
        <v>455</v>
      </c>
    </row>
    <row r="227" spans="1:2" x14ac:dyDescent="0.75">
      <c r="A227" s="5" t="s">
        <v>456</v>
      </c>
      <c r="B227" s="5" t="s">
        <v>457</v>
      </c>
    </row>
    <row r="228" spans="1:2" x14ac:dyDescent="0.75">
      <c r="A228" s="5" t="s">
        <v>458</v>
      </c>
      <c r="B228" s="5" t="s">
        <v>459</v>
      </c>
    </row>
    <row r="229" spans="1:2" x14ac:dyDescent="0.75">
      <c r="A229" s="5" t="s">
        <v>460</v>
      </c>
      <c r="B229" s="5" t="s">
        <v>461</v>
      </c>
    </row>
    <row r="230" spans="1:2" x14ac:dyDescent="0.75">
      <c r="A230" s="5" t="s">
        <v>462</v>
      </c>
      <c r="B230" s="5" t="s">
        <v>463</v>
      </c>
    </row>
    <row r="231" spans="1:2" x14ac:dyDescent="0.75">
      <c r="A231" s="5" t="s">
        <v>464</v>
      </c>
      <c r="B231" s="5" t="s">
        <v>465</v>
      </c>
    </row>
    <row r="232" spans="1:2" x14ac:dyDescent="0.75">
      <c r="A232" s="5" t="s">
        <v>466</v>
      </c>
      <c r="B232" s="5" t="s">
        <v>467</v>
      </c>
    </row>
    <row r="233" spans="1:2" x14ac:dyDescent="0.75">
      <c r="A233" s="5" t="s">
        <v>468</v>
      </c>
      <c r="B233" s="5" t="s">
        <v>469</v>
      </c>
    </row>
    <row r="234" spans="1:2" x14ac:dyDescent="0.75">
      <c r="A234" s="5" t="s">
        <v>470</v>
      </c>
      <c r="B234" s="5" t="s">
        <v>471</v>
      </c>
    </row>
    <row r="235" spans="1:2" x14ac:dyDescent="0.75">
      <c r="A235" s="5" t="s">
        <v>472</v>
      </c>
      <c r="B235" s="5" t="s">
        <v>473</v>
      </c>
    </row>
    <row r="236" spans="1:2" x14ac:dyDescent="0.75">
      <c r="A236" s="5" t="s">
        <v>474</v>
      </c>
      <c r="B236" s="5" t="s">
        <v>475</v>
      </c>
    </row>
    <row r="237" spans="1:2" x14ac:dyDescent="0.75">
      <c r="A237" s="5" t="s">
        <v>476</v>
      </c>
      <c r="B237" s="5" t="s">
        <v>121</v>
      </c>
    </row>
    <row r="238" spans="1:2" x14ac:dyDescent="0.75">
      <c r="A238" s="5" t="s">
        <v>477</v>
      </c>
      <c r="B238" s="5" t="s">
        <v>123</v>
      </c>
    </row>
    <row r="239" spans="1:2" x14ac:dyDescent="0.75">
      <c r="A239" s="5" t="s">
        <v>478</v>
      </c>
      <c r="B239" s="5" t="s">
        <v>479</v>
      </c>
    </row>
    <row r="240" spans="1:2" x14ac:dyDescent="0.75">
      <c r="A240" s="5" t="s">
        <v>480</v>
      </c>
      <c r="B240" s="5" t="s">
        <v>481</v>
      </c>
    </row>
    <row r="241" spans="1:2" x14ac:dyDescent="0.75">
      <c r="A241" s="5" t="s">
        <v>482</v>
      </c>
      <c r="B241" s="5" t="s">
        <v>483</v>
      </c>
    </row>
    <row r="242" spans="1:2" x14ac:dyDescent="0.75">
      <c r="A242" s="5" t="s">
        <v>484</v>
      </c>
      <c r="B242" s="5" t="s">
        <v>129</v>
      </c>
    </row>
    <row r="243" spans="1:2" x14ac:dyDescent="0.75">
      <c r="A243" s="5" t="s">
        <v>485</v>
      </c>
      <c r="B243" s="5" t="s">
        <v>486</v>
      </c>
    </row>
    <row r="244" spans="1:2" x14ac:dyDescent="0.75">
      <c r="A244" s="5" t="s">
        <v>487</v>
      </c>
      <c r="B244" s="5" t="s">
        <v>488</v>
      </c>
    </row>
    <row r="245" spans="1:2" x14ac:dyDescent="0.75">
      <c r="A245" s="5" t="s">
        <v>489</v>
      </c>
      <c r="B245" s="5" t="s">
        <v>490</v>
      </c>
    </row>
    <row r="246" spans="1:2" x14ac:dyDescent="0.75">
      <c r="A246" s="5" t="s">
        <v>491</v>
      </c>
      <c r="B246" s="5" t="s">
        <v>492</v>
      </c>
    </row>
    <row r="247" spans="1:2" x14ac:dyDescent="0.75">
      <c r="A247" s="5" t="s">
        <v>493</v>
      </c>
      <c r="B247" s="5" t="s">
        <v>494</v>
      </c>
    </row>
    <row r="248" spans="1:2" x14ac:dyDescent="0.75">
      <c r="A248" s="5" t="s">
        <v>495</v>
      </c>
      <c r="B248" s="5" t="s">
        <v>496</v>
      </c>
    </row>
    <row r="249" spans="1:2" x14ac:dyDescent="0.75">
      <c r="A249" s="5" t="s">
        <v>497</v>
      </c>
      <c r="B249" s="5" t="s">
        <v>498</v>
      </c>
    </row>
    <row r="250" spans="1:2" x14ac:dyDescent="0.75">
      <c r="A250" s="5" t="s">
        <v>499</v>
      </c>
      <c r="B250" s="5" t="s">
        <v>500</v>
      </c>
    </row>
    <row r="251" spans="1:2" x14ac:dyDescent="0.75">
      <c r="A251" s="5" t="s">
        <v>501</v>
      </c>
      <c r="B251" s="5" t="s">
        <v>502</v>
      </c>
    </row>
    <row r="252" spans="1:2" x14ac:dyDescent="0.75">
      <c r="A252" s="5" t="s">
        <v>503</v>
      </c>
      <c r="B252" s="5" t="s">
        <v>504</v>
      </c>
    </row>
    <row r="253" spans="1:2" x14ac:dyDescent="0.75">
      <c r="A253" s="5" t="s">
        <v>505</v>
      </c>
      <c r="B253" s="5" t="s">
        <v>506</v>
      </c>
    </row>
    <row r="254" spans="1:2" x14ac:dyDescent="0.75">
      <c r="A254" s="5" t="s">
        <v>507</v>
      </c>
      <c r="B254" s="5" t="s">
        <v>508</v>
      </c>
    </row>
    <row r="255" spans="1:2" x14ac:dyDescent="0.75">
      <c r="A255" s="5" t="s">
        <v>509</v>
      </c>
      <c r="B255" s="5" t="s">
        <v>510</v>
      </c>
    </row>
    <row r="256" spans="1:2" x14ac:dyDescent="0.75">
      <c r="A256" s="5" t="s">
        <v>511</v>
      </c>
      <c r="B256" s="5" t="s">
        <v>512</v>
      </c>
    </row>
    <row r="257" spans="1:2" x14ac:dyDescent="0.75">
      <c r="A257" s="5" t="s">
        <v>513</v>
      </c>
      <c r="B257" s="5" t="s">
        <v>514</v>
      </c>
    </row>
    <row r="258" spans="1:2" x14ac:dyDescent="0.75">
      <c r="A258" s="5" t="s">
        <v>515</v>
      </c>
      <c r="B258" s="5" t="s">
        <v>516</v>
      </c>
    </row>
    <row r="259" spans="1:2" x14ac:dyDescent="0.75">
      <c r="A259" s="5" t="s">
        <v>517</v>
      </c>
      <c r="B259" s="5" t="s">
        <v>518</v>
      </c>
    </row>
    <row r="260" spans="1:2" x14ac:dyDescent="0.75">
      <c r="A260" s="5" t="s">
        <v>519</v>
      </c>
      <c r="B260" s="5" t="s">
        <v>520</v>
      </c>
    </row>
    <row r="261" spans="1:2" x14ac:dyDescent="0.75">
      <c r="A261" s="5" t="s">
        <v>521</v>
      </c>
      <c r="B261" s="5" t="s">
        <v>522</v>
      </c>
    </row>
    <row r="262" spans="1:2" x14ac:dyDescent="0.75">
      <c r="A262" s="5" t="s">
        <v>523</v>
      </c>
      <c r="B262" s="5" t="s">
        <v>524</v>
      </c>
    </row>
    <row r="263" spans="1:2" x14ac:dyDescent="0.75">
      <c r="A263" s="5" t="s">
        <v>525</v>
      </c>
      <c r="B263" s="5" t="s">
        <v>526</v>
      </c>
    </row>
    <row r="264" spans="1:2" x14ac:dyDescent="0.75">
      <c r="A264" s="5" t="s">
        <v>527</v>
      </c>
      <c r="B264" s="5" t="s">
        <v>528</v>
      </c>
    </row>
    <row r="265" spans="1:2" x14ac:dyDescent="0.75">
      <c r="A265" s="5" t="s">
        <v>529</v>
      </c>
      <c r="B265" s="5" t="s">
        <v>530</v>
      </c>
    </row>
    <row r="266" spans="1:2" x14ac:dyDescent="0.75">
      <c r="A266" s="5" t="s">
        <v>531</v>
      </c>
      <c r="B266" s="5" t="s">
        <v>532</v>
      </c>
    </row>
    <row r="267" spans="1:2" x14ac:dyDescent="0.75">
      <c r="A267" s="5" t="s">
        <v>533</v>
      </c>
      <c r="B267" s="5" t="s">
        <v>534</v>
      </c>
    </row>
    <row r="268" spans="1:2" x14ac:dyDescent="0.75">
      <c r="A268" s="5" t="s">
        <v>535</v>
      </c>
      <c r="B268" s="5" t="s">
        <v>536</v>
      </c>
    </row>
    <row r="269" spans="1:2" x14ac:dyDescent="0.75">
      <c r="A269" s="5" t="s">
        <v>537</v>
      </c>
      <c r="B269" s="5" t="s">
        <v>538</v>
      </c>
    </row>
    <row r="270" spans="1:2" x14ac:dyDescent="0.75">
      <c r="A270" s="5" t="s">
        <v>539</v>
      </c>
      <c r="B270" s="5" t="s">
        <v>540</v>
      </c>
    </row>
    <row r="271" spans="1:2" x14ac:dyDescent="0.75">
      <c r="A271" s="5" t="s">
        <v>541</v>
      </c>
      <c r="B271" s="5" t="s">
        <v>542</v>
      </c>
    </row>
    <row r="272" spans="1:2" x14ac:dyDescent="0.75">
      <c r="A272" s="5" t="s">
        <v>543</v>
      </c>
      <c r="B272" s="5" t="s">
        <v>544</v>
      </c>
    </row>
    <row r="273" spans="1:2" x14ac:dyDescent="0.75">
      <c r="A273" s="5" t="s">
        <v>545</v>
      </c>
      <c r="B273" s="5" t="s">
        <v>546</v>
      </c>
    </row>
    <row r="274" spans="1:2" x14ac:dyDescent="0.75">
      <c r="A274" s="5" t="s">
        <v>547</v>
      </c>
      <c r="B274" s="5" t="s">
        <v>548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filterMode="1">
    <tabColor theme="8" tint="0.39997558519241921"/>
  </sheetPr>
  <dimension ref="A1:W111"/>
  <sheetViews>
    <sheetView zoomScale="85" zoomScaleNormal="85" workbookViewId="0">
      <selection activeCell="I74" sqref="I74"/>
    </sheetView>
  </sheetViews>
  <sheetFormatPr defaultColWidth="8.86328125" defaultRowHeight="14.75" outlineLevelRow="1" x14ac:dyDescent="0.75"/>
  <cols>
    <col min="1" max="1" width="13.86328125" style="216" customWidth="1"/>
    <col min="2" max="2" width="17.2265625" style="216" bestFit="1" customWidth="1"/>
    <col min="3" max="3" width="16.2265625" style="216" bestFit="1" customWidth="1"/>
    <col min="4" max="4" width="14.76953125" style="237" bestFit="1" customWidth="1"/>
    <col min="5" max="5" width="15.54296875" style="237" bestFit="1" customWidth="1"/>
    <col min="6" max="6" width="14.54296875" style="237" bestFit="1" customWidth="1"/>
    <col min="7" max="7" width="15.86328125" style="216" customWidth="1"/>
    <col min="8" max="8" width="17.86328125" style="216" customWidth="1"/>
    <col min="9" max="9" width="16.31640625" style="216" customWidth="1"/>
    <col min="10" max="10" width="14.76953125" style="216" bestFit="1" customWidth="1"/>
    <col min="11" max="11" width="11.54296875" style="216" customWidth="1"/>
    <col min="12" max="12" width="14.76953125" style="216" bestFit="1" customWidth="1"/>
    <col min="13" max="13" width="18.2265625" style="216" customWidth="1"/>
    <col min="14" max="16" width="14.08984375" style="216" customWidth="1"/>
    <col min="17" max="17" width="14.31640625" style="216" customWidth="1"/>
    <col min="18" max="18" width="11.76953125" style="216" hidden="1" customWidth="1"/>
    <col min="19" max="20" width="11.31640625" style="216" hidden="1" customWidth="1"/>
    <col min="21" max="21" width="15.86328125" style="216" bestFit="1" customWidth="1"/>
    <col min="22" max="16384" width="8.86328125" style="216"/>
  </cols>
  <sheetData>
    <row r="1" spans="1:21" ht="43.5" x14ac:dyDescent="0.75">
      <c r="A1" s="506" t="s">
        <v>1297</v>
      </c>
      <c r="B1" s="506" t="s">
        <v>1298</v>
      </c>
      <c r="C1" s="506" t="s">
        <v>2</v>
      </c>
      <c r="D1" s="506" t="s">
        <v>1299</v>
      </c>
      <c r="E1" s="506" t="s">
        <v>1325</v>
      </c>
      <c r="F1" s="506" t="s">
        <v>3</v>
      </c>
      <c r="G1" s="507" t="s">
        <v>1300</v>
      </c>
      <c r="H1" s="507" t="s">
        <v>1935</v>
      </c>
      <c r="I1" s="507" t="s">
        <v>1518</v>
      </c>
      <c r="J1" s="507" t="s">
        <v>6</v>
      </c>
      <c r="K1" s="507" t="s">
        <v>1657</v>
      </c>
      <c r="L1" s="507" t="s">
        <v>1936</v>
      </c>
      <c r="M1" s="507" t="s">
        <v>1937</v>
      </c>
      <c r="N1" s="507" t="s">
        <v>1938</v>
      </c>
      <c r="O1" s="507" t="s">
        <v>1516</v>
      </c>
      <c r="P1" s="507" t="s">
        <v>1939</v>
      </c>
      <c r="Q1" s="507" t="s">
        <v>1517</v>
      </c>
      <c r="R1" s="507" t="s">
        <v>1301</v>
      </c>
      <c r="S1" s="507" t="s">
        <v>1301</v>
      </c>
      <c r="T1" s="507" t="s">
        <v>1301</v>
      </c>
      <c r="U1" s="507" t="s">
        <v>675</v>
      </c>
    </row>
    <row r="2" spans="1:21" x14ac:dyDescent="0.75">
      <c r="A2" s="512"/>
      <c r="B2" s="512"/>
      <c r="C2" s="512"/>
      <c r="D2" s="513"/>
      <c r="E2" s="513"/>
      <c r="F2" s="513"/>
      <c r="G2" s="514"/>
      <c r="H2" s="514">
        <v>3401</v>
      </c>
      <c r="I2" s="514">
        <v>3402</v>
      </c>
      <c r="J2" s="515">
        <v>3101</v>
      </c>
      <c r="K2" s="515">
        <v>3901</v>
      </c>
      <c r="L2" s="514">
        <v>3301</v>
      </c>
      <c r="M2" s="514">
        <v>3302</v>
      </c>
      <c r="N2" s="515">
        <v>3501</v>
      </c>
      <c r="O2" s="515">
        <v>3502</v>
      </c>
      <c r="P2" s="515">
        <v>3601</v>
      </c>
      <c r="Q2" s="515">
        <v>3602</v>
      </c>
      <c r="R2" s="515"/>
      <c r="S2" s="515"/>
      <c r="T2" s="515"/>
      <c r="U2" s="514"/>
    </row>
    <row r="3" spans="1:21" x14ac:dyDescent="0.75">
      <c r="A3" s="217"/>
      <c r="B3" s="217"/>
      <c r="C3" s="217" t="s">
        <v>1181</v>
      </c>
      <c r="D3" s="218">
        <v>1100</v>
      </c>
      <c r="E3" s="218" t="s">
        <v>1638</v>
      </c>
      <c r="F3" s="488"/>
      <c r="G3" s="219">
        <f>+'Payroll Summary'!C59</f>
        <v>3977156.3212082246</v>
      </c>
      <c r="H3" s="219">
        <f>+'Payroll Summary'!D59</f>
        <v>446845.61127599975</v>
      </c>
      <c r="I3" s="219">
        <f>+'Payroll Summary'!E59</f>
        <v>0</v>
      </c>
      <c r="J3" s="219">
        <f>+'Payroll Summary'!F59</f>
        <v>759636.85735077085</v>
      </c>
      <c r="K3" s="219">
        <f>+'Payroll Summary'!G59</f>
        <v>0</v>
      </c>
      <c r="L3" s="219">
        <f>+'Payroll Summary'!H59</f>
        <v>57668.766657519227</v>
      </c>
      <c r="M3" s="219">
        <f>+'Payroll Summary'!I59</f>
        <v>0</v>
      </c>
      <c r="N3" s="219">
        <f>+'Payroll Summary'!J59</f>
        <v>23525.372000000058</v>
      </c>
      <c r="O3" s="219">
        <f>+'Payroll Summary'!K59</f>
        <v>0</v>
      </c>
      <c r="P3" s="219">
        <f>+'Payroll Summary'!L59</f>
        <v>83520.282745372664</v>
      </c>
      <c r="Q3" s="219">
        <f>+'Payroll Summary'!M59</f>
        <v>0</v>
      </c>
      <c r="R3" s="220"/>
      <c r="S3" s="220"/>
      <c r="T3" s="220"/>
      <c r="U3" s="219">
        <f t="shared" ref="U3:U34" si="0">SUM(G3:T3)</f>
        <v>5348353.2112378869</v>
      </c>
    </row>
    <row r="4" spans="1:21" x14ac:dyDescent="0.75">
      <c r="A4" s="217"/>
      <c r="B4" s="217"/>
      <c r="C4" s="217" t="s">
        <v>1618</v>
      </c>
      <c r="D4" s="218">
        <v>1120</v>
      </c>
      <c r="E4" s="218" t="s">
        <v>1638</v>
      </c>
      <c r="F4" s="488"/>
      <c r="G4" s="219">
        <f>+'Payroll Summary'!C60</f>
        <v>0</v>
      </c>
      <c r="H4" s="219">
        <f>+'Payroll Summary'!D60</f>
        <v>0</v>
      </c>
      <c r="I4" s="219">
        <f>+'Payroll Summary'!E60</f>
        <v>0</v>
      </c>
      <c r="J4" s="219">
        <f>+'Payroll Summary'!F60</f>
        <v>0</v>
      </c>
      <c r="K4" s="219">
        <f>+'Payroll Summary'!G60</f>
        <v>0</v>
      </c>
      <c r="L4" s="219">
        <f>+'Payroll Summary'!H60</f>
        <v>0</v>
      </c>
      <c r="M4" s="219">
        <f>+'Payroll Summary'!I60</f>
        <v>0</v>
      </c>
      <c r="N4" s="219">
        <f>+'Payroll Summary'!J60</f>
        <v>0</v>
      </c>
      <c r="O4" s="219">
        <f>+'Payroll Summary'!K60</f>
        <v>0</v>
      </c>
      <c r="P4" s="219">
        <f>+'Payroll Summary'!L60</f>
        <v>0</v>
      </c>
      <c r="Q4" s="219">
        <f>+'Payroll Summary'!M60</f>
        <v>0</v>
      </c>
      <c r="R4" s="220"/>
      <c r="S4" s="220"/>
      <c r="T4" s="220"/>
      <c r="U4" s="219">
        <f t="shared" si="0"/>
        <v>0</v>
      </c>
    </row>
    <row r="5" spans="1:21" x14ac:dyDescent="0.75">
      <c r="A5" s="217"/>
      <c r="B5" s="217"/>
      <c r="C5" s="217" t="s">
        <v>1302</v>
      </c>
      <c r="D5" s="218">
        <v>1200</v>
      </c>
      <c r="E5" s="218" t="s">
        <v>1638</v>
      </c>
      <c r="F5" s="488"/>
      <c r="G5" s="219">
        <f>+'Payroll Summary'!C61</f>
        <v>435510.08274742996</v>
      </c>
      <c r="H5" s="219">
        <f>+'Payroll Summary'!D61</f>
        <v>50941.080000000009</v>
      </c>
      <c r="I5" s="219">
        <f>+'Payroll Summary'!E61</f>
        <v>0</v>
      </c>
      <c r="J5" s="219">
        <f>+'Payroll Summary'!F61</f>
        <v>83182.425804759143</v>
      </c>
      <c r="K5" s="219">
        <f>+'Payroll Summary'!G61</f>
        <v>0</v>
      </c>
      <c r="L5" s="219">
        <f>+'Payroll Summary'!H61</f>
        <v>6314.8961998377335</v>
      </c>
      <c r="M5" s="219">
        <f>+'Payroll Summary'!I61</f>
        <v>0</v>
      </c>
      <c r="N5" s="219">
        <f>+'Payroll Summary'!J61</f>
        <v>2171.5728000000004</v>
      </c>
      <c r="O5" s="219">
        <f>+'Payroll Summary'!K61</f>
        <v>0</v>
      </c>
      <c r="P5" s="219">
        <f>+'Payroll Summary'!L61</f>
        <v>9145.7117376960286</v>
      </c>
      <c r="Q5" s="219">
        <f>+'Payroll Summary'!M61</f>
        <v>0</v>
      </c>
      <c r="R5" s="220"/>
      <c r="S5" s="220"/>
      <c r="T5" s="220"/>
      <c r="U5" s="219">
        <f t="shared" si="0"/>
        <v>587265.76928972278</v>
      </c>
    </row>
    <row r="6" spans="1:21" x14ac:dyDescent="0.75">
      <c r="A6" s="217"/>
      <c r="B6" s="217"/>
      <c r="C6" s="217" t="s">
        <v>1303</v>
      </c>
      <c r="D6" s="218">
        <v>1300</v>
      </c>
      <c r="E6" s="218" t="s">
        <v>1638</v>
      </c>
      <c r="F6" s="488"/>
      <c r="G6" s="219">
        <f>+'Payroll Summary'!C62</f>
        <v>735836.74996480613</v>
      </c>
      <c r="H6" s="219">
        <f>+'Payroll Summary'!D62</f>
        <v>42835.716412000002</v>
      </c>
      <c r="I6" s="219">
        <f>+'Payroll Summary'!E62</f>
        <v>2272.02</v>
      </c>
      <c r="J6" s="219">
        <f>+'Payroll Summary'!F62</f>
        <v>140544.81924327798</v>
      </c>
      <c r="K6" s="219">
        <f>+'Payroll Summary'!G62</f>
        <v>0</v>
      </c>
      <c r="L6" s="219">
        <f>+'Payroll Summary'!H62</f>
        <v>10669.632874489693</v>
      </c>
      <c r="M6" s="219">
        <f>+'Payroll Summary'!I62</f>
        <v>0</v>
      </c>
      <c r="N6" s="219">
        <f>+'Payroll Summary'!J62</f>
        <v>2714.4659999999999</v>
      </c>
      <c r="O6" s="219">
        <f>+'Payroll Summary'!K62</f>
        <v>0</v>
      </c>
      <c r="P6" s="219">
        <f>+'Payroll Summary'!L62</f>
        <v>15452.571749260933</v>
      </c>
      <c r="Q6" s="219">
        <f>+'Payroll Summary'!M62</f>
        <v>0</v>
      </c>
      <c r="R6" s="220"/>
      <c r="S6" s="220"/>
      <c r="T6" s="220"/>
      <c r="U6" s="219">
        <f t="shared" si="0"/>
        <v>950325.97624383471</v>
      </c>
    </row>
    <row r="7" spans="1:21" x14ac:dyDescent="0.75">
      <c r="A7" s="217"/>
      <c r="B7" s="217"/>
      <c r="C7" s="217" t="s">
        <v>1304</v>
      </c>
      <c r="D7" s="218">
        <v>1900</v>
      </c>
      <c r="E7" s="218" t="s">
        <v>1638</v>
      </c>
      <c r="F7" s="488"/>
      <c r="G7" s="219">
        <f>+'Payroll Summary'!C63</f>
        <v>0</v>
      </c>
      <c r="H7" s="219">
        <f>+'Payroll Summary'!D63</f>
        <v>0</v>
      </c>
      <c r="I7" s="219">
        <f>+'Payroll Summary'!E63</f>
        <v>0</v>
      </c>
      <c r="J7" s="219">
        <f>+'Payroll Summary'!F63</f>
        <v>0</v>
      </c>
      <c r="K7" s="219">
        <f>+'Payroll Summary'!G63</f>
        <v>0</v>
      </c>
      <c r="L7" s="219">
        <f>+'Payroll Summary'!H63</f>
        <v>0</v>
      </c>
      <c r="M7" s="219">
        <f>+'Payroll Summary'!I63</f>
        <v>0</v>
      </c>
      <c r="N7" s="219">
        <f>+'Payroll Summary'!J63</f>
        <v>0</v>
      </c>
      <c r="O7" s="219">
        <f>+'Payroll Summary'!K63</f>
        <v>0</v>
      </c>
      <c r="P7" s="219">
        <f>+'Payroll Summary'!L63</f>
        <v>0</v>
      </c>
      <c r="Q7" s="219">
        <f>+'Payroll Summary'!M63</f>
        <v>0</v>
      </c>
      <c r="R7" s="220"/>
      <c r="S7" s="220"/>
      <c r="T7" s="220"/>
      <c r="U7" s="219">
        <f t="shared" si="0"/>
        <v>0</v>
      </c>
    </row>
    <row r="8" spans="1:21" x14ac:dyDescent="0.75">
      <c r="A8" s="217"/>
      <c r="B8" s="217"/>
      <c r="C8" s="217" t="s">
        <v>1305</v>
      </c>
      <c r="D8" s="218">
        <v>2100</v>
      </c>
      <c r="E8" s="218" t="s">
        <v>1638</v>
      </c>
      <c r="F8" s="488"/>
      <c r="G8" s="219">
        <f>+'Payroll Summary'!C64</f>
        <v>144758.64893092614</v>
      </c>
      <c r="H8" s="219">
        <f>+'Payroll Summary'!D64</f>
        <v>0</v>
      </c>
      <c r="I8" s="219">
        <f>+'Payroll Summary'!E64</f>
        <v>10522.2428</v>
      </c>
      <c r="J8" s="219">
        <f>+'Payroll Summary'!F64</f>
        <v>0</v>
      </c>
      <c r="K8" s="219">
        <f>+'Payroll Summary'!G64</f>
        <v>0</v>
      </c>
      <c r="L8" s="219">
        <f>+'Payroll Summary'!H64</f>
        <v>0</v>
      </c>
      <c r="M8" s="219">
        <f>+'Payroll Summary'!I64</f>
        <v>11074.03664321585</v>
      </c>
      <c r="N8" s="219">
        <f>+'Payroll Summary'!J64</f>
        <v>0</v>
      </c>
      <c r="O8" s="219">
        <f>+'Payroll Summary'!K64</f>
        <v>1266.7508000000003</v>
      </c>
      <c r="P8" s="219">
        <f>+'Payroll Summary'!L64</f>
        <v>0</v>
      </c>
      <c r="Q8" s="219">
        <f>+'Payroll Summary'!M64</f>
        <v>3039.9316275494489</v>
      </c>
      <c r="R8" s="220"/>
      <c r="S8" s="220"/>
      <c r="T8" s="220"/>
      <c r="U8" s="219">
        <f t="shared" si="0"/>
        <v>170661.61080169145</v>
      </c>
    </row>
    <row r="9" spans="1:21" x14ac:dyDescent="0.75">
      <c r="A9" s="217"/>
      <c r="B9" s="217"/>
      <c r="C9" s="217" t="s">
        <v>1306</v>
      </c>
      <c r="D9" s="218">
        <v>2200</v>
      </c>
      <c r="E9" s="218" t="s">
        <v>1638</v>
      </c>
      <c r="F9" s="488"/>
      <c r="G9" s="219">
        <f>+'Payroll Summary'!C65</f>
        <v>643903.67495511496</v>
      </c>
      <c r="H9" s="219">
        <f>+'Payroll Summary'!D65</f>
        <v>0</v>
      </c>
      <c r="I9" s="219">
        <f>+'Payroll Summary'!E65</f>
        <v>84662.639999999985</v>
      </c>
      <c r="J9" s="219">
        <f>+'Payroll Summary'!F65</f>
        <v>0</v>
      </c>
      <c r="K9" s="219">
        <f>+'Payroll Summary'!G65</f>
        <v>15798.375476000001</v>
      </c>
      <c r="L9" s="219">
        <f>+'Payroll Summary'!H65</f>
        <v>0</v>
      </c>
      <c r="M9" s="219">
        <f>+'Payroll Summary'!I65</f>
        <v>49258.631134066294</v>
      </c>
      <c r="N9" s="219">
        <f>+'Payroll Summary'!J65</f>
        <v>0</v>
      </c>
      <c r="O9" s="219">
        <f>+'Payroll Summary'!K65</f>
        <v>3800.2523999999989</v>
      </c>
      <c r="P9" s="219">
        <f>+'Payroll Summary'!L65</f>
        <v>0</v>
      </c>
      <c r="Q9" s="219">
        <f>+'Payroll Summary'!M65</f>
        <v>13521.977174057414</v>
      </c>
      <c r="R9" s="220"/>
      <c r="S9" s="220"/>
      <c r="T9" s="220"/>
      <c r="U9" s="219">
        <f t="shared" si="0"/>
        <v>810945.55113923864</v>
      </c>
    </row>
    <row r="10" spans="1:21" x14ac:dyDescent="0.75">
      <c r="A10" s="217"/>
      <c r="B10" s="217"/>
      <c r="C10" s="217" t="s">
        <v>1307</v>
      </c>
      <c r="D10" s="218">
        <v>2300</v>
      </c>
      <c r="E10" s="218" t="s">
        <v>1638</v>
      </c>
      <c r="F10" s="488"/>
      <c r="G10" s="219">
        <f>+'Payroll Summary'!C66</f>
        <v>234139.22589460947</v>
      </c>
      <c r="H10" s="219">
        <f>+'Payroll Summary'!D66</f>
        <v>0</v>
      </c>
      <c r="I10" s="219">
        <f>+'Payroll Summary'!E66</f>
        <v>22628.920600000001</v>
      </c>
      <c r="J10" s="219">
        <f>+'Payroll Summary'!F66</f>
        <v>0</v>
      </c>
      <c r="K10" s="219">
        <f>+'Payroll Summary'!G66</f>
        <v>15617.547786072968</v>
      </c>
      <c r="L10" s="219">
        <f>+'Payroll Summary'!H66</f>
        <v>0</v>
      </c>
      <c r="M10" s="219">
        <f>+'Payroll Summary'!I66</f>
        <v>17911.65078093762</v>
      </c>
      <c r="N10" s="219">
        <f>+'Payroll Summary'!J66</f>
        <v>0</v>
      </c>
      <c r="O10" s="219">
        <f>+'Payroll Summary'!K66</f>
        <v>904.82200000000012</v>
      </c>
      <c r="P10" s="219">
        <f>+'Payroll Summary'!L66</f>
        <v>0</v>
      </c>
      <c r="Q10" s="219">
        <f>+'Payroll Summary'!M66</f>
        <v>4916.9237437867987</v>
      </c>
      <c r="R10" s="220"/>
      <c r="S10" s="220"/>
      <c r="T10" s="220"/>
      <c r="U10" s="219">
        <f t="shared" si="0"/>
        <v>296119.09080540686</v>
      </c>
    </row>
    <row r="11" spans="1:21" x14ac:dyDescent="0.75">
      <c r="A11" s="217"/>
      <c r="B11" s="217"/>
      <c r="C11" s="217" t="s">
        <v>1308</v>
      </c>
      <c r="D11" s="218">
        <v>2400</v>
      </c>
      <c r="E11" s="218" t="s">
        <v>1638</v>
      </c>
      <c r="F11" s="488"/>
      <c r="G11" s="219">
        <f>+'Payroll Summary'!C67</f>
        <v>283072.73223503947</v>
      </c>
      <c r="H11" s="219">
        <f>+'Payroll Summary'!D67</f>
        <v>0</v>
      </c>
      <c r="I11" s="219">
        <f>+'Payroll Summary'!E67</f>
        <v>41582.749200000006</v>
      </c>
      <c r="J11" s="219">
        <f>+'Payroll Summary'!F67</f>
        <v>0</v>
      </c>
      <c r="K11" s="219">
        <f>+'Payroll Summary'!G67</f>
        <v>3946.4301808000005</v>
      </c>
      <c r="L11" s="219">
        <f>+'Payroll Summary'!H67</f>
        <v>0</v>
      </c>
      <c r="M11" s="219">
        <f>+'Payroll Summary'!I67</f>
        <v>21655.064015980519</v>
      </c>
      <c r="N11" s="219">
        <f>+'Payroll Summary'!J67</f>
        <v>0</v>
      </c>
      <c r="O11" s="219">
        <f>+'Payroll Summary'!K67</f>
        <v>1990.6084000000005</v>
      </c>
      <c r="P11" s="219">
        <f>+'Payroll Summary'!L67</f>
        <v>0</v>
      </c>
      <c r="Q11" s="219">
        <f>+'Payroll Summary'!M67</f>
        <v>5944.52737693583</v>
      </c>
      <c r="R11" s="220"/>
      <c r="S11" s="220"/>
      <c r="T11" s="220"/>
      <c r="U11" s="219">
        <f t="shared" si="0"/>
        <v>358192.11140875582</v>
      </c>
    </row>
    <row r="12" spans="1:21" x14ac:dyDescent="0.75">
      <c r="A12" s="217"/>
      <c r="B12" s="217"/>
      <c r="C12" s="217" t="s">
        <v>1309</v>
      </c>
      <c r="D12" s="218">
        <v>2900</v>
      </c>
      <c r="E12" s="218" t="s">
        <v>1638</v>
      </c>
      <c r="F12" s="488"/>
      <c r="G12" s="219">
        <f>+'Payroll Summary'!C68</f>
        <v>0</v>
      </c>
      <c r="H12" s="219">
        <f>+'Payroll Summary'!D68</f>
        <v>0</v>
      </c>
      <c r="I12" s="219">
        <f>+'Payroll Summary'!E68</f>
        <v>0</v>
      </c>
      <c r="J12" s="219">
        <f>+'Payroll Summary'!F68</f>
        <v>0</v>
      </c>
      <c r="K12" s="219">
        <f>+'Payroll Summary'!G68</f>
        <v>0</v>
      </c>
      <c r="L12" s="219">
        <f>+'Payroll Summary'!H68</f>
        <v>0</v>
      </c>
      <c r="M12" s="219">
        <f>+'Payroll Summary'!I68</f>
        <v>0</v>
      </c>
      <c r="N12" s="219">
        <f>+'Payroll Summary'!J68</f>
        <v>0</v>
      </c>
      <c r="O12" s="219">
        <f>+'Payroll Summary'!K68</f>
        <v>0</v>
      </c>
      <c r="P12" s="219">
        <f>+'Payroll Summary'!L68</f>
        <v>0</v>
      </c>
      <c r="Q12" s="219">
        <f>+'Payroll Summary'!M68</f>
        <v>0</v>
      </c>
      <c r="R12" s="220"/>
      <c r="S12" s="220"/>
      <c r="T12" s="220"/>
      <c r="U12" s="219">
        <f t="shared" si="0"/>
        <v>0</v>
      </c>
    </row>
    <row r="13" spans="1:21" x14ac:dyDescent="0.75">
      <c r="A13" s="217"/>
      <c r="B13" s="217"/>
      <c r="C13" s="217" t="s">
        <v>1181</v>
      </c>
      <c r="D13" s="218">
        <v>1100</v>
      </c>
      <c r="E13" s="218" t="s">
        <v>1637</v>
      </c>
      <c r="F13" s="488"/>
      <c r="G13" s="219">
        <f>+'Payroll Summary'!C41</f>
        <v>3927823.0546399928</v>
      </c>
      <c r="H13" s="219">
        <f>+'Payroll Summary'!D41</f>
        <v>460357.70143800025</v>
      </c>
      <c r="I13" s="219">
        <f>+'Payroll Summary'!E41</f>
        <v>0</v>
      </c>
      <c r="J13" s="219">
        <f>+'Payroll Summary'!F41</f>
        <v>750214.20343623951</v>
      </c>
      <c r="K13" s="219">
        <f>+'Payroll Summary'!G41</f>
        <v>0</v>
      </c>
      <c r="L13" s="219">
        <f>+'Payroll Summary'!H41</f>
        <v>56953.434292279926</v>
      </c>
      <c r="M13" s="219">
        <f>+'Payroll Summary'!I41</f>
        <v>0</v>
      </c>
      <c r="N13" s="219">
        <f>+'Payroll Summary'!J41</f>
        <v>23067.286000000018</v>
      </c>
      <c r="O13" s="219">
        <f>+'Payroll Summary'!K41</f>
        <v>0</v>
      </c>
      <c r="P13" s="219">
        <f>+'Payroll Summary'!L41</f>
        <v>82484.284147439961</v>
      </c>
      <c r="Q13" s="219">
        <f>+'Payroll Summary'!M41</f>
        <v>0</v>
      </c>
      <c r="R13" s="220"/>
      <c r="S13" s="220"/>
      <c r="T13" s="220"/>
      <c r="U13" s="219">
        <f t="shared" si="0"/>
        <v>5300899.9639539523</v>
      </c>
    </row>
    <row r="14" spans="1:21" x14ac:dyDescent="0.75">
      <c r="A14" s="217"/>
      <c r="B14" s="217"/>
      <c r="C14" s="217" t="s">
        <v>1618</v>
      </c>
      <c r="D14" s="218">
        <v>1120</v>
      </c>
      <c r="E14" s="218" t="s">
        <v>1637</v>
      </c>
      <c r="F14" s="488"/>
      <c r="G14" s="219">
        <f>+'Payroll Summary'!C42</f>
        <v>0</v>
      </c>
      <c r="H14" s="219">
        <f>+'Payroll Summary'!D42</f>
        <v>0</v>
      </c>
      <c r="I14" s="219">
        <f>+'Payroll Summary'!E42</f>
        <v>0</v>
      </c>
      <c r="J14" s="219">
        <f>+'Payroll Summary'!F42</f>
        <v>0</v>
      </c>
      <c r="K14" s="219">
        <f>+'Payroll Summary'!G42</f>
        <v>0</v>
      </c>
      <c r="L14" s="219">
        <f>+'Payroll Summary'!H42</f>
        <v>0</v>
      </c>
      <c r="M14" s="219">
        <f>+'Payroll Summary'!I42</f>
        <v>0</v>
      </c>
      <c r="N14" s="219">
        <f>+'Payroll Summary'!J42</f>
        <v>0</v>
      </c>
      <c r="O14" s="219">
        <f>+'Payroll Summary'!K42</f>
        <v>0</v>
      </c>
      <c r="P14" s="219">
        <f>+'Payroll Summary'!L42</f>
        <v>0</v>
      </c>
      <c r="Q14" s="219">
        <f>+'Payroll Summary'!M42</f>
        <v>0</v>
      </c>
      <c r="R14" s="220"/>
      <c r="S14" s="220"/>
      <c r="T14" s="220"/>
      <c r="U14" s="219">
        <f t="shared" si="0"/>
        <v>0</v>
      </c>
    </row>
    <row r="15" spans="1:21" x14ac:dyDescent="0.75">
      <c r="A15" s="217"/>
      <c r="B15" s="217"/>
      <c r="C15" s="217" t="s">
        <v>1302</v>
      </c>
      <c r="D15" s="218">
        <v>1200</v>
      </c>
      <c r="E15" s="218" t="s">
        <v>1637</v>
      </c>
      <c r="F15" s="488"/>
      <c r="G15" s="219">
        <f>+'Payroll Summary'!C43</f>
        <v>359792.95095014712</v>
      </c>
      <c r="H15" s="219">
        <f>+'Payroll Summary'!D43</f>
        <v>42084.539999999994</v>
      </c>
      <c r="I15" s="219">
        <f>+'Payroll Summary'!E43</f>
        <v>0</v>
      </c>
      <c r="J15" s="219">
        <f>+'Payroll Summary'!F43</f>
        <v>68720.4536314781</v>
      </c>
      <c r="K15" s="219">
        <f>+'Payroll Summary'!G43</f>
        <v>0</v>
      </c>
      <c r="L15" s="219">
        <f>+'Payroll Summary'!H43</f>
        <v>5216.9977887771347</v>
      </c>
      <c r="M15" s="219">
        <f>+'Payroll Summary'!I43</f>
        <v>0</v>
      </c>
      <c r="N15" s="219">
        <f>+'Payroll Summary'!J43</f>
        <v>1794.0263999999995</v>
      </c>
      <c r="O15" s="219">
        <f>+'Payroll Summary'!K43</f>
        <v>0</v>
      </c>
      <c r="P15" s="219">
        <f>+'Payroll Summary'!L43</f>
        <v>7555.65196995309</v>
      </c>
      <c r="Q15" s="219">
        <f>+'Payroll Summary'!M43</f>
        <v>0</v>
      </c>
      <c r="R15" s="220"/>
      <c r="S15" s="220"/>
      <c r="T15" s="220"/>
      <c r="U15" s="219">
        <f t="shared" si="0"/>
        <v>485164.62074035534</v>
      </c>
    </row>
    <row r="16" spans="1:21" x14ac:dyDescent="0.75">
      <c r="A16" s="217"/>
      <c r="B16" s="217"/>
      <c r="C16" s="217" t="s">
        <v>1303</v>
      </c>
      <c r="D16" s="218">
        <v>1300</v>
      </c>
      <c r="E16" s="218" t="s">
        <v>1637</v>
      </c>
      <c r="F16" s="488"/>
      <c r="G16" s="219">
        <f>+'Payroll Summary'!C44</f>
        <v>607905.27286354906</v>
      </c>
      <c r="H16" s="219">
        <f>+'Payroll Summary'!D44</f>
        <v>35388.362805999997</v>
      </c>
      <c r="I16" s="219">
        <f>+'Payroll Summary'!E44</f>
        <v>1877.01</v>
      </c>
      <c r="J16" s="219">
        <f>+'Payroll Summary'!F44</f>
        <v>116109.90711693786</v>
      </c>
      <c r="K16" s="219">
        <f>+'Payroll Summary'!G44</f>
        <v>0</v>
      </c>
      <c r="L16" s="219">
        <f>+'Payroll Summary'!H44</f>
        <v>8814.6264565214624</v>
      </c>
      <c r="M16" s="219">
        <f>+'Payroll Summary'!I44</f>
        <v>0</v>
      </c>
      <c r="N16" s="219">
        <f>+'Payroll Summary'!J44</f>
        <v>2242.5329999999994</v>
      </c>
      <c r="O16" s="219">
        <f>+'Payroll Summary'!K44</f>
        <v>0</v>
      </c>
      <c r="P16" s="219">
        <f>+'Payroll Summary'!L44</f>
        <v>12766.010730134529</v>
      </c>
      <c r="Q16" s="219">
        <f>+'Payroll Summary'!M44</f>
        <v>0</v>
      </c>
      <c r="R16" s="220"/>
      <c r="S16" s="220"/>
      <c r="T16" s="220"/>
      <c r="U16" s="219">
        <f t="shared" si="0"/>
        <v>785103.72297314298</v>
      </c>
    </row>
    <row r="17" spans="1:21" x14ac:dyDescent="0.75">
      <c r="A17" s="217"/>
      <c r="B17" s="217"/>
      <c r="C17" s="217" t="s">
        <v>1304</v>
      </c>
      <c r="D17" s="218">
        <v>1900</v>
      </c>
      <c r="E17" s="218" t="s">
        <v>1637</v>
      </c>
      <c r="F17" s="488"/>
      <c r="G17" s="219">
        <f>+'Payroll Summary'!C45</f>
        <v>0</v>
      </c>
      <c r="H17" s="219">
        <f>+'Payroll Summary'!D45</f>
        <v>0</v>
      </c>
      <c r="I17" s="219">
        <f>+'Payroll Summary'!E45</f>
        <v>0</v>
      </c>
      <c r="J17" s="219">
        <f>+'Payroll Summary'!F45</f>
        <v>0</v>
      </c>
      <c r="K17" s="219">
        <f>+'Payroll Summary'!G45</f>
        <v>0</v>
      </c>
      <c r="L17" s="219">
        <f>+'Payroll Summary'!H45</f>
        <v>0</v>
      </c>
      <c r="M17" s="219">
        <f>+'Payroll Summary'!I45</f>
        <v>0</v>
      </c>
      <c r="N17" s="219">
        <f>+'Payroll Summary'!J45</f>
        <v>0</v>
      </c>
      <c r="O17" s="219">
        <f>+'Payroll Summary'!K45</f>
        <v>0</v>
      </c>
      <c r="P17" s="219">
        <f>+'Payroll Summary'!L45</f>
        <v>0</v>
      </c>
      <c r="Q17" s="219">
        <f>+'Payroll Summary'!M45</f>
        <v>0</v>
      </c>
      <c r="R17" s="220"/>
      <c r="S17" s="220"/>
      <c r="T17" s="220"/>
      <c r="U17" s="219">
        <f t="shared" si="0"/>
        <v>0</v>
      </c>
    </row>
    <row r="18" spans="1:21" x14ac:dyDescent="0.75">
      <c r="A18" s="217"/>
      <c r="B18" s="217"/>
      <c r="C18" s="217" t="s">
        <v>1305</v>
      </c>
      <c r="D18" s="218">
        <v>2100</v>
      </c>
      <c r="E18" s="218" t="s">
        <v>1637</v>
      </c>
      <c r="F18" s="488"/>
      <c r="G18" s="219">
        <f>+'Payroll Summary'!C46</f>
        <v>119591.12667575006</v>
      </c>
      <c r="H18" s="219">
        <f>+'Payroll Summary'!D46</f>
        <v>0</v>
      </c>
      <c r="I18" s="219">
        <f>+'Payroll Summary'!E46</f>
        <v>8692.861399999998</v>
      </c>
      <c r="J18" s="219">
        <f>+'Payroll Summary'!F46</f>
        <v>0</v>
      </c>
      <c r="K18" s="219">
        <f>+'Payroll Summary'!G46</f>
        <v>0</v>
      </c>
      <c r="L18" s="219">
        <f>+'Payroll Summary'!H46</f>
        <v>0</v>
      </c>
      <c r="M18" s="219">
        <f>+'Payroll Summary'!I46</f>
        <v>9148.7211906948796</v>
      </c>
      <c r="N18" s="219">
        <f>+'Payroll Summary'!J46</f>
        <v>0</v>
      </c>
      <c r="O18" s="219">
        <f>+'Payroll Summary'!K46</f>
        <v>1046.5154</v>
      </c>
      <c r="P18" s="219">
        <f>+'Payroll Summary'!L46</f>
        <v>0</v>
      </c>
      <c r="Q18" s="219">
        <f>+'Payroll Summary'!M46</f>
        <v>2511.4136601907512</v>
      </c>
      <c r="R18" s="220"/>
      <c r="S18" s="220"/>
      <c r="T18" s="220"/>
      <c r="U18" s="219">
        <f t="shared" si="0"/>
        <v>140990.63832663567</v>
      </c>
    </row>
    <row r="19" spans="1:21" x14ac:dyDescent="0.75">
      <c r="A19" s="217"/>
      <c r="B19" s="217"/>
      <c r="C19" s="217" t="s">
        <v>1306</v>
      </c>
      <c r="D19" s="218">
        <v>2200</v>
      </c>
      <c r="E19" s="218" t="s">
        <v>1637</v>
      </c>
      <c r="F19" s="488"/>
      <c r="G19" s="219">
        <f>+'Payroll Summary'!C47</f>
        <v>531955.544813646</v>
      </c>
      <c r="H19" s="219">
        <f>+'Payroll Summary'!D47</f>
        <v>0</v>
      </c>
      <c r="I19" s="219">
        <f>+'Payroll Summary'!E47</f>
        <v>69943.319999999978</v>
      </c>
      <c r="J19" s="219">
        <f>+'Payroll Summary'!F47</f>
        <v>0</v>
      </c>
      <c r="K19" s="219">
        <f>+'Payroll Summary'!G47</f>
        <v>13051.693538</v>
      </c>
      <c r="L19" s="219">
        <f>+'Payroll Summary'!H47</f>
        <v>0</v>
      </c>
      <c r="M19" s="219">
        <f>+'Payroll Summary'!I47</f>
        <v>40694.599178243923</v>
      </c>
      <c r="N19" s="219">
        <f>+'Payroll Summary'!J47</f>
        <v>0</v>
      </c>
      <c r="O19" s="219">
        <f>+'Payroll Summary'!K47</f>
        <v>3139.5461999999989</v>
      </c>
      <c r="P19" s="219">
        <f>+'Payroll Summary'!L47</f>
        <v>0</v>
      </c>
      <c r="Q19" s="219">
        <f>+'Payroll Summary'!M47</f>
        <v>11171.066441086567</v>
      </c>
      <c r="R19" s="220"/>
      <c r="S19" s="220"/>
      <c r="T19" s="220"/>
      <c r="U19" s="219">
        <f>SUM(G19:T19)</f>
        <v>669955.77017097641</v>
      </c>
    </row>
    <row r="20" spans="1:21" x14ac:dyDescent="0.75">
      <c r="A20" s="217"/>
      <c r="B20" s="217"/>
      <c r="C20" s="217" t="s">
        <v>1307</v>
      </c>
      <c r="D20" s="218">
        <v>2300</v>
      </c>
      <c r="E20" s="218" t="s">
        <v>1637</v>
      </c>
      <c r="F20" s="488"/>
      <c r="G20" s="219">
        <f>+'Payroll Summary'!C48</f>
        <v>193432.13017334393</v>
      </c>
      <c r="H20" s="219">
        <f>+'Payroll Summary'!D48</f>
        <v>0</v>
      </c>
      <c r="I20" s="219">
        <f>+'Payroll Summary'!E48</f>
        <v>18694.690299999998</v>
      </c>
      <c r="J20" s="219">
        <f>+'Payroll Summary'!F48</f>
        <v>0</v>
      </c>
      <c r="K20" s="219">
        <f>+'Payroll Summary'!G48</f>
        <v>12902.304279864093</v>
      </c>
      <c r="L20" s="219">
        <f>+'Payroll Summary'!H48</f>
        <v>0</v>
      </c>
      <c r="M20" s="219">
        <f>+'Payroll Summary'!I48</f>
        <v>14797.557958260808</v>
      </c>
      <c r="N20" s="219">
        <f>+'Payroll Summary'!J48</f>
        <v>0</v>
      </c>
      <c r="O20" s="219">
        <f>+'Payroll Summary'!K48</f>
        <v>747.51099999999997</v>
      </c>
      <c r="P20" s="219">
        <f>+'Payroll Summary'!L48</f>
        <v>0</v>
      </c>
      <c r="Q20" s="219">
        <f>+'Payroll Summary'!M48</f>
        <v>4062.0747336402219</v>
      </c>
      <c r="R20" s="220"/>
      <c r="S20" s="220"/>
      <c r="T20" s="220"/>
      <c r="U20" s="219">
        <f t="shared" si="0"/>
        <v>244636.26844510905</v>
      </c>
    </row>
    <row r="21" spans="1:21" x14ac:dyDescent="0.75">
      <c r="A21" s="217"/>
      <c r="B21" s="217"/>
      <c r="C21" s="217" t="s">
        <v>1308</v>
      </c>
      <c r="D21" s="218">
        <v>2400</v>
      </c>
      <c r="E21" s="218" t="s">
        <v>1637</v>
      </c>
      <c r="F21" s="488"/>
      <c r="G21" s="219">
        <f>+'Payroll Summary'!C49</f>
        <v>233858.13026843581</v>
      </c>
      <c r="H21" s="219">
        <f>+'Payroll Summary'!D49</f>
        <v>0</v>
      </c>
      <c r="I21" s="219">
        <f>+'Payroll Summary'!E49</f>
        <v>34353.234600000003</v>
      </c>
      <c r="J21" s="219">
        <f>+'Payroll Summary'!F49</f>
        <v>0</v>
      </c>
      <c r="K21" s="219">
        <f>+'Payroll Summary'!G49</f>
        <v>3260.3097303999994</v>
      </c>
      <c r="L21" s="219">
        <f>+'Payroll Summary'!H49</f>
        <v>0</v>
      </c>
      <c r="M21" s="219">
        <f>+'Payroll Summary'!I49</f>
        <v>17890.146965535336</v>
      </c>
      <c r="N21" s="219">
        <f>+'Payroll Summary'!J49</f>
        <v>0</v>
      </c>
      <c r="O21" s="219">
        <f>+'Payroll Summary'!K49</f>
        <v>1644.5241999999996</v>
      </c>
      <c r="P21" s="219">
        <f>+'Payroll Summary'!L49</f>
        <v>0</v>
      </c>
      <c r="Q21" s="219">
        <f>+'Payroll Summary'!M49</f>
        <v>4911.0207356371511</v>
      </c>
      <c r="R21" s="220"/>
      <c r="S21" s="220"/>
      <c r="T21" s="220"/>
      <c r="U21" s="219">
        <f t="shared" si="0"/>
        <v>295917.36650000833</v>
      </c>
    </row>
    <row r="22" spans="1:21" x14ac:dyDescent="0.75">
      <c r="A22" s="217"/>
      <c r="B22" s="217"/>
      <c r="C22" s="217" t="s">
        <v>1309</v>
      </c>
      <c r="D22" s="218">
        <v>2900</v>
      </c>
      <c r="E22" s="218" t="s">
        <v>1637</v>
      </c>
      <c r="F22" s="488"/>
      <c r="G22" s="219">
        <f>+'Payroll Summary'!C50</f>
        <v>28800</v>
      </c>
      <c r="H22" s="219">
        <f>+'Payroll Summary'!D50</f>
        <v>0</v>
      </c>
      <c r="I22" s="219">
        <f>+'Payroll Summary'!E50</f>
        <v>0</v>
      </c>
      <c r="J22" s="219">
        <f>+'Payroll Summary'!F50</f>
        <v>0</v>
      </c>
      <c r="K22" s="219">
        <f>+'Payroll Summary'!G50</f>
        <v>0</v>
      </c>
      <c r="L22" s="219">
        <f>+'Payroll Summary'!H50</f>
        <v>0</v>
      </c>
      <c r="M22" s="219">
        <f>+'Payroll Summary'!I50</f>
        <v>2203.2000000000003</v>
      </c>
      <c r="N22" s="219">
        <f>+'Payroll Summary'!J50</f>
        <v>0</v>
      </c>
      <c r="O22" s="219">
        <f>+'Payroll Summary'!K50</f>
        <v>1362</v>
      </c>
      <c r="P22" s="219">
        <f>+'Payroll Summary'!L50</f>
        <v>0</v>
      </c>
      <c r="Q22" s="219">
        <f>+'Payroll Summary'!M50</f>
        <v>604.80000000000007</v>
      </c>
      <c r="R22" s="220"/>
      <c r="S22" s="220"/>
      <c r="T22" s="220"/>
      <c r="U22" s="219">
        <f t="shared" si="0"/>
        <v>32970</v>
      </c>
    </row>
    <row r="23" spans="1:21" x14ac:dyDescent="0.75">
      <c r="A23" s="217"/>
      <c r="B23" s="217"/>
      <c r="C23" s="217" t="s">
        <v>1181</v>
      </c>
      <c r="D23" s="218">
        <v>1100</v>
      </c>
      <c r="E23" s="218" t="s">
        <v>1636</v>
      </c>
      <c r="F23" s="488"/>
      <c r="G23" s="219">
        <f>+'Payroll Summary'!C23</f>
        <v>2714962.9578543818</v>
      </c>
      <c r="H23" s="219">
        <f>+'Payroll Summary'!D23</f>
        <v>305034.34728600015</v>
      </c>
      <c r="I23" s="219">
        <f>+'Payroll Summary'!E23</f>
        <v>0</v>
      </c>
      <c r="J23" s="219">
        <f>+'Payroll Summary'!F23</f>
        <v>518557.92495018762</v>
      </c>
      <c r="K23" s="219">
        <f>+'Payroll Summary'!G23</f>
        <v>0</v>
      </c>
      <c r="L23" s="219">
        <f>+'Payroll Summary'!H23</f>
        <v>39366.962888888571</v>
      </c>
      <c r="M23" s="219">
        <f>+'Payroll Summary'!I23</f>
        <v>0</v>
      </c>
      <c r="N23" s="219">
        <f>+'Payroll Summary'!J23</f>
        <v>16059.342000000021</v>
      </c>
      <c r="O23" s="219">
        <f>+'Payroll Summary'!K23</f>
        <v>0</v>
      </c>
      <c r="P23" s="219">
        <f>+'Payroll Summary'!L23</f>
        <v>57014.222114942007</v>
      </c>
      <c r="Q23" s="219">
        <f>+'Payroll Summary'!M23</f>
        <v>0</v>
      </c>
      <c r="R23" s="220"/>
      <c r="S23" s="220"/>
      <c r="T23" s="220"/>
      <c r="U23" s="219">
        <f>SUM(G23:T23)</f>
        <v>3650995.7570944</v>
      </c>
    </row>
    <row r="24" spans="1:21" x14ac:dyDescent="0.75">
      <c r="A24" s="217"/>
      <c r="B24" s="217"/>
      <c r="C24" s="217" t="s">
        <v>1618</v>
      </c>
      <c r="D24" s="218">
        <v>1120</v>
      </c>
      <c r="E24" s="218" t="s">
        <v>1636</v>
      </c>
      <c r="F24" s="488"/>
      <c r="G24" s="219">
        <f>+'Payroll Summary'!C24</f>
        <v>0</v>
      </c>
      <c r="H24" s="219">
        <f>+'Payroll Summary'!D24</f>
        <v>0</v>
      </c>
      <c r="I24" s="219">
        <f>+'Payroll Summary'!E24</f>
        <v>0</v>
      </c>
      <c r="J24" s="219">
        <f>+'Payroll Summary'!F24</f>
        <v>0</v>
      </c>
      <c r="K24" s="219">
        <f>+'Payroll Summary'!G24</f>
        <v>0</v>
      </c>
      <c r="L24" s="219">
        <f>+'Payroll Summary'!H24</f>
        <v>0</v>
      </c>
      <c r="M24" s="219">
        <f>+'Payroll Summary'!I24</f>
        <v>0</v>
      </c>
      <c r="N24" s="219">
        <f>+'Payroll Summary'!J24</f>
        <v>0</v>
      </c>
      <c r="O24" s="219">
        <f>+'Payroll Summary'!K24</f>
        <v>0</v>
      </c>
      <c r="P24" s="219">
        <f>+'Payroll Summary'!L24</f>
        <v>0</v>
      </c>
      <c r="Q24" s="219">
        <f>+'Payroll Summary'!M24</f>
        <v>0</v>
      </c>
      <c r="R24" s="220"/>
      <c r="S24" s="220"/>
      <c r="T24" s="220"/>
      <c r="U24" s="219">
        <f t="shared" si="0"/>
        <v>0</v>
      </c>
    </row>
    <row r="25" spans="1:21" x14ac:dyDescent="0.75">
      <c r="A25" s="217"/>
      <c r="B25" s="217"/>
      <c r="C25" s="217" t="s">
        <v>1302</v>
      </c>
      <c r="D25" s="218">
        <v>1200</v>
      </c>
      <c r="E25" s="218" t="s">
        <v>1636</v>
      </c>
      <c r="F25" s="488"/>
      <c r="G25" s="219">
        <f>+'Payroll Summary'!C25</f>
        <v>297296.27073651704</v>
      </c>
      <c r="H25" s="219">
        <f>+'Payroll Summary'!D25</f>
        <v>34774.379999999997</v>
      </c>
      <c r="I25" s="219">
        <f>+'Payroll Summary'!E25</f>
        <v>0</v>
      </c>
      <c r="J25" s="219">
        <f>+'Payroll Summary'!F25</f>
        <v>56783.58771067475</v>
      </c>
      <c r="K25" s="219">
        <f>+'Payroll Summary'!G25</f>
        <v>0</v>
      </c>
      <c r="L25" s="219">
        <f>+'Payroll Summary'!H25</f>
        <v>4310.7959256794957</v>
      </c>
      <c r="M25" s="219">
        <f>+'Payroll Summary'!I25</f>
        <v>0</v>
      </c>
      <c r="N25" s="219">
        <f>+'Payroll Summary'!J25</f>
        <v>1482.4008000000001</v>
      </c>
      <c r="O25" s="219">
        <f>+'Payroll Summary'!K25</f>
        <v>0</v>
      </c>
      <c r="P25" s="219">
        <f>+'Payroll Summary'!L25</f>
        <v>6243.2216854668568</v>
      </c>
      <c r="Q25" s="219">
        <f>+'Payroll Summary'!M25</f>
        <v>0</v>
      </c>
      <c r="R25" s="220"/>
      <c r="S25" s="220"/>
      <c r="T25" s="220"/>
      <c r="U25" s="219">
        <f t="shared" si="0"/>
        <v>400890.65685833816</v>
      </c>
    </row>
    <row r="26" spans="1:21" x14ac:dyDescent="0.75">
      <c r="A26" s="217"/>
      <c r="B26" s="217"/>
      <c r="C26" s="217" t="s">
        <v>1303</v>
      </c>
      <c r="D26" s="218">
        <v>1300</v>
      </c>
      <c r="E26" s="218" t="s">
        <v>1636</v>
      </c>
      <c r="F26" s="488"/>
      <c r="G26" s="219">
        <f>+'Payroll Summary'!C26</f>
        <v>502311.0377958449</v>
      </c>
      <c r="H26" s="219">
        <f>+'Payroll Summary'!D26</f>
        <v>29241.340781999999</v>
      </c>
      <c r="I26" s="219">
        <f>+'Payroll Summary'!E26</f>
        <v>1550.97</v>
      </c>
      <c r="J26" s="219">
        <f>+'Payroll Summary'!F26</f>
        <v>95941.408219006349</v>
      </c>
      <c r="K26" s="219">
        <f>+'Payroll Summary'!G26</f>
        <v>0</v>
      </c>
      <c r="L26" s="219">
        <f>+'Payroll Summary'!H26</f>
        <v>7283.5100480397496</v>
      </c>
      <c r="M26" s="219">
        <f>+'Payroll Summary'!I26</f>
        <v>0</v>
      </c>
      <c r="N26" s="219">
        <f>+'Payroll Summary'!J26</f>
        <v>1853.0010000000002</v>
      </c>
      <c r="O26" s="219">
        <f>+'Payroll Summary'!K26</f>
        <v>0</v>
      </c>
      <c r="P26" s="219">
        <f>+'Payroll Summary'!L26</f>
        <v>10548.531793712742</v>
      </c>
      <c r="Q26" s="219">
        <f>+'Payroll Summary'!M26</f>
        <v>0</v>
      </c>
      <c r="R26" s="220"/>
      <c r="S26" s="220"/>
      <c r="T26" s="220"/>
      <c r="U26" s="219">
        <f t="shared" si="0"/>
        <v>648729.79963860381</v>
      </c>
    </row>
    <row r="27" spans="1:21" x14ac:dyDescent="0.75">
      <c r="A27" s="217"/>
      <c r="B27" s="217"/>
      <c r="C27" s="217" t="s">
        <v>1304</v>
      </c>
      <c r="D27" s="218">
        <v>1900</v>
      </c>
      <c r="E27" s="218" t="s">
        <v>1636</v>
      </c>
      <c r="F27" s="488"/>
      <c r="G27" s="219">
        <f>+'Payroll Summary'!C27</f>
        <v>0</v>
      </c>
      <c r="H27" s="219">
        <f>+'Payroll Summary'!D27</f>
        <v>0</v>
      </c>
      <c r="I27" s="219">
        <f>+'Payroll Summary'!E27</f>
        <v>0</v>
      </c>
      <c r="J27" s="219">
        <f>+'Payroll Summary'!F27</f>
        <v>0</v>
      </c>
      <c r="K27" s="219">
        <f>+'Payroll Summary'!G27</f>
        <v>0</v>
      </c>
      <c r="L27" s="219">
        <f>+'Payroll Summary'!H27</f>
        <v>0</v>
      </c>
      <c r="M27" s="219">
        <f>+'Payroll Summary'!I27</f>
        <v>0</v>
      </c>
      <c r="N27" s="219">
        <f>+'Payroll Summary'!J27</f>
        <v>0</v>
      </c>
      <c r="O27" s="219">
        <f>+'Payroll Summary'!K27</f>
        <v>0</v>
      </c>
      <c r="P27" s="219">
        <f>+'Payroll Summary'!L27</f>
        <v>0</v>
      </c>
      <c r="Q27" s="219">
        <f>+'Payroll Summary'!M27</f>
        <v>0</v>
      </c>
      <c r="R27" s="220"/>
      <c r="S27" s="220"/>
      <c r="T27" s="220"/>
      <c r="U27" s="219">
        <f t="shared" si="0"/>
        <v>0</v>
      </c>
    </row>
    <row r="28" spans="1:21" x14ac:dyDescent="0.75">
      <c r="A28" s="217"/>
      <c r="B28" s="217"/>
      <c r="C28" s="217" t="s">
        <v>1305</v>
      </c>
      <c r="D28" s="218">
        <v>2100</v>
      </c>
      <c r="E28" s="218" t="s">
        <v>1636</v>
      </c>
      <c r="F28" s="488"/>
      <c r="G28" s="219">
        <f>+'Payroll Summary'!C28</f>
        <v>98817.933703223796</v>
      </c>
      <c r="H28" s="219">
        <f>+'Payroll Summary'!D28</f>
        <v>0</v>
      </c>
      <c r="I28" s="219">
        <f>+'Payroll Summary'!E28</f>
        <v>7182.8958000000002</v>
      </c>
      <c r="J28" s="219">
        <f>+'Payroll Summary'!F28</f>
        <v>0</v>
      </c>
      <c r="K28" s="219">
        <f>+'Payroll Summary'!G28</f>
        <v>0</v>
      </c>
      <c r="L28" s="219">
        <f>+'Payroll Summary'!H28</f>
        <v>0</v>
      </c>
      <c r="M28" s="219">
        <f>+'Payroll Summary'!I28</f>
        <v>7559.5719282966202</v>
      </c>
      <c r="N28" s="219">
        <f>+'Payroll Summary'!J28</f>
        <v>0</v>
      </c>
      <c r="O28" s="219">
        <f>+'Payroll Summary'!K28</f>
        <v>864.73380000000009</v>
      </c>
      <c r="P28" s="219">
        <f>+'Payroll Summary'!L28</f>
        <v>0</v>
      </c>
      <c r="Q28" s="219">
        <f>+'Payroll Summary'!M28</f>
        <v>2075.1766077676998</v>
      </c>
      <c r="R28" s="220"/>
      <c r="S28" s="220"/>
      <c r="T28" s="220"/>
      <c r="U28" s="219">
        <f t="shared" si="0"/>
        <v>116500.31183928812</v>
      </c>
    </row>
    <row r="29" spans="1:21" x14ac:dyDescent="0.75">
      <c r="A29" s="217"/>
      <c r="B29" s="217"/>
      <c r="C29" s="217" t="s">
        <v>1306</v>
      </c>
      <c r="D29" s="218">
        <v>2200</v>
      </c>
      <c r="E29" s="218" t="s">
        <v>1636</v>
      </c>
      <c r="F29" s="488"/>
      <c r="G29" s="219">
        <f>+'Payroll Summary'!C29</f>
        <v>439553.91358576709</v>
      </c>
      <c r="H29" s="219">
        <f>+'Payroll Summary'!D29</f>
        <v>0</v>
      </c>
      <c r="I29" s="219">
        <f>+'Payroll Summary'!E29</f>
        <v>57794.040000000015</v>
      </c>
      <c r="J29" s="219">
        <f>+'Payroll Summary'!F29</f>
        <v>0</v>
      </c>
      <c r="K29" s="219">
        <f>+'Payroll Summary'!G29</f>
        <v>10784.590986000001</v>
      </c>
      <c r="L29" s="219">
        <f>+'Payroll Summary'!H29</f>
        <v>0</v>
      </c>
      <c r="M29" s="219">
        <f>+'Payroll Summary'!I29</f>
        <v>33625.87438931119</v>
      </c>
      <c r="N29" s="219">
        <f>+'Payroll Summary'!J29</f>
        <v>0</v>
      </c>
      <c r="O29" s="219">
        <f>+'Payroll Summary'!K29</f>
        <v>2594.2013999999995</v>
      </c>
      <c r="P29" s="219">
        <f>+'Payroll Summary'!L29</f>
        <v>0</v>
      </c>
      <c r="Q29" s="219">
        <f>+'Payroll Summary'!M29</f>
        <v>9230.6321853011086</v>
      </c>
      <c r="R29" s="220"/>
      <c r="S29" s="220"/>
      <c r="T29" s="220"/>
      <c r="U29" s="219">
        <f t="shared" si="0"/>
        <v>553583.25254637958</v>
      </c>
    </row>
    <row r="30" spans="1:21" x14ac:dyDescent="0.75">
      <c r="A30" s="217"/>
      <c r="B30" s="217"/>
      <c r="C30" s="217" t="s">
        <v>1307</v>
      </c>
      <c r="D30" s="218">
        <v>2300</v>
      </c>
      <c r="E30" s="218" t="s">
        <v>1636</v>
      </c>
      <c r="F30" s="488"/>
      <c r="G30" s="219">
        <f>+'Payroll Summary'!C30</f>
        <v>159832.62259388668</v>
      </c>
      <c r="H30" s="219">
        <f>+'Payroll Summary'!D30</f>
        <v>0</v>
      </c>
      <c r="I30" s="219">
        <f>+'Payroll Summary'!E30</f>
        <v>15447.3891</v>
      </c>
      <c r="J30" s="219">
        <f>+'Payroll Summary'!F30</f>
        <v>0</v>
      </c>
      <c r="K30" s="219">
        <f>+'Payroll Summary'!G30</f>
        <v>10661.150909659944</v>
      </c>
      <c r="L30" s="219">
        <f>+'Payroll Summary'!H30</f>
        <v>0</v>
      </c>
      <c r="M30" s="219">
        <f>+'Payroll Summary'!I30</f>
        <v>12227.19562843233</v>
      </c>
      <c r="N30" s="219">
        <f>+'Payroll Summary'!J30</f>
        <v>0</v>
      </c>
      <c r="O30" s="219">
        <f>+'Payroll Summary'!K30</f>
        <v>617.66700000000003</v>
      </c>
      <c r="P30" s="219">
        <f>+'Payroll Summary'!L30</f>
        <v>0</v>
      </c>
      <c r="Q30" s="219">
        <f>+'Payroll Summary'!M30</f>
        <v>3356.48507447162</v>
      </c>
      <c r="R30" s="220"/>
      <c r="S30" s="220"/>
      <c r="T30" s="220"/>
      <c r="U30" s="219">
        <f t="shared" si="0"/>
        <v>202142.51030645057</v>
      </c>
    </row>
    <row r="31" spans="1:21" x14ac:dyDescent="0.75">
      <c r="A31" s="217"/>
      <c r="B31" s="217"/>
      <c r="C31" s="217" t="s">
        <v>1308</v>
      </c>
      <c r="D31" s="218">
        <v>2400</v>
      </c>
      <c r="E31" s="218" t="s">
        <v>1636</v>
      </c>
      <c r="F31" s="488"/>
      <c r="G31" s="219">
        <f>+'Payroll Summary'!C31</f>
        <v>193236.55404203272</v>
      </c>
      <c r="H31" s="219">
        <f>+'Payroll Summary'!D31</f>
        <v>0</v>
      </c>
      <c r="I31" s="219">
        <f>+'Payroll Summary'!E31</f>
        <v>28386.016199999998</v>
      </c>
      <c r="J31" s="219">
        <f>+'Payroll Summary'!F31</f>
        <v>0</v>
      </c>
      <c r="K31" s="219">
        <f>+'Payroll Summary'!G31</f>
        <v>2693.9880887999998</v>
      </c>
      <c r="L31" s="219">
        <f>+'Payroll Summary'!H31</f>
        <v>0</v>
      </c>
      <c r="M31" s="219">
        <f>+'Payroll Summary'!I31</f>
        <v>14782.596384215503</v>
      </c>
      <c r="N31" s="219">
        <f>+'Payroll Summary'!J31</f>
        <v>0</v>
      </c>
      <c r="O31" s="219">
        <f>+'Payroll Summary'!K31</f>
        <v>1358.8674000000001</v>
      </c>
      <c r="P31" s="219">
        <f>+'Payroll Summary'!L31</f>
        <v>0</v>
      </c>
      <c r="Q31" s="219">
        <f>+'Payroll Summary'!M31</f>
        <v>4057.967634882687</v>
      </c>
      <c r="R31" s="220"/>
      <c r="S31" s="220"/>
      <c r="T31" s="220"/>
      <c r="U31" s="219">
        <f>SUM(G31:T31)</f>
        <v>244515.98974993089</v>
      </c>
    </row>
    <row r="32" spans="1:21" x14ac:dyDescent="0.75">
      <c r="A32" s="217"/>
      <c r="B32" s="217"/>
      <c r="C32" s="217" t="s">
        <v>1309</v>
      </c>
      <c r="D32" s="218">
        <v>2900</v>
      </c>
      <c r="E32" s="218" t="s">
        <v>1636</v>
      </c>
      <c r="F32" s="488"/>
      <c r="G32" s="219">
        <f>+'Payroll Summary'!C32</f>
        <v>0</v>
      </c>
      <c r="H32" s="219">
        <f>+'Payroll Summary'!D32</f>
        <v>0</v>
      </c>
      <c r="I32" s="219">
        <f>+'Payroll Summary'!E32</f>
        <v>0</v>
      </c>
      <c r="J32" s="219">
        <f>+'Payroll Summary'!F32</f>
        <v>0</v>
      </c>
      <c r="K32" s="219">
        <f>+'Payroll Summary'!G32</f>
        <v>0</v>
      </c>
      <c r="L32" s="219">
        <f>+'Payroll Summary'!H32</f>
        <v>0</v>
      </c>
      <c r="M32" s="219">
        <f>+'Payroll Summary'!I32</f>
        <v>0</v>
      </c>
      <c r="N32" s="219">
        <f>+'Payroll Summary'!J32</f>
        <v>0</v>
      </c>
      <c r="O32" s="219">
        <f>+'Payroll Summary'!K32</f>
        <v>0</v>
      </c>
      <c r="P32" s="219">
        <f>+'Payroll Summary'!L32</f>
        <v>0</v>
      </c>
      <c r="Q32" s="219">
        <f>+'Payroll Summary'!M32</f>
        <v>0</v>
      </c>
      <c r="R32" s="220"/>
      <c r="S32" s="220"/>
      <c r="T32" s="220"/>
      <c r="U32" s="219">
        <f t="shared" si="0"/>
        <v>0</v>
      </c>
    </row>
    <row r="33" spans="1:21" hidden="1" outlineLevel="1" x14ac:dyDescent="0.75">
      <c r="A33" s="217"/>
      <c r="B33" s="217"/>
      <c r="C33" s="217"/>
      <c r="D33" s="218"/>
      <c r="E33" s="218"/>
      <c r="F33" s="221"/>
      <c r="G33" s="219"/>
      <c r="H33" s="219"/>
      <c r="I33" s="219"/>
      <c r="J33" s="219"/>
      <c r="K33" s="219"/>
      <c r="L33" s="219"/>
      <c r="M33" s="219"/>
      <c r="N33" s="219"/>
      <c r="O33" s="219"/>
      <c r="P33" s="219"/>
      <c r="Q33" s="219"/>
      <c r="R33" s="220"/>
      <c r="S33" s="220"/>
      <c r="T33" s="220"/>
      <c r="U33" s="219">
        <f t="shared" si="0"/>
        <v>0</v>
      </c>
    </row>
    <row r="34" spans="1:21" hidden="1" outlineLevel="1" x14ac:dyDescent="0.75">
      <c r="A34" s="217"/>
      <c r="B34" s="217"/>
      <c r="C34" s="217"/>
      <c r="D34" s="218"/>
      <c r="E34" s="218"/>
      <c r="F34" s="221"/>
      <c r="G34" s="219"/>
      <c r="H34" s="219"/>
      <c r="I34" s="219"/>
      <c r="J34" s="219"/>
      <c r="K34" s="219"/>
      <c r="L34" s="219"/>
      <c r="M34" s="219"/>
      <c r="N34" s="219"/>
      <c r="O34" s="219"/>
      <c r="P34" s="219"/>
      <c r="Q34" s="219"/>
      <c r="R34" s="220"/>
      <c r="S34" s="220"/>
      <c r="T34" s="220"/>
      <c r="U34" s="219">
        <f t="shared" si="0"/>
        <v>0</v>
      </c>
    </row>
    <row r="35" spans="1:21" hidden="1" outlineLevel="1" x14ac:dyDescent="0.75">
      <c r="A35" s="217"/>
      <c r="B35" s="217"/>
      <c r="C35" s="217"/>
      <c r="D35" s="218"/>
      <c r="E35" s="218"/>
      <c r="F35" s="221"/>
      <c r="G35" s="219"/>
      <c r="H35" s="219"/>
      <c r="I35" s="219"/>
      <c r="J35" s="219"/>
      <c r="K35" s="219"/>
      <c r="L35" s="219"/>
      <c r="M35" s="219"/>
      <c r="N35" s="219"/>
      <c r="O35" s="219"/>
      <c r="P35" s="219"/>
      <c r="Q35" s="219"/>
      <c r="R35" s="220"/>
      <c r="S35" s="220"/>
      <c r="T35" s="220"/>
      <c r="U35" s="219">
        <f t="shared" ref="U35:U65" si="1">SUM(G35:T35)</f>
        <v>0</v>
      </c>
    </row>
    <row r="36" spans="1:21" hidden="1" outlineLevel="1" x14ac:dyDescent="0.75">
      <c r="A36" s="217"/>
      <c r="B36" s="217"/>
      <c r="C36" s="217"/>
      <c r="D36" s="218"/>
      <c r="E36" s="218"/>
      <c r="F36" s="221"/>
      <c r="G36" s="219"/>
      <c r="H36" s="219"/>
      <c r="I36" s="219"/>
      <c r="J36" s="219"/>
      <c r="K36" s="219"/>
      <c r="L36" s="219"/>
      <c r="M36" s="219"/>
      <c r="N36" s="219"/>
      <c r="O36" s="219"/>
      <c r="P36" s="219"/>
      <c r="Q36" s="219"/>
      <c r="R36" s="220"/>
      <c r="S36" s="220"/>
      <c r="T36" s="220"/>
      <c r="U36" s="219">
        <f t="shared" si="1"/>
        <v>0</v>
      </c>
    </row>
    <row r="37" spans="1:21" hidden="1" outlineLevel="1" x14ac:dyDescent="0.75">
      <c r="A37" s="217"/>
      <c r="B37" s="217"/>
      <c r="C37" s="217"/>
      <c r="D37" s="218"/>
      <c r="E37" s="218"/>
      <c r="F37" s="221"/>
      <c r="G37" s="219"/>
      <c r="H37" s="219"/>
      <c r="I37" s="219"/>
      <c r="J37" s="219"/>
      <c r="K37" s="219"/>
      <c r="L37" s="219"/>
      <c r="M37" s="219"/>
      <c r="N37" s="219"/>
      <c r="O37" s="219"/>
      <c r="P37" s="219"/>
      <c r="Q37" s="219"/>
      <c r="R37" s="220"/>
      <c r="S37" s="220"/>
      <c r="T37" s="220"/>
      <c r="U37" s="219">
        <f t="shared" si="1"/>
        <v>0</v>
      </c>
    </row>
    <row r="38" spans="1:21" hidden="1" outlineLevel="1" x14ac:dyDescent="0.75">
      <c r="A38" s="217"/>
      <c r="B38" s="217"/>
      <c r="C38" s="217"/>
      <c r="D38" s="218"/>
      <c r="E38" s="218"/>
      <c r="F38" s="221"/>
      <c r="G38" s="219"/>
      <c r="H38" s="219"/>
      <c r="I38" s="219"/>
      <c r="J38" s="219"/>
      <c r="K38" s="219"/>
      <c r="L38" s="219"/>
      <c r="M38" s="219"/>
      <c r="N38" s="219"/>
      <c r="O38" s="219"/>
      <c r="P38" s="219"/>
      <c r="Q38" s="219"/>
      <c r="R38" s="220"/>
      <c r="S38" s="220"/>
      <c r="T38" s="220"/>
      <c r="U38" s="219">
        <f t="shared" si="1"/>
        <v>0</v>
      </c>
    </row>
    <row r="39" spans="1:21" hidden="1" outlineLevel="1" x14ac:dyDescent="0.75">
      <c r="A39" s="217"/>
      <c r="B39" s="217"/>
      <c r="C39" s="217"/>
      <c r="D39" s="218"/>
      <c r="E39" s="218"/>
      <c r="F39" s="221"/>
      <c r="G39" s="219"/>
      <c r="H39" s="219"/>
      <c r="I39" s="219"/>
      <c r="J39" s="219"/>
      <c r="K39" s="219"/>
      <c r="L39" s="219"/>
      <c r="M39" s="219"/>
      <c r="N39" s="219"/>
      <c r="O39" s="219"/>
      <c r="P39" s="219"/>
      <c r="Q39" s="219"/>
      <c r="R39" s="220"/>
      <c r="S39" s="220"/>
      <c r="T39" s="220"/>
      <c r="U39" s="219">
        <f t="shared" si="1"/>
        <v>0</v>
      </c>
    </row>
    <row r="40" spans="1:21" hidden="1" outlineLevel="1" x14ac:dyDescent="0.75">
      <c r="A40" s="217"/>
      <c r="B40" s="217"/>
      <c r="C40" s="217"/>
      <c r="D40" s="218"/>
      <c r="E40" s="218"/>
      <c r="F40" s="221"/>
      <c r="G40" s="219"/>
      <c r="H40" s="219"/>
      <c r="I40" s="219"/>
      <c r="J40" s="219"/>
      <c r="K40" s="219"/>
      <c r="L40" s="219"/>
      <c r="M40" s="219"/>
      <c r="N40" s="219"/>
      <c r="O40" s="219"/>
      <c r="P40" s="219"/>
      <c r="Q40" s="219"/>
      <c r="R40" s="220"/>
      <c r="S40" s="220"/>
      <c r="T40" s="220"/>
      <c r="U40" s="219">
        <f t="shared" si="1"/>
        <v>0</v>
      </c>
    </row>
    <row r="41" spans="1:21" hidden="1" outlineLevel="1" x14ac:dyDescent="0.75">
      <c r="A41" s="217"/>
      <c r="B41" s="217"/>
      <c r="C41" s="217"/>
      <c r="D41" s="218"/>
      <c r="E41" s="218"/>
      <c r="F41" s="218"/>
      <c r="G41" s="219"/>
      <c r="H41" s="219"/>
      <c r="I41" s="219"/>
      <c r="J41" s="219"/>
      <c r="K41" s="219"/>
      <c r="L41" s="219"/>
      <c r="M41" s="219"/>
      <c r="N41" s="219"/>
      <c r="O41" s="219"/>
      <c r="P41" s="219"/>
      <c r="Q41" s="219"/>
      <c r="R41" s="220"/>
      <c r="S41" s="220"/>
      <c r="T41" s="220"/>
      <c r="U41" s="219">
        <f t="shared" si="1"/>
        <v>0</v>
      </c>
    </row>
    <row r="42" spans="1:21" hidden="1" outlineLevel="1" x14ac:dyDescent="0.75">
      <c r="A42" s="217"/>
      <c r="B42" s="217"/>
      <c r="C42" s="217"/>
      <c r="D42" s="218"/>
      <c r="E42" s="218"/>
      <c r="F42" s="218"/>
      <c r="G42" s="219"/>
      <c r="H42" s="219"/>
      <c r="I42" s="219"/>
      <c r="J42" s="219"/>
      <c r="K42" s="219"/>
      <c r="L42" s="219"/>
      <c r="M42" s="219"/>
      <c r="N42" s="219"/>
      <c r="O42" s="219"/>
      <c r="P42" s="219"/>
      <c r="Q42" s="219"/>
      <c r="R42" s="220"/>
      <c r="S42" s="220"/>
      <c r="T42" s="220"/>
      <c r="U42" s="219">
        <f t="shared" si="1"/>
        <v>0</v>
      </c>
    </row>
    <row r="43" spans="1:21" hidden="1" outlineLevel="1" x14ac:dyDescent="0.75">
      <c r="A43" s="217"/>
      <c r="B43" s="217"/>
      <c r="C43" s="217"/>
      <c r="D43" s="218"/>
      <c r="E43" s="218"/>
      <c r="F43" s="218"/>
      <c r="G43" s="219"/>
      <c r="H43" s="219"/>
      <c r="I43" s="219"/>
      <c r="J43" s="219"/>
      <c r="K43" s="219"/>
      <c r="L43" s="219"/>
      <c r="M43" s="219"/>
      <c r="N43" s="219"/>
      <c r="O43" s="219"/>
      <c r="P43" s="219"/>
      <c r="Q43" s="219"/>
      <c r="R43" s="220"/>
      <c r="S43" s="220"/>
      <c r="T43" s="220"/>
      <c r="U43" s="219">
        <f t="shared" si="1"/>
        <v>0</v>
      </c>
    </row>
    <row r="44" spans="1:21" hidden="1" outlineLevel="1" x14ac:dyDescent="0.75">
      <c r="A44" s="217"/>
      <c r="B44" s="217"/>
      <c r="C44" s="217"/>
      <c r="D44" s="218"/>
      <c r="E44" s="218"/>
      <c r="F44" s="218"/>
      <c r="G44" s="219"/>
      <c r="H44" s="219"/>
      <c r="I44" s="219"/>
      <c r="J44" s="219"/>
      <c r="K44" s="219"/>
      <c r="L44" s="219"/>
      <c r="M44" s="219"/>
      <c r="N44" s="219"/>
      <c r="O44" s="219"/>
      <c r="P44" s="219"/>
      <c r="Q44" s="219"/>
      <c r="R44" s="220"/>
      <c r="S44" s="220"/>
      <c r="T44" s="220"/>
      <c r="U44" s="219">
        <f t="shared" si="1"/>
        <v>0</v>
      </c>
    </row>
    <row r="45" spans="1:21" hidden="1" outlineLevel="1" x14ac:dyDescent="0.75">
      <c r="A45" s="217"/>
      <c r="B45" s="217"/>
      <c r="C45" s="217"/>
      <c r="D45" s="218"/>
      <c r="E45" s="218"/>
      <c r="F45" s="218"/>
      <c r="G45" s="219"/>
      <c r="H45" s="219"/>
      <c r="I45" s="219"/>
      <c r="J45" s="219"/>
      <c r="K45" s="219"/>
      <c r="L45" s="219"/>
      <c r="M45" s="219"/>
      <c r="N45" s="219"/>
      <c r="O45" s="219"/>
      <c r="P45" s="219"/>
      <c r="Q45" s="219"/>
      <c r="R45" s="220"/>
      <c r="S45" s="220"/>
      <c r="T45" s="220"/>
      <c r="U45" s="219">
        <f t="shared" si="1"/>
        <v>0</v>
      </c>
    </row>
    <row r="46" spans="1:21" hidden="1" outlineLevel="1" x14ac:dyDescent="0.75">
      <c r="A46" s="217"/>
      <c r="B46" s="217"/>
      <c r="C46" s="217"/>
      <c r="D46" s="218"/>
      <c r="E46" s="218"/>
      <c r="F46" s="218"/>
      <c r="G46" s="219"/>
      <c r="H46" s="219"/>
      <c r="I46" s="219"/>
      <c r="J46" s="219"/>
      <c r="K46" s="219"/>
      <c r="L46" s="219"/>
      <c r="M46" s="219"/>
      <c r="N46" s="219"/>
      <c r="O46" s="219"/>
      <c r="P46" s="219"/>
      <c r="Q46" s="219"/>
      <c r="R46" s="220"/>
      <c r="S46" s="220"/>
      <c r="T46" s="220"/>
      <c r="U46" s="219">
        <f t="shared" si="1"/>
        <v>0</v>
      </c>
    </row>
    <row r="47" spans="1:21" hidden="1" outlineLevel="1" x14ac:dyDescent="0.75">
      <c r="A47" s="217"/>
      <c r="B47" s="217"/>
      <c r="C47" s="217"/>
      <c r="D47" s="218"/>
      <c r="E47" s="218"/>
      <c r="F47" s="218"/>
      <c r="G47" s="219"/>
      <c r="H47" s="219"/>
      <c r="I47" s="219"/>
      <c r="J47" s="219"/>
      <c r="K47" s="219"/>
      <c r="L47" s="219"/>
      <c r="M47" s="219"/>
      <c r="N47" s="219"/>
      <c r="O47" s="219"/>
      <c r="P47" s="219"/>
      <c r="Q47" s="219"/>
      <c r="R47" s="220"/>
      <c r="S47" s="220"/>
      <c r="T47" s="220"/>
      <c r="U47" s="219">
        <f t="shared" si="1"/>
        <v>0</v>
      </c>
    </row>
    <row r="48" spans="1:21" hidden="1" outlineLevel="1" x14ac:dyDescent="0.75">
      <c r="A48" s="217"/>
      <c r="B48" s="217"/>
      <c r="C48" s="217"/>
      <c r="D48" s="218"/>
      <c r="E48" s="218"/>
      <c r="F48" s="218"/>
      <c r="G48" s="219"/>
      <c r="H48" s="219"/>
      <c r="I48" s="219"/>
      <c r="J48" s="219"/>
      <c r="K48" s="219"/>
      <c r="L48" s="219"/>
      <c r="M48" s="219"/>
      <c r="N48" s="219"/>
      <c r="O48" s="219"/>
      <c r="P48" s="219"/>
      <c r="Q48" s="219"/>
      <c r="R48" s="220"/>
      <c r="S48" s="220"/>
      <c r="T48" s="220"/>
      <c r="U48" s="219">
        <f t="shared" si="1"/>
        <v>0</v>
      </c>
    </row>
    <row r="49" spans="1:21" hidden="1" outlineLevel="1" x14ac:dyDescent="0.75">
      <c r="A49" s="217"/>
      <c r="B49" s="217"/>
      <c r="C49" s="217"/>
      <c r="D49" s="218"/>
      <c r="E49" s="218"/>
      <c r="F49" s="222"/>
      <c r="G49" s="219"/>
      <c r="H49" s="219"/>
      <c r="I49" s="219"/>
      <c r="J49" s="219"/>
      <c r="K49" s="219"/>
      <c r="L49" s="219"/>
      <c r="M49" s="219"/>
      <c r="N49" s="219"/>
      <c r="O49" s="219"/>
      <c r="P49" s="219"/>
      <c r="Q49" s="219"/>
      <c r="R49" s="220"/>
      <c r="S49" s="220"/>
      <c r="T49" s="220"/>
      <c r="U49" s="219">
        <f t="shared" si="1"/>
        <v>0</v>
      </c>
    </row>
    <row r="50" spans="1:21" hidden="1" outlineLevel="1" x14ac:dyDescent="0.75">
      <c r="A50" s="217"/>
      <c r="B50" s="217"/>
      <c r="C50" s="217"/>
      <c r="D50" s="218"/>
      <c r="E50" s="218"/>
      <c r="F50" s="218"/>
      <c r="G50" s="219"/>
      <c r="H50" s="219"/>
      <c r="I50" s="219"/>
      <c r="J50" s="219"/>
      <c r="K50" s="219"/>
      <c r="L50" s="219"/>
      <c r="M50" s="219"/>
      <c r="N50" s="219"/>
      <c r="O50" s="219"/>
      <c r="P50" s="219"/>
      <c r="Q50" s="219"/>
      <c r="R50" s="220"/>
      <c r="S50" s="220"/>
      <c r="T50" s="220"/>
      <c r="U50" s="219">
        <f t="shared" si="1"/>
        <v>0</v>
      </c>
    </row>
    <row r="51" spans="1:21" hidden="1" outlineLevel="1" x14ac:dyDescent="0.75">
      <c r="A51" s="217"/>
      <c r="B51" s="217"/>
      <c r="C51" s="217"/>
      <c r="D51" s="218"/>
      <c r="E51" s="218"/>
      <c r="F51" s="218"/>
      <c r="G51" s="219"/>
      <c r="H51" s="219"/>
      <c r="I51" s="219"/>
      <c r="J51" s="219"/>
      <c r="K51" s="219"/>
      <c r="L51" s="219"/>
      <c r="M51" s="219"/>
      <c r="N51" s="219"/>
      <c r="O51" s="219"/>
      <c r="P51" s="219"/>
      <c r="Q51" s="219"/>
      <c r="R51" s="220"/>
      <c r="S51" s="220"/>
      <c r="T51" s="220"/>
      <c r="U51" s="219">
        <f t="shared" si="1"/>
        <v>0</v>
      </c>
    </row>
    <row r="52" spans="1:21" hidden="1" outlineLevel="1" x14ac:dyDescent="0.75">
      <c r="A52" s="217"/>
      <c r="B52" s="217"/>
      <c r="C52" s="217"/>
      <c r="D52" s="218"/>
      <c r="E52" s="218"/>
      <c r="F52" s="218"/>
      <c r="G52" s="219"/>
      <c r="H52" s="219"/>
      <c r="I52" s="219"/>
      <c r="J52" s="219"/>
      <c r="K52" s="219"/>
      <c r="L52" s="219"/>
      <c r="M52" s="219"/>
      <c r="N52" s="219"/>
      <c r="O52" s="219"/>
      <c r="P52" s="219"/>
      <c r="Q52" s="219"/>
      <c r="R52" s="220"/>
      <c r="S52" s="220"/>
      <c r="T52" s="220"/>
      <c r="U52" s="219">
        <f t="shared" si="1"/>
        <v>0</v>
      </c>
    </row>
    <row r="53" spans="1:21" hidden="1" outlineLevel="1" x14ac:dyDescent="0.75">
      <c r="A53" s="217"/>
      <c r="B53" s="217"/>
      <c r="C53" s="217"/>
      <c r="D53" s="218"/>
      <c r="E53" s="218"/>
      <c r="F53" s="218"/>
      <c r="G53" s="219"/>
      <c r="H53" s="219"/>
      <c r="I53" s="219"/>
      <c r="J53" s="219"/>
      <c r="K53" s="219"/>
      <c r="L53" s="219"/>
      <c r="M53" s="219"/>
      <c r="N53" s="219"/>
      <c r="O53" s="219"/>
      <c r="P53" s="219"/>
      <c r="Q53" s="219"/>
      <c r="R53" s="220"/>
      <c r="S53" s="220"/>
      <c r="T53" s="220"/>
      <c r="U53" s="219">
        <f t="shared" si="1"/>
        <v>0</v>
      </c>
    </row>
    <row r="54" spans="1:21" hidden="1" outlineLevel="1" x14ac:dyDescent="0.75">
      <c r="A54" s="217"/>
      <c r="B54" s="217"/>
      <c r="C54" s="217"/>
      <c r="D54" s="218"/>
      <c r="E54" s="218"/>
      <c r="F54" s="218"/>
      <c r="G54" s="219"/>
      <c r="H54" s="219"/>
      <c r="I54" s="219"/>
      <c r="J54" s="219"/>
      <c r="K54" s="219"/>
      <c r="L54" s="219"/>
      <c r="M54" s="219"/>
      <c r="N54" s="219"/>
      <c r="O54" s="219"/>
      <c r="P54" s="219"/>
      <c r="Q54" s="219"/>
      <c r="R54" s="220"/>
      <c r="S54" s="220"/>
      <c r="T54" s="220"/>
      <c r="U54" s="219">
        <f t="shared" si="1"/>
        <v>0</v>
      </c>
    </row>
    <row r="55" spans="1:21" hidden="1" outlineLevel="1" x14ac:dyDescent="0.75">
      <c r="A55" s="217"/>
      <c r="B55" s="217"/>
      <c r="C55" s="217"/>
      <c r="D55" s="218"/>
      <c r="E55" s="218"/>
      <c r="F55" s="218"/>
      <c r="G55" s="219"/>
      <c r="H55" s="219"/>
      <c r="I55" s="219"/>
      <c r="J55" s="219"/>
      <c r="K55" s="219"/>
      <c r="L55" s="219"/>
      <c r="M55" s="219"/>
      <c r="N55" s="219"/>
      <c r="O55" s="219"/>
      <c r="P55" s="219"/>
      <c r="Q55" s="219"/>
      <c r="R55" s="220"/>
      <c r="S55" s="220"/>
      <c r="T55" s="220"/>
      <c r="U55" s="219">
        <f t="shared" si="1"/>
        <v>0</v>
      </c>
    </row>
    <row r="56" spans="1:21" hidden="1" outlineLevel="1" x14ac:dyDescent="0.75">
      <c r="A56" s="217"/>
      <c r="B56" s="217"/>
      <c r="C56" s="217"/>
      <c r="D56" s="218"/>
      <c r="E56" s="218"/>
      <c r="F56" s="218"/>
      <c r="G56" s="219"/>
      <c r="H56" s="219"/>
      <c r="I56" s="219"/>
      <c r="J56" s="219"/>
      <c r="K56" s="219"/>
      <c r="L56" s="219"/>
      <c r="M56" s="219"/>
      <c r="N56" s="219"/>
      <c r="O56" s="219"/>
      <c r="P56" s="219"/>
      <c r="Q56" s="219"/>
      <c r="R56" s="220"/>
      <c r="S56" s="220"/>
      <c r="T56" s="220"/>
      <c r="U56" s="219">
        <f t="shared" si="1"/>
        <v>0</v>
      </c>
    </row>
    <row r="57" spans="1:21" hidden="1" outlineLevel="1" x14ac:dyDescent="0.75">
      <c r="A57" s="217"/>
      <c r="B57" s="217"/>
      <c r="C57" s="217"/>
      <c r="D57" s="218"/>
      <c r="E57" s="218"/>
      <c r="F57" s="218"/>
      <c r="G57" s="219"/>
      <c r="H57" s="219"/>
      <c r="I57" s="219"/>
      <c r="J57" s="219"/>
      <c r="K57" s="219"/>
      <c r="L57" s="219"/>
      <c r="M57" s="219"/>
      <c r="N57" s="219"/>
      <c r="O57" s="219"/>
      <c r="P57" s="219"/>
      <c r="Q57" s="219"/>
      <c r="R57" s="220"/>
      <c r="S57" s="220"/>
      <c r="T57" s="220"/>
      <c r="U57" s="219">
        <f t="shared" si="1"/>
        <v>0</v>
      </c>
    </row>
    <row r="58" spans="1:21" hidden="1" outlineLevel="1" x14ac:dyDescent="0.75">
      <c r="A58" s="217"/>
      <c r="B58" s="217"/>
      <c r="C58" s="217"/>
      <c r="D58" s="218"/>
      <c r="E58" s="218"/>
      <c r="F58" s="218"/>
      <c r="G58" s="219"/>
      <c r="H58" s="219"/>
      <c r="I58" s="219"/>
      <c r="J58" s="219"/>
      <c r="K58" s="219"/>
      <c r="L58" s="219"/>
      <c r="M58" s="219"/>
      <c r="N58" s="219"/>
      <c r="O58" s="219"/>
      <c r="P58" s="219"/>
      <c r="Q58" s="219"/>
      <c r="R58" s="220"/>
      <c r="S58" s="220"/>
      <c r="T58" s="220"/>
      <c r="U58" s="219">
        <f t="shared" si="1"/>
        <v>0</v>
      </c>
    </row>
    <row r="59" spans="1:21" hidden="1" outlineLevel="1" x14ac:dyDescent="0.75">
      <c r="A59" s="217"/>
      <c r="B59" s="217"/>
      <c r="C59" s="217"/>
      <c r="D59" s="218"/>
      <c r="E59" s="218"/>
      <c r="F59" s="218"/>
      <c r="G59" s="219"/>
      <c r="H59" s="219"/>
      <c r="I59" s="219"/>
      <c r="J59" s="219"/>
      <c r="K59" s="219"/>
      <c r="L59" s="219"/>
      <c r="M59" s="219"/>
      <c r="N59" s="219"/>
      <c r="O59" s="219"/>
      <c r="P59" s="219"/>
      <c r="Q59" s="219"/>
      <c r="R59" s="220"/>
      <c r="S59" s="220"/>
      <c r="T59" s="220"/>
      <c r="U59" s="219">
        <f t="shared" si="1"/>
        <v>0</v>
      </c>
    </row>
    <row r="60" spans="1:21" hidden="1" outlineLevel="1" x14ac:dyDescent="0.75">
      <c r="A60" s="217"/>
      <c r="B60" s="217"/>
      <c r="C60" s="217"/>
      <c r="D60" s="218"/>
      <c r="E60" s="218"/>
      <c r="F60" s="218"/>
      <c r="G60" s="219"/>
      <c r="H60" s="219"/>
      <c r="I60" s="219"/>
      <c r="J60" s="219"/>
      <c r="K60" s="219"/>
      <c r="L60" s="219"/>
      <c r="M60" s="219"/>
      <c r="N60" s="219"/>
      <c r="O60" s="219"/>
      <c r="P60" s="219"/>
      <c r="Q60" s="219"/>
      <c r="R60" s="220"/>
      <c r="S60" s="220"/>
      <c r="T60" s="220"/>
      <c r="U60" s="219">
        <f t="shared" si="1"/>
        <v>0</v>
      </c>
    </row>
    <row r="61" spans="1:21" hidden="1" outlineLevel="1" x14ac:dyDescent="0.75">
      <c r="A61" s="217"/>
      <c r="B61" s="217"/>
      <c r="C61" s="217"/>
      <c r="D61" s="218"/>
      <c r="E61" s="218"/>
      <c r="F61" s="222"/>
      <c r="G61" s="219"/>
      <c r="H61" s="219"/>
      <c r="I61" s="219"/>
      <c r="J61" s="219"/>
      <c r="K61" s="219"/>
      <c r="L61" s="219"/>
      <c r="M61" s="219"/>
      <c r="N61" s="219"/>
      <c r="O61" s="219"/>
      <c r="P61" s="219"/>
      <c r="Q61" s="219"/>
      <c r="R61" s="220"/>
      <c r="S61" s="220"/>
      <c r="T61" s="220"/>
      <c r="U61" s="219">
        <f t="shared" si="1"/>
        <v>0</v>
      </c>
    </row>
    <row r="62" spans="1:21" hidden="1" outlineLevel="1" x14ac:dyDescent="0.75">
      <c r="A62" s="217"/>
      <c r="B62" s="217"/>
      <c r="C62" s="217"/>
      <c r="D62" s="218"/>
      <c r="E62" s="218"/>
      <c r="F62" s="222"/>
      <c r="G62" s="219"/>
      <c r="H62" s="219"/>
      <c r="I62" s="219"/>
      <c r="J62" s="219"/>
      <c r="K62" s="219"/>
      <c r="L62" s="219"/>
      <c r="M62" s="219"/>
      <c r="N62" s="219"/>
      <c r="O62" s="219"/>
      <c r="P62" s="219"/>
      <c r="Q62" s="219"/>
      <c r="R62" s="220"/>
      <c r="S62" s="220"/>
      <c r="T62" s="220"/>
      <c r="U62" s="219">
        <f t="shared" si="1"/>
        <v>0</v>
      </c>
    </row>
    <row r="63" spans="1:21" hidden="1" outlineLevel="1" x14ac:dyDescent="0.75">
      <c r="A63" s="217"/>
      <c r="B63" s="217"/>
      <c r="C63" s="217"/>
      <c r="D63" s="222"/>
      <c r="E63" s="222"/>
      <c r="F63" s="222"/>
      <c r="G63" s="219"/>
      <c r="H63" s="219"/>
      <c r="I63" s="219"/>
      <c r="J63" s="219"/>
      <c r="K63" s="219"/>
      <c r="L63" s="219"/>
      <c r="M63" s="219"/>
      <c r="N63" s="219"/>
      <c r="O63" s="219"/>
      <c r="P63" s="219"/>
      <c r="Q63" s="219"/>
      <c r="R63" s="220"/>
      <c r="S63" s="220"/>
      <c r="T63" s="220"/>
      <c r="U63" s="219">
        <f t="shared" si="1"/>
        <v>0</v>
      </c>
    </row>
    <row r="64" spans="1:21" hidden="1" outlineLevel="1" x14ac:dyDescent="0.75">
      <c r="A64" s="217"/>
      <c r="B64" s="217"/>
      <c r="D64" s="216"/>
      <c r="E64" s="222"/>
      <c r="F64" s="222"/>
      <c r="G64" s="219"/>
      <c r="H64" s="219"/>
      <c r="I64" s="219"/>
      <c r="J64" s="219"/>
      <c r="K64" s="219"/>
      <c r="L64" s="219"/>
      <c r="M64" s="219"/>
      <c r="N64" s="219"/>
      <c r="O64" s="220"/>
      <c r="P64" s="220"/>
      <c r="Q64" s="220"/>
      <c r="R64" s="220"/>
      <c r="S64" s="220"/>
      <c r="T64" s="220"/>
      <c r="U64" s="219">
        <f t="shared" si="1"/>
        <v>0</v>
      </c>
    </row>
    <row r="65" spans="1:21" hidden="1" outlineLevel="1" x14ac:dyDescent="0.75">
      <c r="A65" s="217"/>
      <c r="B65" s="217"/>
      <c r="C65" s="217"/>
      <c r="D65" s="222"/>
      <c r="E65" s="222"/>
      <c r="F65" s="222"/>
      <c r="G65" s="219"/>
      <c r="H65" s="219"/>
      <c r="I65" s="219"/>
      <c r="J65" s="219"/>
      <c r="K65" s="219"/>
      <c r="L65" s="219"/>
      <c r="M65" s="219"/>
      <c r="N65" s="219"/>
      <c r="O65" s="220"/>
      <c r="P65" s="220"/>
      <c r="Q65" s="220"/>
      <c r="R65" s="220"/>
      <c r="S65" s="220"/>
      <c r="T65" s="220"/>
      <c r="U65" s="219">
        <f t="shared" si="1"/>
        <v>0</v>
      </c>
    </row>
    <row r="66" spans="1:21" ht="15.5" collapsed="1" thickBot="1" x14ac:dyDescent="0.9">
      <c r="A66" s="223"/>
      <c r="B66" s="223"/>
      <c r="C66" s="223"/>
      <c r="D66" s="224"/>
      <c r="E66" s="224"/>
      <c r="F66" s="225">
        <f t="shared" ref="F66:T66" si="2">SUM(F3:F65)</f>
        <v>0</v>
      </c>
      <c r="G66" s="226">
        <f t="shared" si="2"/>
        <v>16863546.93663267</v>
      </c>
      <c r="H66" s="226">
        <f t="shared" si="2"/>
        <v>1447503.08</v>
      </c>
      <c r="I66" s="226">
        <f t="shared" si="2"/>
        <v>405590.99999999994</v>
      </c>
      <c r="J66" s="226">
        <f t="shared" si="2"/>
        <v>2589691.5874633323</v>
      </c>
      <c r="K66" s="226">
        <f t="shared" si="2"/>
        <v>88716.390975597009</v>
      </c>
      <c r="L66" s="226">
        <f t="shared" si="2"/>
        <v>196599.62313203301</v>
      </c>
      <c r="M66" s="226">
        <f t="shared" si="2"/>
        <v>252828.84619719087</v>
      </c>
      <c r="N66" s="226">
        <f t="shared" si="2"/>
        <v>74910.000000000102</v>
      </c>
      <c r="O66" s="226">
        <f t="shared" si="2"/>
        <v>21338</v>
      </c>
      <c r="P66" s="226">
        <f t="shared" si="2"/>
        <v>284730.48867397883</v>
      </c>
      <c r="Q66" s="226">
        <f t="shared" si="2"/>
        <v>69403.996995307301</v>
      </c>
      <c r="R66" s="226">
        <f t="shared" si="2"/>
        <v>0</v>
      </c>
      <c r="S66" s="226">
        <f t="shared" si="2"/>
        <v>0</v>
      </c>
      <c r="T66" s="226">
        <f t="shared" si="2"/>
        <v>0</v>
      </c>
      <c r="U66" s="226">
        <f>SUM(U3:U65)</f>
        <v>22294859.950070117</v>
      </c>
    </row>
    <row r="67" spans="1:21" ht="16.25" thickTop="1" thickBot="1" x14ac:dyDescent="0.9">
      <c r="D67" s="216"/>
      <c r="E67" s="216"/>
      <c r="F67" s="216"/>
      <c r="G67" s="227">
        <f>SUBTOTAL(9, G3:G65)</f>
        <v>16863546.93663267</v>
      </c>
      <c r="H67" s="227">
        <f t="shared" ref="H67:T67" si="3">SUBTOTAL(9, H3:H65)</f>
        <v>1447503.08</v>
      </c>
      <c r="I67" s="227">
        <f t="shared" si="3"/>
        <v>405590.99999999994</v>
      </c>
      <c r="J67" s="227">
        <f t="shared" si="3"/>
        <v>2589691.5874633323</v>
      </c>
      <c r="K67" s="227">
        <f t="shared" si="3"/>
        <v>88716.390975597009</v>
      </c>
      <c r="L67" s="227">
        <f t="shared" si="3"/>
        <v>196599.62313203301</v>
      </c>
      <c r="M67" s="227">
        <f t="shared" si="3"/>
        <v>252828.84619719087</v>
      </c>
      <c r="N67" s="227">
        <f t="shared" si="3"/>
        <v>74910.000000000102</v>
      </c>
      <c r="O67" s="227">
        <f t="shared" si="3"/>
        <v>21338</v>
      </c>
      <c r="P67" s="227">
        <f t="shared" si="3"/>
        <v>284730.48867397883</v>
      </c>
      <c r="Q67" s="227">
        <f t="shared" si="3"/>
        <v>69403.996995307301</v>
      </c>
      <c r="R67" s="227">
        <f t="shared" si="3"/>
        <v>0</v>
      </c>
      <c r="S67" s="227">
        <f t="shared" si="3"/>
        <v>0</v>
      </c>
      <c r="T67" s="227">
        <f t="shared" si="3"/>
        <v>0</v>
      </c>
      <c r="U67" s="227">
        <f>SUBTOTAL(9, U3:U65)</f>
        <v>22294859.950070117</v>
      </c>
    </row>
    <row r="68" spans="1:21" x14ac:dyDescent="0.75">
      <c r="A68" s="230" t="s">
        <v>1310</v>
      </c>
      <c r="B68" s="511" t="s">
        <v>1637</v>
      </c>
      <c r="C68" s="511" t="s">
        <v>1636</v>
      </c>
      <c r="D68" s="511" t="s">
        <v>1638</v>
      </c>
      <c r="E68" s="231" t="s">
        <v>675</v>
      </c>
      <c r="F68" s="231"/>
      <c r="G68" s="231"/>
      <c r="H68" s="232"/>
      <c r="I68" s="229"/>
      <c r="J68" s="229"/>
      <c r="K68" s="229"/>
      <c r="L68" s="229"/>
      <c r="M68" s="229"/>
      <c r="R68" s="229"/>
      <c r="S68" s="229"/>
      <c r="T68" s="229"/>
      <c r="U68" s="229"/>
    </row>
    <row r="69" spans="1:21" x14ac:dyDescent="0.75">
      <c r="A69" s="553" t="s">
        <v>10</v>
      </c>
      <c r="B69" s="229">
        <f t="shared" ref="B69:D73" si="4">+SUMIFS($G$3:$G$32,$D$3:$D$32,$A69,$E$3:$E$32,B$68)</f>
        <v>3927823.0546399928</v>
      </c>
      <c r="C69" s="229">
        <f t="shared" si="4"/>
        <v>2714962.9578543818</v>
      </c>
      <c r="D69" s="229">
        <f t="shared" si="4"/>
        <v>3977156.3212082246</v>
      </c>
      <c r="E69" s="516">
        <f t="shared" ref="E69:E73" si="5">+SUM(B69:D69)</f>
        <v>10619942.333702598</v>
      </c>
      <c r="F69" s="229"/>
      <c r="G69" s="228"/>
      <c r="H69" s="234"/>
      <c r="I69" s="229"/>
      <c r="J69" s="229"/>
      <c r="K69" s="229"/>
      <c r="L69" s="229"/>
      <c r="M69" s="229"/>
      <c r="R69" s="229"/>
      <c r="S69" s="229"/>
      <c r="T69" s="229"/>
      <c r="U69" s="229"/>
    </row>
    <row r="70" spans="1:21" x14ac:dyDescent="0.75">
      <c r="A70" s="233" t="s">
        <v>556</v>
      </c>
      <c r="B70" s="229">
        <f t="shared" si="4"/>
        <v>0</v>
      </c>
      <c r="C70" s="229">
        <f t="shared" si="4"/>
        <v>0</v>
      </c>
      <c r="D70" s="229">
        <f t="shared" si="4"/>
        <v>0</v>
      </c>
      <c r="E70" s="516">
        <f t="shared" si="5"/>
        <v>0</v>
      </c>
      <c r="F70" s="216"/>
      <c r="G70" s="255"/>
      <c r="H70" s="256"/>
      <c r="I70" s="229"/>
      <c r="J70" s="229"/>
      <c r="K70" s="229"/>
      <c r="L70" s="229"/>
      <c r="M70" s="229"/>
      <c r="R70" s="229"/>
      <c r="S70" s="229"/>
      <c r="T70" s="229"/>
      <c r="U70" s="229"/>
    </row>
    <row r="71" spans="1:21" x14ac:dyDescent="0.75">
      <c r="A71" s="233" t="s">
        <v>12</v>
      </c>
      <c r="B71" s="229">
        <f t="shared" si="4"/>
        <v>359792.95095014712</v>
      </c>
      <c r="C71" s="229">
        <f t="shared" si="4"/>
        <v>297296.27073651704</v>
      </c>
      <c r="D71" s="229">
        <f t="shared" si="4"/>
        <v>435510.08274742996</v>
      </c>
      <c r="E71" s="516">
        <f t="shared" si="5"/>
        <v>1092599.3044340941</v>
      </c>
      <c r="F71" s="216"/>
      <c r="G71" s="228"/>
      <c r="H71" s="234"/>
      <c r="I71" s="229"/>
      <c r="J71" s="229"/>
      <c r="K71" s="229"/>
      <c r="L71" s="229"/>
      <c r="M71" s="229"/>
      <c r="N71" s="229"/>
      <c r="R71" s="229"/>
      <c r="S71" s="229"/>
      <c r="T71" s="229"/>
      <c r="U71" s="229"/>
    </row>
    <row r="72" spans="1:21" x14ac:dyDescent="0.75">
      <c r="A72" s="233" t="s">
        <v>14</v>
      </c>
      <c r="B72" s="229">
        <f t="shared" si="4"/>
        <v>607905.27286354906</v>
      </c>
      <c r="C72" s="229">
        <f t="shared" si="4"/>
        <v>502311.0377958449</v>
      </c>
      <c r="D72" s="229">
        <f t="shared" si="4"/>
        <v>735836.74996480613</v>
      </c>
      <c r="E72" s="516">
        <f t="shared" si="5"/>
        <v>1846053.0606241999</v>
      </c>
      <c r="F72" s="216"/>
      <c r="G72" s="228"/>
      <c r="H72" s="234"/>
      <c r="I72" s="229"/>
      <c r="J72" s="229"/>
      <c r="K72" s="229"/>
      <c r="L72" s="229"/>
      <c r="M72" s="229"/>
      <c r="R72" s="229"/>
      <c r="S72" s="229"/>
      <c r="T72" s="229"/>
      <c r="U72" s="229"/>
    </row>
    <row r="73" spans="1:21" x14ac:dyDescent="0.75">
      <c r="A73" s="233" t="s">
        <v>16</v>
      </c>
      <c r="B73" s="229">
        <f t="shared" si="4"/>
        <v>0</v>
      </c>
      <c r="C73" s="229">
        <f t="shared" si="4"/>
        <v>0</v>
      </c>
      <c r="D73" s="229">
        <f t="shared" si="4"/>
        <v>0</v>
      </c>
      <c r="E73" s="516">
        <f t="shared" si="5"/>
        <v>0</v>
      </c>
      <c r="F73" s="216"/>
      <c r="G73" s="228"/>
      <c r="H73" s="234"/>
      <c r="I73" s="229"/>
      <c r="J73" s="229"/>
      <c r="K73" s="229"/>
      <c r="L73" s="229"/>
      <c r="M73" s="319"/>
      <c r="N73" s="229"/>
      <c r="R73" s="229"/>
      <c r="S73" s="229"/>
      <c r="T73" s="229"/>
      <c r="U73" s="229"/>
    </row>
    <row r="74" spans="1:21" ht="15.5" thickBot="1" x14ac:dyDescent="0.9">
      <c r="A74" s="233" t="s">
        <v>1311</v>
      </c>
      <c r="B74" s="235">
        <f>SUM(B69:B73)</f>
        <v>4895521.2784536891</v>
      </c>
      <c r="C74" s="235">
        <f t="shared" ref="C74:D74" si="6">SUM(C69:C73)</f>
        <v>3514570.2663867436</v>
      </c>
      <c r="D74" s="235">
        <f t="shared" si="6"/>
        <v>5148503.1539204605</v>
      </c>
      <c r="E74" s="235">
        <f>SUM(E69:E73)</f>
        <v>13558594.698760893</v>
      </c>
      <c r="F74" s="216"/>
      <c r="G74" s="228"/>
      <c r="H74" s="234"/>
      <c r="I74" s="229"/>
      <c r="J74" s="229"/>
      <c r="K74" s="229"/>
      <c r="L74" s="229"/>
      <c r="M74" s="229"/>
      <c r="N74" s="229"/>
      <c r="R74" s="229"/>
      <c r="S74" s="229"/>
      <c r="T74" s="229"/>
      <c r="U74" s="229"/>
    </row>
    <row r="75" spans="1:21" ht="15.5" thickTop="1" x14ac:dyDescent="0.75">
      <c r="A75" s="233"/>
      <c r="B75" s="229"/>
      <c r="C75" s="229"/>
      <c r="D75" s="216"/>
      <c r="E75" s="216"/>
      <c r="F75" s="216"/>
      <c r="G75" s="228"/>
      <c r="H75" s="234"/>
      <c r="I75" s="229"/>
      <c r="J75" s="229"/>
      <c r="K75" s="229"/>
      <c r="L75" s="229"/>
      <c r="M75" s="229"/>
      <c r="R75" s="229"/>
      <c r="S75" s="229"/>
      <c r="T75" s="229"/>
      <c r="U75" s="229"/>
    </row>
    <row r="76" spans="1:21" x14ac:dyDescent="0.75">
      <c r="A76" s="233" t="s">
        <v>18</v>
      </c>
      <c r="B76" s="229">
        <f t="shared" ref="B76:D80" si="7">+SUMIFS($G$3:$G$32,$D$3:$D$32,$A76,$E$3:$E$32,B$68)</f>
        <v>119591.12667575006</v>
      </c>
      <c r="C76" s="229">
        <f t="shared" si="7"/>
        <v>98817.933703223796</v>
      </c>
      <c r="D76" s="229">
        <f t="shared" si="7"/>
        <v>144758.64893092614</v>
      </c>
      <c r="E76" s="516">
        <f t="shared" ref="E76:E80" si="8">+SUM(B76:D76)</f>
        <v>363167.70930989995</v>
      </c>
      <c r="F76" s="216"/>
      <c r="G76" s="228"/>
      <c r="H76" s="234"/>
      <c r="I76" s="229"/>
      <c r="J76" s="229"/>
      <c r="K76" s="229"/>
      <c r="L76" s="229"/>
      <c r="M76" s="229"/>
      <c r="R76" s="229"/>
      <c r="S76" s="229"/>
      <c r="T76" s="229"/>
      <c r="U76" s="229"/>
    </row>
    <row r="77" spans="1:21" x14ac:dyDescent="0.75">
      <c r="A77" s="233" t="s">
        <v>20</v>
      </c>
      <c r="B77" s="229">
        <f t="shared" si="7"/>
        <v>531955.544813646</v>
      </c>
      <c r="C77" s="229">
        <f t="shared" si="7"/>
        <v>439553.91358576709</v>
      </c>
      <c r="D77" s="229">
        <f t="shared" si="7"/>
        <v>643903.67495511496</v>
      </c>
      <c r="E77" s="516">
        <f t="shared" si="8"/>
        <v>1615413.1333545281</v>
      </c>
      <c r="F77" s="216"/>
      <c r="G77" s="228"/>
      <c r="H77" s="234"/>
      <c r="I77" s="229"/>
      <c r="J77" s="236"/>
      <c r="K77" s="229"/>
      <c r="L77" s="229"/>
      <c r="M77" s="229"/>
      <c r="R77" s="229"/>
      <c r="S77" s="229"/>
      <c r="T77" s="229"/>
      <c r="U77" s="229"/>
    </row>
    <row r="78" spans="1:21" x14ac:dyDescent="0.75">
      <c r="A78" s="233" t="s">
        <v>22</v>
      </c>
      <c r="B78" s="229">
        <f t="shared" si="7"/>
        <v>193432.13017334393</v>
      </c>
      <c r="C78" s="229">
        <f t="shared" si="7"/>
        <v>159832.62259388668</v>
      </c>
      <c r="D78" s="229">
        <f t="shared" si="7"/>
        <v>234139.22589460947</v>
      </c>
      <c r="E78" s="516">
        <f t="shared" si="8"/>
        <v>587403.97866184008</v>
      </c>
      <c r="F78" s="216"/>
      <c r="G78" s="228"/>
      <c r="H78" s="234"/>
      <c r="I78" s="229"/>
      <c r="J78" s="229"/>
      <c r="K78" s="229"/>
      <c r="L78" s="229"/>
      <c r="M78" s="229"/>
      <c r="R78" s="229"/>
      <c r="S78" s="229"/>
      <c r="T78" s="229"/>
      <c r="U78" s="229"/>
    </row>
    <row r="79" spans="1:21" x14ac:dyDescent="0.75">
      <c r="A79" s="233" t="s">
        <v>24</v>
      </c>
      <c r="B79" s="229">
        <f t="shared" si="7"/>
        <v>233858.13026843581</v>
      </c>
      <c r="C79" s="229">
        <f t="shared" si="7"/>
        <v>193236.55404203272</v>
      </c>
      <c r="D79" s="229">
        <f t="shared" si="7"/>
        <v>283072.73223503947</v>
      </c>
      <c r="E79" s="516">
        <f t="shared" si="8"/>
        <v>710167.41654550796</v>
      </c>
      <c r="F79" s="216"/>
      <c r="G79" s="228"/>
      <c r="H79" s="234"/>
      <c r="I79" s="229"/>
      <c r="J79" s="229"/>
      <c r="K79" s="229"/>
      <c r="L79" s="229"/>
      <c r="M79" s="229"/>
      <c r="R79" s="229"/>
      <c r="S79" s="229"/>
      <c r="T79" s="229"/>
      <c r="U79" s="229"/>
    </row>
    <row r="80" spans="1:21" x14ac:dyDescent="0.75">
      <c r="A80" s="233" t="s">
        <v>26</v>
      </c>
      <c r="B80" s="229">
        <f t="shared" si="7"/>
        <v>28800</v>
      </c>
      <c r="C80" s="229">
        <f t="shared" si="7"/>
        <v>0</v>
      </c>
      <c r="D80" s="229">
        <f t="shared" si="7"/>
        <v>0</v>
      </c>
      <c r="E80" s="516">
        <f t="shared" si="8"/>
        <v>28800</v>
      </c>
      <c r="F80" s="216"/>
      <c r="G80" s="228"/>
      <c r="H80" s="234"/>
      <c r="I80" s="229"/>
      <c r="J80" s="229"/>
      <c r="K80" s="229"/>
      <c r="L80" s="229"/>
      <c r="M80" s="229"/>
      <c r="R80" s="229"/>
      <c r="S80" s="229"/>
      <c r="T80" s="229"/>
      <c r="U80" s="229"/>
    </row>
    <row r="81" spans="1:21" ht="15.5" thickBot="1" x14ac:dyDescent="0.9">
      <c r="A81" s="233" t="s">
        <v>1312</v>
      </c>
      <c r="B81" s="235">
        <f>SUM(B76:B80)</f>
        <v>1107636.9319311758</v>
      </c>
      <c r="C81" s="235">
        <f t="shared" ref="C81:E81" si="9">SUM(C76:C80)</f>
        <v>891441.02392491023</v>
      </c>
      <c r="D81" s="235">
        <f t="shared" si="9"/>
        <v>1305874.2820156901</v>
      </c>
      <c r="E81" s="235">
        <f t="shared" si="9"/>
        <v>3304952.2378717759</v>
      </c>
      <c r="G81" s="228"/>
      <c r="H81" s="234"/>
      <c r="I81" s="229"/>
      <c r="J81" s="229"/>
      <c r="K81" s="229"/>
      <c r="L81" s="229"/>
      <c r="M81" s="229"/>
      <c r="R81" s="229"/>
      <c r="S81" s="229"/>
      <c r="T81" s="229"/>
      <c r="U81" s="229"/>
    </row>
    <row r="82" spans="1:21" ht="15.5" thickTop="1" x14ac:dyDescent="0.75">
      <c r="A82" s="233"/>
      <c r="B82" s="229"/>
      <c r="C82" s="229"/>
      <c r="D82" s="229"/>
      <c r="G82" s="228"/>
      <c r="H82" s="234"/>
      <c r="I82" s="229"/>
      <c r="J82" s="229"/>
      <c r="K82" s="229"/>
      <c r="L82" s="229"/>
      <c r="M82" s="229"/>
      <c r="R82" s="229"/>
      <c r="S82" s="229"/>
      <c r="T82" s="229"/>
      <c r="U82" s="229"/>
    </row>
    <row r="83" spans="1:21" ht="15.5" thickBot="1" x14ac:dyDescent="0.9">
      <c r="A83" s="238" t="s">
        <v>1313</v>
      </c>
      <c r="B83" s="235">
        <f>+B74+B81</f>
        <v>6003158.2103848644</v>
      </c>
      <c r="C83" s="235">
        <f t="shared" ref="C83:D83" si="10">+C74+C81</f>
        <v>4406011.2903116541</v>
      </c>
      <c r="D83" s="235">
        <f t="shared" si="10"/>
        <v>6454377.4359361511</v>
      </c>
      <c r="E83" s="516">
        <f>+SUM(B83:D83)</f>
        <v>16863546.93663267</v>
      </c>
      <c r="F83" s="516">
        <f>+E83-G67</f>
        <v>0</v>
      </c>
      <c r="G83" s="228"/>
      <c r="H83" s="234"/>
      <c r="I83" s="229"/>
      <c r="J83" s="229"/>
      <c r="K83" s="229"/>
      <c r="L83" s="229"/>
      <c r="M83" s="229"/>
      <c r="N83" s="229"/>
      <c r="O83" s="229"/>
      <c r="P83" s="229"/>
      <c r="Q83" s="229"/>
      <c r="R83" s="229"/>
      <c r="S83" s="229"/>
      <c r="T83" s="229"/>
      <c r="U83" s="229"/>
    </row>
    <row r="84" spans="1:21" ht="15.5" thickTop="1" x14ac:dyDescent="0.75">
      <c r="A84" s="239"/>
      <c r="C84" s="229"/>
      <c r="G84" s="228"/>
      <c r="H84" s="240"/>
    </row>
    <row r="85" spans="1:21" ht="15.5" thickBot="1" x14ac:dyDescent="0.9">
      <c r="A85" s="239"/>
      <c r="C85" s="229"/>
      <c r="G85" s="228"/>
      <c r="H85" s="240"/>
    </row>
    <row r="86" spans="1:21" x14ac:dyDescent="0.75">
      <c r="A86" s="239"/>
      <c r="B86" s="511" t="s">
        <v>1637</v>
      </c>
      <c r="C86" s="511" t="s">
        <v>1636</v>
      </c>
      <c r="D86" s="511" t="s">
        <v>1638</v>
      </c>
      <c r="G86" s="228"/>
      <c r="H86" s="240"/>
    </row>
    <row r="87" spans="1:21" x14ac:dyDescent="0.75">
      <c r="A87" s="233" t="s">
        <v>30</v>
      </c>
      <c r="B87" s="241">
        <f>+SUMIF($E$3:$E$32,B$86,$J$3:$J$32)</f>
        <v>935044.56418465544</v>
      </c>
      <c r="C87" s="241">
        <f>+SUMIF($E$3:$E$32,C$86,$J$3:$J$32)</f>
        <v>671282.92087986879</v>
      </c>
      <c r="D87" s="241">
        <f>+SUMIF($E$3:$E$32,D$86,$J$3:$J$32)</f>
        <v>983364.102398808</v>
      </c>
      <c r="E87" s="516">
        <f t="shared" ref="E87:E100" si="11">+SUM(B87:D87)</f>
        <v>2589691.5874633323</v>
      </c>
      <c r="G87" s="228"/>
      <c r="H87" s="240"/>
    </row>
    <row r="88" spans="1:21" x14ac:dyDescent="0.75">
      <c r="A88" s="233" t="s">
        <v>38</v>
      </c>
      <c r="G88" s="228"/>
      <c r="H88" s="240"/>
    </row>
    <row r="89" spans="1:21" x14ac:dyDescent="0.75">
      <c r="A89" s="233" t="s">
        <v>42</v>
      </c>
      <c r="B89" s="241">
        <f>+SUMIF($E$3:$E$32,B$86,$L$3:$L$32)</f>
        <v>70985.05853757853</v>
      </c>
      <c r="C89" s="241">
        <f>+SUMIF($E$3:$E$32,C$86,$L$3:$L$32)</f>
        <v>50961.268862607816</v>
      </c>
      <c r="D89" s="241">
        <f>+SUMIF($E$3:$E$32,D$86,$L$3:$L$32)</f>
        <v>74653.295731846651</v>
      </c>
      <c r="E89" s="516">
        <f>+SUM(B89:D89)</f>
        <v>196599.62313203298</v>
      </c>
      <c r="G89" s="228"/>
      <c r="H89" s="240"/>
    </row>
    <row r="90" spans="1:21" x14ac:dyDescent="0.75">
      <c r="A90" s="233" t="s">
        <v>44</v>
      </c>
      <c r="B90" s="241">
        <f>+SUMIF($E$3:$E$32,B$86,$M$3:$M$32)</f>
        <v>84734.225292734933</v>
      </c>
      <c r="C90" s="241">
        <f>+SUMIF($E$3:$E$32,C$86,$M$3:$M$32)</f>
        <v>68195.238330255641</v>
      </c>
      <c r="D90" s="241">
        <f>+SUMIF($E$3:$E$32,D$86,$M$3:$M$32)</f>
        <v>99899.382574200281</v>
      </c>
      <c r="E90" s="516">
        <f>+SUM(B90:D90)</f>
        <v>252828.84619719087</v>
      </c>
      <c r="G90" s="228"/>
      <c r="H90" s="240"/>
    </row>
    <row r="91" spans="1:21" x14ac:dyDescent="0.75">
      <c r="A91" s="233" t="s">
        <v>1065</v>
      </c>
      <c r="G91" s="228"/>
      <c r="H91" s="240"/>
    </row>
    <row r="92" spans="1:21" x14ac:dyDescent="0.75">
      <c r="A92" s="233" t="s">
        <v>1067</v>
      </c>
      <c r="G92" s="228"/>
      <c r="H92" s="240"/>
    </row>
    <row r="93" spans="1:21" x14ac:dyDescent="0.75">
      <c r="A93" s="233" t="s">
        <v>48</v>
      </c>
      <c r="B93" s="241">
        <f>+SUMIF($E$3:$E$32,B$86,$H$3:$H$32)</f>
        <v>537830.60424400028</v>
      </c>
      <c r="C93" s="241">
        <f>+SUMIF($E$3:$E$32,C$86,$H$3:$H$32)</f>
        <v>369050.06806800014</v>
      </c>
      <c r="D93" s="241">
        <f>+SUMIF($E$3:$E$32,D$86,$H$3:$H$32)</f>
        <v>540622.40768799977</v>
      </c>
      <c r="E93" s="516">
        <f>+SUM(B93:D93)</f>
        <v>1447503.08</v>
      </c>
      <c r="G93" s="228"/>
      <c r="H93" s="240"/>
    </row>
    <row r="94" spans="1:21" x14ac:dyDescent="0.75">
      <c r="A94" s="233" t="s">
        <v>50</v>
      </c>
      <c r="B94" s="241">
        <f>+SUMIF($E$3:$E$32,B$86,$I$3:$I$32)</f>
        <v>133561.11629999999</v>
      </c>
      <c r="C94" s="241">
        <f>+SUMIF($E$3:$E$32,C$86,$I$3:$I$32)</f>
        <v>110361.31110000001</v>
      </c>
      <c r="D94" s="241">
        <f>+SUMIF($E$3:$E$32,D$86,$I$3:$I$32)</f>
        <v>161668.57259999998</v>
      </c>
      <c r="E94" s="516">
        <f t="shared" si="11"/>
        <v>405591</v>
      </c>
      <c r="G94" s="228"/>
      <c r="H94" s="240"/>
    </row>
    <row r="95" spans="1:21" x14ac:dyDescent="0.75">
      <c r="A95" s="233" t="s">
        <v>716</v>
      </c>
      <c r="G95" s="228"/>
      <c r="H95" s="240"/>
    </row>
    <row r="96" spans="1:21" x14ac:dyDescent="0.75">
      <c r="A96" s="233" t="s">
        <v>54</v>
      </c>
      <c r="B96" s="241">
        <f>+SUMIF($E$3:$E$32,B$86,$N$3:$N$32)</f>
        <v>27103.845400000017</v>
      </c>
      <c r="C96" s="241">
        <f>+SUMIF($E$3:$E$32,C$86,$N$3:$N$32)</f>
        <v>19394.743800000022</v>
      </c>
      <c r="D96" s="241">
        <f>+SUMIF($E$3:$E$32,D$86,$N$3:$N$32)</f>
        <v>28411.41080000006</v>
      </c>
      <c r="E96" s="516">
        <f>+SUM(B96:D96)</f>
        <v>74910.000000000102</v>
      </c>
      <c r="G96" s="228"/>
      <c r="H96" s="240"/>
    </row>
    <row r="97" spans="1:23" x14ac:dyDescent="0.75">
      <c r="A97" s="233" t="s">
        <v>56</v>
      </c>
      <c r="B97" s="241">
        <f>+SUMIF($E$3:$E$32,B$86,$O$3:$O$32)</f>
        <v>7940.0967999999993</v>
      </c>
      <c r="C97" s="241">
        <f>+SUMIF($E$3:$E$32,C$86,$O$3:$O$32)</f>
        <v>5435.4695999999994</v>
      </c>
      <c r="D97" s="241">
        <f>+SUMIF($E$3:$E$32,D$86,$O$3:$O$32)</f>
        <v>7962.4336000000003</v>
      </c>
      <c r="E97" s="516">
        <f t="shared" si="11"/>
        <v>21338</v>
      </c>
      <c r="G97" s="228"/>
      <c r="H97" s="240"/>
    </row>
    <row r="98" spans="1:23" x14ac:dyDescent="0.75">
      <c r="A98" s="233" t="s">
        <v>717</v>
      </c>
      <c r="G98" s="228"/>
      <c r="H98" s="240"/>
    </row>
    <row r="99" spans="1:23" x14ac:dyDescent="0.75">
      <c r="A99" s="233" t="s">
        <v>60</v>
      </c>
      <c r="B99" s="241">
        <f>+SUMIF($E$3:$E$32,B$86,$P$3:$P$32)</f>
        <v>102805.94684752758</v>
      </c>
      <c r="C99" s="241">
        <f>+SUMIF($E$3:$E$32,C$86,$P$3:$P$32)</f>
        <v>73805.975594121614</v>
      </c>
      <c r="D99" s="241">
        <f>+SUMIF($E$3:$E$32,D$86,$P$3:$P$32)</f>
        <v>108118.56623232961</v>
      </c>
      <c r="E99" s="516">
        <f>+SUM(B99:D99)</f>
        <v>284730.48867397883</v>
      </c>
      <c r="G99" s="228"/>
      <c r="H99" s="240"/>
    </row>
    <row r="100" spans="1:23" x14ac:dyDescent="0.75">
      <c r="A100" s="233" t="s">
        <v>62</v>
      </c>
      <c r="B100" s="241">
        <f>+SUMIF($E$3:$E$32,B$86,$Q$3:$Q$32)</f>
        <v>23260.375570554686</v>
      </c>
      <c r="C100" s="241">
        <f>+SUMIF($E$3:$E$32,C$86,$Q$3:$Q$32)</f>
        <v>18720.261502423116</v>
      </c>
      <c r="D100" s="241">
        <f>+SUMIF($E$3:$E$32,D$86,$Q$3:$Q$32)</f>
        <v>27423.359922329495</v>
      </c>
      <c r="E100" s="516">
        <f t="shared" si="11"/>
        <v>69403.996995307301</v>
      </c>
      <c r="G100" s="228"/>
      <c r="H100" s="240"/>
    </row>
    <row r="101" spans="1:23" x14ac:dyDescent="0.75">
      <c r="A101" s="233" t="s">
        <v>718</v>
      </c>
      <c r="G101" s="228"/>
      <c r="H101" s="240"/>
    </row>
    <row r="102" spans="1:23" x14ac:dyDescent="0.75">
      <c r="A102" s="233" t="s">
        <v>1074</v>
      </c>
      <c r="B102" s="241"/>
      <c r="C102" s="229"/>
      <c r="E102" s="516"/>
      <c r="G102" s="228"/>
      <c r="H102" s="240"/>
    </row>
    <row r="103" spans="1:23" x14ac:dyDescent="0.75">
      <c r="A103" s="233" t="s">
        <v>82</v>
      </c>
      <c r="B103" s="241">
        <f>+SUMIF($E$3:$E$32,B$86,$K$3:$K$32)</f>
        <v>29214.307548264092</v>
      </c>
      <c r="C103" s="241">
        <f>+SUMIF($E$3:$E$32,C$86,$K$3:$K$32)</f>
        <v>24139.729984459944</v>
      </c>
      <c r="D103" s="241">
        <f>+SUMIF($E$3:$E$32,D$86,$K$3:$K$32)</f>
        <v>35362.353442872969</v>
      </c>
      <c r="E103" s="516">
        <f>+SUM(B103:D103)</f>
        <v>88716.390975596994</v>
      </c>
      <c r="G103" s="228"/>
      <c r="H103" s="240"/>
    </row>
    <row r="104" spans="1:23" s="242" customFormat="1" x14ac:dyDescent="0.75">
      <c r="A104" s="233" t="s">
        <v>84</v>
      </c>
      <c r="B104" s="241"/>
      <c r="C104" s="229"/>
      <c r="D104" s="237"/>
      <c r="E104" s="516"/>
      <c r="F104" s="237"/>
      <c r="G104" s="228"/>
      <c r="H104" s="240"/>
      <c r="I104" s="216"/>
      <c r="J104" s="216"/>
      <c r="K104" s="216"/>
      <c r="L104" s="216"/>
      <c r="M104" s="216"/>
      <c r="N104" s="216"/>
      <c r="O104" s="216"/>
      <c r="P104" s="216"/>
      <c r="Q104" s="216"/>
      <c r="R104" s="216"/>
      <c r="S104" s="216"/>
      <c r="T104" s="216"/>
      <c r="U104" s="216"/>
      <c r="V104" s="216"/>
      <c r="W104" s="216"/>
    </row>
    <row r="105" spans="1:23" s="242" customFormat="1" x14ac:dyDescent="0.75">
      <c r="A105" s="233" t="s">
        <v>1073</v>
      </c>
      <c r="B105" s="241"/>
      <c r="C105" s="241"/>
      <c r="D105" s="241"/>
      <c r="E105" s="516"/>
      <c r="F105" s="237"/>
      <c r="G105" s="228"/>
      <c r="H105" s="240"/>
      <c r="I105" s="216"/>
      <c r="J105" s="216"/>
      <c r="K105" s="216"/>
      <c r="L105" s="216"/>
      <c r="M105" s="216"/>
      <c r="N105" s="216"/>
      <c r="O105" s="216"/>
      <c r="P105" s="216"/>
      <c r="Q105" s="216"/>
      <c r="R105" s="216"/>
      <c r="S105" s="216"/>
      <c r="T105" s="216"/>
      <c r="U105" s="216"/>
      <c r="V105" s="216"/>
      <c r="W105" s="216"/>
    </row>
    <row r="106" spans="1:23" s="242" customFormat="1" x14ac:dyDescent="0.75">
      <c r="A106" s="239"/>
      <c r="B106" s="241"/>
      <c r="C106" s="229"/>
      <c r="D106" s="237"/>
      <c r="E106" s="237"/>
      <c r="F106" s="237"/>
      <c r="G106" s="228"/>
      <c r="H106" s="240"/>
      <c r="I106" s="216"/>
      <c r="J106" s="216"/>
      <c r="K106" s="216"/>
      <c r="L106" s="216"/>
      <c r="M106" s="216"/>
      <c r="N106" s="216"/>
      <c r="O106" s="216"/>
      <c r="P106" s="216"/>
      <c r="Q106" s="216"/>
      <c r="R106" s="216"/>
      <c r="S106" s="216"/>
      <c r="T106" s="216"/>
      <c r="U106" s="216"/>
      <c r="V106" s="216"/>
      <c r="W106" s="216"/>
    </row>
    <row r="107" spans="1:23" s="242" customFormat="1" ht="15.5" thickBot="1" x14ac:dyDescent="0.9">
      <c r="A107" s="239" t="s">
        <v>1314</v>
      </c>
      <c r="B107" s="235">
        <f>SUM(B87:B105)</f>
        <v>1952480.1407253153</v>
      </c>
      <c r="C107" s="235">
        <f t="shared" ref="C107:D107" si="12">SUM(C87:C105)</f>
        <v>1411346.9877217372</v>
      </c>
      <c r="D107" s="235">
        <f t="shared" si="12"/>
        <v>2067485.8849903869</v>
      </c>
      <c r="E107" s="516">
        <f>+SUM(B107:D107)</f>
        <v>5431313.0134374397</v>
      </c>
      <c r="F107" s="516">
        <f>+E107-SUM(H66:Q66)</f>
        <v>0</v>
      </c>
      <c r="G107" s="228"/>
      <c r="H107" s="240"/>
      <c r="I107" s="216"/>
      <c r="J107" s="216"/>
      <c r="K107" s="216"/>
      <c r="L107" s="216"/>
      <c r="M107" s="216"/>
      <c r="N107" s="216"/>
      <c r="O107" s="216"/>
      <c r="P107" s="216"/>
      <c r="Q107" s="216"/>
      <c r="R107" s="216"/>
      <c r="S107" s="216"/>
      <c r="T107" s="216"/>
      <c r="U107" s="216"/>
    </row>
    <row r="108" spans="1:23" s="242" customFormat="1" ht="15.5" thickTop="1" x14ac:dyDescent="0.75">
      <c r="A108" s="239"/>
      <c r="B108" s="216"/>
      <c r="C108" s="229"/>
      <c r="D108" s="237"/>
      <c r="E108" s="237"/>
      <c r="F108" s="237"/>
      <c r="G108" s="228"/>
      <c r="H108" s="240"/>
      <c r="I108" s="216"/>
      <c r="J108" s="216"/>
      <c r="K108" s="216"/>
      <c r="L108" s="216"/>
      <c r="M108" s="216"/>
      <c r="N108" s="216"/>
      <c r="O108" s="216"/>
      <c r="P108" s="216"/>
      <c r="Q108" s="216"/>
      <c r="R108" s="216"/>
      <c r="S108" s="216"/>
      <c r="T108" s="216"/>
      <c r="U108" s="216"/>
    </row>
    <row r="109" spans="1:23" x14ac:dyDescent="0.75">
      <c r="A109" s="239"/>
      <c r="C109" s="229"/>
      <c r="E109" s="516">
        <f>+E107+E83</f>
        <v>22294859.950070109</v>
      </c>
      <c r="F109" s="516">
        <f>+E109-U67</f>
        <v>0</v>
      </c>
      <c r="H109" s="240"/>
    </row>
    <row r="110" spans="1:23" ht="15.5" thickBot="1" x14ac:dyDescent="0.9">
      <c r="A110" s="243"/>
      <c r="B110" s="244"/>
      <c r="C110" s="244"/>
      <c r="D110" s="244"/>
      <c r="E110" s="244"/>
      <c r="F110" s="244"/>
      <c r="G110" s="244"/>
      <c r="H110" s="245"/>
    </row>
    <row r="111" spans="1:23" x14ac:dyDescent="0.75">
      <c r="D111" s="216"/>
      <c r="E111" s="216"/>
      <c r="F111" s="216"/>
    </row>
  </sheetData>
  <autoFilter ref="A2:AB66" xr:uid="{00000000-0009-0000-0000-00001A000000}">
    <filterColumn colId="4">
      <customFilters>
        <customFilter operator="notEqual" val=" "/>
      </customFilters>
    </filterColumn>
    <sortState xmlns:xlrd2="http://schemas.microsoft.com/office/spreadsheetml/2017/richdata2" ref="A3:W66">
      <sortCondition ref="E2:E66"/>
    </sortState>
  </autoFilter>
  <pageMargins left="0.7" right="0.7" top="0.75" bottom="0.75" header="0.3" footer="0.3"/>
  <pageSetup orientation="landscape"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54A9-5A28-438C-B179-00C8EFEDFE9A}">
  <sheetPr codeName="Sheet30">
    <tabColor theme="5"/>
  </sheetPr>
  <dimension ref="A1:Y232"/>
  <sheetViews>
    <sheetView zoomScale="85" zoomScaleNormal="85" workbookViewId="0">
      <pane xSplit="2" ySplit="3" topLeftCell="C73" activePane="bottomRight" state="frozen"/>
      <selection pane="topRight" activeCell="C1" sqref="C1"/>
      <selection pane="bottomLeft" activeCell="A4" sqref="A4"/>
      <selection pane="bottomRight" activeCell="C4" sqref="C4"/>
    </sheetView>
  </sheetViews>
  <sheetFormatPr defaultColWidth="8.86328125" defaultRowHeight="15" customHeight="1" x14ac:dyDescent="0.75"/>
  <cols>
    <col min="1" max="1" width="17.6796875" style="335" customWidth="1"/>
    <col min="2" max="2" width="27.453125" style="335" customWidth="1"/>
    <col min="3" max="17" width="16.453125" style="335" customWidth="1"/>
    <col min="18" max="18" width="8.86328125" style="335"/>
    <col min="19" max="19" width="22.31640625" style="335" bestFit="1" customWidth="1"/>
    <col min="20" max="21" width="21.31640625" style="335" bestFit="1" customWidth="1"/>
    <col min="22" max="22" width="22.31640625" style="335" bestFit="1" customWidth="1"/>
    <col min="23" max="24" width="21.31640625" style="335" bestFit="1" customWidth="1"/>
    <col min="25" max="25" width="22.31640625" style="335" bestFit="1" customWidth="1"/>
    <col min="26" max="16384" width="8.86328125" style="335"/>
  </cols>
  <sheetData>
    <row r="1" spans="1:25" s="330" customFormat="1" ht="15" customHeight="1" x14ac:dyDescent="0.75">
      <c r="C1" s="330" t="s">
        <v>1473</v>
      </c>
      <c r="D1" s="330" t="s">
        <v>1473</v>
      </c>
      <c r="E1" s="330" t="s">
        <v>1473</v>
      </c>
      <c r="F1" s="330" t="s">
        <v>1473</v>
      </c>
      <c r="G1" s="330" t="s">
        <v>1473</v>
      </c>
      <c r="H1" s="330" t="s">
        <v>1473</v>
      </c>
      <c r="I1" s="330" t="s">
        <v>1473</v>
      </c>
      <c r="J1" s="330" t="s">
        <v>1472</v>
      </c>
      <c r="K1" s="330" t="s">
        <v>1472</v>
      </c>
      <c r="L1" s="330" t="s">
        <v>1472</v>
      </c>
      <c r="M1" s="330" t="s">
        <v>1472</v>
      </c>
      <c r="N1" s="330" t="s">
        <v>1472</v>
      </c>
      <c r="O1" s="330" t="s">
        <v>1472</v>
      </c>
      <c r="P1" s="330" t="s">
        <v>1472</v>
      </c>
      <c r="Q1" s="330" t="s">
        <v>1472</v>
      </c>
    </row>
    <row r="2" spans="1:25" s="330" customFormat="1" ht="15" customHeight="1" x14ac:dyDescent="0.75">
      <c r="C2" s="331">
        <v>1</v>
      </c>
      <c r="D2" s="331">
        <v>2</v>
      </c>
      <c r="E2" s="331">
        <v>3</v>
      </c>
      <c r="F2" s="331">
        <v>4</v>
      </c>
      <c r="G2" s="331">
        <v>5</v>
      </c>
      <c r="H2" s="331">
        <v>6</v>
      </c>
      <c r="I2" s="331">
        <v>7</v>
      </c>
      <c r="J2" s="331">
        <v>8</v>
      </c>
      <c r="K2" s="331">
        <v>9</v>
      </c>
      <c r="L2" s="331">
        <v>10</v>
      </c>
      <c r="M2" s="331">
        <v>11</v>
      </c>
      <c r="N2" s="331">
        <v>12</v>
      </c>
      <c r="O2" s="331">
        <v>13</v>
      </c>
      <c r="P2" s="331">
        <v>14</v>
      </c>
      <c r="Q2" s="331">
        <v>15</v>
      </c>
    </row>
    <row r="3" spans="1:25" ht="15.75" customHeight="1" thickBot="1" x14ac:dyDescent="0.9">
      <c r="A3" s="332" t="s">
        <v>1352</v>
      </c>
      <c r="B3" s="333" t="s">
        <v>1180</v>
      </c>
      <c r="C3" s="334"/>
      <c r="D3" s="334"/>
      <c r="E3" s="334"/>
      <c r="F3" s="334"/>
      <c r="G3" s="334"/>
      <c r="H3" s="334"/>
      <c r="I3" s="334"/>
      <c r="J3" s="334"/>
      <c r="K3" s="334"/>
      <c r="L3" s="334"/>
      <c r="M3" s="334"/>
      <c r="N3" s="334"/>
      <c r="O3" s="334"/>
      <c r="P3" s="334"/>
      <c r="Q3" s="334"/>
    </row>
    <row r="4" spans="1:25" ht="13.5" customHeight="1" thickTop="1" x14ac:dyDescent="0.75">
      <c r="A4" s="336">
        <v>1100</v>
      </c>
      <c r="B4" s="337" t="s">
        <v>1452</v>
      </c>
      <c r="C4" s="343">
        <v>8.3000000000000004E-2</v>
      </c>
      <c r="D4" s="344">
        <v>8.3000000000000004E-2</v>
      </c>
      <c r="E4" s="344">
        <v>8.3000000000000004E-2</v>
      </c>
      <c r="F4" s="344">
        <v>8.3000000000000004E-2</v>
      </c>
      <c r="G4" s="344">
        <v>8.3000000000000004E-2</v>
      </c>
      <c r="H4" s="344">
        <v>8.3000000000000004E-2</v>
      </c>
      <c r="I4" s="344">
        <v>8.3000000000000004E-2</v>
      </c>
      <c r="J4" s="344">
        <v>8.3000000000000004E-2</v>
      </c>
      <c r="K4" s="344">
        <v>8.4000000000000005E-2</v>
      </c>
      <c r="L4" s="344">
        <v>8.4000000000000005E-2</v>
      </c>
      <c r="M4" s="344">
        <v>8.4000000000000005E-2</v>
      </c>
      <c r="N4" s="344">
        <v>8.4000000000000005E-2</v>
      </c>
      <c r="O4" s="339">
        <v>0</v>
      </c>
      <c r="P4" s="339">
        <v>0</v>
      </c>
      <c r="Q4" s="339">
        <v>0</v>
      </c>
      <c r="R4" s="340">
        <f>SUM(C4:Q4)</f>
        <v>0.99999999999999989</v>
      </c>
    </row>
    <row r="5" spans="1:25" ht="16.95" customHeight="1" x14ac:dyDescent="0.75">
      <c r="A5" s="341">
        <v>1105</v>
      </c>
      <c r="B5" s="342">
        <v>0</v>
      </c>
      <c r="C5" s="343">
        <v>0</v>
      </c>
      <c r="D5" s="344">
        <v>0</v>
      </c>
      <c r="E5" s="344">
        <v>0</v>
      </c>
      <c r="F5" s="344">
        <v>0</v>
      </c>
      <c r="G5" s="344">
        <v>0</v>
      </c>
      <c r="H5" s="344">
        <v>0.5</v>
      </c>
      <c r="I5" s="344">
        <v>0</v>
      </c>
      <c r="J5" s="344">
        <v>0</v>
      </c>
      <c r="K5" s="344">
        <v>0</v>
      </c>
      <c r="L5" s="344">
        <v>0</v>
      </c>
      <c r="M5" s="344">
        <v>0</v>
      </c>
      <c r="N5" s="344">
        <v>0.5</v>
      </c>
      <c r="O5" s="344">
        <v>0</v>
      </c>
      <c r="P5" s="344">
        <v>0</v>
      </c>
      <c r="Q5" s="344">
        <v>0</v>
      </c>
      <c r="R5" s="340">
        <f t="shared" ref="R5:R78" si="0">SUM(C5:Q5)</f>
        <v>1</v>
      </c>
      <c r="S5" s="340"/>
      <c r="T5" s="340"/>
      <c r="U5" s="340"/>
      <c r="V5" s="340"/>
      <c r="W5" s="340"/>
      <c r="X5" s="340"/>
      <c r="Y5" s="340"/>
    </row>
    <row r="6" spans="1:25" ht="13.5" customHeight="1" x14ac:dyDescent="0.75">
      <c r="A6" s="341">
        <v>1120</v>
      </c>
      <c r="B6" s="342" t="s">
        <v>571</v>
      </c>
      <c r="C6" s="343">
        <v>8.3000000000000004E-2</v>
      </c>
      <c r="D6" s="344">
        <v>8.3000000000000004E-2</v>
      </c>
      <c r="E6" s="344">
        <v>8.3000000000000004E-2</v>
      </c>
      <c r="F6" s="344">
        <v>8.3000000000000004E-2</v>
      </c>
      <c r="G6" s="344">
        <v>8.3000000000000004E-2</v>
      </c>
      <c r="H6" s="344">
        <v>8.3000000000000004E-2</v>
      </c>
      <c r="I6" s="344">
        <v>8.3000000000000004E-2</v>
      </c>
      <c r="J6" s="344">
        <v>8.3000000000000004E-2</v>
      </c>
      <c r="K6" s="344">
        <v>8.4000000000000005E-2</v>
      </c>
      <c r="L6" s="344">
        <v>8.4000000000000005E-2</v>
      </c>
      <c r="M6" s="344">
        <v>8.4000000000000005E-2</v>
      </c>
      <c r="N6" s="344">
        <v>8.4000000000000005E-2</v>
      </c>
      <c r="O6" s="344">
        <v>0</v>
      </c>
      <c r="P6" s="344">
        <v>0</v>
      </c>
      <c r="Q6" s="344">
        <v>0</v>
      </c>
      <c r="R6" s="340">
        <f t="shared" si="0"/>
        <v>0.99999999999999989</v>
      </c>
      <c r="S6" s="340"/>
      <c r="T6" s="340"/>
      <c r="U6" s="340"/>
      <c r="V6" s="340"/>
      <c r="W6" s="340"/>
      <c r="X6" s="340"/>
      <c r="Y6" s="340"/>
    </row>
    <row r="7" spans="1:25" ht="13.5" customHeight="1" x14ac:dyDescent="0.75">
      <c r="A7" s="341">
        <v>1200</v>
      </c>
      <c r="B7" s="342" t="s">
        <v>572</v>
      </c>
      <c r="C7" s="343">
        <v>8.3000000000000004E-2</v>
      </c>
      <c r="D7" s="344">
        <v>8.3000000000000004E-2</v>
      </c>
      <c r="E7" s="344">
        <v>8.3000000000000004E-2</v>
      </c>
      <c r="F7" s="344">
        <v>8.3000000000000004E-2</v>
      </c>
      <c r="G7" s="344">
        <v>8.3000000000000004E-2</v>
      </c>
      <c r="H7" s="344">
        <v>8.3000000000000004E-2</v>
      </c>
      <c r="I7" s="344">
        <v>8.3000000000000004E-2</v>
      </c>
      <c r="J7" s="344">
        <v>8.3000000000000004E-2</v>
      </c>
      <c r="K7" s="344">
        <v>8.4000000000000005E-2</v>
      </c>
      <c r="L7" s="344">
        <v>8.4000000000000005E-2</v>
      </c>
      <c r="M7" s="344">
        <v>8.4000000000000005E-2</v>
      </c>
      <c r="N7" s="344">
        <v>8.4000000000000005E-2</v>
      </c>
      <c r="O7" s="344">
        <v>0</v>
      </c>
      <c r="P7" s="344">
        <v>0</v>
      </c>
      <c r="Q7" s="344">
        <v>0</v>
      </c>
      <c r="R7" s="340">
        <f t="shared" si="0"/>
        <v>0.99999999999999989</v>
      </c>
    </row>
    <row r="8" spans="1:25" ht="14.25" customHeight="1" x14ac:dyDescent="0.75">
      <c r="A8" s="341">
        <v>1300</v>
      </c>
      <c r="B8" s="342" t="s">
        <v>573</v>
      </c>
      <c r="C8" s="343">
        <v>8.3000000000000004E-2</v>
      </c>
      <c r="D8" s="344">
        <v>8.3000000000000004E-2</v>
      </c>
      <c r="E8" s="344">
        <v>8.3000000000000004E-2</v>
      </c>
      <c r="F8" s="344">
        <v>8.3000000000000004E-2</v>
      </c>
      <c r="G8" s="344">
        <v>8.3000000000000004E-2</v>
      </c>
      <c r="H8" s="344">
        <v>8.3000000000000004E-2</v>
      </c>
      <c r="I8" s="344">
        <v>8.3000000000000004E-2</v>
      </c>
      <c r="J8" s="344">
        <v>8.3000000000000004E-2</v>
      </c>
      <c r="K8" s="344">
        <v>8.4000000000000005E-2</v>
      </c>
      <c r="L8" s="344">
        <v>8.4000000000000005E-2</v>
      </c>
      <c r="M8" s="344">
        <v>8.4000000000000005E-2</v>
      </c>
      <c r="N8" s="344">
        <v>8.4000000000000005E-2</v>
      </c>
      <c r="O8" s="344">
        <v>0</v>
      </c>
      <c r="P8" s="344">
        <v>0</v>
      </c>
      <c r="Q8" s="344">
        <v>0</v>
      </c>
      <c r="R8" s="340">
        <f t="shared" si="0"/>
        <v>0.99999999999999989</v>
      </c>
    </row>
    <row r="9" spans="1:25" ht="13.5" customHeight="1" x14ac:dyDescent="0.75">
      <c r="A9" s="341">
        <v>1305</v>
      </c>
      <c r="B9" s="342">
        <v>0</v>
      </c>
      <c r="C9" s="343">
        <v>0</v>
      </c>
      <c r="D9" s="344">
        <v>0</v>
      </c>
      <c r="E9" s="344">
        <v>0</v>
      </c>
      <c r="F9" s="344">
        <v>0</v>
      </c>
      <c r="G9" s="344">
        <v>0</v>
      </c>
      <c r="H9" s="344">
        <v>0.5</v>
      </c>
      <c r="I9" s="344">
        <v>0</v>
      </c>
      <c r="J9" s="344">
        <v>0</v>
      </c>
      <c r="K9" s="344">
        <v>0</v>
      </c>
      <c r="L9" s="344">
        <v>0</v>
      </c>
      <c r="M9" s="344">
        <v>0</v>
      </c>
      <c r="N9" s="344">
        <v>0.5</v>
      </c>
      <c r="O9" s="344">
        <v>0</v>
      </c>
      <c r="P9" s="344">
        <v>0</v>
      </c>
      <c r="Q9" s="344">
        <v>0</v>
      </c>
      <c r="R9" s="340">
        <f>SUM(C9:Q9)</f>
        <v>1</v>
      </c>
    </row>
    <row r="10" spans="1:25" ht="13.5" customHeight="1" x14ac:dyDescent="0.75">
      <c r="A10" s="341">
        <v>1900</v>
      </c>
      <c r="B10" s="342" t="s">
        <v>575</v>
      </c>
      <c r="C10" s="343">
        <v>8.3000000000000004E-2</v>
      </c>
      <c r="D10" s="344">
        <v>8.3000000000000004E-2</v>
      </c>
      <c r="E10" s="344">
        <v>8.3000000000000004E-2</v>
      </c>
      <c r="F10" s="344">
        <v>8.3000000000000004E-2</v>
      </c>
      <c r="G10" s="344">
        <v>8.3000000000000004E-2</v>
      </c>
      <c r="H10" s="344">
        <v>8.3000000000000004E-2</v>
      </c>
      <c r="I10" s="344">
        <v>8.3000000000000004E-2</v>
      </c>
      <c r="J10" s="344">
        <v>8.3000000000000004E-2</v>
      </c>
      <c r="K10" s="344">
        <v>8.4000000000000005E-2</v>
      </c>
      <c r="L10" s="344">
        <v>8.4000000000000005E-2</v>
      </c>
      <c r="M10" s="344">
        <v>8.4000000000000005E-2</v>
      </c>
      <c r="N10" s="344">
        <v>8.4000000000000005E-2</v>
      </c>
      <c r="O10" s="344">
        <v>0</v>
      </c>
      <c r="P10" s="344">
        <v>0</v>
      </c>
      <c r="Q10" s="344">
        <v>0</v>
      </c>
      <c r="R10" s="340">
        <f t="shared" si="0"/>
        <v>0.99999999999999989</v>
      </c>
    </row>
    <row r="11" spans="1:25" ht="13.5" customHeight="1" x14ac:dyDescent="0.75">
      <c r="A11" s="341">
        <v>1910</v>
      </c>
      <c r="B11" s="342">
        <v>0</v>
      </c>
      <c r="C11" s="343">
        <v>0</v>
      </c>
      <c r="D11" s="344">
        <v>0</v>
      </c>
      <c r="E11" s="344">
        <v>0</v>
      </c>
      <c r="F11" s="344">
        <v>0</v>
      </c>
      <c r="G11" s="344">
        <v>0</v>
      </c>
      <c r="H11" s="344">
        <v>0</v>
      </c>
      <c r="I11" s="344">
        <v>0</v>
      </c>
      <c r="J11" s="344">
        <v>0</v>
      </c>
      <c r="K11" s="344">
        <v>0</v>
      </c>
      <c r="L11" s="344">
        <v>0</v>
      </c>
      <c r="M11" s="344">
        <v>0</v>
      </c>
      <c r="N11" s="344">
        <v>0</v>
      </c>
      <c r="O11" s="344">
        <v>0</v>
      </c>
      <c r="P11" s="344">
        <v>0</v>
      </c>
      <c r="Q11" s="344">
        <v>0</v>
      </c>
      <c r="R11" s="340">
        <f t="shared" si="0"/>
        <v>0</v>
      </c>
    </row>
    <row r="12" spans="1:25" ht="13.5" customHeight="1" x14ac:dyDescent="0.75">
      <c r="A12" s="341" t="s">
        <v>1453</v>
      </c>
      <c r="B12" s="342">
        <v>0</v>
      </c>
      <c r="C12" s="343">
        <v>0</v>
      </c>
      <c r="D12" s="344">
        <v>0</v>
      </c>
      <c r="E12" s="344">
        <v>0</v>
      </c>
      <c r="F12" s="344">
        <v>0</v>
      </c>
      <c r="G12" s="344">
        <v>0</v>
      </c>
      <c r="H12" s="344">
        <v>0</v>
      </c>
      <c r="I12" s="344">
        <v>0</v>
      </c>
      <c r="J12" s="344">
        <v>0</v>
      </c>
      <c r="K12" s="344">
        <v>0</v>
      </c>
      <c r="L12" s="344">
        <v>0</v>
      </c>
      <c r="M12" s="344">
        <v>0</v>
      </c>
      <c r="N12" s="344">
        <v>0</v>
      </c>
      <c r="O12" s="344">
        <v>0</v>
      </c>
      <c r="P12" s="344">
        <v>0</v>
      </c>
      <c r="Q12" s="344">
        <v>0</v>
      </c>
      <c r="R12" s="340">
        <f t="shared" si="0"/>
        <v>0</v>
      </c>
    </row>
    <row r="13" spans="1:25" ht="13.5" customHeight="1" x14ac:dyDescent="0.75">
      <c r="A13" s="341" t="s">
        <v>1453</v>
      </c>
      <c r="B13" s="342">
        <v>0</v>
      </c>
      <c r="C13" s="343">
        <v>0</v>
      </c>
      <c r="D13" s="344">
        <v>0</v>
      </c>
      <c r="E13" s="344">
        <v>0</v>
      </c>
      <c r="F13" s="344">
        <v>0</v>
      </c>
      <c r="G13" s="344">
        <v>0</v>
      </c>
      <c r="H13" s="344">
        <v>0</v>
      </c>
      <c r="I13" s="344">
        <v>0</v>
      </c>
      <c r="J13" s="344">
        <v>0</v>
      </c>
      <c r="K13" s="344">
        <v>0</v>
      </c>
      <c r="L13" s="344">
        <v>0</v>
      </c>
      <c r="M13" s="344">
        <v>0</v>
      </c>
      <c r="N13" s="344">
        <v>0</v>
      </c>
      <c r="O13" s="344">
        <v>0</v>
      </c>
      <c r="P13" s="344">
        <v>0</v>
      </c>
      <c r="Q13" s="344">
        <v>0</v>
      </c>
      <c r="R13" s="340">
        <f t="shared" si="0"/>
        <v>0</v>
      </c>
    </row>
    <row r="14" spans="1:25" ht="13.5" customHeight="1" x14ac:dyDescent="0.75">
      <c r="A14" s="341" t="s">
        <v>1453</v>
      </c>
      <c r="B14" s="342">
        <v>0</v>
      </c>
      <c r="C14" s="343">
        <v>0</v>
      </c>
      <c r="D14" s="344">
        <v>0</v>
      </c>
      <c r="E14" s="344">
        <v>0</v>
      </c>
      <c r="F14" s="344">
        <v>0</v>
      </c>
      <c r="G14" s="344">
        <v>0</v>
      </c>
      <c r="H14" s="344">
        <v>0</v>
      </c>
      <c r="I14" s="344">
        <v>0</v>
      </c>
      <c r="J14" s="344">
        <v>0</v>
      </c>
      <c r="K14" s="344">
        <v>0</v>
      </c>
      <c r="L14" s="344">
        <v>0</v>
      </c>
      <c r="M14" s="344">
        <v>0</v>
      </c>
      <c r="N14" s="344">
        <v>0</v>
      </c>
      <c r="O14" s="344">
        <v>0</v>
      </c>
      <c r="P14" s="344">
        <v>0</v>
      </c>
      <c r="Q14" s="344">
        <v>0</v>
      </c>
      <c r="R14" s="340">
        <f t="shared" si="0"/>
        <v>0</v>
      </c>
    </row>
    <row r="15" spans="1:25" ht="13.5" customHeight="1" x14ac:dyDescent="0.75">
      <c r="A15" s="341" t="s">
        <v>1453</v>
      </c>
      <c r="B15" s="342">
        <v>0</v>
      </c>
      <c r="C15" s="343">
        <v>0</v>
      </c>
      <c r="D15" s="344">
        <v>0</v>
      </c>
      <c r="E15" s="344">
        <v>0</v>
      </c>
      <c r="F15" s="344">
        <v>0</v>
      </c>
      <c r="G15" s="344">
        <v>0</v>
      </c>
      <c r="H15" s="344">
        <v>0</v>
      </c>
      <c r="I15" s="344">
        <v>0</v>
      </c>
      <c r="J15" s="344">
        <v>0</v>
      </c>
      <c r="K15" s="344">
        <v>0</v>
      </c>
      <c r="L15" s="344">
        <v>0</v>
      </c>
      <c r="M15" s="344">
        <v>0</v>
      </c>
      <c r="N15" s="344">
        <v>0</v>
      </c>
      <c r="O15" s="344">
        <v>0</v>
      </c>
      <c r="P15" s="344">
        <v>0</v>
      </c>
      <c r="Q15" s="344">
        <v>0</v>
      </c>
      <c r="R15" s="340">
        <f t="shared" si="0"/>
        <v>0</v>
      </c>
    </row>
    <row r="16" spans="1:25" ht="13.5" customHeight="1" thickBot="1" x14ac:dyDescent="0.9">
      <c r="A16" s="345" t="s">
        <v>1453</v>
      </c>
      <c r="B16" s="346">
        <v>0</v>
      </c>
      <c r="C16" s="347">
        <v>0</v>
      </c>
      <c r="D16" s="348">
        <v>0</v>
      </c>
      <c r="E16" s="348">
        <v>0</v>
      </c>
      <c r="F16" s="348">
        <v>0</v>
      </c>
      <c r="G16" s="348">
        <v>0</v>
      </c>
      <c r="H16" s="348">
        <v>0</v>
      </c>
      <c r="I16" s="348">
        <v>0</v>
      </c>
      <c r="J16" s="348">
        <v>0</v>
      </c>
      <c r="K16" s="348">
        <v>0</v>
      </c>
      <c r="L16" s="348">
        <v>0</v>
      </c>
      <c r="M16" s="348">
        <v>0</v>
      </c>
      <c r="N16" s="348">
        <v>0</v>
      </c>
      <c r="O16" s="348">
        <v>0</v>
      </c>
      <c r="P16" s="348">
        <v>0</v>
      </c>
      <c r="Q16" s="348">
        <v>0</v>
      </c>
      <c r="R16" s="340">
        <f t="shared" si="0"/>
        <v>0</v>
      </c>
    </row>
    <row r="17" spans="1:18" ht="13.5" customHeight="1" x14ac:dyDescent="0.75">
      <c r="A17" s="349">
        <v>2100</v>
      </c>
      <c r="B17" s="350" t="s">
        <v>577</v>
      </c>
      <c r="C17" s="343">
        <v>8.3000000000000004E-2</v>
      </c>
      <c r="D17" s="344">
        <v>8.3000000000000004E-2</v>
      </c>
      <c r="E17" s="344">
        <v>8.3000000000000004E-2</v>
      </c>
      <c r="F17" s="344">
        <v>8.3000000000000004E-2</v>
      </c>
      <c r="G17" s="344">
        <v>8.3000000000000004E-2</v>
      </c>
      <c r="H17" s="344">
        <v>8.3000000000000004E-2</v>
      </c>
      <c r="I17" s="344">
        <v>8.3000000000000004E-2</v>
      </c>
      <c r="J17" s="344">
        <v>8.3000000000000004E-2</v>
      </c>
      <c r="K17" s="344">
        <v>8.4000000000000005E-2</v>
      </c>
      <c r="L17" s="344">
        <v>8.4000000000000005E-2</v>
      </c>
      <c r="M17" s="344">
        <v>8.4000000000000005E-2</v>
      </c>
      <c r="N17" s="344">
        <v>8.4000000000000005E-2</v>
      </c>
      <c r="O17" s="344">
        <v>0</v>
      </c>
      <c r="P17" s="344">
        <v>0</v>
      </c>
      <c r="Q17" s="344">
        <v>0</v>
      </c>
      <c r="R17" s="340">
        <f t="shared" si="0"/>
        <v>0.99999999999999989</v>
      </c>
    </row>
    <row r="18" spans="1:18" ht="13.5" customHeight="1" x14ac:dyDescent="0.75">
      <c r="A18" s="349">
        <v>2200</v>
      </c>
      <c r="B18" s="350" t="s">
        <v>579</v>
      </c>
      <c r="C18" s="343">
        <v>8.3000000000000004E-2</v>
      </c>
      <c r="D18" s="344">
        <v>8.3000000000000004E-2</v>
      </c>
      <c r="E18" s="344">
        <v>8.3000000000000004E-2</v>
      </c>
      <c r="F18" s="344">
        <v>8.3000000000000004E-2</v>
      </c>
      <c r="G18" s="344">
        <v>8.3000000000000004E-2</v>
      </c>
      <c r="H18" s="344">
        <v>8.3000000000000004E-2</v>
      </c>
      <c r="I18" s="344">
        <v>8.3000000000000004E-2</v>
      </c>
      <c r="J18" s="344">
        <v>8.3000000000000004E-2</v>
      </c>
      <c r="K18" s="344">
        <v>8.4000000000000005E-2</v>
      </c>
      <c r="L18" s="344">
        <v>8.4000000000000005E-2</v>
      </c>
      <c r="M18" s="344">
        <v>8.4000000000000005E-2</v>
      </c>
      <c r="N18" s="344">
        <v>8.4000000000000005E-2</v>
      </c>
      <c r="O18" s="344">
        <v>0</v>
      </c>
      <c r="P18" s="344">
        <v>0</v>
      </c>
      <c r="Q18" s="344">
        <v>0</v>
      </c>
      <c r="R18" s="340">
        <f t="shared" si="0"/>
        <v>0.99999999999999989</v>
      </c>
    </row>
    <row r="19" spans="1:18" ht="16.95" customHeight="1" x14ac:dyDescent="0.75">
      <c r="A19" s="349">
        <v>2300</v>
      </c>
      <c r="B19" s="350" t="s">
        <v>1454</v>
      </c>
      <c r="C19" s="343">
        <v>8.3000000000000004E-2</v>
      </c>
      <c r="D19" s="344">
        <v>8.3000000000000004E-2</v>
      </c>
      <c r="E19" s="344">
        <v>8.3000000000000004E-2</v>
      </c>
      <c r="F19" s="344">
        <v>8.3000000000000004E-2</v>
      </c>
      <c r="G19" s="344">
        <v>8.3000000000000004E-2</v>
      </c>
      <c r="H19" s="344">
        <v>8.3000000000000004E-2</v>
      </c>
      <c r="I19" s="344">
        <v>8.3000000000000004E-2</v>
      </c>
      <c r="J19" s="344">
        <v>8.3000000000000004E-2</v>
      </c>
      <c r="K19" s="344">
        <v>8.4000000000000005E-2</v>
      </c>
      <c r="L19" s="344">
        <v>8.4000000000000005E-2</v>
      </c>
      <c r="M19" s="344">
        <v>8.4000000000000005E-2</v>
      </c>
      <c r="N19" s="344">
        <v>8.4000000000000005E-2</v>
      </c>
      <c r="O19" s="344">
        <v>0</v>
      </c>
      <c r="P19" s="344">
        <v>0</v>
      </c>
      <c r="Q19" s="344">
        <v>0</v>
      </c>
      <c r="R19" s="340">
        <f t="shared" si="0"/>
        <v>0.99999999999999989</v>
      </c>
    </row>
    <row r="20" spans="1:18" ht="13.5" customHeight="1" x14ac:dyDescent="0.75">
      <c r="A20" s="349">
        <v>2400</v>
      </c>
      <c r="B20" s="350" t="s">
        <v>1455</v>
      </c>
      <c r="C20" s="343">
        <v>8.3000000000000004E-2</v>
      </c>
      <c r="D20" s="344">
        <v>8.3000000000000004E-2</v>
      </c>
      <c r="E20" s="344">
        <v>8.3000000000000004E-2</v>
      </c>
      <c r="F20" s="344">
        <v>8.3000000000000004E-2</v>
      </c>
      <c r="G20" s="344">
        <v>8.3000000000000004E-2</v>
      </c>
      <c r="H20" s="344">
        <v>8.3000000000000004E-2</v>
      </c>
      <c r="I20" s="344">
        <v>8.3000000000000004E-2</v>
      </c>
      <c r="J20" s="344">
        <v>8.3000000000000004E-2</v>
      </c>
      <c r="K20" s="344">
        <v>8.4000000000000005E-2</v>
      </c>
      <c r="L20" s="344">
        <v>8.4000000000000005E-2</v>
      </c>
      <c r="M20" s="344">
        <v>8.4000000000000005E-2</v>
      </c>
      <c r="N20" s="344">
        <v>8.4000000000000005E-2</v>
      </c>
      <c r="O20" s="344">
        <v>0</v>
      </c>
      <c r="P20" s="344">
        <v>0</v>
      </c>
      <c r="Q20" s="344">
        <v>0</v>
      </c>
      <c r="R20" s="340">
        <f t="shared" si="0"/>
        <v>0.99999999999999989</v>
      </c>
    </row>
    <row r="21" spans="1:18" ht="13.5" customHeight="1" x14ac:dyDescent="0.75">
      <c r="A21" s="349">
        <v>2900</v>
      </c>
      <c r="B21" s="350" t="s">
        <v>584</v>
      </c>
      <c r="C21" s="343">
        <v>8.3000000000000004E-2</v>
      </c>
      <c r="D21" s="344">
        <v>8.3000000000000004E-2</v>
      </c>
      <c r="E21" s="344">
        <v>8.3000000000000004E-2</v>
      </c>
      <c r="F21" s="344">
        <v>8.3000000000000004E-2</v>
      </c>
      <c r="G21" s="344">
        <v>8.3000000000000004E-2</v>
      </c>
      <c r="H21" s="344">
        <v>8.3000000000000004E-2</v>
      </c>
      <c r="I21" s="344">
        <v>8.3000000000000004E-2</v>
      </c>
      <c r="J21" s="344">
        <v>8.3000000000000004E-2</v>
      </c>
      <c r="K21" s="344">
        <v>8.4000000000000005E-2</v>
      </c>
      <c r="L21" s="344">
        <v>8.4000000000000005E-2</v>
      </c>
      <c r="M21" s="344">
        <v>8.4000000000000005E-2</v>
      </c>
      <c r="N21" s="344">
        <v>8.4000000000000005E-2</v>
      </c>
      <c r="O21" s="344">
        <v>0</v>
      </c>
      <c r="P21" s="344">
        <v>0</v>
      </c>
      <c r="Q21" s="344">
        <v>0</v>
      </c>
      <c r="R21" s="340">
        <f t="shared" si="0"/>
        <v>0.99999999999999989</v>
      </c>
    </row>
    <row r="22" spans="1:18" ht="14.25" customHeight="1" x14ac:dyDescent="0.75">
      <c r="A22" s="349">
        <v>2905</v>
      </c>
      <c r="B22" s="350" t="s">
        <v>585</v>
      </c>
      <c r="C22" s="343">
        <v>8.3000000000000004E-2</v>
      </c>
      <c r="D22" s="344">
        <v>8.3000000000000004E-2</v>
      </c>
      <c r="E22" s="344">
        <v>8.3000000000000004E-2</v>
      </c>
      <c r="F22" s="344">
        <v>8.3000000000000004E-2</v>
      </c>
      <c r="G22" s="344">
        <v>8.3000000000000004E-2</v>
      </c>
      <c r="H22" s="344">
        <v>8.3000000000000004E-2</v>
      </c>
      <c r="I22" s="344">
        <v>8.3000000000000004E-2</v>
      </c>
      <c r="J22" s="344">
        <v>8.3000000000000004E-2</v>
      </c>
      <c r="K22" s="344">
        <v>8.4000000000000005E-2</v>
      </c>
      <c r="L22" s="344">
        <v>8.4000000000000005E-2</v>
      </c>
      <c r="M22" s="344">
        <v>8.4000000000000005E-2</v>
      </c>
      <c r="N22" s="344">
        <v>8.4000000000000005E-2</v>
      </c>
      <c r="O22" s="344">
        <v>0</v>
      </c>
      <c r="P22" s="344">
        <v>0</v>
      </c>
      <c r="Q22" s="344">
        <v>0</v>
      </c>
      <c r="R22" s="340">
        <f t="shared" si="0"/>
        <v>0.99999999999999989</v>
      </c>
    </row>
    <row r="23" spans="1:18" ht="13.5" customHeight="1" x14ac:dyDescent="0.75">
      <c r="A23" s="349">
        <v>2910</v>
      </c>
      <c r="B23" s="350">
        <v>0</v>
      </c>
      <c r="C23" s="344">
        <v>0</v>
      </c>
      <c r="D23" s="344">
        <v>0</v>
      </c>
      <c r="E23" s="344">
        <v>0</v>
      </c>
      <c r="F23" s="344">
        <v>0</v>
      </c>
      <c r="G23" s="344">
        <v>0</v>
      </c>
      <c r="H23" s="344">
        <v>0</v>
      </c>
      <c r="I23" s="344">
        <v>0</v>
      </c>
      <c r="J23" s="344">
        <v>0</v>
      </c>
      <c r="K23" s="344">
        <v>0</v>
      </c>
      <c r="L23" s="344">
        <v>0</v>
      </c>
      <c r="M23" s="344">
        <v>0</v>
      </c>
      <c r="N23" s="344">
        <v>0</v>
      </c>
      <c r="O23" s="344">
        <v>0</v>
      </c>
      <c r="P23" s="344">
        <v>0</v>
      </c>
      <c r="Q23" s="344">
        <v>0</v>
      </c>
      <c r="R23" s="340">
        <f t="shared" si="0"/>
        <v>0</v>
      </c>
    </row>
    <row r="24" spans="1:18" ht="13.5" customHeight="1" x14ac:dyDescent="0.75">
      <c r="A24" s="349" t="s">
        <v>1456</v>
      </c>
      <c r="B24" s="350">
        <v>0</v>
      </c>
      <c r="C24" s="344">
        <v>0</v>
      </c>
      <c r="D24" s="344">
        <v>0</v>
      </c>
      <c r="E24" s="344">
        <v>0</v>
      </c>
      <c r="F24" s="344">
        <v>0</v>
      </c>
      <c r="G24" s="344">
        <v>0</v>
      </c>
      <c r="H24" s="344">
        <v>0</v>
      </c>
      <c r="I24" s="344">
        <v>0</v>
      </c>
      <c r="J24" s="344">
        <v>0</v>
      </c>
      <c r="K24" s="344">
        <v>0</v>
      </c>
      <c r="L24" s="344">
        <v>0</v>
      </c>
      <c r="M24" s="344">
        <v>0</v>
      </c>
      <c r="N24" s="344">
        <v>0</v>
      </c>
      <c r="O24" s="344">
        <v>0</v>
      </c>
      <c r="P24" s="344">
        <v>0</v>
      </c>
      <c r="Q24" s="344">
        <v>0</v>
      </c>
      <c r="R24" s="340">
        <f t="shared" si="0"/>
        <v>0</v>
      </c>
    </row>
    <row r="25" spans="1:18" ht="13.5" customHeight="1" x14ac:dyDescent="0.75">
      <c r="A25" s="349" t="s">
        <v>1456</v>
      </c>
      <c r="B25" s="350">
        <v>0</v>
      </c>
      <c r="C25" s="344">
        <v>0</v>
      </c>
      <c r="D25" s="344">
        <v>0</v>
      </c>
      <c r="E25" s="344">
        <v>0</v>
      </c>
      <c r="F25" s="344">
        <v>0</v>
      </c>
      <c r="G25" s="344">
        <v>0</v>
      </c>
      <c r="H25" s="344">
        <v>0</v>
      </c>
      <c r="I25" s="344">
        <v>0</v>
      </c>
      <c r="J25" s="344">
        <v>0</v>
      </c>
      <c r="K25" s="344">
        <v>0</v>
      </c>
      <c r="L25" s="344">
        <v>0</v>
      </c>
      <c r="M25" s="344">
        <v>0</v>
      </c>
      <c r="N25" s="344">
        <v>0</v>
      </c>
      <c r="O25" s="344">
        <v>0</v>
      </c>
      <c r="P25" s="344">
        <v>0</v>
      </c>
      <c r="Q25" s="344">
        <v>0</v>
      </c>
      <c r="R25" s="340">
        <f t="shared" si="0"/>
        <v>0</v>
      </c>
    </row>
    <row r="26" spans="1:18" ht="13.5" customHeight="1" x14ac:dyDescent="0.75">
      <c r="A26" s="349" t="s">
        <v>1456</v>
      </c>
      <c r="B26" s="350">
        <v>0</v>
      </c>
      <c r="C26" s="344">
        <v>0</v>
      </c>
      <c r="D26" s="344">
        <v>0</v>
      </c>
      <c r="E26" s="344">
        <v>0</v>
      </c>
      <c r="F26" s="344">
        <v>0</v>
      </c>
      <c r="G26" s="344">
        <v>0</v>
      </c>
      <c r="H26" s="344">
        <v>0</v>
      </c>
      <c r="I26" s="344">
        <v>0</v>
      </c>
      <c r="J26" s="344">
        <v>0</v>
      </c>
      <c r="K26" s="344">
        <v>0</v>
      </c>
      <c r="L26" s="344">
        <v>0</v>
      </c>
      <c r="M26" s="344">
        <v>0</v>
      </c>
      <c r="N26" s="344">
        <v>0</v>
      </c>
      <c r="O26" s="344">
        <v>0</v>
      </c>
      <c r="P26" s="344">
        <v>0</v>
      </c>
      <c r="Q26" s="344">
        <v>0</v>
      </c>
      <c r="R26" s="340">
        <f t="shared" si="0"/>
        <v>0</v>
      </c>
    </row>
    <row r="27" spans="1:18" ht="13.5" customHeight="1" x14ac:dyDescent="0.75">
      <c r="A27" s="349" t="s">
        <v>1456</v>
      </c>
      <c r="B27" s="350">
        <v>0</v>
      </c>
      <c r="C27" s="344">
        <v>0</v>
      </c>
      <c r="D27" s="344">
        <v>0</v>
      </c>
      <c r="E27" s="344">
        <v>0</v>
      </c>
      <c r="F27" s="344">
        <v>0</v>
      </c>
      <c r="G27" s="344">
        <v>0</v>
      </c>
      <c r="H27" s="344">
        <v>0</v>
      </c>
      <c r="I27" s="344">
        <v>0</v>
      </c>
      <c r="J27" s="344">
        <v>0</v>
      </c>
      <c r="K27" s="344">
        <v>0</v>
      </c>
      <c r="L27" s="344">
        <v>0</v>
      </c>
      <c r="M27" s="344">
        <v>0</v>
      </c>
      <c r="N27" s="344">
        <v>0</v>
      </c>
      <c r="O27" s="344">
        <v>0</v>
      </c>
      <c r="P27" s="344">
        <v>0</v>
      </c>
      <c r="Q27" s="344">
        <v>0</v>
      </c>
      <c r="R27" s="340">
        <f t="shared" si="0"/>
        <v>0</v>
      </c>
    </row>
    <row r="28" spans="1:18" ht="13.5" customHeight="1" thickBot="1" x14ac:dyDescent="0.9">
      <c r="A28" s="351" t="s">
        <v>1456</v>
      </c>
      <c r="B28" s="352">
        <v>0</v>
      </c>
      <c r="C28" s="344">
        <v>0</v>
      </c>
      <c r="D28" s="344">
        <v>0</v>
      </c>
      <c r="E28" s="344">
        <v>0</v>
      </c>
      <c r="F28" s="344">
        <v>0</v>
      </c>
      <c r="G28" s="344">
        <v>0</v>
      </c>
      <c r="H28" s="344">
        <v>0</v>
      </c>
      <c r="I28" s="344">
        <v>0</v>
      </c>
      <c r="J28" s="344">
        <v>0</v>
      </c>
      <c r="K28" s="344">
        <v>0</v>
      </c>
      <c r="L28" s="344">
        <v>0</v>
      </c>
      <c r="M28" s="344">
        <v>0</v>
      </c>
      <c r="N28" s="344">
        <v>0</v>
      </c>
      <c r="O28" s="344">
        <v>0</v>
      </c>
      <c r="P28" s="344">
        <v>0</v>
      </c>
      <c r="Q28" s="344">
        <v>0</v>
      </c>
      <c r="R28" s="340">
        <f t="shared" si="0"/>
        <v>0</v>
      </c>
    </row>
    <row r="29" spans="1:18" ht="13.5" customHeight="1" x14ac:dyDescent="0.75">
      <c r="A29" s="349">
        <v>3101</v>
      </c>
      <c r="B29" s="350" t="s">
        <v>587</v>
      </c>
      <c r="C29" s="343">
        <v>8.3000000000000004E-2</v>
      </c>
      <c r="D29" s="344">
        <v>8.3000000000000004E-2</v>
      </c>
      <c r="E29" s="344">
        <v>8.3000000000000004E-2</v>
      </c>
      <c r="F29" s="344">
        <v>8.3000000000000004E-2</v>
      </c>
      <c r="G29" s="344">
        <v>8.3000000000000004E-2</v>
      </c>
      <c r="H29" s="344">
        <v>8.3000000000000004E-2</v>
      </c>
      <c r="I29" s="344">
        <v>8.3000000000000004E-2</v>
      </c>
      <c r="J29" s="344">
        <v>8.3000000000000004E-2</v>
      </c>
      <c r="K29" s="344">
        <v>8.4000000000000005E-2</v>
      </c>
      <c r="L29" s="344">
        <v>8.4000000000000005E-2</v>
      </c>
      <c r="M29" s="344">
        <v>8.4000000000000005E-2</v>
      </c>
      <c r="N29" s="344">
        <v>8.4000000000000005E-2</v>
      </c>
      <c r="O29" s="344">
        <v>0</v>
      </c>
      <c r="P29" s="344">
        <v>0</v>
      </c>
      <c r="Q29" s="344">
        <v>0</v>
      </c>
      <c r="R29" s="340">
        <f t="shared" si="0"/>
        <v>0.99999999999999989</v>
      </c>
    </row>
    <row r="30" spans="1:18" ht="16.95" customHeight="1" x14ac:dyDescent="0.75">
      <c r="A30" s="349">
        <v>3202</v>
      </c>
      <c r="B30" s="350" t="s">
        <v>1457</v>
      </c>
      <c r="C30" s="343">
        <v>8.3000000000000004E-2</v>
      </c>
      <c r="D30" s="344">
        <v>8.3000000000000004E-2</v>
      </c>
      <c r="E30" s="344">
        <v>8.3000000000000004E-2</v>
      </c>
      <c r="F30" s="344">
        <v>8.3000000000000004E-2</v>
      </c>
      <c r="G30" s="344">
        <v>8.3000000000000004E-2</v>
      </c>
      <c r="H30" s="344">
        <v>8.3000000000000004E-2</v>
      </c>
      <c r="I30" s="344">
        <v>8.3000000000000004E-2</v>
      </c>
      <c r="J30" s="344">
        <v>8.3000000000000004E-2</v>
      </c>
      <c r="K30" s="344">
        <v>8.4000000000000005E-2</v>
      </c>
      <c r="L30" s="344">
        <v>8.4000000000000005E-2</v>
      </c>
      <c r="M30" s="344">
        <v>8.4000000000000005E-2</v>
      </c>
      <c r="N30" s="344">
        <v>8.4000000000000005E-2</v>
      </c>
      <c r="O30" s="344">
        <v>0</v>
      </c>
      <c r="P30" s="344">
        <v>0</v>
      </c>
      <c r="Q30" s="344">
        <v>0</v>
      </c>
      <c r="R30" s="340">
        <f t="shared" si="0"/>
        <v>0.99999999999999989</v>
      </c>
    </row>
    <row r="31" spans="1:18" ht="16.95" customHeight="1" x14ac:dyDescent="0.75">
      <c r="A31" s="349">
        <v>3301</v>
      </c>
      <c r="B31" s="350" t="s">
        <v>1519</v>
      </c>
      <c r="C31" s="344">
        <v>8.3000000000000004E-2</v>
      </c>
      <c r="D31" s="344">
        <v>8.3000000000000004E-2</v>
      </c>
      <c r="E31" s="344">
        <v>8.3000000000000004E-2</v>
      </c>
      <c r="F31" s="344">
        <v>8.3000000000000004E-2</v>
      </c>
      <c r="G31" s="344">
        <v>8.3000000000000004E-2</v>
      </c>
      <c r="H31" s="344">
        <v>8.3000000000000004E-2</v>
      </c>
      <c r="I31" s="344">
        <v>8.3000000000000004E-2</v>
      </c>
      <c r="J31" s="344">
        <v>8.3000000000000004E-2</v>
      </c>
      <c r="K31" s="344">
        <v>8.4000000000000005E-2</v>
      </c>
      <c r="L31" s="344">
        <v>8.4000000000000005E-2</v>
      </c>
      <c r="M31" s="344">
        <v>8.4000000000000005E-2</v>
      </c>
      <c r="N31" s="344">
        <v>8.4000000000000005E-2</v>
      </c>
      <c r="O31" s="344">
        <v>0</v>
      </c>
      <c r="P31" s="344">
        <v>0</v>
      </c>
      <c r="Q31" s="344">
        <v>0</v>
      </c>
      <c r="R31" s="340">
        <f t="shared" ref="R31:R32" si="1">SUM(C31:Q31)</f>
        <v>0.99999999999999989</v>
      </c>
    </row>
    <row r="32" spans="1:18" ht="16.95" customHeight="1" x14ac:dyDescent="0.75">
      <c r="A32" s="349">
        <v>3302</v>
      </c>
      <c r="B32" s="350" t="s">
        <v>1520</v>
      </c>
      <c r="C32" s="344">
        <v>8.3000000000000004E-2</v>
      </c>
      <c r="D32" s="344">
        <v>8.3000000000000004E-2</v>
      </c>
      <c r="E32" s="344">
        <v>8.3000000000000004E-2</v>
      </c>
      <c r="F32" s="344">
        <v>8.3000000000000004E-2</v>
      </c>
      <c r="G32" s="344">
        <v>8.3000000000000004E-2</v>
      </c>
      <c r="H32" s="344">
        <v>8.3000000000000004E-2</v>
      </c>
      <c r="I32" s="344">
        <v>8.3000000000000004E-2</v>
      </c>
      <c r="J32" s="344">
        <v>8.3000000000000004E-2</v>
      </c>
      <c r="K32" s="344">
        <v>8.4000000000000005E-2</v>
      </c>
      <c r="L32" s="344">
        <v>8.4000000000000005E-2</v>
      </c>
      <c r="M32" s="344">
        <v>8.4000000000000005E-2</v>
      </c>
      <c r="N32" s="344">
        <v>8.4000000000000005E-2</v>
      </c>
      <c r="O32" s="344">
        <v>0</v>
      </c>
      <c r="P32" s="344">
        <v>0</v>
      </c>
      <c r="Q32" s="344">
        <v>0</v>
      </c>
      <c r="R32" s="340">
        <f t="shared" si="1"/>
        <v>0.99999999999999989</v>
      </c>
    </row>
    <row r="33" spans="1:18" ht="13.5" customHeight="1" x14ac:dyDescent="0.75">
      <c r="A33" s="349">
        <v>3313</v>
      </c>
      <c r="B33" s="350" t="s">
        <v>1066</v>
      </c>
      <c r="C33" s="344">
        <v>8.3000000000000004E-2</v>
      </c>
      <c r="D33" s="344">
        <v>8.3000000000000004E-2</v>
      </c>
      <c r="E33" s="344">
        <v>8.3000000000000004E-2</v>
      </c>
      <c r="F33" s="344">
        <v>8.3000000000000004E-2</v>
      </c>
      <c r="G33" s="344">
        <v>8.3000000000000004E-2</v>
      </c>
      <c r="H33" s="344">
        <v>8.3000000000000004E-2</v>
      </c>
      <c r="I33" s="344">
        <v>8.3000000000000004E-2</v>
      </c>
      <c r="J33" s="344">
        <v>8.3000000000000004E-2</v>
      </c>
      <c r="K33" s="344">
        <v>8.4000000000000005E-2</v>
      </c>
      <c r="L33" s="344">
        <v>8.4000000000000005E-2</v>
      </c>
      <c r="M33" s="344">
        <v>8.4000000000000005E-2</v>
      </c>
      <c r="N33" s="344">
        <v>8.4000000000000005E-2</v>
      </c>
      <c r="O33" s="344">
        <v>0</v>
      </c>
      <c r="P33" s="344">
        <v>0</v>
      </c>
      <c r="Q33" s="344">
        <v>0</v>
      </c>
      <c r="R33" s="340">
        <f t="shared" si="0"/>
        <v>0.99999999999999989</v>
      </c>
    </row>
    <row r="34" spans="1:18" ht="13.5" customHeight="1" x14ac:dyDescent="0.75">
      <c r="A34" s="349">
        <v>3323</v>
      </c>
      <c r="B34" s="350" t="s">
        <v>1068</v>
      </c>
      <c r="C34" s="344">
        <v>8.3000000000000004E-2</v>
      </c>
      <c r="D34" s="344">
        <v>8.3000000000000004E-2</v>
      </c>
      <c r="E34" s="344">
        <v>8.3000000000000004E-2</v>
      </c>
      <c r="F34" s="344">
        <v>8.3000000000000004E-2</v>
      </c>
      <c r="G34" s="344">
        <v>8.3000000000000004E-2</v>
      </c>
      <c r="H34" s="344">
        <v>8.3000000000000004E-2</v>
      </c>
      <c r="I34" s="344">
        <v>8.3000000000000004E-2</v>
      </c>
      <c r="J34" s="344">
        <v>8.3000000000000004E-2</v>
      </c>
      <c r="K34" s="344">
        <v>8.4000000000000005E-2</v>
      </c>
      <c r="L34" s="344">
        <v>8.4000000000000005E-2</v>
      </c>
      <c r="M34" s="344">
        <v>8.4000000000000005E-2</v>
      </c>
      <c r="N34" s="344">
        <v>8.4000000000000005E-2</v>
      </c>
      <c r="O34" s="344">
        <v>0</v>
      </c>
      <c r="P34" s="344">
        <v>0</v>
      </c>
      <c r="Q34" s="344">
        <v>0</v>
      </c>
      <c r="R34" s="340">
        <f t="shared" si="0"/>
        <v>0.99999999999999989</v>
      </c>
    </row>
    <row r="35" spans="1:18" ht="13.5" customHeight="1" x14ac:dyDescent="0.75">
      <c r="A35" s="349">
        <v>3401</v>
      </c>
      <c r="B35" s="350" t="s">
        <v>1521</v>
      </c>
      <c r="C35" s="344">
        <v>8.3000000000000004E-2</v>
      </c>
      <c r="D35" s="344">
        <v>8.3000000000000004E-2</v>
      </c>
      <c r="E35" s="344">
        <v>8.3000000000000004E-2</v>
      </c>
      <c r="F35" s="344">
        <v>8.3000000000000004E-2</v>
      </c>
      <c r="G35" s="344">
        <v>8.3000000000000004E-2</v>
      </c>
      <c r="H35" s="344">
        <v>8.3000000000000004E-2</v>
      </c>
      <c r="I35" s="344">
        <v>8.3000000000000004E-2</v>
      </c>
      <c r="J35" s="344">
        <v>8.3000000000000004E-2</v>
      </c>
      <c r="K35" s="344">
        <v>8.4000000000000005E-2</v>
      </c>
      <c r="L35" s="344">
        <v>8.4000000000000005E-2</v>
      </c>
      <c r="M35" s="344">
        <v>8.4000000000000005E-2</v>
      </c>
      <c r="N35" s="344">
        <v>8.4000000000000005E-2</v>
      </c>
      <c r="O35" s="344">
        <v>0</v>
      </c>
      <c r="P35" s="344">
        <v>0</v>
      </c>
      <c r="Q35" s="344">
        <v>0</v>
      </c>
      <c r="R35" s="340">
        <f t="shared" ref="R35:R36" si="2">SUM(C35:Q35)</f>
        <v>0.99999999999999989</v>
      </c>
    </row>
    <row r="36" spans="1:18" ht="13.5" customHeight="1" x14ac:dyDescent="0.75">
      <c r="A36" s="349">
        <v>3402</v>
      </c>
      <c r="B36" s="350" t="s">
        <v>1522</v>
      </c>
      <c r="C36" s="344">
        <v>8.3000000000000004E-2</v>
      </c>
      <c r="D36" s="344">
        <v>8.3000000000000004E-2</v>
      </c>
      <c r="E36" s="344">
        <v>8.3000000000000004E-2</v>
      </c>
      <c r="F36" s="344">
        <v>8.3000000000000004E-2</v>
      </c>
      <c r="G36" s="344">
        <v>8.3000000000000004E-2</v>
      </c>
      <c r="H36" s="344">
        <v>8.3000000000000004E-2</v>
      </c>
      <c r="I36" s="344">
        <v>8.3000000000000004E-2</v>
      </c>
      <c r="J36" s="344">
        <v>8.3000000000000004E-2</v>
      </c>
      <c r="K36" s="344">
        <v>8.4000000000000005E-2</v>
      </c>
      <c r="L36" s="344">
        <v>8.4000000000000005E-2</v>
      </c>
      <c r="M36" s="344">
        <v>8.4000000000000005E-2</v>
      </c>
      <c r="N36" s="344">
        <v>8.4000000000000005E-2</v>
      </c>
      <c r="O36" s="344">
        <v>0</v>
      </c>
      <c r="P36" s="344">
        <v>0</v>
      </c>
      <c r="Q36" s="344">
        <v>0</v>
      </c>
      <c r="R36" s="340">
        <f t="shared" si="2"/>
        <v>0.99999999999999989</v>
      </c>
    </row>
    <row r="37" spans="1:18" ht="13.5" customHeight="1" x14ac:dyDescent="0.75">
      <c r="A37" s="349">
        <v>3403</v>
      </c>
      <c r="B37" s="350" t="s">
        <v>589</v>
      </c>
      <c r="C37" s="344">
        <v>8.3000000000000004E-2</v>
      </c>
      <c r="D37" s="344">
        <v>8.3000000000000004E-2</v>
      </c>
      <c r="E37" s="344">
        <v>8.3000000000000004E-2</v>
      </c>
      <c r="F37" s="344">
        <v>8.3000000000000004E-2</v>
      </c>
      <c r="G37" s="344">
        <v>8.3000000000000004E-2</v>
      </c>
      <c r="H37" s="344">
        <v>8.3000000000000004E-2</v>
      </c>
      <c r="I37" s="344">
        <v>8.3000000000000004E-2</v>
      </c>
      <c r="J37" s="344">
        <v>8.3000000000000004E-2</v>
      </c>
      <c r="K37" s="344">
        <v>8.4000000000000005E-2</v>
      </c>
      <c r="L37" s="344">
        <v>8.4000000000000005E-2</v>
      </c>
      <c r="M37" s="344">
        <v>8.4000000000000005E-2</v>
      </c>
      <c r="N37" s="344">
        <v>8.4000000000000005E-2</v>
      </c>
      <c r="O37" s="344">
        <v>0</v>
      </c>
      <c r="P37" s="344">
        <v>0</v>
      </c>
      <c r="Q37" s="344">
        <v>0</v>
      </c>
      <c r="R37" s="340">
        <f t="shared" si="0"/>
        <v>0.99999999999999989</v>
      </c>
    </row>
    <row r="38" spans="1:18" ht="13.5" customHeight="1" x14ac:dyDescent="0.75">
      <c r="A38" s="349">
        <v>3501</v>
      </c>
      <c r="B38" s="350" t="s">
        <v>1523</v>
      </c>
      <c r="C38" s="344">
        <v>8.3000000000000004E-2</v>
      </c>
      <c r="D38" s="344">
        <v>8.3000000000000004E-2</v>
      </c>
      <c r="E38" s="344">
        <v>8.3000000000000004E-2</v>
      </c>
      <c r="F38" s="344">
        <v>8.3000000000000004E-2</v>
      </c>
      <c r="G38" s="344">
        <v>8.3000000000000004E-2</v>
      </c>
      <c r="H38" s="344">
        <v>8.3000000000000004E-2</v>
      </c>
      <c r="I38" s="344">
        <v>8.3000000000000004E-2</v>
      </c>
      <c r="J38" s="344">
        <v>8.3000000000000004E-2</v>
      </c>
      <c r="K38" s="344">
        <v>8.4000000000000005E-2</v>
      </c>
      <c r="L38" s="344">
        <v>8.4000000000000005E-2</v>
      </c>
      <c r="M38" s="344">
        <v>8.4000000000000005E-2</v>
      </c>
      <c r="N38" s="344">
        <v>8.4000000000000005E-2</v>
      </c>
      <c r="O38" s="344">
        <v>0</v>
      </c>
      <c r="P38" s="344">
        <v>0</v>
      </c>
      <c r="Q38" s="344">
        <v>0</v>
      </c>
      <c r="R38" s="340">
        <f t="shared" ref="R38:R39" si="3">SUM(C38:Q38)</f>
        <v>0.99999999999999989</v>
      </c>
    </row>
    <row r="39" spans="1:18" ht="13.5" customHeight="1" x14ac:dyDescent="0.75">
      <c r="A39" s="349">
        <v>3502</v>
      </c>
      <c r="B39" s="350" t="s">
        <v>1524</v>
      </c>
      <c r="C39" s="344">
        <v>8.3000000000000004E-2</v>
      </c>
      <c r="D39" s="344">
        <v>8.3000000000000004E-2</v>
      </c>
      <c r="E39" s="344">
        <v>8.3000000000000004E-2</v>
      </c>
      <c r="F39" s="344">
        <v>8.3000000000000004E-2</v>
      </c>
      <c r="G39" s="344">
        <v>8.3000000000000004E-2</v>
      </c>
      <c r="H39" s="344">
        <v>8.3000000000000004E-2</v>
      </c>
      <c r="I39" s="344">
        <v>8.3000000000000004E-2</v>
      </c>
      <c r="J39" s="344">
        <v>8.3000000000000004E-2</v>
      </c>
      <c r="K39" s="344">
        <v>8.4000000000000005E-2</v>
      </c>
      <c r="L39" s="344">
        <v>8.4000000000000005E-2</v>
      </c>
      <c r="M39" s="344">
        <v>8.4000000000000005E-2</v>
      </c>
      <c r="N39" s="344">
        <v>8.4000000000000005E-2</v>
      </c>
      <c r="O39" s="344">
        <v>0</v>
      </c>
      <c r="P39" s="344">
        <v>0</v>
      </c>
      <c r="Q39" s="344">
        <v>0</v>
      </c>
      <c r="R39" s="340">
        <f t="shared" si="3"/>
        <v>0.99999999999999989</v>
      </c>
    </row>
    <row r="40" spans="1:18" ht="13.2" customHeight="1" x14ac:dyDescent="0.75">
      <c r="A40" s="349">
        <v>3503</v>
      </c>
      <c r="B40" s="350" t="s">
        <v>590</v>
      </c>
      <c r="C40" s="344">
        <v>8.3000000000000004E-2</v>
      </c>
      <c r="D40" s="344">
        <v>8.3000000000000004E-2</v>
      </c>
      <c r="E40" s="344">
        <v>8.3000000000000004E-2</v>
      </c>
      <c r="F40" s="344">
        <v>8.3000000000000004E-2</v>
      </c>
      <c r="G40" s="344">
        <v>8.3000000000000004E-2</v>
      </c>
      <c r="H40" s="344">
        <v>8.3000000000000004E-2</v>
      </c>
      <c r="I40" s="344">
        <v>8.3000000000000004E-2</v>
      </c>
      <c r="J40" s="344">
        <v>8.3000000000000004E-2</v>
      </c>
      <c r="K40" s="344">
        <v>8.4000000000000005E-2</v>
      </c>
      <c r="L40" s="344">
        <v>8.4000000000000005E-2</v>
      </c>
      <c r="M40" s="344">
        <v>8.4000000000000005E-2</v>
      </c>
      <c r="N40" s="344">
        <v>8.4000000000000005E-2</v>
      </c>
      <c r="O40" s="344">
        <v>0</v>
      </c>
      <c r="P40" s="344">
        <v>0</v>
      </c>
      <c r="Q40" s="344">
        <v>0</v>
      </c>
      <c r="R40" s="340">
        <f t="shared" si="0"/>
        <v>0.99999999999999989</v>
      </c>
    </row>
    <row r="41" spans="1:18" ht="13.2" customHeight="1" x14ac:dyDescent="0.75">
      <c r="A41" s="349">
        <v>3601</v>
      </c>
      <c r="B41" s="350" t="s">
        <v>1525</v>
      </c>
      <c r="C41" s="344">
        <v>8.3000000000000004E-2</v>
      </c>
      <c r="D41" s="344">
        <v>8.3000000000000004E-2</v>
      </c>
      <c r="E41" s="344">
        <v>8.3000000000000004E-2</v>
      </c>
      <c r="F41" s="344">
        <v>8.3000000000000004E-2</v>
      </c>
      <c r="G41" s="344">
        <v>8.3000000000000004E-2</v>
      </c>
      <c r="H41" s="344">
        <v>8.3000000000000004E-2</v>
      </c>
      <c r="I41" s="344">
        <v>8.3000000000000004E-2</v>
      </c>
      <c r="J41" s="344">
        <v>8.3000000000000004E-2</v>
      </c>
      <c r="K41" s="344">
        <v>8.4000000000000005E-2</v>
      </c>
      <c r="L41" s="344">
        <v>8.4000000000000005E-2</v>
      </c>
      <c r="M41" s="344">
        <v>8.4000000000000005E-2</v>
      </c>
      <c r="N41" s="344">
        <v>8.4000000000000005E-2</v>
      </c>
      <c r="O41" s="344">
        <v>0</v>
      </c>
      <c r="P41" s="344">
        <v>0</v>
      </c>
      <c r="Q41" s="344">
        <v>0</v>
      </c>
      <c r="R41" s="340">
        <f t="shared" ref="R41:R42" si="4">SUM(C41:Q41)</f>
        <v>0.99999999999999989</v>
      </c>
    </row>
    <row r="42" spans="1:18" ht="13.2" customHeight="1" x14ac:dyDescent="0.75">
      <c r="A42" s="349">
        <v>3602</v>
      </c>
      <c r="B42" s="350" t="s">
        <v>1526</v>
      </c>
      <c r="C42" s="344">
        <v>8.3000000000000004E-2</v>
      </c>
      <c r="D42" s="344">
        <v>8.3000000000000004E-2</v>
      </c>
      <c r="E42" s="344">
        <v>8.3000000000000004E-2</v>
      </c>
      <c r="F42" s="344">
        <v>8.3000000000000004E-2</v>
      </c>
      <c r="G42" s="344">
        <v>8.3000000000000004E-2</v>
      </c>
      <c r="H42" s="344">
        <v>8.3000000000000004E-2</v>
      </c>
      <c r="I42" s="344">
        <v>8.3000000000000004E-2</v>
      </c>
      <c r="J42" s="344">
        <v>8.3000000000000004E-2</v>
      </c>
      <c r="K42" s="344">
        <v>8.4000000000000005E-2</v>
      </c>
      <c r="L42" s="344">
        <v>8.4000000000000005E-2</v>
      </c>
      <c r="M42" s="344">
        <v>8.4000000000000005E-2</v>
      </c>
      <c r="N42" s="344">
        <v>8.4000000000000005E-2</v>
      </c>
      <c r="O42" s="344">
        <v>0</v>
      </c>
      <c r="P42" s="344">
        <v>0</v>
      </c>
      <c r="Q42" s="344">
        <v>0</v>
      </c>
      <c r="R42" s="340">
        <f t="shared" si="4"/>
        <v>0.99999999999999989</v>
      </c>
    </row>
    <row r="43" spans="1:18" ht="13.5" customHeight="1" x14ac:dyDescent="0.75">
      <c r="A43" s="349">
        <v>3603</v>
      </c>
      <c r="B43" s="350" t="s">
        <v>591</v>
      </c>
      <c r="C43" s="344">
        <v>8.3000000000000004E-2</v>
      </c>
      <c r="D43" s="344">
        <v>8.3000000000000004E-2</v>
      </c>
      <c r="E43" s="344">
        <v>8.3000000000000004E-2</v>
      </c>
      <c r="F43" s="344">
        <v>8.3000000000000004E-2</v>
      </c>
      <c r="G43" s="344">
        <v>8.3000000000000004E-2</v>
      </c>
      <c r="H43" s="344">
        <v>8.3000000000000004E-2</v>
      </c>
      <c r="I43" s="344">
        <v>8.3000000000000004E-2</v>
      </c>
      <c r="J43" s="344">
        <v>8.3000000000000004E-2</v>
      </c>
      <c r="K43" s="344">
        <v>8.4000000000000005E-2</v>
      </c>
      <c r="L43" s="344">
        <v>8.4000000000000005E-2</v>
      </c>
      <c r="M43" s="344">
        <v>8.4000000000000005E-2</v>
      </c>
      <c r="N43" s="344">
        <v>8.4000000000000005E-2</v>
      </c>
      <c r="O43" s="344">
        <v>0</v>
      </c>
      <c r="P43" s="344">
        <v>0</v>
      </c>
      <c r="Q43" s="344">
        <v>0</v>
      </c>
      <c r="R43" s="340">
        <f t="shared" si="0"/>
        <v>0.99999999999999989</v>
      </c>
    </row>
    <row r="44" spans="1:18" ht="13.5" customHeight="1" x14ac:dyDescent="0.75">
      <c r="A44" s="349">
        <v>3703</v>
      </c>
      <c r="B44" s="350">
        <v>0</v>
      </c>
      <c r="C44" s="344">
        <v>8.3000000000000004E-2</v>
      </c>
      <c r="D44" s="344">
        <v>8.3000000000000004E-2</v>
      </c>
      <c r="E44" s="344">
        <v>8.3000000000000004E-2</v>
      </c>
      <c r="F44" s="344">
        <v>8.3000000000000004E-2</v>
      </c>
      <c r="G44" s="344">
        <v>8.3000000000000004E-2</v>
      </c>
      <c r="H44" s="344">
        <v>8.3000000000000004E-2</v>
      </c>
      <c r="I44" s="344">
        <v>8.3000000000000004E-2</v>
      </c>
      <c r="J44" s="344">
        <v>8.3000000000000004E-2</v>
      </c>
      <c r="K44" s="344">
        <v>8.4000000000000005E-2</v>
      </c>
      <c r="L44" s="344">
        <v>8.4000000000000005E-2</v>
      </c>
      <c r="M44" s="344">
        <v>8.4000000000000005E-2</v>
      </c>
      <c r="N44" s="344">
        <v>8.4000000000000005E-2</v>
      </c>
      <c r="O44" s="344">
        <v>0</v>
      </c>
      <c r="P44" s="344">
        <v>0</v>
      </c>
      <c r="Q44" s="344">
        <v>0</v>
      </c>
      <c r="R44" s="340">
        <f>SUM(C44:Q44)</f>
        <v>0.99999999999999989</v>
      </c>
    </row>
    <row r="45" spans="1:18" ht="13.5" customHeight="1" x14ac:dyDescent="0.75">
      <c r="A45" s="349">
        <v>3901</v>
      </c>
      <c r="B45" s="350" t="s">
        <v>1527</v>
      </c>
      <c r="C45" s="344">
        <v>8.3000000000000004E-2</v>
      </c>
      <c r="D45" s="344">
        <v>8.3000000000000004E-2</v>
      </c>
      <c r="E45" s="344">
        <v>8.3000000000000004E-2</v>
      </c>
      <c r="F45" s="344">
        <v>8.3000000000000004E-2</v>
      </c>
      <c r="G45" s="344">
        <v>8.3000000000000004E-2</v>
      </c>
      <c r="H45" s="344">
        <v>8.3000000000000004E-2</v>
      </c>
      <c r="I45" s="344">
        <v>8.3000000000000004E-2</v>
      </c>
      <c r="J45" s="344">
        <v>8.3000000000000004E-2</v>
      </c>
      <c r="K45" s="344">
        <v>8.4000000000000005E-2</v>
      </c>
      <c r="L45" s="344">
        <v>8.4000000000000005E-2</v>
      </c>
      <c r="M45" s="344">
        <v>8.4000000000000005E-2</v>
      </c>
      <c r="N45" s="344">
        <v>8.4000000000000005E-2</v>
      </c>
      <c r="O45" s="344">
        <v>0</v>
      </c>
      <c r="P45" s="344">
        <v>0</v>
      </c>
      <c r="Q45" s="344">
        <v>0</v>
      </c>
      <c r="R45" s="340">
        <f>SUM(C45:Q45)</f>
        <v>0.99999999999999989</v>
      </c>
    </row>
    <row r="46" spans="1:18" ht="13.5" customHeight="1" x14ac:dyDescent="0.75">
      <c r="A46" s="349">
        <v>3902</v>
      </c>
      <c r="B46" s="350" t="s">
        <v>1528</v>
      </c>
      <c r="C46" s="344">
        <v>8.3000000000000004E-2</v>
      </c>
      <c r="D46" s="344">
        <v>8.3000000000000004E-2</v>
      </c>
      <c r="E46" s="344">
        <v>8.3000000000000004E-2</v>
      </c>
      <c r="F46" s="344">
        <v>8.3000000000000004E-2</v>
      </c>
      <c r="G46" s="344">
        <v>8.3000000000000004E-2</v>
      </c>
      <c r="H46" s="344">
        <v>8.3000000000000004E-2</v>
      </c>
      <c r="I46" s="344">
        <v>8.3000000000000004E-2</v>
      </c>
      <c r="J46" s="344">
        <v>8.3000000000000004E-2</v>
      </c>
      <c r="K46" s="344">
        <v>8.4000000000000005E-2</v>
      </c>
      <c r="L46" s="344">
        <v>8.4000000000000005E-2</v>
      </c>
      <c r="M46" s="344">
        <v>8.4000000000000005E-2</v>
      </c>
      <c r="N46" s="344">
        <v>8.4000000000000005E-2</v>
      </c>
      <c r="O46" s="344">
        <v>0</v>
      </c>
      <c r="P46" s="344">
        <v>0</v>
      </c>
      <c r="Q46" s="344">
        <v>0</v>
      </c>
      <c r="R46" s="340">
        <f>SUM(C46:Q46)</f>
        <v>0.99999999999999989</v>
      </c>
    </row>
    <row r="47" spans="1:18" ht="13.5" customHeight="1" x14ac:dyDescent="0.75">
      <c r="A47" s="349">
        <v>3903</v>
      </c>
      <c r="B47" s="350" t="s">
        <v>1075</v>
      </c>
      <c r="C47" s="344">
        <v>8.3000000000000004E-2</v>
      </c>
      <c r="D47" s="344">
        <v>8.3000000000000004E-2</v>
      </c>
      <c r="E47" s="344">
        <v>8.3000000000000004E-2</v>
      </c>
      <c r="F47" s="344">
        <v>8.3000000000000004E-2</v>
      </c>
      <c r="G47" s="344">
        <v>8.3000000000000004E-2</v>
      </c>
      <c r="H47" s="344">
        <v>8.3000000000000004E-2</v>
      </c>
      <c r="I47" s="344">
        <v>8.3000000000000004E-2</v>
      </c>
      <c r="J47" s="344">
        <v>8.3000000000000004E-2</v>
      </c>
      <c r="K47" s="344">
        <v>8.4000000000000005E-2</v>
      </c>
      <c r="L47" s="344">
        <v>8.4000000000000005E-2</v>
      </c>
      <c r="M47" s="344">
        <v>8.4000000000000005E-2</v>
      </c>
      <c r="N47" s="344">
        <v>8.4000000000000005E-2</v>
      </c>
      <c r="O47" s="344">
        <v>0</v>
      </c>
      <c r="P47" s="344">
        <v>0</v>
      </c>
      <c r="Q47" s="344">
        <v>0</v>
      </c>
      <c r="R47" s="340">
        <f t="shared" si="0"/>
        <v>0.99999999999999989</v>
      </c>
    </row>
    <row r="48" spans="1:18" ht="14.25" customHeight="1" x14ac:dyDescent="0.75">
      <c r="A48" s="349" t="s">
        <v>1458</v>
      </c>
      <c r="B48" s="350">
        <v>0</v>
      </c>
      <c r="C48" s="344">
        <v>8.3000000000000004E-2</v>
      </c>
      <c r="D48" s="344">
        <v>8.3000000000000004E-2</v>
      </c>
      <c r="E48" s="344">
        <v>8.3000000000000004E-2</v>
      </c>
      <c r="F48" s="344">
        <v>8.3000000000000004E-2</v>
      </c>
      <c r="G48" s="344">
        <v>8.3000000000000004E-2</v>
      </c>
      <c r="H48" s="344">
        <v>8.3000000000000004E-2</v>
      </c>
      <c r="I48" s="344">
        <v>8.3000000000000004E-2</v>
      </c>
      <c r="J48" s="344">
        <v>8.3000000000000004E-2</v>
      </c>
      <c r="K48" s="344">
        <v>8.4000000000000005E-2</v>
      </c>
      <c r="L48" s="344">
        <v>8.4000000000000005E-2</v>
      </c>
      <c r="M48" s="344">
        <v>8.4000000000000005E-2</v>
      </c>
      <c r="N48" s="344">
        <v>8.4000000000000005E-2</v>
      </c>
      <c r="O48" s="344">
        <v>0</v>
      </c>
      <c r="P48" s="344">
        <v>0</v>
      </c>
      <c r="Q48" s="344">
        <v>0</v>
      </c>
      <c r="R48" s="340">
        <f>SUM(C48:Q48)</f>
        <v>0.99999999999999989</v>
      </c>
    </row>
    <row r="49" spans="1:18" ht="13.5" customHeight="1" x14ac:dyDescent="0.75">
      <c r="A49" s="349" t="s">
        <v>1458</v>
      </c>
      <c r="B49" s="350">
        <v>0</v>
      </c>
      <c r="C49" s="344">
        <v>8.3000000000000004E-2</v>
      </c>
      <c r="D49" s="344">
        <v>8.3000000000000004E-2</v>
      </c>
      <c r="E49" s="344">
        <v>8.3000000000000004E-2</v>
      </c>
      <c r="F49" s="344">
        <v>8.3000000000000004E-2</v>
      </c>
      <c r="G49" s="344">
        <v>8.3000000000000004E-2</v>
      </c>
      <c r="H49" s="344">
        <v>8.3000000000000004E-2</v>
      </c>
      <c r="I49" s="344">
        <v>8.3000000000000004E-2</v>
      </c>
      <c r="J49" s="344">
        <v>8.3000000000000004E-2</v>
      </c>
      <c r="K49" s="344">
        <v>8.4000000000000005E-2</v>
      </c>
      <c r="L49" s="344">
        <v>8.4000000000000005E-2</v>
      </c>
      <c r="M49" s="344">
        <v>8.4000000000000005E-2</v>
      </c>
      <c r="N49" s="344">
        <v>8.4000000000000005E-2</v>
      </c>
      <c r="O49" s="344">
        <v>0</v>
      </c>
      <c r="P49" s="344">
        <v>0</v>
      </c>
      <c r="Q49" s="344">
        <v>0</v>
      </c>
      <c r="R49" s="340">
        <f t="shared" si="0"/>
        <v>0.99999999999999989</v>
      </c>
    </row>
    <row r="50" spans="1:18" ht="13.5" customHeight="1" x14ac:dyDescent="0.75">
      <c r="A50" s="349" t="s">
        <v>1458</v>
      </c>
      <c r="B50" s="350">
        <v>0</v>
      </c>
      <c r="C50" s="344">
        <v>8.3000000000000004E-2</v>
      </c>
      <c r="D50" s="344">
        <v>8.3000000000000004E-2</v>
      </c>
      <c r="E50" s="344">
        <v>8.3000000000000004E-2</v>
      </c>
      <c r="F50" s="344">
        <v>8.3000000000000004E-2</v>
      </c>
      <c r="G50" s="344">
        <v>8.3000000000000004E-2</v>
      </c>
      <c r="H50" s="344">
        <v>8.3000000000000004E-2</v>
      </c>
      <c r="I50" s="344">
        <v>8.3000000000000004E-2</v>
      </c>
      <c r="J50" s="344">
        <v>8.3000000000000004E-2</v>
      </c>
      <c r="K50" s="344">
        <v>8.4000000000000005E-2</v>
      </c>
      <c r="L50" s="344">
        <v>8.4000000000000005E-2</v>
      </c>
      <c r="M50" s="344">
        <v>8.4000000000000005E-2</v>
      </c>
      <c r="N50" s="344">
        <v>8.4000000000000005E-2</v>
      </c>
      <c r="O50" s="344">
        <v>0</v>
      </c>
      <c r="P50" s="344">
        <v>0</v>
      </c>
      <c r="Q50" s="344">
        <v>0</v>
      </c>
      <c r="R50" s="340">
        <f t="shared" si="0"/>
        <v>0.99999999999999989</v>
      </c>
    </row>
    <row r="51" spans="1:18" ht="13.5" customHeight="1" x14ac:dyDescent="0.75">
      <c r="A51" s="349" t="s">
        <v>1458</v>
      </c>
      <c r="B51" s="350">
        <v>0</v>
      </c>
      <c r="C51" s="344">
        <v>8.3000000000000004E-2</v>
      </c>
      <c r="D51" s="344">
        <v>8.3000000000000004E-2</v>
      </c>
      <c r="E51" s="344">
        <v>8.3000000000000004E-2</v>
      </c>
      <c r="F51" s="344">
        <v>8.3000000000000004E-2</v>
      </c>
      <c r="G51" s="344">
        <v>8.3000000000000004E-2</v>
      </c>
      <c r="H51" s="344">
        <v>8.3000000000000004E-2</v>
      </c>
      <c r="I51" s="344">
        <v>8.3000000000000004E-2</v>
      </c>
      <c r="J51" s="344">
        <v>8.3000000000000004E-2</v>
      </c>
      <c r="K51" s="344">
        <v>8.4000000000000005E-2</v>
      </c>
      <c r="L51" s="344">
        <v>8.4000000000000005E-2</v>
      </c>
      <c r="M51" s="344">
        <v>8.4000000000000005E-2</v>
      </c>
      <c r="N51" s="344">
        <v>8.4000000000000005E-2</v>
      </c>
      <c r="O51" s="344">
        <v>0</v>
      </c>
      <c r="P51" s="344">
        <v>0</v>
      </c>
      <c r="Q51" s="344">
        <v>0</v>
      </c>
      <c r="R51" s="340">
        <f t="shared" si="0"/>
        <v>0.99999999999999989</v>
      </c>
    </row>
    <row r="52" spans="1:18" ht="13.2" customHeight="1" thickBot="1" x14ac:dyDescent="0.9">
      <c r="A52" s="351" t="s">
        <v>1458</v>
      </c>
      <c r="B52" s="352">
        <v>0</v>
      </c>
      <c r="C52" s="348">
        <v>8.3000000000000004E-2</v>
      </c>
      <c r="D52" s="348">
        <v>8.3000000000000004E-2</v>
      </c>
      <c r="E52" s="348">
        <v>8.3000000000000004E-2</v>
      </c>
      <c r="F52" s="348">
        <v>8.3000000000000004E-2</v>
      </c>
      <c r="G52" s="348">
        <v>8.3000000000000004E-2</v>
      </c>
      <c r="H52" s="348">
        <v>8.3000000000000004E-2</v>
      </c>
      <c r="I52" s="348">
        <v>8.3000000000000004E-2</v>
      </c>
      <c r="J52" s="348">
        <v>8.3000000000000004E-2</v>
      </c>
      <c r="K52" s="348">
        <v>8.4000000000000005E-2</v>
      </c>
      <c r="L52" s="348">
        <v>8.4000000000000005E-2</v>
      </c>
      <c r="M52" s="348">
        <v>8.4000000000000005E-2</v>
      </c>
      <c r="N52" s="348">
        <v>8.4000000000000005E-2</v>
      </c>
      <c r="O52" s="348">
        <v>0</v>
      </c>
      <c r="P52" s="348">
        <v>0</v>
      </c>
      <c r="Q52" s="348">
        <v>0</v>
      </c>
      <c r="R52" s="340">
        <f t="shared" si="0"/>
        <v>0.99999999999999989</v>
      </c>
    </row>
    <row r="53" spans="1:18" ht="16.95" customHeight="1" x14ac:dyDescent="0.75">
      <c r="A53" s="353">
        <v>4100</v>
      </c>
      <c r="B53" s="354" t="s">
        <v>592</v>
      </c>
      <c r="C53" s="339">
        <v>0.1</v>
      </c>
      <c r="D53" s="339">
        <v>0.2</v>
      </c>
      <c r="E53" s="339">
        <v>0.2</v>
      </c>
      <c r="F53" s="339">
        <v>0.1</v>
      </c>
      <c r="G53" s="339">
        <v>0</v>
      </c>
      <c r="H53" s="339">
        <v>0</v>
      </c>
      <c r="I53" s="339">
        <v>0.2</v>
      </c>
      <c r="J53" s="339">
        <v>0.1</v>
      </c>
      <c r="K53" s="339">
        <v>0.1</v>
      </c>
      <c r="L53" s="339">
        <v>0</v>
      </c>
      <c r="M53" s="339">
        <v>0</v>
      </c>
      <c r="N53" s="339">
        <v>0</v>
      </c>
      <c r="O53" s="339">
        <v>0</v>
      </c>
      <c r="P53" s="339">
        <v>0</v>
      </c>
      <c r="Q53" s="339">
        <v>0</v>
      </c>
      <c r="R53" s="340">
        <f t="shared" si="0"/>
        <v>1</v>
      </c>
    </row>
    <row r="54" spans="1:18" ht="16.95" customHeight="1" x14ac:dyDescent="0.75">
      <c r="A54" s="349">
        <v>4101</v>
      </c>
      <c r="B54" s="350" t="s">
        <v>1640</v>
      </c>
      <c r="C54" s="344">
        <v>0.1</v>
      </c>
      <c r="D54" s="344">
        <v>0.2</v>
      </c>
      <c r="E54" s="344">
        <v>0.2</v>
      </c>
      <c r="F54" s="344">
        <v>0.1</v>
      </c>
      <c r="G54" s="344">
        <v>0</v>
      </c>
      <c r="H54" s="344">
        <v>0</v>
      </c>
      <c r="I54" s="344">
        <v>0.2</v>
      </c>
      <c r="J54" s="344">
        <v>0.1</v>
      </c>
      <c r="K54" s="344">
        <v>0.1</v>
      </c>
      <c r="L54" s="344">
        <v>0</v>
      </c>
      <c r="M54" s="344">
        <v>0</v>
      </c>
      <c r="N54" s="344">
        <v>0</v>
      </c>
      <c r="O54" s="344">
        <v>0</v>
      </c>
      <c r="P54" s="344">
        <v>0</v>
      </c>
      <c r="Q54" s="344">
        <v>0</v>
      </c>
      <c r="R54" s="340">
        <f t="shared" ref="R54:R55" si="5">SUM(C54:Q54)</f>
        <v>1</v>
      </c>
    </row>
    <row r="55" spans="1:18" ht="16.95" customHeight="1" x14ac:dyDescent="0.75">
      <c r="A55" s="349">
        <v>4102</v>
      </c>
      <c r="B55" s="350" t="s">
        <v>1641</v>
      </c>
      <c r="C55" s="344">
        <v>0.1</v>
      </c>
      <c r="D55" s="344">
        <v>0.2</v>
      </c>
      <c r="E55" s="344">
        <v>0.2</v>
      </c>
      <c r="F55" s="344">
        <v>0.1</v>
      </c>
      <c r="G55" s="344">
        <v>0</v>
      </c>
      <c r="H55" s="344">
        <v>0</v>
      </c>
      <c r="I55" s="344">
        <v>0.2</v>
      </c>
      <c r="J55" s="344">
        <v>0.1</v>
      </c>
      <c r="K55" s="344">
        <v>0.1</v>
      </c>
      <c r="L55" s="344">
        <v>0</v>
      </c>
      <c r="M55" s="344">
        <v>0</v>
      </c>
      <c r="N55" s="344">
        <v>0</v>
      </c>
      <c r="O55" s="344">
        <v>0</v>
      </c>
      <c r="P55" s="344">
        <v>0</v>
      </c>
      <c r="Q55" s="344">
        <v>0</v>
      </c>
      <c r="R55" s="340">
        <f t="shared" si="5"/>
        <v>1</v>
      </c>
    </row>
    <row r="56" spans="1:18" ht="16.95" customHeight="1" x14ac:dyDescent="0.75">
      <c r="A56" s="349">
        <v>4200</v>
      </c>
      <c r="B56" s="350" t="s">
        <v>593</v>
      </c>
      <c r="C56" s="344">
        <v>0.1</v>
      </c>
      <c r="D56" s="344">
        <v>0.2</v>
      </c>
      <c r="E56" s="344">
        <v>0.2</v>
      </c>
      <c r="F56" s="344">
        <v>0.1</v>
      </c>
      <c r="G56" s="344">
        <v>0</v>
      </c>
      <c r="H56" s="344">
        <v>0</v>
      </c>
      <c r="I56" s="344">
        <v>0.2</v>
      </c>
      <c r="J56" s="344">
        <v>0.1</v>
      </c>
      <c r="K56" s="344">
        <v>0.1</v>
      </c>
      <c r="L56" s="344">
        <v>0</v>
      </c>
      <c r="M56" s="344">
        <v>0</v>
      </c>
      <c r="N56" s="344">
        <v>0</v>
      </c>
      <c r="O56" s="344">
        <v>0</v>
      </c>
      <c r="P56" s="344">
        <v>0</v>
      </c>
      <c r="Q56" s="344">
        <v>0</v>
      </c>
      <c r="R56" s="340">
        <f t="shared" si="0"/>
        <v>1</v>
      </c>
    </row>
    <row r="57" spans="1:18" ht="16.95" customHeight="1" x14ac:dyDescent="0.75">
      <c r="A57" s="349">
        <v>4215</v>
      </c>
      <c r="B57" s="350" t="s">
        <v>1644</v>
      </c>
      <c r="C57" s="344">
        <v>8.3000000000000004E-2</v>
      </c>
      <c r="D57" s="344">
        <v>8.3000000000000004E-2</v>
      </c>
      <c r="E57" s="344">
        <v>8.3000000000000004E-2</v>
      </c>
      <c r="F57" s="344">
        <v>8.3000000000000004E-2</v>
      </c>
      <c r="G57" s="344">
        <v>8.3000000000000004E-2</v>
      </c>
      <c r="H57" s="344">
        <v>8.3000000000000004E-2</v>
      </c>
      <c r="I57" s="344">
        <v>8.3000000000000004E-2</v>
      </c>
      <c r="J57" s="344">
        <v>8.3000000000000004E-2</v>
      </c>
      <c r="K57" s="344">
        <v>8.4000000000000005E-2</v>
      </c>
      <c r="L57" s="344">
        <v>8.4000000000000005E-2</v>
      </c>
      <c r="M57" s="344">
        <v>8.4000000000000005E-2</v>
      </c>
      <c r="N57" s="344">
        <v>8.4000000000000005E-2</v>
      </c>
      <c r="O57" s="344">
        <v>0</v>
      </c>
      <c r="P57" s="344">
        <v>0</v>
      </c>
      <c r="Q57" s="344">
        <v>0</v>
      </c>
      <c r="R57" s="340">
        <f t="shared" ref="R57" si="6">SUM(C57:Q57)</f>
        <v>0.99999999999999989</v>
      </c>
    </row>
    <row r="58" spans="1:18" ht="13.5" customHeight="1" x14ac:dyDescent="0.75">
      <c r="A58" s="349">
        <v>4300</v>
      </c>
      <c r="B58" s="350" t="s">
        <v>595</v>
      </c>
      <c r="C58" s="344">
        <v>8.3000000000000004E-2</v>
      </c>
      <c r="D58" s="344">
        <v>8.3000000000000004E-2</v>
      </c>
      <c r="E58" s="344">
        <v>8.3000000000000004E-2</v>
      </c>
      <c r="F58" s="344">
        <v>8.3000000000000004E-2</v>
      </c>
      <c r="G58" s="344">
        <v>8.3000000000000004E-2</v>
      </c>
      <c r="H58" s="344">
        <v>8.3000000000000004E-2</v>
      </c>
      <c r="I58" s="344">
        <v>8.3000000000000004E-2</v>
      </c>
      <c r="J58" s="344">
        <v>8.3000000000000004E-2</v>
      </c>
      <c r="K58" s="344">
        <v>8.4000000000000005E-2</v>
      </c>
      <c r="L58" s="344">
        <v>8.4000000000000005E-2</v>
      </c>
      <c r="M58" s="344">
        <v>8.4000000000000005E-2</v>
      </c>
      <c r="N58" s="344">
        <v>8.4000000000000005E-2</v>
      </c>
      <c r="O58" s="344">
        <v>0</v>
      </c>
      <c r="P58" s="344">
        <v>0</v>
      </c>
      <c r="Q58" s="344">
        <v>0</v>
      </c>
      <c r="R58" s="340">
        <f t="shared" si="0"/>
        <v>0.99999999999999989</v>
      </c>
    </row>
    <row r="59" spans="1:18" ht="13.5" customHeight="1" x14ac:dyDescent="0.75">
      <c r="A59" s="349">
        <v>4315</v>
      </c>
      <c r="B59" s="350" t="s">
        <v>594</v>
      </c>
      <c r="C59" s="344">
        <v>0.1</v>
      </c>
      <c r="D59" s="344">
        <v>0.2</v>
      </c>
      <c r="E59" s="344">
        <v>0.2</v>
      </c>
      <c r="F59" s="344">
        <v>0.1</v>
      </c>
      <c r="G59" s="344">
        <v>0</v>
      </c>
      <c r="H59" s="344">
        <v>0</v>
      </c>
      <c r="I59" s="344">
        <v>0.2</v>
      </c>
      <c r="J59" s="344">
        <v>0.1</v>
      </c>
      <c r="K59" s="344">
        <v>0.1</v>
      </c>
      <c r="L59" s="344">
        <v>0</v>
      </c>
      <c r="M59" s="344">
        <v>0</v>
      </c>
      <c r="N59" s="344">
        <v>0</v>
      </c>
      <c r="O59" s="344">
        <v>0</v>
      </c>
      <c r="P59" s="344">
        <v>0</v>
      </c>
      <c r="Q59" s="344">
        <v>0</v>
      </c>
      <c r="R59" s="340">
        <f t="shared" si="0"/>
        <v>1</v>
      </c>
    </row>
    <row r="60" spans="1:18" ht="13.5" customHeight="1" x14ac:dyDescent="0.75">
      <c r="A60" s="349">
        <v>4325</v>
      </c>
      <c r="B60" s="350" t="s">
        <v>1417</v>
      </c>
      <c r="C60" s="344">
        <v>8.3000000000000004E-2</v>
      </c>
      <c r="D60" s="344">
        <v>8.3000000000000004E-2</v>
      </c>
      <c r="E60" s="344">
        <v>8.3000000000000004E-2</v>
      </c>
      <c r="F60" s="344">
        <v>8.3000000000000004E-2</v>
      </c>
      <c r="G60" s="344">
        <v>8.3000000000000004E-2</v>
      </c>
      <c r="H60" s="344">
        <v>8.3000000000000004E-2</v>
      </c>
      <c r="I60" s="344">
        <v>8.3000000000000004E-2</v>
      </c>
      <c r="J60" s="344">
        <v>8.3000000000000004E-2</v>
      </c>
      <c r="K60" s="344">
        <v>8.4000000000000005E-2</v>
      </c>
      <c r="L60" s="344">
        <v>8.4000000000000005E-2</v>
      </c>
      <c r="M60" s="344">
        <v>8.4000000000000005E-2</v>
      </c>
      <c r="N60" s="344">
        <v>8.4000000000000005E-2</v>
      </c>
      <c r="O60" s="344">
        <v>0</v>
      </c>
      <c r="P60" s="344">
        <v>0</v>
      </c>
      <c r="Q60" s="344">
        <v>0</v>
      </c>
      <c r="R60" s="340">
        <f t="shared" si="0"/>
        <v>0.99999999999999989</v>
      </c>
    </row>
    <row r="61" spans="1:18" ht="13.5" customHeight="1" x14ac:dyDescent="0.75">
      <c r="A61" s="349">
        <v>4326</v>
      </c>
      <c r="B61" s="350" t="s">
        <v>1418</v>
      </c>
      <c r="C61" s="344">
        <v>0.1</v>
      </c>
      <c r="D61" s="344">
        <v>0.2</v>
      </c>
      <c r="E61" s="344">
        <v>0.2</v>
      </c>
      <c r="F61" s="344">
        <v>0</v>
      </c>
      <c r="G61" s="344">
        <v>0</v>
      </c>
      <c r="H61" s="344">
        <v>0</v>
      </c>
      <c r="I61" s="344">
        <v>0.2</v>
      </c>
      <c r="J61" s="344">
        <v>0.1</v>
      </c>
      <c r="K61" s="344">
        <v>0.1</v>
      </c>
      <c r="L61" s="344">
        <v>0.1</v>
      </c>
      <c r="M61" s="344">
        <v>0</v>
      </c>
      <c r="N61" s="344">
        <v>0</v>
      </c>
      <c r="O61" s="344">
        <v>0</v>
      </c>
      <c r="P61" s="344">
        <v>0</v>
      </c>
      <c r="Q61" s="344">
        <v>0</v>
      </c>
      <c r="R61" s="340">
        <f t="shared" si="0"/>
        <v>0.99999999999999989</v>
      </c>
    </row>
    <row r="62" spans="1:18" ht="14.25" customHeight="1" x14ac:dyDescent="0.75">
      <c r="A62" s="349">
        <v>4330</v>
      </c>
      <c r="B62" s="350" t="s">
        <v>1419</v>
      </c>
      <c r="C62" s="344">
        <v>0</v>
      </c>
      <c r="D62" s="344">
        <v>0</v>
      </c>
      <c r="E62" s="344">
        <v>0.1</v>
      </c>
      <c r="F62" s="344">
        <v>0.1</v>
      </c>
      <c r="G62" s="344">
        <v>0.1</v>
      </c>
      <c r="H62" s="344">
        <v>0.1</v>
      </c>
      <c r="I62" s="344">
        <v>0.1</v>
      </c>
      <c r="J62" s="344">
        <v>0.1</v>
      </c>
      <c r="K62" s="344">
        <v>0.1</v>
      </c>
      <c r="L62" s="344">
        <v>0.1</v>
      </c>
      <c r="M62" s="344">
        <v>0.1</v>
      </c>
      <c r="N62" s="344">
        <v>0.1</v>
      </c>
      <c r="O62" s="344">
        <v>0</v>
      </c>
      <c r="P62" s="344">
        <v>0</v>
      </c>
      <c r="Q62" s="344">
        <v>0</v>
      </c>
      <c r="R62" s="340">
        <f t="shared" si="0"/>
        <v>0.99999999999999989</v>
      </c>
    </row>
    <row r="63" spans="1:18" ht="13.5" customHeight="1" x14ac:dyDescent="0.75">
      <c r="A63" s="349">
        <v>4342</v>
      </c>
      <c r="B63" s="350" t="s">
        <v>1420</v>
      </c>
      <c r="C63" s="344">
        <v>0</v>
      </c>
      <c r="D63" s="344">
        <v>0</v>
      </c>
      <c r="E63" s="344">
        <v>0.1</v>
      </c>
      <c r="F63" s="344">
        <v>0.1</v>
      </c>
      <c r="G63" s="344">
        <v>0.1</v>
      </c>
      <c r="H63" s="344">
        <v>0.1</v>
      </c>
      <c r="I63" s="344">
        <v>0.1</v>
      </c>
      <c r="J63" s="344">
        <v>0.1</v>
      </c>
      <c r="K63" s="344">
        <v>0.1</v>
      </c>
      <c r="L63" s="344">
        <v>0.1</v>
      </c>
      <c r="M63" s="344">
        <v>0.1</v>
      </c>
      <c r="N63" s="344">
        <v>0.1</v>
      </c>
      <c r="O63" s="344">
        <v>0</v>
      </c>
      <c r="P63" s="344">
        <v>0</v>
      </c>
      <c r="Q63" s="344">
        <v>0</v>
      </c>
      <c r="R63" s="340">
        <f t="shared" si="0"/>
        <v>0.99999999999999989</v>
      </c>
    </row>
    <row r="64" spans="1:18" ht="14.25" customHeight="1" x14ac:dyDescent="0.75">
      <c r="A64" s="349">
        <v>4350</v>
      </c>
      <c r="B64" s="350" t="s">
        <v>1421</v>
      </c>
      <c r="C64" s="344">
        <v>0</v>
      </c>
      <c r="D64" s="344">
        <v>0</v>
      </c>
      <c r="E64" s="344">
        <v>0.1</v>
      </c>
      <c r="F64" s="344">
        <v>0.1</v>
      </c>
      <c r="G64" s="344">
        <v>0.1</v>
      </c>
      <c r="H64" s="344">
        <v>0.1</v>
      </c>
      <c r="I64" s="344">
        <v>0.1</v>
      </c>
      <c r="J64" s="344">
        <v>0.1</v>
      </c>
      <c r="K64" s="344">
        <v>0.1</v>
      </c>
      <c r="L64" s="344">
        <v>0.1</v>
      </c>
      <c r="M64" s="344">
        <v>0.1</v>
      </c>
      <c r="N64" s="344">
        <v>0.1</v>
      </c>
      <c r="O64" s="344">
        <v>0</v>
      </c>
      <c r="P64" s="344">
        <v>0</v>
      </c>
      <c r="Q64" s="344">
        <v>0</v>
      </c>
      <c r="R64" s="340">
        <f t="shared" si="0"/>
        <v>0.99999999999999989</v>
      </c>
    </row>
    <row r="65" spans="1:18" ht="16.5" customHeight="1" x14ac:dyDescent="0.75">
      <c r="A65" s="349">
        <v>4354</v>
      </c>
      <c r="B65" s="350" t="s">
        <v>1422</v>
      </c>
      <c r="C65" s="344">
        <v>0</v>
      </c>
      <c r="D65" s="344">
        <v>0</v>
      </c>
      <c r="E65" s="344">
        <v>0.1</v>
      </c>
      <c r="F65" s="344">
        <v>0.1</v>
      </c>
      <c r="G65" s="344">
        <v>0.1</v>
      </c>
      <c r="H65" s="344">
        <v>0.1</v>
      </c>
      <c r="I65" s="344">
        <v>0.1</v>
      </c>
      <c r="J65" s="344">
        <v>0.1</v>
      </c>
      <c r="K65" s="344">
        <v>0.1</v>
      </c>
      <c r="L65" s="344">
        <v>0.1</v>
      </c>
      <c r="M65" s="344">
        <v>0.1</v>
      </c>
      <c r="N65" s="344">
        <v>0.1</v>
      </c>
      <c r="O65" s="344">
        <v>0</v>
      </c>
      <c r="P65" s="344">
        <v>0</v>
      </c>
      <c r="Q65" s="344">
        <v>0</v>
      </c>
      <c r="R65" s="340">
        <f t="shared" si="0"/>
        <v>0.99999999999999989</v>
      </c>
    </row>
    <row r="66" spans="1:18" ht="13.5" customHeight="1" x14ac:dyDescent="0.75">
      <c r="A66" s="349">
        <v>4381</v>
      </c>
      <c r="B66" s="350" t="s">
        <v>1423</v>
      </c>
      <c r="C66" s="344">
        <v>0</v>
      </c>
      <c r="D66" s="344">
        <v>0</v>
      </c>
      <c r="E66" s="344">
        <v>0.1</v>
      </c>
      <c r="F66" s="344">
        <v>0.1</v>
      </c>
      <c r="G66" s="344">
        <v>0.1</v>
      </c>
      <c r="H66" s="344">
        <v>0.1</v>
      </c>
      <c r="I66" s="344">
        <v>0.1</v>
      </c>
      <c r="J66" s="344">
        <v>0.1</v>
      </c>
      <c r="K66" s="344">
        <v>0.1</v>
      </c>
      <c r="L66" s="344">
        <v>0.1</v>
      </c>
      <c r="M66" s="344">
        <v>0.1</v>
      </c>
      <c r="N66" s="344">
        <v>0.1</v>
      </c>
      <c r="O66" s="344">
        <v>0</v>
      </c>
      <c r="P66" s="344">
        <v>0</v>
      </c>
      <c r="Q66" s="344">
        <v>0</v>
      </c>
      <c r="R66" s="340">
        <f t="shared" si="0"/>
        <v>0.99999999999999989</v>
      </c>
    </row>
    <row r="67" spans="1:18" ht="13.5" customHeight="1" x14ac:dyDescent="0.75">
      <c r="A67" s="349">
        <v>4400</v>
      </c>
      <c r="B67" s="350" t="s">
        <v>596</v>
      </c>
      <c r="C67" s="344">
        <v>0</v>
      </c>
      <c r="D67" s="344">
        <v>0</v>
      </c>
      <c r="E67" s="344">
        <v>0.1</v>
      </c>
      <c r="F67" s="344">
        <v>0.1</v>
      </c>
      <c r="G67" s="344">
        <v>0.1</v>
      </c>
      <c r="H67" s="344">
        <v>0.1</v>
      </c>
      <c r="I67" s="344">
        <v>0.1</v>
      </c>
      <c r="J67" s="344">
        <v>0.1</v>
      </c>
      <c r="K67" s="344">
        <v>0.1</v>
      </c>
      <c r="L67" s="344">
        <v>0.1</v>
      </c>
      <c r="M67" s="344">
        <v>0.1</v>
      </c>
      <c r="N67" s="344">
        <v>0.1</v>
      </c>
      <c r="O67" s="344">
        <v>0</v>
      </c>
      <c r="P67" s="344">
        <v>0</v>
      </c>
      <c r="Q67" s="344">
        <v>0</v>
      </c>
      <c r="R67" s="340">
        <f t="shared" si="0"/>
        <v>0.99999999999999989</v>
      </c>
    </row>
    <row r="68" spans="1:18" ht="13.5" customHeight="1" x14ac:dyDescent="0.75">
      <c r="A68" s="349">
        <v>4410</v>
      </c>
      <c r="B68" s="350" t="s">
        <v>1424</v>
      </c>
      <c r="C68" s="344">
        <v>0.1</v>
      </c>
      <c r="D68" s="344">
        <v>0.1</v>
      </c>
      <c r="E68" s="344">
        <v>0.1</v>
      </c>
      <c r="F68" s="344">
        <v>0.1</v>
      </c>
      <c r="G68" s="344">
        <v>0.1</v>
      </c>
      <c r="H68" s="344">
        <v>0.1</v>
      </c>
      <c r="I68" s="344">
        <v>0.1</v>
      </c>
      <c r="J68" s="344">
        <v>0.1</v>
      </c>
      <c r="K68" s="344">
        <v>0.1</v>
      </c>
      <c r="L68" s="344">
        <v>0.1</v>
      </c>
      <c r="M68" s="344">
        <v>0</v>
      </c>
      <c r="N68" s="344">
        <v>0</v>
      </c>
      <c r="O68" s="344">
        <v>0</v>
      </c>
      <c r="P68" s="344">
        <v>0</v>
      </c>
      <c r="Q68" s="344">
        <v>0</v>
      </c>
      <c r="R68" s="340">
        <f t="shared" si="0"/>
        <v>0.99999999999999989</v>
      </c>
    </row>
    <row r="69" spans="1:18" ht="13.5" customHeight="1" x14ac:dyDescent="0.75">
      <c r="A69" s="349">
        <v>4430</v>
      </c>
      <c r="B69" s="350" t="s">
        <v>834</v>
      </c>
      <c r="C69" s="344">
        <v>0</v>
      </c>
      <c r="D69" s="344">
        <v>0</v>
      </c>
      <c r="E69" s="344">
        <v>0.1</v>
      </c>
      <c r="F69" s="344">
        <v>0.1</v>
      </c>
      <c r="G69" s="344">
        <v>0.1</v>
      </c>
      <c r="H69" s="344">
        <v>0.1</v>
      </c>
      <c r="I69" s="344">
        <v>0.1</v>
      </c>
      <c r="J69" s="344">
        <v>0.1</v>
      </c>
      <c r="K69" s="344">
        <v>0.1</v>
      </c>
      <c r="L69" s="344">
        <v>0.1</v>
      </c>
      <c r="M69" s="344">
        <v>0.1</v>
      </c>
      <c r="N69" s="344">
        <v>0.1</v>
      </c>
      <c r="O69" s="344">
        <v>0</v>
      </c>
      <c r="P69" s="344">
        <v>0</v>
      </c>
      <c r="Q69" s="344">
        <v>0</v>
      </c>
      <c r="R69" s="340">
        <f t="shared" si="0"/>
        <v>0.99999999999999989</v>
      </c>
    </row>
    <row r="70" spans="1:18" ht="13.5" customHeight="1" x14ac:dyDescent="0.75">
      <c r="A70" s="349">
        <v>4700</v>
      </c>
      <c r="B70" s="350" t="s">
        <v>1078</v>
      </c>
      <c r="C70" s="344">
        <v>0</v>
      </c>
      <c r="D70" s="344">
        <v>0</v>
      </c>
      <c r="E70" s="344">
        <v>0.1</v>
      </c>
      <c r="F70" s="344">
        <v>0.1</v>
      </c>
      <c r="G70" s="344">
        <v>0.1</v>
      </c>
      <c r="H70" s="344">
        <v>0.1</v>
      </c>
      <c r="I70" s="344">
        <v>0.1</v>
      </c>
      <c r="J70" s="344">
        <v>0.1</v>
      </c>
      <c r="K70" s="344">
        <v>0.1</v>
      </c>
      <c r="L70" s="344">
        <v>0.1</v>
      </c>
      <c r="M70" s="344">
        <v>0.1</v>
      </c>
      <c r="N70" s="344">
        <v>0.1</v>
      </c>
      <c r="O70" s="344">
        <v>0</v>
      </c>
      <c r="P70" s="344">
        <v>0</v>
      </c>
      <c r="Q70" s="344">
        <v>0</v>
      </c>
      <c r="R70" s="340">
        <f t="shared" si="0"/>
        <v>0.99999999999999989</v>
      </c>
    </row>
    <row r="71" spans="1:18" ht="13.5" customHeight="1" x14ac:dyDescent="0.75">
      <c r="A71" s="349">
        <v>4720</v>
      </c>
      <c r="B71" s="350" t="s">
        <v>1425</v>
      </c>
      <c r="C71" s="344">
        <v>0</v>
      </c>
      <c r="D71" s="344">
        <v>0</v>
      </c>
      <c r="E71" s="344">
        <v>0.1</v>
      </c>
      <c r="F71" s="344">
        <v>0.1</v>
      </c>
      <c r="G71" s="344">
        <v>0.1</v>
      </c>
      <c r="H71" s="344">
        <v>0.1</v>
      </c>
      <c r="I71" s="344">
        <v>0.1</v>
      </c>
      <c r="J71" s="344">
        <v>0.1</v>
      </c>
      <c r="K71" s="344">
        <v>0.1</v>
      </c>
      <c r="L71" s="344">
        <v>0.1</v>
      </c>
      <c r="M71" s="344">
        <v>0.1</v>
      </c>
      <c r="N71" s="344">
        <v>0.1</v>
      </c>
      <c r="O71" s="344">
        <v>0</v>
      </c>
      <c r="P71" s="344">
        <v>0</v>
      </c>
      <c r="Q71" s="344">
        <v>0</v>
      </c>
      <c r="R71" s="340">
        <f t="shared" si="0"/>
        <v>0.99999999999999989</v>
      </c>
    </row>
    <row r="72" spans="1:18" ht="16.95" customHeight="1" x14ac:dyDescent="0.75">
      <c r="A72" s="349" t="s">
        <v>1398</v>
      </c>
      <c r="B72" s="350">
        <v>0</v>
      </c>
      <c r="C72" s="344">
        <v>0</v>
      </c>
      <c r="D72" s="344">
        <v>0</v>
      </c>
      <c r="E72" s="344">
        <v>0</v>
      </c>
      <c r="F72" s="344">
        <v>0</v>
      </c>
      <c r="G72" s="344">
        <v>0</v>
      </c>
      <c r="H72" s="344">
        <v>0</v>
      </c>
      <c r="I72" s="344">
        <v>0</v>
      </c>
      <c r="J72" s="344">
        <v>0</v>
      </c>
      <c r="K72" s="344">
        <v>0</v>
      </c>
      <c r="L72" s="344">
        <v>0</v>
      </c>
      <c r="M72" s="344">
        <v>0</v>
      </c>
      <c r="N72" s="344">
        <v>0</v>
      </c>
      <c r="O72" s="344">
        <v>0</v>
      </c>
      <c r="P72" s="344">
        <v>0</v>
      </c>
      <c r="Q72" s="344">
        <v>0</v>
      </c>
      <c r="R72" s="340">
        <f t="shared" si="0"/>
        <v>0</v>
      </c>
    </row>
    <row r="73" spans="1:18" ht="16.95" customHeight="1" x14ac:dyDescent="0.75">
      <c r="A73" s="349" t="s">
        <v>1398</v>
      </c>
      <c r="B73" s="350">
        <v>0</v>
      </c>
      <c r="C73" s="344">
        <v>0</v>
      </c>
      <c r="D73" s="344">
        <v>0</v>
      </c>
      <c r="E73" s="344">
        <v>0</v>
      </c>
      <c r="F73" s="344">
        <v>0</v>
      </c>
      <c r="G73" s="344">
        <v>0</v>
      </c>
      <c r="H73" s="344">
        <v>0</v>
      </c>
      <c r="I73" s="344">
        <v>0</v>
      </c>
      <c r="J73" s="344">
        <v>0</v>
      </c>
      <c r="K73" s="344">
        <v>0</v>
      </c>
      <c r="L73" s="344">
        <v>0</v>
      </c>
      <c r="M73" s="344">
        <v>0</v>
      </c>
      <c r="N73" s="344">
        <v>0</v>
      </c>
      <c r="O73" s="344">
        <v>0</v>
      </c>
      <c r="P73" s="344">
        <v>0</v>
      </c>
      <c r="Q73" s="344">
        <v>0</v>
      </c>
      <c r="R73" s="340">
        <f t="shared" si="0"/>
        <v>0</v>
      </c>
    </row>
    <row r="74" spans="1:18" ht="16.95" customHeight="1" x14ac:dyDescent="0.75">
      <c r="A74" s="349" t="s">
        <v>1398</v>
      </c>
      <c r="B74" s="350">
        <v>0</v>
      </c>
      <c r="C74" s="344">
        <v>0</v>
      </c>
      <c r="D74" s="344">
        <v>0</v>
      </c>
      <c r="E74" s="344">
        <v>0</v>
      </c>
      <c r="F74" s="344">
        <v>0</v>
      </c>
      <c r="G74" s="344">
        <v>0</v>
      </c>
      <c r="H74" s="344">
        <v>0</v>
      </c>
      <c r="I74" s="344">
        <v>0</v>
      </c>
      <c r="J74" s="344">
        <v>0</v>
      </c>
      <c r="K74" s="344">
        <v>0</v>
      </c>
      <c r="L74" s="344">
        <v>0</v>
      </c>
      <c r="M74" s="344">
        <v>0</v>
      </c>
      <c r="N74" s="344">
        <v>0</v>
      </c>
      <c r="O74" s="344">
        <v>0</v>
      </c>
      <c r="P74" s="344">
        <v>0</v>
      </c>
      <c r="Q74" s="344">
        <v>0</v>
      </c>
      <c r="R74" s="340">
        <f t="shared" si="0"/>
        <v>0</v>
      </c>
    </row>
    <row r="75" spans="1:18" ht="13.5" customHeight="1" x14ac:dyDescent="0.75">
      <c r="A75" s="349" t="s">
        <v>1398</v>
      </c>
      <c r="B75" s="350">
        <v>0</v>
      </c>
      <c r="C75" s="344">
        <v>0</v>
      </c>
      <c r="D75" s="344">
        <v>0</v>
      </c>
      <c r="E75" s="344">
        <v>0</v>
      </c>
      <c r="F75" s="344">
        <v>0</v>
      </c>
      <c r="G75" s="344">
        <v>0</v>
      </c>
      <c r="H75" s="344">
        <v>0</v>
      </c>
      <c r="I75" s="344">
        <v>0</v>
      </c>
      <c r="J75" s="344">
        <v>0</v>
      </c>
      <c r="K75" s="344">
        <v>0</v>
      </c>
      <c r="L75" s="344">
        <v>0</v>
      </c>
      <c r="M75" s="344">
        <v>0</v>
      </c>
      <c r="N75" s="344">
        <v>0</v>
      </c>
      <c r="O75" s="344">
        <v>0</v>
      </c>
      <c r="P75" s="344">
        <v>0</v>
      </c>
      <c r="Q75" s="344">
        <v>0</v>
      </c>
      <c r="R75" s="340">
        <f t="shared" si="0"/>
        <v>0</v>
      </c>
    </row>
    <row r="76" spans="1:18" ht="13.5" customHeight="1" x14ac:dyDescent="0.75">
      <c r="A76" s="349" t="s">
        <v>1398</v>
      </c>
      <c r="B76" s="350">
        <v>0</v>
      </c>
      <c r="C76" s="344">
        <v>0</v>
      </c>
      <c r="D76" s="344">
        <v>0</v>
      </c>
      <c r="E76" s="344">
        <v>0</v>
      </c>
      <c r="F76" s="344">
        <v>0</v>
      </c>
      <c r="G76" s="344">
        <v>0</v>
      </c>
      <c r="H76" s="344">
        <v>0</v>
      </c>
      <c r="I76" s="344">
        <v>0</v>
      </c>
      <c r="J76" s="344">
        <v>0</v>
      </c>
      <c r="K76" s="344">
        <v>0</v>
      </c>
      <c r="L76" s="344">
        <v>0</v>
      </c>
      <c r="M76" s="344">
        <v>0</v>
      </c>
      <c r="N76" s="344">
        <v>0</v>
      </c>
      <c r="O76" s="344">
        <v>0</v>
      </c>
      <c r="P76" s="344">
        <v>0</v>
      </c>
      <c r="Q76" s="344">
        <v>0</v>
      </c>
      <c r="R76" s="340">
        <f t="shared" si="0"/>
        <v>0</v>
      </c>
    </row>
    <row r="77" spans="1:18" ht="16.95" customHeight="1" x14ac:dyDescent="0.75">
      <c r="A77" s="349" t="s">
        <v>1398</v>
      </c>
      <c r="B77" s="350">
        <v>0</v>
      </c>
      <c r="C77" s="344">
        <v>0</v>
      </c>
      <c r="D77" s="344">
        <v>0</v>
      </c>
      <c r="E77" s="344">
        <v>0</v>
      </c>
      <c r="F77" s="344">
        <v>0</v>
      </c>
      <c r="G77" s="344">
        <v>0</v>
      </c>
      <c r="H77" s="344">
        <v>0</v>
      </c>
      <c r="I77" s="344">
        <v>0</v>
      </c>
      <c r="J77" s="344">
        <v>0</v>
      </c>
      <c r="K77" s="344">
        <v>0</v>
      </c>
      <c r="L77" s="344">
        <v>0</v>
      </c>
      <c r="M77" s="344">
        <v>0</v>
      </c>
      <c r="N77" s="344">
        <v>0</v>
      </c>
      <c r="O77" s="344">
        <v>0</v>
      </c>
      <c r="P77" s="344">
        <v>0</v>
      </c>
      <c r="Q77" s="344">
        <v>0</v>
      </c>
      <c r="R77" s="340">
        <f t="shared" si="0"/>
        <v>0</v>
      </c>
    </row>
    <row r="78" spans="1:18" ht="13.5" customHeight="1" x14ac:dyDescent="0.75">
      <c r="A78" s="349" t="s">
        <v>1398</v>
      </c>
      <c r="B78" s="350">
        <v>0</v>
      </c>
      <c r="C78" s="344">
        <v>0</v>
      </c>
      <c r="D78" s="344">
        <v>0</v>
      </c>
      <c r="E78" s="344">
        <v>0</v>
      </c>
      <c r="F78" s="344">
        <v>0</v>
      </c>
      <c r="G78" s="344">
        <v>0</v>
      </c>
      <c r="H78" s="344">
        <v>0</v>
      </c>
      <c r="I78" s="344">
        <v>0</v>
      </c>
      <c r="J78" s="344">
        <v>0</v>
      </c>
      <c r="K78" s="344">
        <v>0</v>
      </c>
      <c r="L78" s="344">
        <v>0</v>
      </c>
      <c r="M78" s="344">
        <v>0</v>
      </c>
      <c r="N78" s="344">
        <v>0</v>
      </c>
      <c r="O78" s="344">
        <v>0</v>
      </c>
      <c r="P78" s="344">
        <v>0</v>
      </c>
      <c r="Q78" s="344">
        <v>0</v>
      </c>
      <c r="R78" s="340">
        <f t="shared" si="0"/>
        <v>0</v>
      </c>
    </row>
    <row r="79" spans="1:18" ht="13.5" customHeight="1" x14ac:dyDescent="0.75">
      <c r="A79" s="349" t="s">
        <v>1398</v>
      </c>
      <c r="B79" s="350">
        <v>0</v>
      </c>
      <c r="C79" s="344">
        <v>0</v>
      </c>
      <c r="D79" s="344">
        <v>0</v>
      </c>
      <c r="E79" s="344">
        <v>0</v>
      </c>
      <c r="F79" s="344">
        <v>0</v>
      </c>
      <c r="G79" s="344">
        <v>0</v>
      </c>
      <c r="H79" s="344">
        <v>0</v>
      </c>
      <c r="I79" s="344">
        <v>0</v>
      </c>
      <c r="J79" s="344">
        <v>0</v>
      </c>
      <c r="K79" s="344">
        <v>0</v>
      </c>
      <c r="L79" s="344">
        <v>0</v>
      </c>
      <c r="M79" s="344">
        <v>0</v>
      </c>
      <c r="N79" s="344">
        <v>0</v>
      </c>
      <c r="O79" s="344">
        <v>0</v>
      </c>
      <c r="P79" s="344">
        <v>0</v>
      </c>
      <c r="Q79" s="344">
        <v>0</v>
      </c>
      <c r="R79" s="340">
        <f t="shared" ref="R79:R144" si="7">SUM(C79:Q79)</f>
        <v>0</v>
      </c>
    </row>
    <row r="80" spans="1:18" ht="13.5" customHeight="1" thickBot="1" x14ac:dyDescent="0.9">
      <c r="A80" s="351" t="s">
        <v>1398</v>
      </c>
      <c r="B80" s="352">
        <v>0</v>
      </c>
      <c r="C80" s="348">
        <v>0</v>
      </c>
      <c r="D80" s="348">
        <v>0</v>
      </c>
      <c r="E80" s="348">
        <v>0</v>
      </c>
      <c r="F80" s="348">
        <v>0</v>
      </c>
      <c r="G80" s="348">
        <v>0</v>
      </c>
      <c r="H80" s="348">
        <v>0</v>
      </c>
      <c r="I80" s="348">
        <v>0</v>
      </c>
      <c r="J80" s="348">
        <v>0</v>
      </c>
      <c r="K80" s="348">
        <v>0</v>
      </c>
      <c r="L80" s="348">
        <v>0</v>
      </c>
      <c r="M80" s="348">
        <v>0</v>
      </c>
      <c r="N80" s="348">
        <v>0</v>
      </c>
      <c r="O80" s="348">
        <v>0</v>
      </c>
      <c r="P80" s="348">
        <v>0</v>
      </c>
      <c r="Q80" s="348">
        <v>0</v>
      </c>
      <c r="R80" s="340">
        <f t="shared" si="7"/>
        <v>0</v>
      </c>
    </row>
    <row r="81" spans="1:18" ht="13.5" customHeight="1" x14ac:dyDescent="0.75">
      <c r="A81" s="353">
        <v>5200</v>
      </c>
      <c r="B81" s="354" t="s">
        <v>1426</v>
      </c>
      <c r="C81" s="339">
        <v>0</v>
      </c>
      <c r="D81" s="339">
        <v>0</v>
      </c>
      <c r="E81" s="339">
        <v>0.3</v>
      </c>
      <c r="F81" s="339">
        <v>0.1</v>
      </c>
      <c r="G81" s="339">
        <v>0.1</v>
      </c>
      <c r="H81" s="339">
        <v>0.1</v>
      </c>
      <c r="I81" s="339">
        <v>0.1</v>
      </c>
      <c r="J81" s="339">
        <v>0.1</v>
      </c>
      <c r="K81" s="339">
        <v>0.1</v>
      </c>
      <c r="L81" s="339">
        <v>0.1</v>
      </c>
      <c r="M81" s="339">
        <v>0</v>
      </c>
      <c r="N81" s="339">
        <v>0</v>
      </c>
      <c r="O81" s="339">
        <v>0</v>
      </c>
      <c r="P81" s="339">
        <v>0</v>
      </c>
      <c r="Q81" s="339">
        <v>0</v>
      </c>
      <c r="R81" s="340">
        <f t="shared" si="7"/>
        <v>0.99999999999999989</v>
      </c>
    </row>
    <row r="82" spans="1:18" ht="16.95" customHeight="1" x14ac:dyDescent="0.75">
      <c r="A82" s="349">
        <v>5210</v>
      </c>
      <c r="B82" s="350" t="s">
        <v>1427</v>
      </c>
      <c r="C82" s="344">
        <v>0</v>
      </c>
      <c r="D82" s="344">
        <v>0</v>
      </c>
      <c r="E82" s="344">
        <v>0.1</v>
      </c>
      <c r="F82" s="344">
        <v>0.1</v>
      </c>
      <c r="G82" s="344">
        <v>0.1</v>
      </c>
      <c r="H82" s="344">
        <v>0.1</v>
      </c>
      <c r="I82" s="344">
        <v>0.1</v>
      </c>
      <c r="J82" s="344">
        <v>0.1</v>
      </c>
      <c r="K82" s="344">
        <v>0.1</v>
      </c>
      <c r="L82" s="344">
        <v>0.1</v>
      </c>
      <c r="M82" s="344">
        <v>0.1</v>
      </c>
      <c r="N82" s="344">
        <v>0.1</v>
      </c>
      <c r="O82" s="344">
        <v>0</v>
      </c>
      <c r="P82" s="344">
        <v>0</v>
      </c>
      <c r="Q82" s="344">
        <v>0</v>
      </c>
      <c r="R82" s="340">
        <f t="shared" si="7"/>
        <v>0.99999999999999989</v>
      </c>
    </row>
    <row r="83" spans="1:18" ht="13.5" customHeight="1" x14ac:dyDescent="0.75">
      <c r="A83" s="349">
        <v>5223</v>
      </c>
      <c r="B83" s="350" t="s">
        <v>1428</v>
      </c>
      <c r="C83" s="344">
        <v>0</v>
      </c>
      <c r="D83" s="344">
        <v>0</v>
      </c>
      <c r="E83" s="344">
        <v>0.1</v>
      </c>
      <c r="F83" s="344">
        <v>0.1</v>
      </c>
      <c r="G83" s="344">
        <v>0.1</v>
      </c>
      <c r="H83" s="344">
        <v>0.1</v>
      </c>
      <c r="I83" s="344">
        <v>0.1</v>
      </c>
      <c r="J83" s="344">
        <v>0.1</v>
      </c>
      <c r="K83" s="344">
        <v>0.1</v>
      </c>
      <c r="L83" s="344">
        <v>0.1</v>
      </c>
      <c r="M83" s="344">
        <v>0.1</v>
      </c>
      <c r="N83" s="344">
        <v>0.1</v>
      </c>
      <c r="O83" s="344">
        <v>0</v>
      </c>
      <c r="P83" s="344">
        <v>0</v>
      </c>
      <c r="Q83" s="344">
        <v>0</v>
      </c>
      <c r="R83" s="340">
        <f t="shared" si="7"/>
        <v>0.99999999999999989</v>
      </c>
    </row>
    <row r="84" spans="1:18" ht="13.5" customHeight="1" x14ac:dyDescent="0.75">
      <c r="A84" s="349">
        <v>5300</v>
      </c>
      <c r="B84" s="350" t="s">
        <v>599</v>
      </c>
      <c r="C84" s="344">
        <v>0</v>
      </c>
      <c r="D84" s="344">
        <v>0</v>
      </c>
      <c r="E84" s="344">
        <v>0.3</v>
      </c>
      <c r="F84" s="344">
        <v>0.1</v>
      </c>
      <c r="G84" s="344">
        <v>0.1</v>
      </c>
      <c r="H84" s="344">
        <v>0.1</v>
      </c>
      <c r="I84" s="344">
        <v>0.1</v>
      </c>
      <c r="J84" s="344">
        <v>0.1</v>
      </c>
      <c r="K84" s="344">
        <v>0.1</v>
      </c>
      <c r="L84" s="344">
        <v>0.1</v>
      </c>
      <c r="M84" s="344">
        <v>0</v>
      </c>
      <c r="N84" s="344">
        <v>0</v>
      </c>
      <c r="O84" s="344">
        <v>0</v>
      </c>
      <c r="P84" s="344">
        <v>0</v>
      </c>
      <c r="Q84" s="344">
        <v>0</v>
      </c>
      <c r="R84" s="340">
        <f t="shared" si="7"/>
        <v>0.99999999999999989</v>
      </c>
    </row>
    <row r="85" spans="1:18" ht="13.5" customHeight="1" x14ac:dyDescent="0.75">
      <c r="A85" s="349">
        <v>5400</v>
      </c>
      <c r="B85" s="350" t="s">
        <v>1429</v>
      </c>
      <c r="C85" s="344">
        <v>0</v>
      </c>
      <c r="D85" s="344">
        <v>0</v>
      </c>
      <c r="E85" s="344">
        <v>0.3</v>
      </c>
      <c r="F85" s="344">
        <v>0.1</v>
      </c>
      <c r="G85" s="344">
        <v>0.1</v>
      </c>
      <c r="H85" s="344">
        <v>0.1</v>
      </c>
      <c r="I85" s="344">
        <v>0.1</v>
      </c>
      <c r="J85" s="344">
        <v>0.1</v>
      </c>
      <c r="K85" s="344">
        <v>0.1</v>
      </c>
      <c r="L85" s="344">
        <v>0.1</v>
      </c>
      <c r="M85" s="344">
        <v>0</v>
      </c>
      <c r="N85" s="344">
        <v>0</v>
      </c>
      <c r="O85" s="344">
        <v>0</v>
      </c>
      <c r="P85" s="344">
        <v>0</v>
      </c>
      <c r="Q85" s="344">
        <v>0</v>
      </c>
      <c r="R85" s="340">
        <f t="shared" si="7"/>
        <v>0.99999999999999989</v>
      </c>
    </row>
    <row r="86" spans="1:18" ht="14.25" customHeight="1" x14ac:dyDescent="0.75">
      <c r="A86" s="349">
        <v>5450</v>
      </c>
      <c r="B86" s="350" t="s">
        <v>1430</v>
      </c>
      <c r="C86" s="344">
        <v>0</v>
      </c>
      <c r="D86" s="344">
        <v>0</v>
      </c>
      <c r="E86" s="344">
        <v>0.6</v>
      </c>
      <c r="F86" s="344">
        <v>0</v>
      </c>
      <c r="G86" s="344">
        <v>0</v>
      </c>
      <c r="H86" s="344">
        <v>0</v>
      </c>
      <c r="I86" s="344">
        <v>0.4</v>
      </c>
      <c r="J86" s="344">
        <v>0</v>
      </c>
      <c r="K86" s="344">
        <v>0</v>
      </c>
      <c r="L86" s="344">
        <v>0</v>
      </c>
      <c r="M86" s="344">
        <v>0</v>
      </c>
      <c r="N86" s="344">
        <v>0</v>
      </c>
      <c r="O86" s="344">
        <v>0</v>
      </c>
      <c r="P86" s="344">
        <v>0</v>
      </c>
      <c r="Q86" s="344">
        <v>0</v>
      </c>
      <c r="R86" s="340">
        <f t="shared" si="7"/>
        <v>1</v>
      </c>
    </row>
    <row r="87" spans="1:18" ht="13.5" customHeight="1" x14ac:dyDescent="0.75">
      <c r="A87" s="349">
        <v>5500</v>
      </c>
      <c r="B87" s="350" t="s">
        <v>601</v>
      </c>
      <c r="C87" s="344">
        <v>8.3000000000000004E-2</v>
      </c>
      <c r="D87" s="344">
        <v>8.3000000000000004E-2</v>
      </c>
      <c r="E87" s="344">
        <v>8.3000000000000004E-2</v>
      </c>
      <c r="F87" s="344">
        <v>8.3000000000000004E-2</v>
      </c>
      <c r="G87" s="344">
        <v>8.3000000000000004E-2</v>
      </c>
      <c r="H87" s="344">
        <v>8.3000000000000004E-2</v>
      </c>
      <c r="I87" s="344">
        <v>8.3000000000000004E-2</v>
      </c>
      <c r="J87" s="344">
        <v>8.3000000000000004E-2</v>
      </c>
      <c r="K87" s="344">
        <v>8.4000000000000005E-2</v>
      </c>
      <c r="L87" s="344">
        <v>8.4000000000000005E-2</v>
      </c>
      <c r="M87" s="344">
        <v>8.4000000000000005E-2</v>
      </c>
      <c r="N87" s="344">
        <v>8.4000000000000005E-2</v>
      </c>
      <c r="O87" s="344">
        <v>0</v>
      </c>
      <c r="P87" s="344">
        <v>0</v>
      </c>
      <c r="Q87" s="344">
        <v>0</v>
      </c>
      <c r="R87" s="340">
        <f t="shared" si="7"/>
        <v>0.99999999999999989</v>
      </c>
    </row>
    <row r="88" spans="1:18" ht="13.5" customHeight="1" x14ac:dyDescent="0.75">
      <c r="A88" s="349">
        <v>5501</v>
      </c>
      <c r="B88" s="350" t="s">
        <v>602</v>
      </c>
      <c r="C88" s="344">
        <v>8.3000000000000004E-2</v>
      </c>
      <c r="D88" s="344">
        <v>8.3000000000000004E-2</v>
      </c>
      <c r="E88" s="344">
        <v>8.3000000000000004E-2</v>
      </c>
      <c r="F88" s="344">
        <v>8.3000000000000004E-2</v>
      </c>
      <c r="G88" s="344">
        <v>8.3000000000000004E-2</v>
      </c>
      <c r="H88" s="344">
        <v>8.3000000000000004E-2</v>
      </c>
      <c r="I88" s="344">
        <v>8.3000000000000004E-2</v>
      </c>
      <c r="J88" s="344">
        <v>8.3000000000000004E-2</v>
      </c>
      <c r="K88" s="344">
        <v>8.4000000000000005E-2</v>
      </c>
      <c r="L88" s="344">
        <v>8.4000000000000005E-2</v>
      </c>
      <c r="M88" s="344">
        <v>8.4000000000000005E-2</v>
      </c>
      <c r="N88" s="344">
        <v>8.4000000000000005E-2</v>
      </c>
      <c r="O88" s="344">
        <v>0</v>
      </c>
      <c r="P88" s="344">
        <v>0</v>
      </c>
      <c r="Q88" s="344">
        <v>0</v>
      </c>
      <c r="R88" s="340">
        <f t="shared" si="7"/>
        <v>0.99999999999999989</v>
      </c>
    </row>
    <row r="89" spans="1:18" ht="13.5" customHeight="1" x14ac:dyDescent="0.75">
      <c r="A89" s="349">
        <v>5505</v>
      </c>
      <c r="B89" s="350" t="s">
        <v>1079</v>
      </c>
      <c r="C89" s="344">
        <v>0</v>
      </c>
      <c r="D89" s="344">
        <v>0</v>
      </c>
      <c r="E89" s="344">
        <v>0.1</v>
      </c>
      <c r="F89" s="344">
        <v>0.1</v>
      </c>
      <c r="G89" s="344">
        <v>0.1</v>
      </c>
      <c r="H89" s="344">
        <v>0.1</v>
      </c>
      <c r="I89" s="344">
        <v>0.1</v>
      </c>
      <c r="J89" s="344">
        <v>0.1</v>
      </c>
      <c r="K89" s="344">
        <v>0.1</v>
      </c>
      <c r="L89" s="344">
        <v>0.1</v>
      </c>
      <c r="M89" s="344">
        <v>0.1</v>
      </c>
      <c r="N89" s="344">
        <v>0.1</v>
      </c>
      <c r="O89" s="344">
        <v>0</v>
      </c>
      <c r="P89" s="344">
        <v>0</v>
      </c>
      <c r="Q89" s="344">
        <v>0</v>
      </c>
      <c r="R89" s="340">
        <f t="shared" si="7"/>
        <v>0.99999999999999989</v>
      </c>
    </row>
    <row r="90" spans="1:18" ht="13.5" customHeight="1" x14ac:dyDescent="0.75">
      <c r="A90" s="349">
        <v>5600</v>
      </c>
      <c r="B90" s="350" t="s">
        <v>1431</v>
      </c>
      <c r="C90" s="344">
        <v>8.3000000000000004E-2</v>
      </c>
      <c r="D90" s="344">
        <v>8.3000000000000004E-2</v>
      </c>
      <c r="E90" s="344">
        <v>8.3000000000000004E-2</v>
      </c>
      <c r="F90" s="344">
        <v>8.3000000000000004E-2</v>
      </c>
      <c r="G90" s="344">
        <v>8.3000000000000004E-2</v>
      </c>
      <c r="H90" s="344">
        <v>8.3000000000000004E-2</v>
      </c>
      <c r="I90" s="344">
        <v>8.3000000000000004E-2</v>
      </c>
      <c r="J90" s="344">
        <v>8.3000000000000004E-2</v>
      </c>
      <c r="K90" s="344">
        <v>8.4000000000000005E-2</v>
      </c>
      <c r="L90" s="344">
        <v>8.4000000000000005E-2</v>
      </c>
      <c r="M90" s="344">
        <v>8.4000000000000005E-2</v>
      </c>
      <c r="N90" s="344">
        <v>8.4000000000000005E-2</v>
      </c>
      <c r="O90" s="344">
        <v>0</v>
      </c>
      <c r="P90" s="344">
        <v>0</v>
      </c>
      <c r="Q90" s="344">
        <v>0</v>
      </c>
      <c r="R90" s="340">
        <f t="shared" si="7"/>
        <v>0.99999999999999989</v>
      </c>
    </row>
    <row r="91" spans="1:18" ht="13.5" customHeight="1" x14ac:dyDescent="0.75">
      <c r="A91" s="349">
        <v>5601</v>
      </c>
      <c r="B91" s="350" t="s">
        <v>1432</v>
      </c>
      <c r="C91" s="344">
        <v>8.3000000000000004E-2</v>
      </c>
      <c r="D91" s="344">
        <v>8.3000000000000004E-2</v>
      </c>
      <c r="E91" s="344">
        <v>8.3000000000000004E-2</v>
      </c>
      <c r="F91" s="344">
        <v>8.3000000000000004E-2</v>
      </c>
      <c r="G91" s="344">
        <v>8.3000000000000004E-2</v>
      </c>
      <c r="H91" s="344">
        <v>8.3000000000000004E-2</v>
      </c>
      <c r="I91" s="344">
        <v>8.3000000000000004E-2</v>
      </c>
      <c r="J91" s="344">
        <v>8.3000000000000004E-2</v>
      </c>
      <c r="K91" s="344">
        <v>8.4000000000000005E-2</v>
      </c>
      <c r="L91" s="344">
        <v>8.4000000000000005E-2</v>
      </c>
      <c r="M91" s="344">
        <v>8.4000000000000005E-2</v>
      </c>
      <c r="N91" s="344">
        <v>8.4000000000000005E-2</v>
      </c>
      <c r="O91" s="344">
        <v>0</v>
      </c>
      <c r="P91" s="344">
        <v>0</v>
      </c>
      <c r="Q91" s="344">
        <v>0</v>
      </c>
      <c r="R91" s="340">
        <f t="shared" si="7"/>
        <v>0.99999999999999989</v>
      </c>
    </row>
    <row r="92" spans="1:18" ht="13.5" customHeight="1" x14ac:dyDescent="0.75">
      <c r="A92" s="349">
        <v>5602</v>
      </c>
      <c r="B92" s="350" t="s">
        <v>1433</v>
      </c>
      <c r="C92" s="344">
        <v>8.3000000000000004E-2</v>
      </c>
      <c r="D92" s="344">
        <v>8.3000000000000004E-2</v>
      </c>
      <c r="E92" s="344">
        <v>8.3000000000000004E-2</v>
      </c>
      <c r="F92" s="344">
        <v>8.3000000000000004E-2</v>
      </c>
      <c r="G92" s="344">
        <v>8.3000000000000004E-2</v>
      </c>
      <c r="H92" s="344">
        <v>8.3000000000000004E-2</v>
      </c>
      <c r="I92" s="344">
        <v>8.3000000000000004E-2</v>
      </c>
      <c r="J92" s="344">
        <v>8.3000000000000004E-2</v>
      </c>
      <c r="K92" s="344">
        <v>8.4000000000000005E-2</v>
      </c>
      <c r="L92" s="344">
        <v>8.4000000000000005E-2</v>
      </c>
      <c r="M92" s="344">
        <v>8.4000000000000005E-2</v>
      </c>
      <c r="N92" s="344">
        <v>8.4000000000000005E-2</v>
      </c>
      <c r="O92" s="344">
        <v>0</v>
      </c>
      <c r="P92" s="344">
        <v>0</v>
      </c>
      <c r="Q92" s="344">
        <v>0</v>
      </c>
      <c r="R92" s="340">
        <f t="shared" si="7"/>
        <v>0.99999999999999989</v>
      </c>
    </row>
    <row r="93" spans="1:18" ht="13.5" customHeight="1" x14ac:dyDescent="0.75">
      <c r="A93" s="349">
        <v>5603</v>
      </c>
      <c r="B93" s="350" t="s">
        <v>1434</v>
      </c>
      <c r="C93" s="344">
        <v>0</v>
      </c>
      <c r="D93" s="344">
        <v>0</v>
      </c>
      <c r="E93" s="344">
        <v>0.1</v>
      </c>
      <c r="F93" s="344">
        <v>0.1</v>
      </c>
      <c r="G93" s="344">
        <v>0.1</v>
      </c>
      <c r="H93" s="344">
        <v>0.1</v>
      </c>
      <c r="I93" s="344">
        <v>0.1</v>
      </c>
      <c r="J93" s="344">
        <v>0.1</v>
      </c>
      <c r="K93" s="344">
        <v>0.1</v>
      </c>
      <c r="L93" s="344">
        <v>0.1</v>
      </c>
      <c r="M93" s="344">
        <v>0.1</v>
      </c>
      <c r="N93" s="344">
        <v>0.1</v>
      </c>
      <c r="O93" s="344">
        <v>0</v>
      </c>
      <c r="P93" s="344">
        <v>0</v>
      </c>
      <c r="Q93" s="344">
        <v>0</v>
      </c>
      <c r="R93" s="340">
        <f t="shared" si="7"/>
        <v>0.99999999999999989</v>
      </c>
    </row>
    <row r="94" spans="1:18" ht="13.5" customHeight="1" x14ac:dyDescent="0.75">
      <c r="A94" s="349">
        <v>5605</v>
      </c>
      <c r="B94" s="350" t="s">
        <v>605</v>
      </c>
      <c r="C94" s="344">
        <v>8.3000000000000004E-2</v>
      </c>
      <c r="D94" s="344">
        <v>8.3000000000000004E-2</v>
      </c>
      <c r="E94" s="344">
        <v>8.3000000000000004E-2</v>
      </c>
      <c r="F94" s="344">
        <v>8.3000000000000004E-2</v>
      </c>
      <c r="G94" s="344">
        <v>8.3000000000000004E-2</v>
      </c>
      <c r="H94" s="344">
        <v>8.3000000000000004E-2</v>
      </c>
      <c r="I94" s="344">
        <v>8.3000000000000004E-2</v>
      </c>
      <c r="J94" s="344">
        <v>8.3000000000000004E-2</v>
      </c>
      <c r="K94" s="344">
        <v>8.4000000000000005E-2</v>
      </c>
      <c r="L94" s="344">
        <v>8.4000000000000005E-2</v>
      </c>
      <c r="M94" s="344">
        <v>8.4000000000000005E-2</v>
      </c>
      <c r="N94" s="344">
        <v>8.4000000000000005E-2</v>
      </c>
      <c r="O94" s="344">
        <v>0</v>
      </c>
      <c r="P94" s="344">
        <v>0</v>
      </c>
      <c r="Q94" s="344">
        <v>0</v>
      </c>
      <c r="R94" s="340">
        <f t="shared" si="7"/>
        <v>0.99999999999999989</v>
      </c>
    </row>
    <row r="95" spans="1:18" ht="13.5" customHeight="1" x14ac:dyDescent="0.75">
      <c r="A95" s="349">
        <v>5610</v>
      </c>
      <c r="B95" s="350" t="s">
        <v>606</v>
      </c>
      <c r="C95" s="344">
        <v>8.3000000000000004E-2</v>
      </c>
      <c r="D95" s="344">
        <v>8.3000000000000004E-2</v>
      </c>
      <c r="E95" s="344">
        <v>8.3000000000000004E-2</v>
      </c>
      <c r="F95" s="344">
        <v>8.3000000000000004E-2</v>
      </c>
      <c r="G95" s="344">
        <v>8.3000000000000004E-2</v>
      </c>
      <c r="H95" s="344">
        <v>8.3000000000000004E-2</v>
      </c>
      <c r="I95" s="344">
        <v>8.3000000000000004E-2</v>
      </c>
      <c r="J95" s="344">
        <v>8.3000000000000004E-2</v>
      </c>
      <c r="K95" s="344">
        <v>8.4000000000000005E-2</v>
      </c>
      <c r="L95" s="344">
        <v>8.4000000000000005E-2</v>
      </c>
      <c r="M95" s="344">
        <v>8.4000000000000005E-2</v>
      </c>
      <c r="N95" s="344">
        <v>8.4000000000000005E-2</v>
      </c>
      <c r="O95" s="344">
        <v>0</v>
      </c>
      <c r="P95" s="344">
        <v>0</v>
      </c>
      <c r="Q95" s="344">
        <v>0</v>
      </c>
      <c r="R95" s="340">
        <f t="shared" si="7"/>
        <v>0.99999999999999989</v>
      </c>
    </row>
    <row r="96" spans="1:18" ht="13.5" customHeight="1" x14ac:dyDescent="0.75">
      <c r="A96" s="349">
        <v>5800</v>
      </c>
      <c r="B96" s="350" t="s">
        <v>1435</v>
      </c>
      <c r="C96" s="344">
        <v>8.3000000000000004E-2</v>
      </c>
      <c r="D96" s="344">
        <v>8.3000000000000004E-2</v>
      </c>
      <c r="E96" s="344">
        <v>8.3000000000000004E-2</v>
      </c>
      <c r="F96" s="344">
        <v>8.3000000000000004E-2</v>
      </c>
      <c r="G96" s="344">
        <v>8.3000000000000004E-2</v>
      </c>
      <c r="H96" s="344">
        <v>8.3000000000000004E-2</v>
      </c>
      <c r="I96" s="344">
        <v>8.3000000000000004E-2</v>
      </c>
      <c r="J96" s="344">
        <v>8.3000000000000004E-2</v>
      </c>
      <c r="K96" s="344">
        <v>8.4000000000000005E-2</v>
      </c>
      <c r="L96" s="344">
        <v>8.4000000000000005E-2</v>
      </c>
      <c r="M96" s="344">
        <v>8.4000000000000005E-2</v>
      </c>
      <c r="N96" s="344">
        <v>8.4000000000000005E-2</v>
      </c>
      <c r="O96" s="344">
        <v>0</v>
      </c>
      <c r="P96" s="344">
        <v>0</v>
      </c>
      <c r="Q96" s="344">
        <v>0</v>
      </c>
      <c r="R96" s="340">
        <f t="shared" si="7"/>
        <v>0.99999999999999989</v>
      </c>
    </row>
    <row r="97" spans="1:18" ht="13.5" customHeight="1" x14ac:dyDescent="0.75">
      <c r="A97" s="349">
        <v>5803</v>
      </c>
      <c r="B97" s="350" t="s">
        <v>1436</v>
      </c>
      <c r="C97" s="344">
        <v>8.3000000000000004E-2</v>
      </c>
      <c r="D97" s="344">
        <v>8.3000000000000004E-2</v>
      </c>
      <c r="E97" s="344">
        <v>8.3000000000000004E-2</v>
      </c>
      <c r="F97" s="344">
        <v>8.3000000000000004E-2</v>
      </c>
      <c r="G97" s="344">
        <v>8.3000000000000004E-2</v>
      </c>
      <c r="H97" s="344">
        <v>8.3000000000000004E-2</v>
      </c>
      <c r="I97" s="344">
        <v>8.3000000000000004E-2</v>
      </c>
      <c r="J97" s="344">
        <v>8.3000000000000004E-2</v>
      </c>
      <c r="K97" s="344">
        <v>8.4000000000000005E-2</v>
      </c>
      <c r="L97" s="344">
        <v>8.4000000000000005E-2</v>
      </c>
      <c r="M97" s="344">
        <v>8.4000000000000005E-2</v>
      </c>
      <c r="N97" s="344">
        <v>8.4000000000000005E-2</v>
      </c>
      <c r="O97" s="344">
        <v>0</v>
      </c>
      <c r="P97" s="344">
        <v>0</v>
      </c>
      <c r="Q97" s="344">
        <v>0</v>
      </c>
      <c r="R97" s="340">
        <f t="shared" si="7"/>
        <v>0.99999999999999989</v>
      </c>
    </row>
    <row r="98" spans="1:18" ht="13.5" customHeight="1" x14ac:dyDescent="0.75">
      <c r="A98" s="349">
        <v>5805</v>
      </c>
      <c r="B98" s="350" t="s">
        <v>1437</v>
      </c>
      <c r="C98" s="344">
        <v>8.3000000000000004E-2</v>
      </c>
      <c r="D98" s="344">
        <v>8.3000000000000004E-2</v>
      </c>
      <c r="E98" s="344">
        <v>8.3000000000000004E-2</v>
      </c>
      <c r="F98" s="344">
        <v>8.3000000000000004E-2</v>
      </c>
      <c r="G98" s="344">
        <v>8.3000000000000004E-2</v>
      </c>
      <c r="H98" s="344">
        <v>8.3000000000000004E-2</v>
      </c>
      <c r="I98" s="344">
        <v>8.3000000000000004E-2</v>
      </c>
      <c r="J98" s="344">
        <v>8.3000000000000004E-2</v>
      </c>
      <c r="K98" s="344">
        <v>8.4000000000000005E-2</v>
      </c>
      <c r="L98" s="344">
        <v>8.4000000000000005E-2</v>
      </c>
      <c r="M98" s="344">
        <v>8.4000000000000005E-2</v>
      </c>
      <c r="N98" s="344">
        <v>8.4000000000000005E-2</v>
      </c>
      <c r="O98" s="344">
        <v>0</v>
      </c>
      <c r="P98" s="344">
        <v>0</v>
      </c>
      <c r="Q98" s="344">
        <v>0</v>
      </c>
      <c r="R98" s="340">
        <f t="shared" si="7"/>
        <v>0.99999999999999989</v>
      </c>
    </row>
    <row r="99" spans="1:18" ht="13.5" customHeight="1" x14ac:dyDescent="0.75">
      <c r="A99" s="349">
        <v>5806</v>
      </c>
      <c r="B99" s="350" t="s">
        <v>1438</v>
      </c>
      <c r="C99" s="344">
        <v>0.05</v>
      </c>
      <c r="D99" s="344">
        <v>0.05</v>
      </c>
      <c r="E99" s="344">
        <v>0.09</v>
      </c>
      <c r="F99" s="344">
        <v>0.09</v>
      </c>
      <c r="G99" s="344">
        <v>0.09</v>
      </c>
      <c r="H99" s="344">
        <v>0.09</v>
      </c>
      <c r="I99" s="344">
        <v>0.09</v>
      </c>
      <c r="J99" s="344">
        <v>0.09</v>
      </c>
      <c r="K99" s="344">
        <v>0.09</v>
      </c>
      <c r="L99" s="344">
        <v>0.09</v>
      </c>
      <c r="M99" s="344">
        <v>0.09</v>
      </c>
      <c r="N99" s="344">
        <v>0.09</v>
      </c>
      <c r="O99" s="344">
        <v>0</v>
      </c>
      <c r="P99" s="344">
        <v>0</v>
      </c>
      <c r="Q99" s="344">
        <v>0</v>
      </c>
      <c r="R99" s="340">
        <f t="shared" si="7"/>
        <v>0.99999999999999978</v>
      </c>
    </row>
    <row r="100" spans="1:18" ht="13.5" customHeight="1" x14ac:dyDescent="0.75">
      <c r="A100" s="349">
        <v>5807</v>
      </c>
      <c r="B100" s="350" t="s">
        <v>1439</v>
      </c>
      <c r="C100" s="344">
        <v>0</v>
      </c>
      <c r="D100" s="344">
        <v>0</v>
      </c>
      <c r="E100" s="344">
        <v>0.1</v>
      </c>
      <c r="F100" s="344">
        <v>0.1</v>
      </c>
      <c r="G100" s="344">
        <v>0.1</v>
      </c>
      <c r="H100" s="344">
        <v>0.1</v>
      </c>
      <c r="I100" s="344">
        <v>0.1</v>
      </c>
      <c r="J100" s="344">
        <v>0.1</v>
      </c>
      <c r="K100" s="344">
        <v>0.1</v>
      </c>
      <c r="L100" s="344">
        <v>0.1</v>
      </c>
      <c r="M100" s="344">
        <v>0.1</v>
      </c>
      <c r="N100" s="344">
        <v>0.1</v>
      </c>
      <c r="O100" s="344">
        <v>0</v>
      </c>
      <c r="P100" s="344">
        <v>0</v>
      </c>
      <c r="Q100" s="344">
        <v>0</v>
      </c>
      <c r="R100" s="340">
        <f t="shared" si="7"/>
        <v>0.99999999999999989</v>
      </c>
    </row>
    <row r="101" spans="1:18" ht="13.5" customHeight="1" x14ac:dyDescent="0.75">
      <c r="A101" s="349">
        <v>5809</v>
      </c>
      <c r="B101" s="350" t="s">
        <v>1653</v>
      </c>
      <c r="C101" s="344">
        <v>8.3000000000000004E-2</v>
      </c>
      <c r="D101" s="344">
        <v>8.3000000000000004E-2</v>
      </c>
      <c r="E101" s="344">
        <v>8.3000000000000004E-2</v>
      </c>
      <c r="F101" s="344">
        <v>8.3000000000000004E-2</v>
      </c>
      <c r="G101" s="344">
        <v>8.3000000000000004E-2</v>
      </c>
      <c r="H101" s="344">
        <v>8.3000000000000004E-2</v>
      </c>
      <c r="I101" s="344">
        <v>8.3000000000000004E-2</v>
      </c>
      <c r="J101" s="344">
        <v>8.3000000000000004E-2</v>
      </c>
      <c r="K101" s="344">
        <v>8.4000000000000005E-2</v>
      </c>
      <c r="L101" s="344">
        <v>8.4000000000000005E-2</v>
      </c>
      <c r="M101" s="344">
        <v>8.4000000000000005E-2</v>
      </c>
      <c r="N101" s="344">
        <v>8.4000000000000005E-2</v>
      </c>
      <c r="O101" s="344">
        <v>0</v>
      </c>
      <c r="P101" s="344">
        <v>0</v>
      </c>
      <c r="Q101" s="344">
        <v>0</v>
      </c>
      <c r="R101" s="340">
        <f t="shared" ref="R101" si="8">SUM(C101:Q101)</f>
        <v>0.99999999999999989</v>
      </c>
    </row>
    <row r="102" spans="1:18" ht="13.5" customHeight="1" x14ac:dyDescent="0.75">
      <c r="A102" s="349">
        <v>5810</v>
      </c>
      <c r="B102" s="350" t="s">
        <v>609</v>
      </c>
      <c r="C102" s="344">
        <v>8.3000000000000004E-2</v>
      </c>
      <c r="D102" s="344">
        <v>8.3000000000000004E-2</v>
      </c>
      <c r="E102" s="344">
        <v>8.3000000000000004E-2</v>
      </c>
      <c r="F102" s="344">
        <v>8.3000000000000004E-2</v>
      </c>
      <c r="G102" s="344">
        <v>8.3000000000000004E-2</v>
      </c>
      <c r="H102" s="344">
        <v>8.3000000000000004E-2</v>
      </c>
      <c r="I102" s="344">
        <v>8.3000000000000004E-2</v>
      </c>
      <c r="J102" s="344">
        <v>8.3000000000000004E-2</v>
      </c>
      <c r="K102" s="344">
        <v>8.4000000000000005E-2</v>
      </c>
      <c r="L102" s="344">
        <v>8.4000000000000005E-2</v>
      </c>
      <c r="M102" s="344">
        <v>8.4000000000000005E-2</v>
      </c>
      <c r="N102" s="344">
        <v>8.4000000000000005E-2</v>
      </c>
      <c r="O102" s="344">
        <v>0</v>
      </c>
      <c r="P102" s="344">
        <v>0</v>
      </c>
      <c r="Q102" s="344">
        <v>0</v>
      </c>
      <c r="R102" s="340">
        <f t="shared" si="7"/>
        <v>0.99999999999999989</v>
      </c>
    </row>
    <row r="103" spans="1:18" ht="13.5" customHeight="1" x14ac:dyDescent="0.75">
      <c r="A103" s="349">
        <v>5811</v>
      </c>
      <c r="B103" s="350" t="s">
        <v>1440</v>
      </c>
      <c r="C103" s="344">
        <v>0</v>
      </c>
      <c r="D103" s="344">
        <v>0</v>
      </c>
      <c r="E103" s="344">
        <v>0.1</v>
      </c>
      <c r="F103" s="344">
        <v>0.1</v>
      </c>
      <c r="G103" s="344">
        <v>0.1</v>
      </c>
      <c r="H103" s="344">
        <v>0.1</v>
      </c>
      <c r="I103" s="344">
        <v>0.1</v>
      </c>
      <c r="J103" s="344">
        <v>0.1</v>
      </c>
      <c r="K103" s="344">
        <v>0.1</v>
      </c>
      <c r="L103" s="344">
        <v>0.1</v>
      </c>
      <c r="M103" s="344">
        <v>0.1</v>
      </c>
      <c r="N103" s="344">
        <v>0.1</v>
      </c>
      <c r="O103" s="344">
        <v>0</v>
      </c>
      <c r="P103" s="344">
        <v>0</v>
      </c>
      <c r="Q103" s="344">
        <v>0</v>
      </c>
      <c r="R103" s="340">
        <f t="shared" si="7"/>
        <v>0.99999999999999989</v>
      </c>
    </row>
    <row r="104" spans="1:18" ht="13.5" customHeight="1" x14ac:dyDescent="0.75">
      <c r="A104" s="349">
        <v>5812</v>
      </c>
      <c r="B104" s="350" t="s">
        <v>1338</v>
      </c>
      <c r="C104" s="344">
        <v>0</v>
      </c>
      <c r="D104" s="344">
        <v>0</v>
      </c>
      <c r="E104" s="344">
        <v>0.1</v>
      </c>
      <c r="F104" s="344">
        <v>0.1</v>
      </c>
      <c r="G104" s="344">
        <v>0.1</v>
      </c>
      <c r="H104" s="344">
        <v>0.1</v>
      </c>
      <c r="I104" s="344">
        <v>0.1</v>
      </c>
      <c r="J104" s="344">
        <v>0.1</v>
      </c>
      <c r="K104" s="344">
        <v>0.1</v>
      </c>
      <c r="L104" s="344">
        <v>0.1</v>
      </c>
      <c r="M104" s="344">
        <v>0.1</v>
      </c>
      <c r="N104" s="344">
        <v>0.1</v>
      </c>
      <c r="O104" s="344">
        <v>0</v>
      </c>
      <c r="P104" s="344">
        <v>0</v>
      </c>
      <c r="Q104" s="344">
        <v>0</v>
      </c>
      <c r="R104" s="340">
        <f t="shared" ref="R104" si="9">SUM(C104:Q104)</f>
        <v>0.99999999999999989</v>
      </c>
    </row>
    <row r="105" spans="1:18" ht="13.5" customHeight="1" x14ac:dyDescent="0.75">
      <c r="A105" s="349">
        <v>5815</v>
      </c>
      <c r="B105" s="350" t="s">
        <v>1441</v>
      </c>
      <c r="C105" s="344">
        <v>0.23704389000000001</v>
      </c>
      <c r="D105" s="344">
        <v>0</v>
      </c>
      <c r="E105" s="344">
        <v>0</v>
      </c>
      <c r="F105" s="344">
        <v>0</v>
      </c>
      <c r="G105" s="344">
        <v>0.184235654</v>
      </c>
      <c r="H105" s="344">
        <v>0</v>
      </c>
      <c r="I105" s="344">
        <v>0.28936000000000001</v>
      </c>
      <c r="J105" s="344">
        <v>0</v>
      </c>
      <c r="K105" s="344">
        <v>0</v>
      </c>
      <c r="L105" s="344">
        <v>0.28936000000000001</v>
      </c>
      <c r="M105" s="344">
        <v>0</v>
      </c>
      <c r="N105" s="344">
        <v>0</v>
      </c>
      <c r="O105" s="344">
        <v>0</v>
      </c>
      <c r="P105" s="344">
        <v>0</v>
      </c>
      <c r="Q105" s="344">
        <v>0</v>
      </c>
      <c r="R105" s="340">
        <f t="shared" si="7"/>
        <v>0.99999954400000002</v>
      </c>
    </row>
    <row r="106" spans="1:18" ht="13.5" customHeight="1" x14ac:dyDescent="0.75">
      <c r="A106" s="349">
        <v>5820</v>
      </c>
      <c r="B106" s="350" t="s">
        <v>1442</v>
      </c>
      <c r="C106" s="344">
        <v>8.33285E-2</v>
      </c>
      <c r="D106" s="344">
        <v>8.33285E-2</v>
      </c>
      <c r="E106" s="344">
        <v>8.33285E-2</v>
      </c>
      <c r="F106" s="344">
        <v>8.33285E-2</v>
      </c>
      <c r="G106" s="344">
        <v>8.33285E-2</v>
      </c>
      <c r="H106" s="344">
        <v>8.33285E-2</v>
      </c>
      <c r="I106" s="344">
        <v>8.33285E-2</v>
      </c>
      <c r="J106" s="344">
        <v>8.33285E-2</v>
      </c>
      <c r="K106" s="344">
        <v>8.33285E-2</v>
      </c>
      <c r="L106" s="344">
        <v>8.33285E-2</v>
      </c>
      <c r="M106" s="344">
        <v>8.33285E-2</v>
      </c>
      <c r="N106" s="344">
        <v>8.3386000000000002E-2</v>
      </c>
      <c r="O106" s="344">
        <v>0</v>
      </c>
      <c r="P106" s="344">
        <v>0</v>
      </c>
      <c r="Q106" s="344">
        <v>0</v>
      </c>
      <c r="R106" s="340">
        <f t="shared" si="7"/>
        <v>0.99999950000000015</v>
      </c>
    </row>
    <row r="107" spans="1:18" ht="13.5" customHeight="1" x14ac:dyDescent="0.75">
      <c r="A107" s="349">
        <v>5830</v>
      </c>
      <c r="B107" s="350" t="s">
        <v>1412</v>
      </c>
      <c r="C107" s="344">
        <v>0</v>
      </c>
      <c r="D107" s="344">
        <v>0</v>
      </c>
      <c r="E107" s="344">
        <v>0.1</v>
      </c>
      <c r="F107" s="344">
        <v>0.1</v>
      </c>
      <c r="G107" s="344">
        <v>0.1</v>
      </c>
      <c r="H107" s="344">
        <v>0.1</v>
      </c>
      <c r="I107" s="344">
        <v>0.1</v>
      </c>
      <c r="J107" s="344">
        <v>0.1</v>
      </c>
      <c r="K107" s="344">
        <v>0.1</v>
      </c>
      <c r="L107" s="344">
        <v>0.1</v>
      </c>
      <c r="M107" s="344">
        <v>0.1</v>
      </c>
      <c r="N107" s="344">
        <v>0.1</v>
      </c>
      <c r="O107" s="344">
        <v>0</v>
      </c>
      <c r="P107" s="344">
        <v>0</v>
      </c>
      <c r="Q107" s="344">
        <v>0</v>
      </c>
      <c r="R107" s="340">
        <f t="shared" si="7"/>
        <v>0.99999999999999989</v>
      </c>
    </row>
    <row r="108" spans="1:18" ht="13.5" customHeight="1" x14ac:dyDescent="0.75">
      <c r="A108" s="349">
        <v>5836</v>
      </c>
      <c r="B108" s="350" t="s">
        <v>1443</v>
      </c>
      <c r="C108" s="344">
        <v>8.3000000000000004E-2</v>
      </c>
      <c r="D108" s="344">
        <v>8.3000000000000004E-2</v>
      </c>
      <c r="E108" s="344">
        <v>8.3000000000000004E-2</v>
      </c>
      <c r="F108" s="344">
        <v>8.3000000000000004E-2</v>
      </c>
      <c r="G108" s="344">
        <v>8.3000000000000004E-2</v>
      </c>
      <c r="H108" s="344">
        <v>8.3000000000000004E-2</v>
      </c>
      <c r="I108" s="344">
        <v>8.3000000000000004E-2</v>
      </c>
      <c r="J108" s="344">
        <v>8.3000000000000004E-2</v>
      </c>
      <c r="K108" s="344">
        <v>8.4000000000000005E-2</v>
      </c>
      <c r="L108" s="344">
        <v>8.4000000000000005E-2</v>
      </c>
      <c r="M108" s="344">
        <v>8.4000000000000005E-2</v>
      </c>
      <c r="N108" s="344">
        <v>8.4000000000000005E-2</v>
      </c>
      <c r="O108" s="344">
        <v>0</v>
      </c>
      <c r="P108" s="344">
        <v>0</v>
      </c>
      <c r="Q108" s="344">
        <v>0</v>
      </c>
      <c r="R108" s="340">
        <f t="shared" si="7"/>
        <v>0.99999999999999989</v>
      </c>
    </row>
    <row r="109" spans="1:18" ht="13.5" customHeight="1" x14ac:dyDescent="0.75">
      <c r="A109" s="349">
        <v>5842</v>
      </c>
      <c r="B109" s="350" t="s">
        <v>1444</v>
      </c>
      <c r="C109" s="344">
        <v>0</v>
      </c>
      <c r="D109" s="344">
        <v>0</v>
      </c>
      <c r="E109" s="344">
        <v>0.1</v>
      </c>
      <c r="F109" s="344">
        <v>0.1</v>
      </c>
      <c r="G109" s="344">
        <v>0.1</v>
      </c>
      <c r="H109" s="344">
        <v>0.1</v>
      </c>
      <c r="I109" s="344">
        <v>0.1</v>
      </c>
      <c r="J109" s="344">
        <v>0.1</v>
      </c>
      <c r="K109" s="344">
        <v>0.1</v>
      </c>
      <c r="L109" s="344">
        <v>0.1</v>
      </c>
      <c r="M109" s="344">
        <v>0.1</v>
      </c>
      <c r="N109" s="344">
        <v>0.1</v>
      </c>
      <c r="O109" s="344">
        <v>0</v>
      </c>
      <c r="P109" s="344">
        <v>0</v>
      </c>
      <c r="Q109" s="344">
        <v>0</v>
      </c>
      <c r="R109" s="340">
        <f t="shared" si="7"/>
        <v>0.99999999999999989</v>
      </c>
    </row>
    <row r="110" spans="1:18" ht="13.5" customHeight="1" x14ac:dyDescent="0.75">
      <c r="A110" s="349">
        <v>5850</v>
      </c>
      <c r="B110" s="350" t="s">
        <v>1445</v>
      </c>
      <c r="C110" s="344">
        <v>0</v>
      </c>
      <c r="D110" s="344">
        <v>0</v>
      </c>
      <c r="E110" s="344">
        <v>0.1</v>
      </c>
      <c r="F110" s="344">
        <v>0.1</v>
      </c>
      <c r="G110" s="344">
        <v>0.1</v>
      </c>
      <c r="H110" s="344">
        <v>0.1</v>
      </c>
      <c r="I110" s="344">
        <v>0.1</v>
      </c>
      <c r="J110" s="344">
        <v>0.1</v>
      </c>
      <c r="K110" s="344">
        <v>0.1</v>
      </c>
      <c r="L110" s="344">
        <v>0.1</v>
      </c>
      <c r="M110" s="344">
        <v>0.1</v>
      </c>
      <c r="N110" s="344">
        <v>0.1</v>
      </c>
      <c r="O110" s="344">
        <v>0</v>
      </c>
      <c r="P110" s="344">
        <v>0</v>
      </c>
      <c r="Q110" s="344">
        <v>0</v>
      </c>
      <c r="R110" s="340">
        <f t="shared" si="7"/>
        <v>0.99999999999999989</v>
      </c>
    </row>
    <row r="111" spans="1:18" ht="13.5" customHeight="1" x14ac:dyDescent="0.75">
      <c r="A111" s="349">
        <v>5873</v>
      </c>
      <c r="B111" s="350" t="s">
        <v>1446</v>
      </c>
      <c r="C111" s="344">
        <v>0</v>
      </c>
      <c r="D111" s="344">
        <v>0</v>
      </c>
      <c r="E111" s="344">
        <v>0.1</v>
      </c>
      <c r="F111" s="344">
        <v>0.1</v>
      </c>
      <c r="G111" s="344">
        <v>0.1</v>
      </c>
      <c r="H111" s="344">
        <v>0.1</v>
      </c>
      <c r="I111" s="344">
        <v>0.1</v>
      </c>
      <c r="J111" s="344">
        <v>0.1</v>
      </c>
      <c r="K111" s="344">
        <v>0.1</v>
      </c>
      <c r="L111" s="344">
        <v>0.1</v>
      </c>
      <c r="M111" s="344">
        <v>0.1</v>
      </c>
      <c r="N111" s="344">
        <v>0.1</v>
      </c>
      <c r="O111" s="344">
        <v>0</v>
      </c>
      <c r="P111" s="344">
        <v>0</v>
      </c>
      <c r="Q111" s="344">
        <v>0</v>
      </c>
      <c r="R111" s="340">
        <f t="shared" si="7"/>
        <v>0.99999999999999989</v>
      </c>
    </row>
    <row r="112" spans="1:18" ht="13.5" customHeight="1" x14ac:dyDescent="0.75">
      <c r="A112" s="349">
        <v>5875</v>
      </c>
      <c r="B112" s="350" t="s">
        <v>616</v>
      </c>
      <c r="C112" s="344">
        <v>0</v>
      </c>
      <c r="D112" s="344">
        <v>0</v>
      </c>
      <c r="E112" s="344">
        <v>0.1</v>
      </c>
      <c r="F112" s="344">
        <v>0.1</v>
      </c>
      <c r="G112" s="344">
        <v>0.1</v>
      </c>
      <c r="H112" s="344">
        <v>0.1</v>
      </c>
      <c r="I112" s="344">
        <v>0.1</v>
      </c>
      <c r="J112" s="344">
        <v>0.1</v>
      </c>
      <c r="K112" s="344">
        <v>0.1</v>
      </c>
      <c r="L112" s="344">
        <v>0.1</v>
      </c>
      <c r="M112" s="344">
        <v>0.1</v>
      </c>
      <c r="N112" s="344">
        <v>0.1</v>
      </c>
      <c r="O112" s="344">
        <v>0</v>
      </c>
      <c r="P112" s="344">
        <v>0</v>
      </c>
      <c r="Q112" s="344">
        <v>0</v>
      </c>
      <c r="R112" s="340">
        <f t="shared" si="7"/>
        <v>0.99999999999999989</v>
      </c>
    </row>
    <row r="113" spans="1:18" ht="13.5" customHeight="1" x14ac:dyDescent="0.75">
      <c r="A113" s="349">
        <v>5874</v>
      </c>
      <c r="B113" s="350" t="s">
        <v>1447</v>
      </c>
      <c r="C113" s="344">
        <v>0</v>
      </c>
      <c r="D113" s="344">
        <v>0</v>
      </c>
      <c r="E113" s="344">
        <v>0.1</v>
      </c>
      <c r="F113" s="344">
        <v>0.1</v>
      </c>
      <c r="G113" s="344">
        <v>0.1</v>
      </c>
      <c r="H113" s="344">
        <v>0.1</v>
      </c>
      <c r="I113" s="344">
        <v>0.1</v>
      </c>
      <c r="J113" s="344">
        <v>0.1</v>
      </c>
      <c r="K113" s="344">
        <v>0.1</v>
      </c>
      <c r="L113" s="344">
        <v>0.1</v>
      </c>
      <c r="M113" s="344">
        <v>0.1</v>
      </c>
      <c r="N113" s="344">
        <v>0.1</v>
      </c>
      <c r="O113" s="344">
        <v>0</v>
      </c>
      <c r="P113" s="344">
        <v>0</v>
      </c>
      <c r="Q113" s="344">
        <v>0</v>
      </c>
      <c r="R113" s="340">
        <f t="shared" si="7"/>
        <v>0.99999999999999989</v>
      </c>
    </row>
    <row r="114" spans="1:18" ht="13.5" customHeight="1" x14ac:dyDescent="0.75">
      <c r="A114" s="349">
        <v>5877</v>
      </c>
      <c r="B114" s="350" t="s">
        <v>1289</v>
      </c>
      <c r="C114" s="344">
        <v>0</v>
      </c>
      <c r="D114" s="344">
        <v>0</v>
      </c>
      <c r="E114" s="344">
        <v>0.1</v>
      </c>
      <c r="F114" s="344">
        <v>0.1</v>
      </c>
      <c r="G114" s="344">
        <v>0.1</v>
      </c>
      <c r="H114" s="344">
        <v>0.1</v>
      </c>
      <c r="I114" s="344">
        <v>0.1</v>
      </c>
      <c r="J114" s="344">
        <v>0.1</v>
      </c>
      <c r="K114" s="344">
        <v>0.1</v>
      </c>
      <c r="L114" s="344">
        <v>0.1</v>
      </c>
      <c r="M114" s="344">
        <v>0.1</v>
      </c>
      <c r="N114" s="344">
        <v>0.1</v>
      </c>
      <c r="O114" s="344">
        <v>0</v>
      </c>
      <c r="P114" s="344">
        <v>0</v>
      </c>
      <c r="Q114" s="344">
        <v>0</v>
      </c>
      <c r="R114" s="340">
        <f t="shared" si="7"/>
        <v>0.99999999999999989</v>
      </c>
    </row>
    <row r="115" spans="1:18" ht="13.5" customHeight="1" x14ac:dyDescent="0.75">
      <c r="A115" s="349">
        <v>5885</v>
      </c>
      <c r="B115" s="350" t="s">
        <v>1448</v>
      </c>
      <c r="C115" s="344">
        <v>0</v>
      </c>
      <c r="D115" s="344">
        <v>0</v>
      </c>
      <c r="E115" s="344">
        <v>0.1</v>
      </c>
      <c r="F115" s="344">
        <v>0.1</v>
      </c>
      <c r="G115" s="344">
        <v>0.1</v>
      </c>
      <c r="H115" s="344">
        <v>0.1</v>
      </c>
      <c r="I115" s="344">
        <v>0.1</v>
      </c>
      <c r="J115" s="344">
        <v>0.1</v>
      </c>
      <c r="K115" s="344">
        <v>0.1</v>
      </c>
      <c r="L115" s="344">
        <v>0.1</v>
      </c>
      <c r="M115" s="344">
        <v>0.1</v>
      </c>
      <c r="N115" s="344">
        <v>0.1</v>
      </c>
      <c r="O115" s="344">
        <v>0</v>
      </c>
      <c r="P115" s="344">
        <v>0</v>
      </c>
      <c r="Q115" s="344">
        <v>0</v>
      </c>
      <c r="R115" s="340">
        <f t="shared" si="7"/>
        <v>0.99999999999999989</v>
      </c>
    </row>
    <row r="116" spans="1:18" ht="15" customHeight="1" x14ac:dyDescent="0.75">
      <c r="A116" s="349">
        <v>5890</v>
      </c>
      <c r="B116" s="350" t="s">
        <v>839</v>
      </c>
      <c r="C116" s="344">
        <v>0</v>
      </c>
      <c r="D116" s="344">
        <v>0</v>
      </c>
      <c r="E116" s="344">
        <v>0.1</v>
      </c>
      <c r="F116" s="344">
        <v>0.1</v>
      </c>
      <c r="G116" s="344">
        <v>0.1</v>
      </c>
      <c r="H116" s="344">
        <v>0.1</v>
      </c>
      <c r="I116" s="344">
        <v>0.1</v>
      </c>
      <c r="J116" s="344">
        <v>0.1</v>
      </c>
      <c r="K116" s="344">
        <v>0.1</v>
      </c>
      <c r="L116" s="344">
        <v>0.1</v>
      </c>
      <c r="M116" s="344">
        <v>0.1</v>
      </c>
      <c r="N116" s="344">
        <v>0.1</v>
      </c>
      <c r="O116" s="344">
        <v>0</v>
      </c>
      <c r="P116" s="344">
        <v>0</v>
      </c>
      <c r="Q116" s="344">
        <v>0</v>
      </c>
      <c r="R116" s="340">
        <f t="shared" si="7"/>
        <v>0.99999999999999989</v>
      </c>
    </row>
    <row r="117" spans="1:18" ht="15" customHeight="1" x14ac:dyDescent="0.75">
      <c r="A117" s="349">
        <v>5900</v>
      </c>
      <c r="B117" s="350" t="s">
        <v>610</v>
      </c>
      <c r="C117" s="344">
        <v>0</v>
      </c>
      <c r="D117" s="344">
        <v>0</v>
      </c>
      <c r="E117" s="344">
        <v>0.1</v>
      </c>
      <c r="F117" s="344">
        <v>0.1</v>
      </c>
      <c r="G117" s="344">
        <v>0.1</v>
      </c>
      <c r="H117" s="344">
        <v>0.1</v>
      </c>
      <c r="I117" s="344">
        <v>0.1</v>
      </c>
      <c r="J117" s="344">
        <v>0.1</v>
      </c>
      <c r="K117" s="344">
        <v>0.1</v>
      </c>
      <c r="L117" s="344">
        <v>0.1</v>
      </c>
      <c r="M117" s="344">
        <v>0.1</v>
      </c>
      <c r="N117" s="344">
        <v>0.1</v>
      </c>
      <c r="O117" s="344">
        <v>0</v>
      </c>
      <c r="P117" s="344">
        <v>0</v>
      </c>
      <c r="Q117" s="344">
        <v>0</v>
      </c>
      <c r="R117" s="340">
        <f t="shared" si="7"/>
        <v>0.99999999999999989</v>
      </c>
    </row>
    <row r="118" spans="1:18" ht="15" customHeight="1" x14ac:dyDescent="0.75">
      <c r="A118" s="349">
        <v>5999</v>
      </c>
      <c r="B118" s="350" t="s">
        <v>1084</v>
      </c>
      <c r="C118" s="344">
        <v>0.05</v>
      </c>
      <c r="D118" s="344">
        <v>0.05</v>
      </c>
      <c r="E118" s="344">
        <v>0.09</v>
      </c>
      <c r="F118" s="344">
        <v>0.09</v>
      </c>
      <c r="G118" s="344">
        <v>0.09</v>
      </c>
      <c r="H118" s="344">
        <v>0.09</v>
      </c>
      <c r="I118" s="344">
        <v>0.09</v>
      </c>
      <c r="J118" s="344">
        <v>0.09</v>
      </c>
      <c r="K118" s="344">
        <v>0.09</v>
      </c>
      <c r="L118" s="344">
        <v>0.09</v>
      </c>
      <c r="M118" s="344">
        <v>0.09</v>
      </c>
      <c r="N118" s="344">
        <v>0.09</v>
      </c>
      <c r="O118" s="344">
        <v>0</v>
      </c>
      <c r="P118" s="344">
        <v>0</v>
      </c>
      <c r="Q118" s="344">
        <v>0</v>
      </c>
      <c r="R118" s="340">
        <f t="shared" si="7"/>
        <v>0.99999999999999978</v>
      </c>
    </row>
    <row r="119" spans="1:18" ht="15" customHeight="1" x14ac:dyDescent="0.75">
      <c r="A119" s="349">
        <v>7010</v>
      </c>
      <c r="B119" s="350" t="s">
        <v>613</v>
      </c>
      <c r="C119" s="344">
        <v>0</v>
      </c>
      <c r="D119" s="344">
        <v>0</v>
      </c>
      <c r="E119" s="344">
        <v>0.1</v>
      </c>
      <c r="F119" s="344">
        <v>0.1</v>
      </c>
      <c r="G119" s="344">
        <v>0.1</v>
      </c>
      <c r="H119" s="344">
        <v>0.1</v>
      </c>
      <c r="I119" s="344">
        <v>0.1</v>
      </c>
      <c r="J119" s="344">
        <v>0.1</v>
      </c>
      <c r="K119" s="344">
        <v>0.1</v>
      </c>
      <c r="L119" s="344">
        <v>0.1</v>
      </c>
      <c r="M119" s="344">
        <v>0.1</v>
      </c>
      <c r="N119" s="344">
        <v>0.1</v>
      </c>
      <c r="O119" s="344">
        <v>0</v>
      </c>
      <c r="P119" s="344">
        <v>0</v>
      </c>
      <c r="Q119" s="344">
        <v>0</v>
      </c>
      <c r="R119" s="340">
        <f t="shared" si="7"/>
        <v>0.99999999999999989</v>
      </c>
    </row>
    <row r="120" spans="1:18" ht="15" customHeight="1" x14ac:dyDescent="0.75">
      <c r="A120" s="349">
        <v>5998</v>
      </c>
      <c r="B120" s="350" t="s">
        <v>1513</v>
      </c>
      <c r="C120" s="344">
        <v>0</v>
      </c>
      <c r="D120" s="344">
        <v>0</v>
      </c>
      <c r="E120" s="344">
        <v>0.1</v>
      </c>
      <c r="F120" s="344">
        <v>0.1</v>
      </c>
      <c r="G120" s="344">
        <v>0.1</v>
      </c>
      <c r="H120" s="344">
        <v>0.1</v>
      </c>
      <c r="I120" s="344">
        <v>0.1</v>
      </c>
      <c r="J120" s="344">
        <v>0.1</v>
      </c>
      <c r="K120" s="344">
        <v>0.1</v>
      </c>
      <c r="L120" s="344">
        <v>0.1</v>
      </c>
      <c r="M120" s="344">
        <v>0.1</v>
      </c>
      <c r="N120" s="344">
        <v>0.1</v>
      </c>
      <c r="O120" s="344">
        <v>0</v>
      </c>
      <c r="P120" s="344">
        <v>0</v>
      </c>
      <c r="Q120" s="344">
        <v>0</v>
      </c>
      <c r="R120" s="340">
        <f t="shared" si="7"/>
        <v>0.99999999999999989</v>
      </c>
    </row>
    <row r="121" spans="1:18" ht="15" customHeight="1" x14ac:dyDescent="0.75">
      <c r="A121" s="349">
        <v>5891</v>
      </c>
      <c r="B121" s="350" t="s">
        <v>1272</v>
      </c>
      <c r="C121" s="344">
        <v>0</v>
      </c>
      <c r="D121" s="344">
        <v>0</v>
      </c>
      <c r="E121" s="344">
        <v>0.1</v>
      </c>
      <c r="F121" s="344">
        <v>0.1</v>
      </c>
      <c r="G121" s="344">
        <v>0.1</v>
      </c>
      <c r="H121" s="344">
        <v>0.1</v>
      </c>
      <c r="I121" s="344">
        <v>0.1</v>
      </c>
      <c r="J121" s="344">
        <v>0.1</v>
      </c>
      <c r="K121" s="344">
        <v>0.1</v>
      </c>
      <c r="L121" s="344">
        <v>0.1</v>
      </c>
      <c r="M121" s="344">
        <v>0.1</v>
      </c>
      <c r="N121" s="344">
        <v>0.1</v>
      </c>
      <c r="O121" s="344">
        <v>0</v>
      </c>
      <c r="P121" s="344">
        <v>0</v>
      </c>
      <c r="Q121" s="344">
        <v>0</v>
      </c>
      <c r="R121" s="340">
        <f t="shared" si="7"/>
        <v>0.99999999999999989</v>
      </c>
    </row>
    <row r="122" spans="1:18" ht="15" customHeight="1" x14ac:dyDescent="0.75">
      <c r="A122" s="349">
        <v>5809</v>
      </c>
      <c r="B122" s="350" t="s">
        <v>1512</v>
      </c>
      <c r="C122" s="344">
        <v>8.3000000000000004E-2</v>
      </c>
      <c r="D122" s="344">
        <v>8.3000000000000004E-2</v>
      </c>
      <c r="E122" s="344">
        <v>8.3000000000000004E-2</v>
      </c>
      <c r="F122" s="344">
        <v>8.3000000000000004E-2</v>
      </c>
      <c r="G122" s="344">
        <v>8.3000000000000004E-2</v>
      </c>
      <c r="H122" s="344">
        <v>8.3000000000000004E-2</v>
      </c>
      <c r="I122" s="344">
        <v>8.3000000000000004E-2</v>
      </c>
      <c r="J122" s="344">
        <v>8.3000000000000004E-2</v>
      </c>
      <c r="K122" s="344">
        <v>8.4000000000000005E-2</v>
      </c>
      <c r="L122" s="344">
        <v>8.4000000000000005E-2</v>
      </c>
      <c r="M122" s="344">
        <v>8.4000000000000005E-2</v>
      </c>
      <c r="N122" s="344">
        <v>8.4000000000000005E-2</v>
      </c>
      <c r="O122" s="344">
        <v>0</v>
      </c>
      <c r="P122" s="344">
        <v>0</v>
      </c>
      <c r="Q122" s="344">
        <v>0</v>
      </c>
      <c r="R122" s="340">
        <f t="shared" ref="R122:R123" si="10">SUM(C122:Q122)</f>
        <v>0.99999999999999989</v>
      </c>
    </row>
    <row r="123" spans="1:18" ht="15" customHeight="1" x14ac:dyDescent="0.75">
      <c r="A123" s="349">
        <v>5901</v>
      </c>
      <c r="B123" s="350" t="s">
        <v>1656</v>
      </c>
      <c r="C123" s="344">
        <v>0.05</v>
      </c>
      <c r="D123" s="344">
        <v>0.05</v>
      </c>
      <c r="E123" s="344">
        <v>0.09</v>
      </c>
      <c r="F123" s="344">
        <v>0.09</v>
      </c>
      <c r="G123" s="344">
        <v>0.09</v>
      </c>
      <c r="H123" s="344">
        <v>0.09</v>
      </c>
      <c r="I123" s="344">
        <v>0.09</v>
      </c>
      <c r="J123" s="344">
        <v>0.09</v>
      </c>
      <c r="K123" s="344">
        <v>0.09</v>
      </c>
      <c r="L123" s="344">
        <v>0.09</v>
      </c>
      <c r="M123" s="344">
        <v>0.09</v>
      </c>
      <c r="N123" s="344">
        <v>0.09</v>
      </c>
      <c r="O123" s="344">
        <v>0</v>
      </c>
      <c r="P123" s="344">
        <v>0</v>
      </c>
      <c r="Q123" s="344">
        <v>0</v>
      </c>
      <c r="R123" s="340">
        <f t="shared" si="10"/>
        <v>0.99999999999999978</v>
      </c>
    </row>
    <row r="124" spans="1:18" ht="15" customHeight="1" x14ac:dyDescent="0.75">
      <c r="A124" s="349" t="s">
        <v>1399</v>
      </c>
      <c r="B124" s="350">
        <v>0</v>
      </c>
      <c r="C124" s="344">
        <v>0</v>
      </c>
      <c r="D124" s="344">
        <v>0</v>
      </c>
      <c r="E124" s="344">
        <v>0</v>
      </c>
      <c r="F124" s="344">
        <v>0</v>
      </c>
      <c r="G124" s="344">
        <v>0</v>
      </c>
      <c r="H124" s="344">
        <v>0</v>
      </c>
      <c r="I124" s="344">
        <v>0</v>
      </c>
      <c r="J124" s="344">
        <v>0</v>
      </c>
      <c r="K124" s="344">
        <v>0</v>
      </c>
      <c r="L124" s="344">
        <v>0</v>
      </c>
      <c r="M124" s="344">
        <v>0</v>
      </c>
      <c r="N124" s="344">
        <v>0</v>
      </c>
      <c r="O124" s="344">
        <v>0</v>
      </c>
      <c r="P124" s="344">
        <v>0</v>
      </c>
      <c r="Q124" s="344">
        <v>0</v>
      </c>
      <c r="R124" s="340">
        <f t="shared" si="7"/>
        <v>0</v>
      </c>
    </row>
    <row r="125" spans="1:18" ht="15" customHeight="1" x14ac:dyDescent="0.75">
      <c r="A125" s="349" t="s">
        <v>1399</v>
      </c>
      <c r="B125" s="350">
        <v>0</v>
      </c>
      <c r="C125" s="344">
        <v>0</v>
      </c>
      <c r="D125" s="344">
        <v>0</v>
      </c>
      <c r="E125" s="344">
        <v>0</v>
      </c>
      <c r="F125" s="344">
        <v>0</v>
      </c>
      <c r="G125" s="344">
        <v>0</v>
      </c>
      <c r="H125" s="344">
        <v>0</v>
      </c>
      <c r="I125" s="344">
        <v>0</v>
      </c>
      <c r="J125" s="344">
        <v>0</v>
      </c>
      <c r="K125" s="344">
        <v>0</v>
      </c>
      <c r="L125" s="344">
        <v>0</v>
      </c>
      <c r="M125" s="344">
        <v>0</v>
      </c>
      <c r="N125" s="344">
        <v>0</v>
      </c>
      <c r="O125" s="344">
        <v>0</v>
      </c>
      <c r="P125" s="344">
        <v>0</v>
      </c>
      <c r="Q125" s="344">
        <v>0</v>
      </c>
      <c r="R125" s="340">
        <f t="shared" si="7"/>
        <v>0</v>
      </c>
    </row>
    <row r="126" spans="1:18" ht="15" customHeight="1" x14ac:dyDescent="0.75">
      <c r="A126" s="349" t="s">
        <v>1399</v>
      </c>
      <c r="B126" s="350">
        <v>0</v>
      </c>
      <c r="C126" s="344">
        <v>0</v>
      </c>
      <c r="D126" s="344">
        <v>0</v>
      </c>
      <c r="E126" s="344">
        <v>0</v>
      </c>
      <c r="F126" s="344">
        <v>0</v>
      </c>
      <c r="G126" s="344">
        <v>0</v>
      </c>
      <c r="H126" s="344">
        <v>0</v>
      </c>
      <c r="I126" s="344">
        <v>0</v>
      </c>
      <c r="J126" s="344">
        <v>0</v>
      </c>
      <c r="K126" s="344">
        <v>0</v>
      </c>
      <c r="L126" s="344">
        <v>0</v>
      </c>
      <c r="M126" s="344">
        <v>0</v>
      </c>
      <c r="N126" s="344">
        <v>0</v>
      </c>
      <c r="O126" s="344">
        <v>0</v>
      </c>
      <c r="P126" s="344">
        <v>0</v>
      </c>
      <c r="Q126" s="344">
        <v>0</v>
      </c>
      <c r="R126" s="340">
        <f t="shared" si="7"/>
        <v>0</v>
      </c>
    </row>
    <row r="127" spans="1:18" ht="15" customHeight="1" x14ac:dyDescent="0.75">
      <c r="A127" s="349" t="s">
        <v>1399</v>
      </c>
      <c r="B127" s="350">
        <v>0</v>
      </c>
      <c r="C127" s="344">
        <v>0</v>
      </c>
      <c r="D127" s="344">
        <v>0</v>
      </c>
      <c r="E127" s="344">
        <v>0</v>
      </c>
      <c r="F127" s="344">
        <v>0</v>
      </c>
      <c r="G127" s="344">
        <v>0</v>
      </c>
      <c r="H127" s="344">
        <v>0</v>
      </c>
      <c r="I127" s="344">
        <v>0</v>
      </c>
      <c r="J127" s="344">
        <v>0</v>
      </c>
      <c r="K127" s="344">
        <v>0</v>
      </c>
      <c r="L127" s="344">
        <v>0</v>
      </c>
      <c r="M127" s="344">
        <v>0</v>
      </c>
      <c r="N127" s="344">
        <v>0</v>
      </c>
      <c r="O127" s="344">
        <v>0</v>
      </c>
      <c r="P127" s="344">
        <v>0</v>
      </c>
      <c r="Q127" s="344">
        <v>0</v>
      </c>
      <c r="R127" s="340">
        <f t="shared" si="7"/>
        <v>0</v>
      </c>
    </row>
    <row r="128" spans="1:18" ht="15" customHeight="1" x14ac:dyDescent="0.75">
      <c r="A128" s="349" t="s">
        <v>1399</v>
      </c>
      <c r="B128" s="350">
        <v>0</v>
      </c>
      <c r="C128" s="344">
        <v>0</v>
      </c>
      <c r="D128" s="344">
        <v>0</v>
      </c>
      <c r="E128" s="344">
        <v>0</v>
      </c>
      <c r="F128" s="344">
        <v>0</v>
      </c>
      <c r="G128" s="344">
        <v>0</v>
      </c>
      <c r="H128" s="344">
        <v>0</v>
      </c>
      <c r="I128" s="344">
        <v>0</v>
      </c>
      <c r="J128" s="344">
        <v>0</v>
      </c>
      <c r="K128" s="344">
        <v>0</v>
      </c>
      <c r="L128" s="344">
        <v>0</v>
      </c>
      <c r="M128" s="344">
        <v>0</v>
      </c>
      <c r="N128" s="344">
        <v>0</v>
      </c>
      <c r="O128" s="344">
        <v>0</v>
      </c>
      <c r="P128" s="344">
        <v>0</v>
      </c>
      <c r="Q128" s="344">
        <v>0</v>
      </c>
      <c r="R128" s="340">
        <f t="shared" si="7"/>
        <v>0</v>
      </c>
    </row>
    <row r="129" spans="1:18" ht="15" customHeight="1" x14ac:dyDescent="0.75">
      <c r="A129" s="349" t="s">
        <v>1399</v>
      </c>
      <c r="B129" s="350">
        <v>0</v>
      </c>
      <c r="C129" s="344">
        <v>0</v>
      </c>
      <c r="D129" s="344">
        <v>0</v>
      </c>
      <c r="E129" s="344">
        <v>0</v>
      </c>
      <c r="F129" s="344">
        <v>0</v>
      </c>
      <c r="G129" s="344">
        <v>0</v>
      </c>
      <c r="H129" s="344">
        <v>0</v>
      </c>
      <c r="I129" s="344">
        <v>0</v>
      </c>
      <c r="J129" s="344">
        <v>0</v>
      </c>
      <c r="K129" s="344">
        <v>0</v>
      </c>
      <c r="L129" s="344">
        <v>0</v>
      </c>
      <c r="M129" s="344">
        <v>0</v>
      </c>
      <c r="N129" s="344">
        <v>0</v>
      </c>
      <c r="O129" s="344">
        <v>0</v>
      </c>
      <c r="P129" s="344">
        <v>0</v>
      </c>
      <c r="Q129" s="344">
        <v>0</v>
      </c>
      <c r="R129" s="340">
        <f t="shared" si="7"/>
        <v>0</v>
      </c>
    </row>
    <row r="130" spans="1:18" ht="15" customHeight="1" x14ac:dyDescent="0.75">
      <c r="A130" s="349" t="s">
        <v>1399</v>
      </c>
      <c r="B130" s="350">
        <v>0</v>
      </c>
      <c r="C130" s="344">
        <v>0</v>
      </c>
      <c r="D130" s="344">
        <v>0</v>
      </c>
      <c r="E130" s="344">
        <v>0</v>
      </c>
      <c r="F130" s="344">
        <v>0</v>
      </c>
      <c r="G130" s="344">
        <v>0</v>
      </c>
      <c r="H130" s="344">
        <v>0</v>
      </c>
      <c r="I130" s="344">
        <v>0</v>
      </c>
      <c r="J130" s="344">
        <v>0</v>
      </c>
      <c r="K130" s="344">
        <v>0</v>
      </c>
      <c r="L130" s="344">
        <v>0</v>
      </c>
      <c r="M130" s="344">
        <v>0</v>
      </c>
      <c r="N130" s="344">
        <v>0</v>
      </c>
      <c r="O130" s="344">
        <v>0</v>
      </c>
      <c r="P130" s="344">
        <v>0</v>
      </c>
      <c r="Q130" s="344">
        <v>0</v>
      </c>
      <c r="R130" s="340">
        <f t="shared" si="7"/>
        <v>0</v>
      </c>
    </row>
    <row r="131" spans="1:18" ht="15" customHeight="1" x14ac:dyDescent="0.75">
      <c r="A131" s="349" t="s">
        <v>1399</v>
      </c>
      <c r="B131" s="350">
        <v>0</v>
      </c>
      <c r="C131" s="344">
        <v>0</v>
      </c>
      <c r="D131" s="344">
        <v>0</v>
      </c>
      <c r="E131" s="344">
        <v>0</v>
      </c>
      <c r="F131" s="344">
        <v>0</v>
      </c>
      <c r="G131" s="344">
        <v>0</v>
      </c>
      <c r="H131" s="344">
        <v>0</v>
      </c>
      <c r="I131" s="344">
        <v>0</v>
      </c>
      <c r="J131" s="344">
        <v>0</v>
      </c>
      <c r="K131" s="344">
        <v>0</v>
      </c>
      <c r="L131" s="344">
        <v>0</v>
      </c>
      <c r="M131" s="344">
        <v>0</v>
      </c>
      <c r="N131" s="344">
        <v>0</v>
      </c>
      <c r="O131" s="344">
        <v>0</v>
      </c>
      <c r="P131" s="344">
        <v>0</v>
      </c>
      <c r="Q131" s="344">
        <v>0</v>
      </c>
      <c r="R131" s="340">
        <f t="shared" si="7"/>
        <v>0</v>
      </c>
    </row>
    <row r="132" spans="1:18" ht="15" customHeight="1" x14ac:dyDescent="0.75">
      <c r="A132" s="349" t="s">
        <v>1399</v>
      </c>
      <c r="B132" s="350">
        <v>0</v>
      </c>
      <c r="C132" s="344">
        <v>0</v>
      </c>
      <c r="D132" s="344">
        <v>0</v>
      </c>
      <c r="E132" s="344">
        <v>0</v>
      </c>
      <c r="F132" s="344">
        <v>0</v>
      </c>
      <c r="G132" s="344">
        <v>0</v>
      </c>
      <c r="H132" s="344">
        <v>0</v>
      </c>
      <c r="I132" s="344">
        <v>0</v>
      </c>
      <c r="J132" s="344">
        <v>0</v>
      </c>
      <c r="K132" s="344">
        <v>0</v>
      </c>
      <c r="L132" s="344">
        <v>0</v>
      </c>
      <c r="M132" s="344">
        <v>0</v>
      </c>
      <c r="N132" s="344">
        <v>0</v>
      </c>
      <c r="O132" s="344">
        <v>0</v>
      </c>
      <c r="P132" s="344">
        <v>0</v>
      </c>
      <c r="Q132" s="344">
        <v>0</v>
      </c>
      <c r="R132" s="340">
        <f t="shared" si="7"/>
        <v>0</v>
      </c>
    </row>
    <row r="133" spans="1:18" ht="15" customHeight="1" x14ac:dyDescent="0.75">
      <c r="A133" s="349" t="s">
        <v>1399</v>
      </c>
      <c r="B133" s="350">
        <v>0</v>
      </c>
      <c r="C133" s="344">
        <v>0</v>
      </c>
      <c r="D133" s="344">
        <v>0</v>
      </c>
      <c r="E133" s="344">
        <v>0</v>
      </c>
      <c r="F133" s="344">
        <v>0</v>
      </c>
      <c r="G133" s="344">
        <v>0</v>
      </c>
      <c r="H133" s="344">
        <v>0</v>
      </c>
      <c r="I133" s="344">
        <v>0</v>
      </c>
      <c r="J133" s="344">
        <v>0</v>
      </c>
      <c r="K133" s="344">
        <v>0</v>
      </c>
      <c r="L133" s="344">
        <v>0</v>
      </c>
      <c r="M133" s="344">
        <v>0</v>
      </c>
      <c r="N133" s="344">
        <v>0</v>
      </c>
      <c r="O133" s="344">
        <v>0</v>
      </c>
      <c r="P133" s="344">
        <v>0</v>
      </c>
      <c r="Q133" s="344">
        <v>0</v>
      </c>
      <c r="R133" s="340">
        <f t="shared" si="7"/>
        <v>0</v>
      </c>
    </row>
    <row r="134" spans="1:18" ht="15" customHeight="1" x14ac:dyDescent="0.75">
      <c r="A134" s="349" t="s">
        <v>1399</v>
      </c>
      <c r="B134" s="350">
        <v>0</v>
      </c>
      <c r="C134" s="344">
        <v>0</v>
      </c>
      <c r="D134" s="344">
        <v>0</v>
      </c>
      <c r="E134" s="344">
        <v>0</v>
      </c>
      <c r="F134" s="344">
        <v>0</v>
      </c>
      <c r="G134" s="344">
        <v>0</v>
      </c>
      <c r="H134" s="344">
        <v>0</v>
      </c>
      <c r="I134" s="344">
        <v>0</v>
      </c>
      <c r="J134" s="344">
        <v>0</v>
      </c>
      <c r="K134" s="344">
        <v>0</v>
      </c>
      <c r="L134" s="344">
        <v>0</v>
      </c>
      <c r="M134" s="344">
        <v>0</v>
      </c>
      <c r="N134" s="344">
        <v>0</v>
      </c>
      <c r="O134" s="344">
        <v>0</v>
      </c>
      <c r="P134" s="344">
        <v>0</v>
      </c>
      <c r="Q134" s="344">
        <v>0</v>
      </c>
      <c r="R134" s="340">
        <f t="shared" si="7"/>
        <v>0</v>
      </c>
    </row>
    <row r="135" spans="1:18" ht="15" customHeight="1" x14ac:dyDescent="0.75">
      <c r="A135" s="349" t="s">
        <v>1399</v>
      </c>
      <c r="B135" s="350">
        <v>0</v>
      </c>
      <c r="C135" s="344">
        <v>0</v>
      </c>
      <c r="D135" s="344">
        <v>0</v>
      </c>
      <c r="E135" s="344">
        <v>0</v>
      </c>
      <c r="F135" s="344">
        <v>0</v>
      </c>
      <c r="G135" s="344">
        <v>0</v>
      </c>
      <c r="H135" s="344">
        <v>0</v>
      </c>
      <c r="I135" s="344">
        <v>0</v>
      </c>
      <c r="J135" s="344">
        <v>0</v>
      </c>
      <c r="K135" s="344">
        <v>0</v>
      </c>
      <c r="L135" s="344">
        <v>0</v>
      </c>
      <c r="M135" s="344">
        <v>0</v>
      </c>
      <c r="N135" s="344">
        <v>0</v>
      </c>
      <c r="O135" s="344">
        <v>0</v>
      </c>
      <c r="P135" s="344">
        <v>0</v>
      </c>
      <c r="Q135" s="344">
        <v>0</v>
      </c>
      <c r="R135" s="340">
        <f t="shared" si="7"/>
        <v>0</v>
      </c>
    </row>
    <row r="136" spans="1:18" ht="15" customHeight="1" x14ac:dyDescent="0.75">
      <c r="A136" s="349" t="s">
        <v>1399</v>
      </c>
      <c r="B136" s="350">
        <v>0</v>
      </c>
      <c r="C136" s="344">
        <v>0</v>
      </c>
      <c r="D136" s="344">
        <v>0</v>
      </c>
      <c r="E136" s="344">
        <v>0</v>
      </c>
      <c r="F136" s="344">
        <v>0</v>
      </c>
      <c r="G136" s="344">
        <v>0</v>
      </c>
      <c r="H136" s="344">
        <v>0</v>
      </c>
      <c r="I136" s="344">
        <v>0</v>
      </c>
      <c r="J136" s="344">
        <v>0</v>
      </c>
      <c r="K136" s="344">
        <v>0</v>
      </c>
      <c r="L136" s="344">
        <v>0</v>
      </c>
      <c r="M136" s="344">
        <v>0</v>
      </c>
      <c r="N136" s="344">
        <v>0</v>
      </c>
      <c r="O136" s="344">
        <v>0</v>
      </c>
      <c r="P136" s="344">
        <v>0</v>
      </c>
      <c r="Q136" s="344">
        <v>0</v>
      </c>
      <c r="R136" s="340">
        <f t="shared" si="7"/>
        <v>0</v>
      </c>
    </row>
    <row r="137" spans="1:18" ht="15" customHeight="1" x14ac:dyDescent="0.75">
      <c r="A137" s="349" t="s">
        <v>1399</v>
      </c>
      <c r="B137" s="350">
        <v>0</v>
      </c>
      <c r="C137" s="344">
        <v>0</v>
      </c>
      <c r="D137" s="344">
        <v>0</v>
      </c>
      <c r="E137" s="344">
        <v>0</v>
      </c>
      <c r="F137" s="344">
        <v>0</v>
      </c>
      <c r="G137" s="344">
        <v>0</v>
      </c>
      <c r="H137" s="344">
        <v>0</v>
      </c>
      <c r="I137" s="344">
        <v>0</v>
      </c>
      <c r="J137" s="344">
        <v>0</v>
      </c>
      <c r="K137" s="344">
        <v>0</v>
      </c>
      <c r="L137" s="344">
        <v>0</v>
      </c>
      <c r="M137" s="344">
        <v>0</v>
      </c>
      <c r="N137" s="344">
        <v>0</v>
      </c>
      <c r="O137" s="344">
        <v>0</v>
      </c>
      <c r="P137" s="344">
        <v>0</v>
      </c>
      <c r="Q137" s="344">
        <v>0</v>
      </c>
      <c r="R137" s="340">
        <f t="shared" si="7"/>
        <v>0</v>
      </c>
    </row>
    <row r="138" spans="1:18" ht="15" customHeight="1" x14ac:dyDescent="0.75">
      <c r="A138" s="349" t="s">
        <v>1399</v>
      </c>
      <c r="B138" s="350">
        <v>0</v>
      </c>
      <c r="C138" s="344">
        <v>0</v>
      </c>
      <c r="D138" s="344">
        <v>0</v>
      </c>
      <c r="E138" s="344">
        <v>0</v>
      </c>
      <c r="F138" s="344">
        <v>0</v>
      </c>
      <c r="G138" s="344">
        <v>0</v>
      </c>
      <c r="H138" s="344">
        <v>0</v>
      </c>
      <c r="I138" s="344">
        <v>0</v>
      </c>
      <c r="J138" s="344">
        <v>0</v>
      </c>
      <c r="K138" s="344">
        <v>0</v>
      </c>
      <c r="L138" s="344">
        <v>0</v>
      </c>
      <c r="M138" s="344">
        <v>0</v>
      </c>
      <c r="N138" s="344">
        <v>0</v>
      </c>
      <c r="O138" s="344">
        <v>0</v>
      </c>
      <c r="P138" s="344">
        <v>0</v>
      </c>
      <c r="Q138" s="344">
        <v>0</v>
      </c>
      <c r="R138" s="340">
        <f t="shared" si="7"/>
        <v>0</v>
      </c>
    </row>
    <row r="139" spans="1:18" ht="15" customHeight="1" x14ac:dyDescent="0.75">
      <c r="A139" s="349" t="s">
        <v>1399</v>
      </c>
      <c r="B139" s="350">
        <v>0</v>
      </c>
      <c r="C139" s="344">
        <v>0</v>
      </c>
      <c r="D139" s="344">
        <v>0</v>
      </c>
      <c r="E139" s="344">
        <v>0</v>
      </c>
      <c r="F139" s="344">
        <v>0</v>
      </c>
      <c r="G139" s="344">
        <v>0</v>
      </c>
      <c r="H139" s="344">
        <v>0</v>
      </c>
      <c r="I139" s="344">
        <v>0</v>
      </c>
      <c r="J139" s="344">
        <v>0</v>
      </c>
      <c r="K139" s="344">
        <v>0</v>
      </c>
      <c r="L139" s="344">
        <v>0</v>
      </c>
      <c r="M139" s="344">
        <v>0</v>
      </c>
      <c r="N139" s="344">
        <v>0</v>
      </c>
      <c r="O139" s="344">
        <v>0</v>
      </c>
      <c r="P139" s="344">
        <v>0</v>
      </c>
      <c r="Q139" s="344">
        <v>0</v>
      </c>
      <c r="R139" s="340">
        <f t="shared" si="7"/>
        <v>0</v>
      </c>
    </row>
    <row r="140" spans="1:18" ht="15" customHeight="1" x14ac:dyDescent="0.75">
      <c r="A140" s="349" t="s">
        <v>1399</v>
      </c>
      <c r="B140" s="350">
        <v>0</v>
      </c>
      <c r="C140" s="344">
        <v>0</v>
      </c>
      <c r="D140" s="344">
        <v>0</v>
      </c>
      <c r="E140" s="344">
        <v>0</v>
      </c>
      <c r="F140" s="344">
        <v>0</v>
      </c>
      <c r="G140" s="344">
        <v>0</v>
      </c>
      <c r="H140" s="344">
        <v>0</v>
      </c>
      <c r="I140" s="344">
        <v>0</v>
      </c>
      <c r="J140" s="344">
        <v>0</v>
      </c>
      <c r="K140" s="344">
        <v>0</v>
      </c>
      <c r="L140" s="344">
        <v>0</v>
      </c>
      <c r="M140" s="344">
        <v>0</v>
      </c>
      <c r="N140" s="344">
        <v>0</v>
      </c>
      <c r="O140" s="344">
        <v>0</v>
      </c>
      <c r="P140" s="344">
        <v>0</v>
      </c>
      <c r="Q140" s="344">
        <v>0</v>
      </c>
      <c r="R140" s="340">
        <f t="shared" si="7"/>
        <v>0</v>
      </c>
    </row>
    <row r="141" spans="1:18" ht="15" customHeight="1" x14ac:dyDescent="0.75">
      <c r="A141" s="349" t="s">
        <v>1399</v>
      </c>
      <c r="B141" s="350">
        <v>0</v>
      </c>
      <c r="C141" s="344">
        <v>0</v>
      </c>
      <c r="D141" s="344">
        <v>0</v>
      </c>
      <c r="E141" s="344">
        <v>0</v>
      </c>
      <c r="F141" s="344">
        <v>0</v>
      </c>
      <c r="G141" s="344">
        <v>0</v>
      </c>
      <c r="H141" s="344">
        <v>0</v>
      </c>
      <c r="I141" s="344">
        <v>0</v>
      </c>
      <c r="J141" s="344">
        <v>0</v>
      </c>
      <c r="K141" s="344">
        <v>0</v>
      </c>
      <c r="L141" s="344">
        <v>0</v>
      </c>
      <c r="M141" s="344">
        <v>0</v>
      </c>
      <c r="N141" s="344">
        <v>0</v>
      </c>
      <c r="O141" s="344">
        <v>0</v>
      </c>
      <c r="P141" s="344">
        <v>0</v>
      </c>
      <c r="Q141" s="344">
        <v>0</v>
      </c>
      <c r="R141" s="340">
        <f t="shared" si="7"/>
        <v>0</v>
      </c>
    </row>
    <row r="142" spans="1:18" ht="15" customHeight="1" x14ac:dyDescent="0.75">
      <c r="A142" s="349" t="s">
        <v>1399</v>
      </c>
      <c r="B142" s="350">
        <v>0</v>
      </c>
      <c r="C142" s="344">
        <v>0</v>
      </c>
      <c r="D142" s="344">
        <v>0</v>
      </c>
      <c r="E142" s="344">
        <v>0</v>
      </c>
      <c r="F142" s="344">
        <v>0</v>
      </c>
      <c r="G142" s="344">
        <v>0</v>
      </c>
      <c r="H142" s="344">
        <v>0</v>
      </c>
      <c r="I142" s="344">
        <v>0</v>
      </c>
      <c r="J142" s="344">
        <v>0</v>
      </c>
      <c r="K142" s="344">
        <v>0</v>
      </c>
      <c r="L142" s="344">
        <v>0</v>
      </c>
      <c r="M142" s="344">
        <v>0</v>
      </c>
      <c r="N142" s="344">
        <v>0</v>
      </c>
      <c r="O142" s="344">
        <v>0</v>
      </c>
      <c r="P142" s="344">
        <v>0</v>
      </c>
      <c r="Q142" s="344">
        <v>0</v>
      </c>
      <c r="R142" s="340">
        <f t="shared" si="7"/>
        <v>0</v>
      </c>
    </row>
    <row r="143" spans="1:18" ht="15" customHeight="1" x14ac:dyDescent="0.75">
      <c r="A143" s="349" t="s">
        <v>1399</v>
      </c>
      <c r="B143" s="350">
        <v>0</v>
      </c>
      <c r="C143" s="344">
        <v>0</v>
      </c>
      <c r="D143" s="344">
        <v>0</v>
      </c>
      <c r="E143" s="344">
        <v>0</v>
      </c>
      <c r="F143" s="344">
        <v>0</v>
      </c>
      <c r="G143" s="344">
        <v>0</v>
      </c>
      <c r="H143" s="344">
        <v>0</v>
      </c>
      <c r="I143" s="344">
        <v>0</v>
      </c>
      <c r="J143" s="344">
        <v>0</v>
      </c>
      <c r="K143" s="344">
        <v>0</v>
      </c>
      <c r="L143" s="344">
        <v>0</v>
      </c>
      <c r="M143" s="344">
        <v>0</v>
      </c>
      <c r="N143" s="344">
        <v>0</v>
      </c>
      <c r="O143" s="344">
        <v>0</v>
      </c>
      <c r="P143" s="344">
        <v>0</v>
      </c>
      <c r="Q143" s="344">
        <v>0</v>
      </c>
      <c r="R143" s="340">
        <f t="shared" si="7"/>
        <v>0</v>
      </c>
    </row>
    <row r="144" spans="1:18" ht="15" customHeight="1" x14ac:dyDescent="0.75">
      <c r="A144" s="349" t="s">
        <v>1399</v>
      </c>
      <c r="B144" s="350">
        <v>0</v>
      </c>
      <c r="C144" s="344">
        <v>0</v>
      </c>
      <c r="D144" s="344">
        <v>0</v>
      </c>
      <c r="E144" s="344">
        <v>0</v>
      </c>
      <c r="F144" s="344">
        <v>0</v>
      </c>
      <c r="G144" s="344">
        <v>0</v>
      </c>
      <c r="H144" s="344">
        <v>0</v>
      </c>
      <c r="I144" s="344">
        <v>0</v>
      </c>
      <c r="J144" s="344">
        <v>0</v>
      </c>
      <c r="K144" s="344">
        <v>0</v>
      </c>
      <c r="L144" s="344">
        <v>0</v>
      </c>
      <c r="M144" s="344">
        <v>0</v>
      </c>
      <c r="N144" s="344">
        <v>0</v>
      </c>
      <c r="O144" s="344">
        <v>0</v>
      </c>
      <c r="P144" s="344">
        <v>0</v>
      </c>
      <c r="Q144" s="344">
        <v>0</v>
      </c>
      <c r="R144" s="340">
        <f t="shared" si="7"/>
        <v>0</v>
      </c>
    </row>
    <row r="145" spans="1:18" ht="15" customHeight="1" x14ac:dyDescent="0.75">
      <c r="A145" s="349" t="s">
        <v>1399</v>
      </c>
      <c r="B145" s="350">
        <v>0</v>
      </c>
      <c r="C145" s="344">
        <v>0</v>
      </c>
      <c r="D145" s="344">
        <v>0</v>
      </c>
      <c r="E145" s="344">
        <v>0</v>
      </c>
      <c r="F145" s="344">
        <v>0</v>
      </c>
      <c r="G145" s="344">
        <v>0</v>
      </c>
      <c r="H145" s="344">
        <v>0</v>
      </c>
      <c r="I145" s="344">
        <v>0</v>
      </c>
      <c r="J145" s="344">
        <v>0</v>
      </c>
      <c r="K145" s="344">
        <v>0</v>
      </c>
      <c r="L145" s="344">
        <v>0</v>
      </c>
      <c r="M145" s="344">
        <v>0</v>
      </c>
      <c r="N145" s="344">
        <v>0</v>
      </c>
      <c r="O145" s="344">
        <v>0</v>
      </c>
      <c r="P145" s="344">
        <v>0</v>
      </c>
      <c r="Q145" s="344">
        <v>0</v>
      </c>
      <c r="R145" s="340">
        <f t="shared" ref="R145:R208" si="11">SUM(C145:Q145)</f>
        <v>0</v>
      </c>
    </row>
    <row r="146" spans="1:18" ht="15" customHeight="1" x14ac:dyDescent="0.75">
      <c r="A146" s="349" t="s">
        <v>1399</v>
      </c>
      <c r="B146" s="350">
        <v>0</v>
      </c>
      <c r="C146" s="344">
        <v>0</v>
      </c>
      <c r="D146" s="344">
        <v>0</v>
      </c>
      <c r="E146" s="344">
        <v>0</v>
      </c>
      <c r="F146" s="344">
        <v>0</v>
      </c>
      <c r="G146" s="344">
        <v>0</v>
      </c>
      <c r="H146" s="344">
        <v>0</v>
      </c>
      <c r="I146" s="344">
        <v>0</v>
      </c>
      <c r="J146" s="344">
        <v>0</v>
      </c>
      <c r="K146" s="344">
        <v>0</v>
      </c>
      <c r="L146" s="344">
        <v>0</v>
      </c>
      <c r="M146" s="344">
        <v>0</v>
      </c>
      <c r="N146" s="344">
        <v>0</v>
      </c>
      <c r="O146" s="344">
        <v>0</v>
      </c>
      <c r="P146" s="344">
        <v>0</v>
      </c>
      <c r="Q146" s="344">
        <v>0</v>
      </c>
      <c r="R146" s="340">
        <f t="shared" si="11"/>
        <v>0</v>
      </c>
    </row>
    <row r="147" spans="1:18" ht="15" customHeight="1" x14ac:dyDescent="0.75">
      <c r="A147" s="349" t="s">
        <v>1399</v>
      </c>
      <c r="B147" s="350">
        <v>0</v>
      </c>
      <c r="C147" s="344">
        <v>0</v>
      </c>
      <c r="D147" s="344">
        <v>0</v>
      </c>
      <c r="E147" s="344">
        <v>0</v>
      </c>
      <c r="F147" s="344">
        <v>0</v>
      </c>
      <c r="G147" s="344">
        <v>0</v>
      </c>
      <c r="H147" s="344">
        <v>0</v>
      </c>
      <c r="I147" s="344">
        <v>0</v>
      </c>
      <c r="J147" s="344">
        <v>0</v>
      </c>
      <c r="K147" s="344">
        <v>0</v>
      </c>
      <c r="L147" s="344">
        <v>0</v>
      </c>
      <c r="M147" s="344">
        <v>0</v>
      </c>
      <c r="N147" s="344">
        <v>0</v>
      </c>
      <c r="O147" s="344">
        <v>0</v>
      </c>
      <c r="P147" s="344">
        <v>0</v>
      </c>
      <c r="Q147" s="344">
        <v>0</v>
      </c>
      <c r="R147" s="340">
        <f t="shared" si="11"/>
        <v>0</v>
      </c>
    </row>
    <row r="148" spans="1:18" ht="15" customHeight="1" x14ac:dyDescent="0.75">
      <c r="A148" s="349" t="s">
        <v>1399</v>
      </c>
      <c r="B148" s="350">
        <v>0</v>
      </c>
      <c r="C148" s="344">
        <v>0</v>
      </c>
      <c r="D148" s="344">
        <v>0</v>
      </c>
      <c r="E148" s="344">
        <v>0</v>
      </c>
      <c r="F148" s="344">
        <v>0</v>
      </c>
      <c r="G148" s="344">
        <v>0</v>
      </c>
      <c r="H148" s="344">
        <v>0</v>
      </c>
      <c r="I148" s="344">
        <v>0</v>
      </c>
      <c r="J148" s="344">
        <v>0</v>
      </c>
      <c r="K148" s="344">
        <v>0</v>
      </c>
      <c r="L148" s="344">
        <v>0</v>
      </c>
      <c r="M148" s="344">
        <v>0</v>
      </c>
      <c r="N148" s="344">
        <v>0</v>
      </c>
      <c r="O148" s="344">
        <v>0</v>
      </c>
      <c r="P148" s="344">
        <v>0</v>
      </c>
      <c r="Q148" s="344">
        <v>0</v>
      </c>
      <c r="R148" s="340">
        <f t="shared" si="11"/>
        <v>0</v>
      </c>
    </row>
    <row r="149" spans="1:18" ht="15" customHeight="1" x14ac:dyDescent="0.75">
      <c r="A149" s="349" t="s">
        <v>1399</v>
      </c>
      <c r="B149" s="350">
        <v>0</v>
      </c>
      <c r="C149" s="344">
        <v>0</v>
      </c>
      <c r="D149" s="344">
        <v>0</v>
      </c>
      <c r="E149" s="344">
        <v>0</v>
      </c>
      <c r="F149" s="344">
        <v>0</v>
      </c>
      <c r="G149" s="344">
        <v>0</v>
      </c>
      <c r="H149" s="344">
        <v>0</v>
      </c>
      <c r="I149" s="344">
        <v>0</v>
      </c>
      <c r="J149" s="344">
        <v>0</v>
      </c>
      <c r="K149" s="344">
        <v>0</v>
      </c>
      <c r="L149" s="344">
        <v>0</v>
      </c>
      <c r="M149" s="344">
        <v>0</v>
      </c>
      <c r="N149" s="344">
        <v>0</v>
      </c>
      <c r="O149" s="344">
        <v>0</v>
      </c>
      <c r="P149" s="344">
        <v>0</v>
      </c>
      <c r="Q149" s="344">
        <v>0</v>
      </c>
      <c r="R149" s="340">
        <f t="shared" si="11"/>
        <v>0</v>
      </c>
    </row>
    <row r="150" spans="1:18" ht="15" customHeight="1" x14ac:dyDescent="0.75">
      <c r="A150" s="349" t="s">
        <v>1399</v>
      </c>
      <c r="B150" s="350">
        <v>0</v>
      </c>
      <c r="C150" s="344">
        <v>0</v>
      </c>
      <c r="D150" s="344">
        <v>0</v>
      </c>
      <c r="E150" s="344">
        <v>0</v>
      </c>
      <c r="F150" s="344">
        <v>0</v>
      </c>
      <c r="G150" s="344">
        <v>0</v>
      </c>
      <c r="H150" s="344">
        <v>0</v>
      </c>
      <c r="I150" s="344">
        <v>0</v>
      </c>
      <c r="J150" s="344">
        <v>0</v>
      </c>
      <c r="K150" s="344">
        <v>0</v>
      </c>
      <c r="L150" s="344">
        <v>0</v>
      </c>
      <c r="M150" s="344">
        <v>0</v>
      </c>
      <c r="N150" s="344">
        <v>0</v>
      </c>
      <c r="O150" s="344">
        <v>0</v>
      </c>
      <c r="P150" s="344">
        <v>0</v>
      </c>
      <c r="Q150" s="344">
        <v>0</v>
      </c>
      <c r="R150" s="340">
        <f t="shared" si="11"/>
        <v>0</v>
      </c>
    </row>
    <row r="151" spans="1:18" ht="15" customHeight="1" x14ac:dyDescent="0.75">
      <c r="A151" s="349" t="s">
        <v>1399</v>
      </c>
      <c r="B151" s="350">
        <v>0</v>
      </c>
      <c r="C151" s="344">
        <v>0</v>
      </c>
      <c r="D151" s="344">
        <v>0</v>
      </c>
      <c r="E151" s="344">
        <v>0</v>
      </c>
      <c r="F151" s="344">
        <v>0</v>
      </c>
      <c r="G151" s="344">
        <v>0</v>
      </c>
      <c r="H151" s="344">
        <v>0</v>
      </c>
      <c r="I151" s="344">
        <v>0</v>
      </c>
      <c r="J151" s="344">
        <v>0</v>
      </c>
      <c r="K151" s="344">
        <v>0</v>
      </c>
      <c r="L151" s="344">
        <v>0</v>
      </c>
      <c r="M151" s="344">
        <v>0</v>
      </c>
      <c r="N151" s="344">
        <v>0</v>
      </c>
      <c r="O151" s="344">
        <v>0</v>
      </c>
      <c r="P151" s="344">
        <v>0</v>
      </c>
      <c r="Q151" s="344">
        <v>0</v>
      </c>
      <c r="R151" s="340">
        <f t="shared" si="11"/>
        <v>0</v>
      </c>
    </row>
    <row r="152" spans="1:18" ht="15" customHeight="1" x14ac:dyDescent="0.75">
      <c r="A152" s="349" t="s">
        <v>1399</v>
      </c>
      <c r="B152" s="350">
        <v>0</v>
      </c>
      <c r="C152" s="344">
        <v>0</v>
      </c>
      <c r="D152" s="344">
        <v>0</v>
      </c>
      <c r="E152" s="344">
        <v>0</v>
      </c>
      <c r="F152" s="344">
        <v>0</v>
      </c>
      <c r="G152" s="344">
        <v>0</v>
      </c>
      <c r="H152" s="344">
        <v>0</v>
      </c>
      <c r="I152" s="344">
        <v>0</v>
      </c>
      <c r="J152" s="344">
        <v>0</v>
      </c>
      <c r="K152" s="344">
        <v>0</v>
      </c>
      <c r="L152" s="344">
        <v>0</v>
      </c>
      <c r="M152" s="344">
        <v>0</v>
      </c>
      <c r="N152" s="344">
        <v>0</v>
      </c>
      <c r="O152" s="344">
        <v>0</v>
      </c>
      <c r="P152" s="344">
        <v>0</v>
      </c>
      <c r="Q152" s="344">
        <v>0</v>
      </c>
      <c r="R152" s="340">
        <f t="shared" si="11"/>
        <v>0</v>
      </c>
    </row>
    <row r="153" spans="1:18" ht="15" customHeight="1" x14ac:dyDescent="0.75">
      <c r="A153" s="349" t="s">
        <v>1399</v>
      </c>
      <c r="B153" s="350">
        <v>0</v>
      </c>
      <c r="C153" s="344">
        <v>0</v>
      </c>
      <c r="D153" s="344">
        <v>0</v>
      </c>
      <c r="E153" s="344">
        <v>0</v>
      </c>
      <c r="F153" s="344">
        <v>0</v>
      </c>
      <c r="G153" s="344">
        <v>0</v>
      </c>
      <c r="H153" s="344">
        <v>0</v>
      </c>
      <c r="I153" s="344">
        <v>0</v>
      </c>
      <c r="J153" s="344">
        <v>0</v>
      </c>
      <c r="K153" s="344">
        <v>0</v>
      </c>
      <c r="L153" s="344">
        <v>0</v>
      </c>
      <c r="M153" s="344">
        <v>0</v>
      </c>
      <c r="N153" s="344">
        <v>0</v>
      </c>
      <c r="O153" s="344">
        <v>0</v>
      </c>
      <c r="P153" s="344">
        <v>0</v>
      </c>
      <c r="Q153" s="344">
        <v>0</v>
      </c>
      <c r="R153" s="340">
        <f t="shared" si="11"/>
        <v>0</v>
      </c>
    </row>
    <row r="154" spans="1:18" ht="15" customHeight="1" x14ac:dyDescent="0.75">
      <c r="A154" s="349" t="s">
        <v>1399</v>
      </c>
      <c r="B154" s="350">
        <v>0</v>
      </c>
      <c r="C154" s="344">
        <v>0</v>
      </c>
      <c r="D154" s="344">
        <v>0</v>
      </c>
      <c r="E154" s="344">
        <v>0</v>
      </c>
      <c r="F154" s="344">
        <v>0</v>
      </c>
      <c r="G154" s="344">
        <v>0</v>
      </c>
      <c r="H154" s="344">
        <v>0</v>
      </c>
      <c r="I154" s="344">
        <v>0</v>
      </c>
      <c r="J154" s="344">
        <v>0</v>
      </c>
      <c r="K154" s="344">
        <v>0</v>
      </c>
      <c r="L154" s="344">
        <v>0</v>
      </c>
      <c r="M154" s="344">
        <v>0</v>
      </c>
      <c r="N154" s="344">
        <v>0</v>
      </c>
      <c r="O154" s="344">
        <v>0</v>
      </c>
      <c r="P154" s="344">
        <v>0</v>
      </c>
      <c r="Q154" s="344">
        <v>0</v>
      </c>
      <c r="R154" s="340">
        <f t="shared" si="11"/>
        <v>0</v>
      </c>
    </row>
    <row r="155" spans="1:18" ht="15" customHeight="1" x14ac:dyDescent="0.75">
      <c r="A155" s="349" t="s">
        <v>1399</v>
      </c>
      <c r="B155" s="350">
        <v>0</v>
      </c>
      <c r="C155" s="344">
        <v>0</v>
      </c>
      <c r="D155" s="344">
        <v>0</v>
      </c>
      <c r="E155" s="344">
        <v>0</v>
      </c>
      <c r="F155" s="344">
        <v>0</v>
      </c>
      <c r="G155" s="344">
        <v>0</v>
      </c>
      <c r="H155" s="344">
        <v>0</v>
      </c>
      <c r="I155" s="344">
        <v>0</v>
      </c>
      <c r="J155" s="344">
        <v>0</v>
      </c>
      <c r="K155" s="344">
        <v>0</v>
      </c>
      <c r="L155" s="344">
        <v>0</v>
      </c>
      <c r="M155" s="344">
        <v>0</v>
      </c>
      <c r="N155" s="344">
        <v>0</v>
      </c>
      <c r="O155" s="344">
        <v>0</v>
      </c>
      <c r="P155" s="344">
        <v>0</v>
      </c>
      <c r="Q155" s="344">
        <v>0</v>
      </c>
      <c r="R155" s="340">
        <f t="shared" si="11"/>
        <v>0</v>
      </c>
    </row>
    <row r="156" spans="1:18" ht="15" customHeight="1" x14ac:dyDescent="0.75">
      <c r="A156" s="349" t="s">
        <v>1399</v>
      </c>
      <c r="B156" s="350">
        <v>0</v>
      </c>
      <c r="C156" s="344">
        <v>0</v>
      </c>
      <c r="D156" s="344">
        <v>0</v>
      </c>
      <c r="E156" s="344">
        <v>0</v>
      </c>
      <c r="F156" s="344">
        <v>0</v>
      </c>
      <c r="G156" s="344">
        <v>0</v>
      </c>
      <c r="H156" s="344">
        <v>0</v>
      </c>
      <c r="I156" s="344">
        <v>0</v>
      </c>
      <c r="J156" s="344">
        <v>0</v>
      </c>
      <c r="K156" s="344">
        <v>0</v>
      </c>
      <c r="L156" s="344">
        <v>0</v>
      </c>
      <c r="M156" s="344">
        <v>0</v>
      </c>
      <c r="N156" s="344">
        <v>0</v>
      </c>
      <c r="O156" s="344">
        <v>0</v>
      </c>
      <c r="P156" s="344">
        <v>0</v>
      </c>
      <c r="Q156" s="344">
        <v>0</v>
      </c>
      <c r="R156" s="340">
        <f t="shared" si="11"/>
        <v>0</v>
      </c>
    </row>
    <row r="157" spans="1:18" ht="15" customHeight="1" thickBot="1" x14ac:dyDescent="0.9">
      <c r="A157" s="351" t="s">
        <v>1399</v>
      </c>
      <c r="B157" s="352">
        <v>0</v>
      </c>
      <c r="C157" s="348">
        <v>0</v>
      </c>
      <c r="D157" s="348">
        <v>0</v>
      </c>
      <c r="E157" s="348">
        <v>0</v>
      </c>
      <c r="F157" s="348">
        <v>0</v>
      </c>
      <c r="G157" s="348">
        <v>0</v>
      </c>
      <c r="H157" s="348">
        <v>0</v>
      </c>
      <c r="I157" s="348">
        <v>0</v>
      </c>
      <c r="J157" s="348">
        <v>0</v>
      </c>
      <c r="K157" s="348">
        <v>0</v>
      </c>
      <c r="L157" s="348">
        <v>0</v>
      </c>
      <c r="M157" s="348">
        <v>0</v>
      </c>
      <c r="N157" s="348">
        <v>0</v>
      </c>
      <c r="O157" s="348">
        <v>0</v>
      </c>
      <c r="P157" s="348">
        <v>0</v>
      </c>
      <c r="Q157" s="348">
        <v>0</v>
      </c>
      <c r="R157" s="340">
        <f t="shared" si="11"/>
        <v>0</v>
      </c>
    </row>
    <row r="158" spans="1:18" ht="15" customHeight="1" x14ac:dyDescent="0.75">
      <c r="A158" s="353">
        <v>6900</v>
      </c>
      <c r="B158" s="354" t="s">
        <v>611</v>
      </c>
      <c r="C158" s="339">
        <v>0</v>
      </c>
      <c r="D158" s="339">
        <v>0</v>
      </c>
      <c r="E158" s="339">
        <v>0</v>
      </c>
      <c r="F158" s="339">
        <v>0</v>
      </c>
      <c r="G158" s="339">
        <v>0</v>
      </c>
      <c r="H158" s="339">
        <v>0</v>
      </c>
      <c r="I158" s="339">
        <v>0</v>
      </c>
      <c r="J158" s="339">
        <v>0</v>
      </c>
      <c r="K158" s="339">
        <v>0</v>
      </c>
      <c r="L158" s="339">
        <v>0</v>
      </c>
      <c r="M158" s="339">
        <v>0</v>
      </c>
      <c r="N158" s="339">
        <v>1</v>
      </c>
      <c r="O158" s="339">
        <v>0</v>
      </c>
      <c r="P158" s="339">
        <v>0</v>
      </c>
      <c r="Q158" s="339">
        <v>0</v>
      </c>
      <c r="R158" s="340">
        <f t="shared" si="11"/>
        <v>1</v>
      </c>
    </row>
    <row r="159" spans="1:18" ht="15" customHeight="1" x14ac:dyDescent="0.75">
      <c r="A159" s="349" t="s">
        <v>1400</v>
      </c>
      <c r="B159" s="350">
        <v>0</v>
      </c>
      <c r="C159" s="344">
        <v>0</v>
      </c>
      <c r="D159" s="344">
        <v>0</v>
      </c>
      <c r="E159" s="344">
        <v>0</v>
      </c>
      <c r="F159" s="344">
        <v>0</v>
      </c>
      <c r="G159" s="344">
        <v>0</v>
      </c>
      <c r="H159" s="344">
        <v>0</v>
      </c>
      <c r="I159" s="344">
        <v>0</v>
      </c>
      <c r="J159" s="344">
        <v>0</v>
      </c>
      <c r="K159" s="344">
        <v>0</v>
      </c>
      <c r="L159" s="344">
        <v>0</v>
      </c>
      <c r="M159" s="344">
        <v>0</v>
      </c>
      <c r="N159" s="344">
        <v>0</v>
      </c>
      <c r="O159" s="344">
        <v>0</v>
      </c>
      <c r="P159" s="344">
        <v>0</v>
      </c>
      <c r="Q159" s="344">
        <v>0</v>
      </c>
      <c r="R159" s="340">
        <f t="shared" si="11"/>
        <v>0</v>
      </c>
    </row>
    <row r="160" spans="1:18" ht="15" customHeight="1" x14ac:dyDescent="0.75">
      <c r="A160" s="349" t="s">
        <v>1400</v>
      </c>
      <c r="B160" s="350">
        <v>0</v>
      </c>
      <c r="C160" s="344">
        <v>0</v>
      </c>
      <c r="D160" s="344">
        <v>0</v>
      </c>
      <c r="E160" s="344">
        <v>0</v>
      </c>
      <c r="F160" s="344">
        <v>0</v>
      </c>
      <c r="G160" s="344">
        <v>0</v>
      </c>
      <c r="H160" s="344">
        <v>0</v>
      </c>
      <c r="I160" s="344">
        <v>0</v>
      </c>
      <c r="J160" s="344">
        <v>0</v>
      </c>
      <c r="K160" s="344">
        <v>0</v>
      </c>
      <c r="L160" s="344">
        <v>0</v>
      </c>
      <c r="M160" s="344">
        <v>0</v>
      </c>
      <c r="N160" s="344">
        <v>0</v>
      </c>
      <c r="O160" s="344">
        <v>0</v>
      </c>
      <c r="P160" s="344">
        <v>0</v>
      </c>
      <c r="Q160" s="344">
        <v>0</v>
      </c>
      <c r="R160" s="340">
        <f t="shared" si="11"/>
        <v>0</v>
      </c>
    </row>
    <row r="161" spans="1:18" ht="15" customHeight="1" x14ac:dyDescent="0.75">
      <c r="A161" s="349" t="s">
        <v>1400</v>
      </c>
      <c r="B161" s="350">
        <v>0</v>
      </c>
      <c r="C161" s="344">
        <v>0</v>
      </c>
      <c r="D161" s="344">
        <v>0</v>
      </c>
      <c r="E161" s="344">
        <v>0</v>
      </c>
      <c r="F161" s="344">
        <v>0</v>
      </c>
      <c r="G161" s="344">
        <v>0</v>
      </c>
      <c r="H161" s="344">
        <v>0</v>
      </c>
      <c r="I161" s="344">
        <v>0</v>
      </c>
      <c r="J161" s="344">
        <v>0</v>
      </c>
      <c r="K161" s="344">
        <v>0</v>
      </c>
      <c r="L161" s="344">
        <v>0</v>
      </c>
      <c r="M161" s="344">
        <v>0</v>
      </c>
      <c r="N161" s="344">
        <v>0</v>
      </c>
      <c r="O161" s="344">
        <v>0</v>
      </c>
      <c r="P161" s="344">
        <v>0</v>
      </c>
      <c r="Q161" s="344">
        <v>0</v>
      </c>
      <c r="R161" s="340">
        <f t="shared" si="11"/>
        <v>0</v>
      </c>
    </row>
    <row r="162" spans="1:18" ht="15" customHeight="1" thickBot="1" x14ac:dyDescent="0.9">
      <c r="A162" s="351" t="s">
        <v>1400</v>
      </c>
      <c r="B162" s="352">
        <v>0</v>
      </c>
      <c r="C162" s="348">
        <v>0</v>
      </c>
      <c r="D162" s="348">
        <v>0</v>
      </c>
      <c r="E162" s="348">
        <v>0</v>
      </c>
      <c r="F162" s="348">
        <v>0</v>
      </c>
      <c r="G162" s="348">
        <v>0</v>
      </c>
      <c r="H162" s="348">
        <v>0</v>
      </c>
      <c r="I162" s="348">
        <v>0</v>
      </c>
      <c r="J162" s="348">
        <v>0</v>
      </c>
      <c r="K162" s="348">
        <v>0</v>
      </c>
      <c r="L162" s="348">
        <v>0</v>
      </c>
      <c r="M162" s="348">
        <v>0</v>
      </c>
      <c r="N162" s="348">
        <v>0</v>
      </c>
      <c r="O162" s="348">
        <v>0</v>
      </c>
      <c r="P162" s="348">
        <v>0</v>
      </c>
      <c r="Q162" s="348">
        <v>0</v>
      </c>
      <c r="R162" s="340">
        <f t="shared" si="11"/>
        <v>0</v>
      </c>
    </row>
    <row r="163" spans="1:18" ht="15" customHeight="1" x14ac:dyDescent="0.75">
      <c r="A163" s="353">
        <v>7000</v>
      </c>
      <c r="B163" s="337" t="s">
        <v>1449</v>
      </c>
      <c r="C163" s="339">
        <v>0.05</v>
      </c>
      <c r="D163" s="339">
        <v>0.05</v>
      </c>
      <c r="E163" s="339">
        <v>0.09</v>
      </c>
      <c r="F163" s="339">
        <v>0.09</v>
      </c>
      <c r="G163" s="339">
        <v>0.09</v>
      </c>
      <c r="H163" s="339">
        <v>0.09</v>
      </c>
      <c r="I163" s="339">
        <v>0.09</v>
      </c>
      <c r="J163" s="339">
        <v>0.09</v>
      </c>
      <c r="K163" s="339">
        <v>0.09</v>
      </c>
      <c r="L163" s="339">
        <v>0.09</v>
      </c>
      <c r="M163" s="339">
        <v>0.09</v>
      </c>
      <c r="N163" s="339">
        <v>0.09</v>
      </c>
      <c r="O163" s="339">
        <v>0</v>
      </c>
      <c r="P163" s="339">
        <v>0</v>
      </c>
      <c r="Q163" s="339">
        <v>0</v>
      </c>
      <c r="R163" s="340">
        <f t="shared" si="11"/>
        <v>0.99999999999999978</v>
      </c>
    </row>
    <row r="164" spans="1:18" ht="15" customHeight="1" x14ac:dyDescent="0.75">
      <c r="A164" s="349">
        <v>7438</v>
      </c>
      <c r="B164" s="342" t="s">
        <v>1450</v>
      </c>
      <c r="C164" s="344">
        <v>0</v>
      </c>
      <c r="D164" s="344">
        <v>0</v>
      </c>
      <c r="E164" s="344">
        <v>0</v>
      </c>
      <c r="F164" s="344">
        <v>0</v>
      </c>
      <c r="G164" s="344">
        <v>0</v>
      </c>
      <c r="H164" s="344">
        <v>0</v>
      </c>
      <c r="I164" s="344">
        <v>0</v>
      </c>
      <c r="J164" s="344">
        <v>0</v>
      </c>
      <c r="K164" s="344">
        <v>0</v>
      </c>
      <c r="L164" s="344">
        <v>0</v>
      </c>
      <c r="M164" s="344">
        <v>0</v>
      </c>
      <c r="N164" s="344">
        <v>1</v>
      </c>
      <c r="O164" s="344">
        <v>0</v>
      </c>
      <c r="P164" s="344">
        <v>0</v>
      </c>
      <c r="Q164" s="344">
        <v>0</v>
      </c>
      <c r="R164" s="340">
        <f t="shared" si="11"/>
        <v>1</v>
      </c>
    </row>
    <row r="165" spans="1:18" ht="15" customHeight="1" x14ac:dyDescent="0.75">
      <c r="A165" s="349" t="s">
        <v>1401</v>
      </c>
      <c r="B165" s="342">
        <v>0</v>
      </c>
      <c r="C165" s="344">
        <v>0</v>
      </c>
      <c r="D165" s="344">
        <v>0</v>
      </c>
      <c r="E165" s="344">
        <v>0.1</v>
      </c>
      <c r="F165" s="344">
        <v>0.1</v>
      </c>
      <c r="G165" s="344">
        <v>0.1</v>
      </c>
      <c r="H165" s="344">
        <v>0.1</v>
      </c>
      <c r="I165" s="344">
        <v>0.1</v>
      </c>
      <c r="J165" s="344">
        <v>0.1</v>
      </c>
      <c r="K165" s="344">
        <v>0.1</v>
      </c>
      <c r="L165" s="344">
        <v>0.1</v>
      </c>
      <c r="M165" s="344">
        <v>0.1</v>
      </c>
      <c r="N165" s="344">
        <v>0.1</v>
      </c>
      <c r="O165" s="344">
        <v>0</v>
      </c>
      <c r="P165" s="344">
        <v>0</v>
      </c>
      <c r="Q165" s="344">
        <v>0</v>
      </c>
      <c r="R165" s="340">
        <f t="shared" si="11"/>
        <v>0.99999999999999989</v>
      </c>
    </row>
    <row r="166" spans="1:18" ht="15" customHeight="1" x14ac:dyDescent="0.75">
      <c r="A166" s="349" t="s">
        <v>1401</v>
      </c>
      <c r="B166" s="342">
        <v>0</v>
      </c>
      <c r="C166" s="344">
        <v>0</v>
      </c>
      <c r="D166" s="344">
        <v>0</v>
      </c>
      <c r="E166" s="344">
        <v>0.1</v>
      </c>
      <c r="F166" s="344">
        <v>0.1</v>
      </c>
      <c r="G166" s="344">
        <v>0.1</v>
      </c>
      <c r="H166" s="344">
        <v>0.1</v>
      </c>
      <c r="I166" s="344">
        <v>0.1</v>
      </c>
      <c r="J166" s="344">
        <v>0.1</v>
      </c>
      <c r="K166" s="344">
        <v>0.1</v>
      </c>
      <c r="L166" s="344">
        <v>0.1</v>
      </c>
      <c r="M166" s="344">
        <v>0.1</v>
      </c>
      <c r="N166" s="344">
        <v>0.1</v>
      </c>
      <c r="O166" s="344">
        <v>0</v>
      </c>
      <c r="P166" s="344">
        <v>0</v>
      </c>
      <c r="Q166" s="344">
        <v>0</v>
      </c>
      <c r="R166" s="340">
        <f t="shared" si="11"/>
        <v>0.99999999999999989</v>
      </c>
    </row>
    <row r="167" spans="1:18" ht="15" customHeight="1" x14ac:dyDescent="0.75">
      <c r="A167" s="349" t="s">
        <v>1401</v>
      </c>
      <c r="B167" s="342">
        <v>0</v>
      </c>
      <c r="C167" s="344">
        <v>0</v>
      </c>
      <c r="D167" s="344">
        <v>0</v>
      </c>
      <c r="E167" s="344">
        <v>0.1</v>
      </c>
      <c r="F167" s="344">
        <v>0.1</v>
      </c>
      <c r="G167" s="344">
        <v>0.1</v>
      </c>
      <c r="H167" s="344">
        <v>0.1</v>
      </c>
      <c r="I167" s="344">
        <v>0.1</v>
      </c>
      <c r="J167" s="344">
        <v>0.1</v>
      </c>
      <c r="K167" s="344">
        <v>0.1</v>
      </c>
      <c r="L167" s="344">
        <v>0.1</v>
      </c>
      <c r="M167" s="344">
        <v>0.1</v>
      </c>
      <c r="N167" s="344">
        <v>0.1</v>
      </c>
      <c r="O167" s="344">
        <v>0</v>
      </c>
      <c r="P167" s="344">
        <v>0</v>
      </c>
      <c r="Q167" s="344">
        <v>0</v>
      </c>
      <c r="R167" s="340">
        <f t="shared" si="11"/>
        <v>0.99999999999999989</v>
      </c>
    </row>
    <row r="168" spans="1:18" ht="15" customHeight="1" x14ac:dyDescent="0.75">
      <c r="A168" s="349" t="s">
        <v>1401</v>
      </c>
      <c r="B168" s="342">
        <v>0</v>
      </c>
      <c r="C168" s="344">
        <v>0</v>
      </c>
      <c r="D168" s="344">
        <v>0</v>
      </c>
      <c r="E168" s="344">
        <v>0.1</v>
      </c>
      <c r="F168" s="344">
        <v>0.1</v>
      </c>
      <c r="G168" s="344">
        <v>0.1</v>
      </c>
      <c r="H168" s="344">
        <v>0.1</v>
      </c>
      <c r="I168" s="344">
        <v>0.1</v>
      </c>
      <c r="J168" s="344">
        <v>0.1</v>
      </c>
      <c r="K168" s="344">
        <v>0.1</v>
      </c>
      <c r="L168" s="344">
        <v>0.1</v>
      </c>
      <c r="M168" s="344">
        <v>0.1</v>
      </c>
      <c r="N168" s="344">
        <v>0.1</v>
      </c>
      <c r="O168" s="344">
        <v>0</v>
      </c>
      <c r="P168" s="344">
        <v>0</v>
      </c>
      <c r="Q168" s="344">
        <v>0</v>
      </c>
      <c r="R168" s="340">
        <f t="shared" si="11"/>
        <v>0.99999999999999989</v>
      </c>
    </row>
    <row r="169" spans="1:18" ht="15" customHeight="1" thickBot="1" x14ac:dyDescent="0.9">
      <c r="A169" s="351" t="s">
        <v>1401</v>
      </c>
      <c r="B169" s="346">
        <v>0</v>
      </c>
      <c r="C169" s="348">
        <v>0</v>
      </c>
      <c r="D169" s="348">
        <v>0</v>
      </c>
      <c r="E169" s="348">
        <v>0.1</v>
      </c>
      <c r="F169" s="348">
        <v>0.1</v>
      </c>
      <c r="G169" s="348">
        <v>0.1</v>
      </c>
      <c r="H169" s="348">
        <v>0.1</v>
      </c>
      <c r="I169" s="348">
        <v>0.1</v>
      </c>
      <c r="J169" s="348">
        <v>0.1</v>
      </c>
      <c r="K169" s="348">
        <v>0.1</v>
      </c>
      <c r="L169" s="348">
        <v>0.1</v>
      </c>
      <c r="M169" s="348">
        <v>0.1</v>
      </c>
      <c r="N169" s="348">
        <v>0.1</v>
      </c>
      <c r="O169" s="348">
        <v>0</v>
      </c>
      <c r="P169" s="348">
        <v>0</v>
      </c>
      <c r="Q169" s="348">
        <v>0</v>
      </c>
      <c r="R169" s="340">
        <f t="shared" si="11"/>
        <v>0.99999999999999989</v>
      </c>
    </row>
    <row r="170" spans="1:18" ht="15" customHeight="1" x14ac:dyDescent="0.75">
      <c r="A170" s="355">
        <v>8011</v>
      </c>
      <c r="B170" s="350" t="s">
        <v>1402</v>
      </c>
      <c r="C170" s="344">
        <v>0.05</v>
      </c>
      <c r="D170" s="344">
        <v>0.05</v>
      </c>
      <c r="E170" s="344">
        <v>0.09</v>
      </c>
      <c r="F170" s="344">
        <v>0.09</v>
      </c>
      <c r="G170" s="344">
        <v>0.09</v>
      </c>
      <c r="H170" s="344">
        <v>0.09</v>
      </c>
      <c r="I170" s="344">
        <v>0.09</v>
      </c>
      <c r="J170" s="344">
        <v>0.09</v>
      </c>
      <c r="K170" s="344">
        <v>0.09</v>
      </c>
      <c r="L170" s="344">
        <v>0.09</v>
      </c>
      <c r="M170" s="344">
        <v>0.09</v>
      </c>
      <c r="N170" s="344">
        <v>0.09</v>
      </c>
      <c r="O170" s="344">
        <v>0</v>
      </c>
      <c r="P170" s="344">
        <v>0</v>
      </c>
      <c r="Q170" s="344">
        <v>0</v>
      </c>
      <c r="R170" s="340">
        <f t="shared" si="11"/>
        <v>0.99999999999999978</v>
      </c>
    </row>
    <row r="171" spans="1:18" ht="15" customHeight="1" x14ac:dyDescent="0.75">
      <c r="A171" s="349">
        <v>8012</v>
      </c>
      <c r="B171" s="350" t="s">
        <v>1403</v>
      </c>
      <c r="C171" s="344">
        <v>0</v>
      </c>
      <c r="D171" s="344">
        <v>0</v>
      </c>
      <c r="E171" s="344">
        <v>0.25</v>
      </c>
      <c r="F171" s="344">
        <v>0</v>
      </c>
      <c r="G171" s="344">
        <v>0</v>
      </c>
      <c r="H171" s="344">
        <v>0.25</v>
      </c>
      <c r="I171" s="344">
        <v>0</v>
      </c>
      <c r="J171" s="344">
        <v>0</v>
      </c>
      <c r="K171" s="344">
        <v>0.25</v>
      </c>
      <c r="L171" s="344">
        <v>0</v>
      </c>
      <c r="M171" s="344">
        <v>0</v>
      </c>
      <c r="N171" s="344">
        <v>0.25</v>
      </c>
      <c r="O171" s="344">
        <v>0</v>
      </c>
      <c r="P171" s="344">
        <v>0</v>
      </c>
      <c r="Q171" s="344">
        <v>0</v>
      </c>
      <c r="R171" s="340">
        <f t="shared" si="11"/>
        <v>1</v>
      </c>
    </row>
    <row r="172" spans="1:18" ht="15" customHeight="1" x14ac:dyDescent="0.75">
      <c r="A172" s="349">
        <v>8096</v>
      </c>
      <c r="B172" s="350" t="s">
        <v>1404</v>
      </c>
      <c r="C172" s="344">
        <v>0</v>
      </c>
      <c r="D172" s="344">
        <v>0.06</v>
      </c>
      <c r="E172" s="344">
        <v>0.12</v>
      </c>
      <c r="F172" s="344">
        <v>0.08</v>
      </c>
      <c r="G172" s="344">
        <v>0.08</v>
      </c>
      <c r="H172" s="344">
        <v>0.08</v>
      </c>
      <c r="I172" s="344">
        <v>0.08</v>
      </c>
      <c r="J172" s="344">
        <v>0.08</v>
      </c>
      <c r="K172" s="344">
        <v>0.14000000000000001</v>
      </c>
      <c r="L172" s="344">
        <v>7.0000000000000007E-2</v>
      </c>
      <c r="M172" s="344">
        <v>7.0000000000000007E-2</v>
      </c>
      <c r="N172" s="344">
        <v>7.0000000000000007E-2</v>
      </c>
      <c r="O172" s="344">
        <v>7.0000000000000007E-2</v>
      </c>
      <c r="P172" s="344">
        <v>0</v>
      </c>
      <c r="Q172" s="344">
        <v>0</v>
      </c>
      <c r="R172" s="340">
        <f t="shared" si="11"/>
        <v>1.0000000000000002</v>
      </c>
    </row>
    <row r="173" spans="1:18" ht="15" customHeight="1" x14ac:dyDescent="0.75">
      <c r="A173" s="349">
        <v>8019</v>
      </c>
      <c r="B173" s="350" t="s">
        <v>1139</v>
      </c>
      <c r="C173" s="344">
        <v>0.05</v>
      </c>
      <c r="D173" s="344">
        <v>0.05</v>
      </c>
      <c r="E173" s="344">
        <v>0.09</v>
      </c>
      <c r="F173" s="344">
        <v>0.09</v>
      </c>
      <c r="G173" s="344">
        <v>0.09</v>
      </c>
      <c r="H173" s="344">
        <v>0.09</v>
      </c>
      <c r="I173" s="344">
        <v>0.09</v>
      </c>
      <c r="J173" s="344">
        <v>0.09</v>
      </c>
      <c r="K173" s="344">
        <v>0.09</v>
      </c>
      <c r="L173" s="344">
        <v>0.09</v>
      </c>
      <c r="M173" s="344">
        <v>0.09</v>
      </c>
      <c r="N173" s="344">
        <v>0.09</v>
      </c>
      <c r="O173" s="344">
        <v>0</v>
      </c>
      <c r="P173" s="344">
        <v>0</v>
      </c>
      <c r="Q173" s="344">
        <v>0</v>
      </c>
      <c r="R173" s="340">
        <f t="shared" si="11"/>
        <v>0.99999999999999978</v>
      </c>
    </row>
    <row r="174" spans="1:18" ht="15" customHeight="1" x14ac:dyDescent="0.75">
      <c r="A174" s="349" t="s">
        <v>1459</v>
      </c>
      <c r="B174" s="350">
        <v>0</v>
      </c>
      <c r="C174" s="344">
        <v>0</v>
      </c>
      <c r="D174" s="344">
        <v>0</v>
      </c>
      <c r="E174" s="344">
        <v>0</v>
      </c>
      <c r="F174" s="344">
        <v>0</v>
      </c>
      <c r="G174" s="344">
        <v>0</v>
      </c>
      <c r="H174" s="344">
        <v>0</v>
      </c>
      <c r="I174" s="344">
        <v>0</v>
      </c>
      <c r="J174" s="344">
        <v>0</v>
      </c>
      <c r="K174" s="344">
        <v>0</v>
      </c>
      <c r="L174" s="344">
        <v>0</v>
      </c>
      <c r="M174" s="344">
        <v>0</v>
      </c>
      <c r="N174" s="344">
        <v>0</v>
      </c>
      <c r="O174" s="344">
        <v>0</v>
      </c>
      <c r="P174" s="344">
        <v>0</v>
      </c>
      <c r="Q174" s="344">
        <v>0</v>
      </c>
      <c r="R174" s="340">
        <f t="shared" si="11"/>
        <v>0</v>
      </c>
    </row>
    <row r="175" spans="1:18" ht="15" customHeight="1" x14ac:dyDescent="0.75">
      <c r="A175" s="349" t="s">
        <v>1459</v>
      </c>
      <c r="B175" s="350">
        <v>0</v>
      </c>
      <c r="C175" s="344">
        <v>0</v>
      </c>
      <c r="D175" s="344">
        <v>0</v>
      </c>
      <c r="E175" s="344">
        <v>0</v>
      </c>
      <c r="F175" s="344">
        <v>0</v>
      </c>
      <c r="G175" s="344">
        <v>0</v>
      </c>
      <c r="H175" s="344">
        <v>0</v>
      </c>
      <c r="I175" s="344">
        <v>0</v>
      </c>
      <c r="J175" s="344">
        <v>0</v>
      </c>
      <c r="K175" s="344">
        <v>0</v>
      </c>
      <c r="L175" s="344">
        <v>0</v>
      </c>
      <c r="M175" s="344">
        <v>0</v>
      </c>
      <c r="N175" s="344">
        <v>0</v>
      </c>
      <c r="O175" s="344">
        <v>0</v>
      </c>
      <c r="P175" s="344">
        <v>0</v>
      </c>
      <c r="Q175" s="344">
        <v>0</v>
      </c>
      <c r="R175" s="340">
        <f t="shared" si="11"/>
        <v>0</v>
      </c>
    </row>
    <row r="176" spans="1:18" ht="15" customHeight="1" x14ac:dyDescent="0.75">
      <c r="A176" s="349" t="s">
        <v>1459</v>
      </c>
      <c r="B176" s="350">
        <v>0</v>
      </c>
      <c r="C176" s="344">
        <v>0</v>
      </c>
      <c r="D176" s="344">
        <v>0</v>
      </c>
      <c r="E176" s="344">
        <v>0</v>
      </c>
      <c r="F176" s="344">
        <v>0</v>
      </c>
      <c r="G176" s="344">
        <v>0</v>
      </c>
      <c r="H176" s="344">
        <v>0</v>
      </c>
      <c r="I176" s="344">
        <v>0</v>
      </c>
      <c r="J176" s="344">
        <v>0</v>
      </c>
      <c r="K176" s="344">
        <v>0</v>
      </c>
      <c r="L176" s="344">
        <v>0</v>
      </c>
      <c r="M176" s="344">
        <v>0</v>
      </c>
      <c r="N176" s="344">
        <v>0</v>
      </c>
      <c r="O176" s="344">
        <v>0</v>
      </c>
      <c r="P176" s="344">
        <v>0</v>
      </c>
      <c r="Q176" s="344">
        <v>0</v>
      </c>
      <c r="R176" s="340">
        <f t="shared" si="11"/>
        <v>0</v>
      </c>
    </row>
    <row r="177" spans="1:18" ht="15" customHeight="1" x14ac:dyDescent="0.75">
      <c r="A177" s="349" t="s">
        <v>1459</v>
      </c>
      <c r="B177" s="350">
        <v>0</v>
      </c>
      <c r="C177" s="344">
        <v>0</v>
      </c>
      <c r="D177" s="344">
        <v>0</v>
      </c>
      <c r="E177" s="344">
        <v>0</v>
      </c>
      <c r="F177" s="344">
        <v>0</v>
      </c>
      <c r="G177" s="344">
        <v>0</v>
      </c>
      <c r="H177" s="344">
        <v>0</v>
      </c>
      <c r="I177" s="344">
        <v>0</v>
      </c>
      <c r="J177" s="344">
        <v>0</v>
      </c>
      <c r="K177" s="344">
        <v>0</v>
      </c>
      <c r="L177" s="344">
        <v>0</v>
      </c>
      <c r="M177" s="344">
        <v>0</v>
      </c>
      <c r="N177" s="344">
        <v>0</v>
      </c>
      <c r="O177" s="344">
        <v>0</v>
      </c>
      <c r="P177" s="344">
        <v>0</v>
      </c>
      <c r="Q177" s="344">
        <v>0</v>
      </c>
      <c r="R177" s="340">
        <f t="shared" si="11"/>
        <v>0</v>
      </c>
    </row>
    <row r="178" spans="1:18" ht="15" customHeight="1" x14ac:dyDescent="0.75">
      <c r="A178" s="349" t="s">
        <v>1459</v>
      </c>
      <c r="B178" s="350">
        <v>0</v>
      </c>
      <c r="C178" s="344">
        <v>0</v>
      </c>
      <c r="D178" s="344">
        <v>0</v>
      </c>
      <c r="E178" s="344">
        <v>0</v>
      </c>
      <c r="F178" s="344">
        <v>0</v>
      </c>
      <c r="G178" s="344">
        <v>0</v>
      </c>
      <c r="H178" s="344">
        <v>0</v>
      </c>
      <c r="I178" s="344">
        <v>0</v>
      </c>
      <c r="J178" s="344">
        <v>0</v>
      </c>
      <c r="K178" s="344">
        <v>0</v>
      </c>
      <c r="L178" s="344">
        <v>0</v>
      </c>
      <c r="M178" s="344">
        <v>0</v>
      </c>
      <c r="N178" s="344">
        <v>0</v>
      </c>
      <c r="O178" s="344">
        <v>0</v>
      </c>
      <c r="P178" s="344">
        <v>0</v>
      </c>
      <c r="Q178" s="344">
        <v>0</v>
      </c>
      <c r="R178" s="340">
        <f t="shared" si="11"/>
        <v>0</v>
      </c>
    </row>
    <row r="179" spans="1:18" ht="15" customHeight="1" thickBot="1" x14ac:dyDescent="0.9">
      <c r="A179" s="351" t="s">
        <v>1459</v>
      </c>
      <c r="B179" s="352">
        <v>0</v>
      </c>
      <c r="C179" s="344">
        <v>0</v>
      </c>
      <c r="D179" s="344">
        <v>0</v>
      </c>
      <c r="E179" s="344">
        <v>0</v>
      </c>
      <c r="F179" s="344">
        <v>0</v>
      </c>
      <c r="G179" s="344">
        <v>0</v>
      </c>
      <c r="H179" s="344">
        <v>0</v>
      </c>
      <c r="I179" s="344">
        <v>0</v>
      </c>
      <c r="J179" s="344">
        <v>0</v>
      </c>
      <c r="K179" s="344">
        <v>0</v>
      </c>
      <c r="L179" s="344">
        <v>0</v>
      </c>
      <c r="M179" s="344">
        <v>0</v>
      </c>
      <c r="N179" s="344">
        <v>0</v>
      </c>
      <c r="O179" s="344">
        <v>0</v>
      </c>
      <c r="P179" s="344">
        <v>0</v>
      </c>
      <c r="Q179" s="344">
        <v>0</v>
      </c>
      <c r="R179" s="340">
        <f t="shared" si="11"/>
        <v>0</v>
      </c>
    </row>
    <row r="180" spans="1:18" ht="15" customHeight="1" x14ac:dyDescent="0.75">
      <c r="A180" s="353">
        <v>8181</v>
      </c>
      <c r="B180" s="354" t="s">
        <v>1405</v>
      </c>
      <c r="C180" s="339">
        <v>0</v>
      </c>
      <c r="D180" s="339">
        <v>0</v>
      </c>
      <c r="E180" s="339">
        <v>0</v>
      </c>
      <c r="F180" s="339">
        <v>0</v>
      </c>
      <c r="G180" s="339">
        <v>0</v>
      </c>
      <c r="H180" s="339">
        <v>0</v>
      </c>
      <c r="I180" s="339">
        <v>0</v>
      </c>
      <c r="J180" s="339">
        <v>0.2</v>
      </c>
      <c r="K180" s="339">
        <v>0.2</v>
      </c>
      <c r="L180" s="339">
        <v>0.2</v>
      </c>
      <c r="M180" s="339">
        <v>0.2</v>
      </c>
      <c r="N180" s="339">
        <v>0.2</v>
      </c>
      <c r="O180" s="339">
        <v>0</v>
      </c>
      <c r="P180" s="339">
        <v>0</v>
      </c>
      <c r="Q180" s="339">
        <v>0</v>
      </c>
      <c r="R180" s="340">
        <f t="shared" si="11"/>
        <v>1</v>
      </c>
    </row>
    <row r="181" spans="1:18" ht="15" customHeight="1" x14ac:dyDescent="0.75">
      <c r="A181" s="349">
        <v>8220</v>
      </c>
      <c r="B181" s="350" t="s">
        <v>1406</v>
      </c>
      <c r="C181" s="344">
        <v>0</v>
      </c>
      <c r="D181" s="344">
        <v>0</v>
      </c>
      <c r="E181" s="344">
        <v>0</v>
      </c>
      <c r="F181" s="344">
        <v>0</v>
      </c>
      <c r="G181" s="344">
        <v>0.1</v>
      </c>
      <c r="H181" s="344">
        <v>0.1</v>
      </c>
      <c r="I181" s="344">
        <v>0.1</v>
      </c>
      <c r="J181" s="344">
        <v>0.1</v>
      </c>
      <c r="K181" s="344">
        <v>0.1</v>
      </c>
      <c r="L181" s="344">
        <v>0.1</v>
      </c>
      <c r="M181" s="344">
        <v>0.1</v>
      </c>
      <c r="N181" s="344">
        <v>0.1</v>
      </c>
      <c r="O181" s="344">
        <v>0.1</v>
      </c>
      <c r="P181" s="344">
        <v>0.1</v>
      </c>
      <c r="Q181" s="344">
        <v>0</v>
      </c>
      <c r="R181" s="340">
        <f t="shared" si="11"/>
        <v>0.99999999999999989</v>
      </c>
    </row>
    <row r="182" spans="1:18" ht="15" customHeight="1" x14ac:dyDescent="0.75">
      <c r="A182" s="349">
        <v>8290</v>
      </c>
      <c r="B182" s="350" t="s">
        <v>619</v>
      </c>
      <c r="C182" s="344">
        <v>0</v>
      </c>
      <c r="D182" s="344">
        <v>0</v>
      </c>
      <c r="E182" s="344">
        <v>0.37</v>
      </c>
      <c r="F182" s="344">
        <v>0</v>
      </c>
      <c r="G182" s="344">
        <v>0</v>
      </c>
      <c r="H182" s="344">
        <v>0</v>
      </c>
      <c r="I182" s="344">
        <v>0.25</v>
      </c>
      <c r="J182" s="344">
        <v>0</v>
      </c>
      <c r="K182" s="344">
        <v>0</v>
      </c>
      <c r="L182" s="344">
        <v>0.13</v>
      </c>
      <c r="M182" s="344">
        <v>0</v>
      </c>
      <c r="N182" s="344">
        <v>0.25</v>
      </c>
      <c r="O182" s="344">
        <v>0</v>
      </c>
      <c r="P182" s="344">
        <v>0</v>
      </c>
      <c r="Q182" s="344">
        <v>0</v>
      </c>
      <c r="R182" s="340">
        <f t="shared" si="11"/>
        <v>1</v>
      </c>
    </row>
    <row r="183" spans="1:18" ht="15" customHeight="1" x14ac:dyDescent="0.75">
      <c r="A183" s="349">
        <v>8291</v>
      </c>
      <c r="B183" s="350" t="s">
        <v>783</v>
      </c>
      <c r="C183" s="344">
        <v>0</v>
      </c>
      <c r="D183" s="344">
        <v>0</v>
      </c>
      <c r="E183" s="344">
        <v>0</v>
      </c>
      <c r="F183" s="344">
        <v>0</v>
      </c>
      <c r="G183" s="344">
        <v>0</v>
      </c>
      <c r="H183" s="344">
        <v>0</v>
      </c>
      <c r="I183" s="344">
        <v>0.25</v>
      </c>
      <c r="J183" s="344">
        <v>0</v>
      </c>
      <c r="K183" s="344">
        <v>0</v>
      </c>
      <c r="L183" s="344">
        <v>0.5</v>
      </c>
      <c r="M183" s="344">
        <v>0</v>
      </c>
      <c r="N183" s="344">
        <v>0.25</v>
      </c>
      <c r="O183" s="344">
        <v>0</v>
      </c>
      <c r="P183" s="344">
        <v>0</v>
      </c>
      <c r="Q183" s="344">
        <v>0</v>
      </c>
      <c r="R183" s="340">
        <f t="shared" si="11"/>
        <v>1</v>
      </c>
    </row>
    <row r="184" spans="1:18" ht="15" customHeight="1" x14ac:dyDescent="0.75">
      <c r="A184" s="349">
        <v>8292</v>
      </c>
      <c r="B184" s="350" t="s">
        <v>784</v>
      </c>
      <c r="C184" s="344">
        <v>0</v>
      </c>
      <c r="D184" s="344">
        <v>0</v>
      </c>
      <c r="E184" s="344">
        <v>0</v>
      </c>
      <c r="F184" s="344">
        <v>0</v>
      </c>
      <c r="G184" s="344">
        <v>0</v>
      </c>
      <c r="H184" s="344">
        <v>0</v>
      </c>
      <c r="I184" s="344">
        <v>0.25</v>
      </c>
      <c r="J184" s="344">
        <v>0</v>
      </c>
      <c r="K184" s="344">
        <v>0</v>
      </c>
      <c r="L184" s="344">
        <v>0.5</v>
      </c>
      <c r="M184" s="344">
        <v>0</v>
      </c>
      <c r="N184" s="344">
        <v>0.25</v>
      </c>
      <c r="O184" s="344">
        <v>0</v>
      </c>
      <c r="P184" s="344">
        <v>0</v>
      </c>
      <c r="Q184" s="344">
        <v>0</v>
      </c>
      <c r="R184" s="340">
        <f t="shared" si="11"/>
        <v>1</v>
      </c>
    </row>
    <row r="185" spans="1:18" ht="15" customHeight="1" x14ac:dyDescent="0.75">
      <c r="A185" s="349">
        <v>8293</v>
      </c>
      <c r="B185" s="350" t="s">
        <v>785</v>
      </c>
      <c r="C185" s="344">
        <v>0</v>
      </c>
      <c r="D185" s="344">
        <v>0</v>
      </c>
      <c r="E185" s="344">
        <v>0</v>
      </c>
      <c r="F185" s="344">
        <v>0</v>
      </c>
      <c r="G185" s="344">
        <v>0</v>
      </c>
      <c r="H185" s="344">
        <v>0</v>
      </c>
      <c r="I185" s="344">
        <v>0.25</v>
      </c>
      <c r="J185" s="344">
        <v>0</v>
      </c>
      <c r="K185" s="344">
        <v>0</v>
      </c>
      <c r="L185" s="344">
        <v>0.5</v>
      </c>
      <c r="M185" s="344">
        <v>0</v>
      </c>
      <c r="N185" s="344">
        <v>0.25</v>
      </c>
      <c r="O185" s="344">
        <v>0</v>
      </c>
      <c r="P185" s="344">
        <v>0</v>
      </c>
      <c r="Q185" s="344">
        <v>0</v>
      </c>
      <c r="R185" s="340">
        <f t="shared" si="11"/>
        <v>1</v>
      </c>
    </row>
    <row r="186" spans="1:18" ht="15" customHeight="1" x14ac:dyDescent="0.75">
      <c r="A186" s="349">
        <v>8294</v>
      </c>
      <c r="B186" s="350" t="s">
        <v>786</v>
      </c>
      <c r="C186" s="344">
        <v>0</v>
      </c>
      <c r="D186" s="344">
        <v>0</v>
      </c>
      <c r="E186" s="344">
        <v>0</v>
      </c>
      <c r="F186" s="344">
        <v>0</v>
      </c>
      <c r="G186" s="344">
        <v>0</v>
      </c>
      <c r="H186" s="344">
        <v>0</v>
      </c>
      <c r="I186" s="344">
        <v>0.25</v>
      </c>
      <c r="J186" s="344">
        <v>0</v>
      </c>
      <c r="K186" s="344">
        <v>0</v>
      </c>
      <c r="L186" s="344">
        <v>0.5</v>
      </c>
      <c r="M186" s="344">
        <v>0</v>
      </c>
      <c r="N186" s="344">
        <v>0.25</v>
      </c>
      <c r="O186" s="344">
        <v>0</v>
      </c>
      <c r="P186" s="344">
        <v>0</v>
      </c>
      <c r="Q186" s="344">
        <v>0</v>
      </c>
      <c r="R186" s="340">
        <f t="shared" si="11"/>
        <v>1</v>
      </c>
    </row>
    <row r="187" spans="1:18" ht="15" customHeight="1" x14ac:dyDescent="0.75">
      <c r="A187" s="349">
        <v>8295</v>
      </c>
      <c r="B187" s="350" t="s">
        <v>787</v>
      </c>
      <c r="C187" s="344">
        <v>0</v>
      </c>
      <c r="D187" s="344">
        <v>0</v>
      </c>
      <c r="E187" s="344">
        <v>0</v>
      </c>
      <c r="F187" s="344">
        <v>0</v>
      </c>
      <c r="G187" s="344">
        <v>0</v>
      </c>
      <c r="H187" s="344">
        <v>0</v>
      </c>
      <c r="I187" s="344">
        <v>0.25</v>
      </c>
      <c r="J187" s="344">
        <v>0</v>
      </c>
      <c r="K187" s="344">
        <v>0</v>
      </c>
      <c r="L187" s="344">
        <v>0.5</v>
      </c>
      <c r="M187" s="344">
        <v>0</v>
      </c>
      <c r="N187" s="344">
        <v>0.25</v>
      </c>
      <c r="O187" s="344">
        <v>0</v>
      </c>
      <c r="P187" s="344">
        <v>0</v>
      </c>
      <c r="Q187" s="344">
        <v>0</v>
      </c>
      <c r="R187" s="340">
        <f t="shared" si="11"/>
        <v>1</v>
      </c>
    </row>
    <row r="188" spans="1:18" ht="15" customHeight="1" x14ac:dyDescent="0.75">
      <c r="A188" s="349">
        <v>8299</v>
      </c>
      <c r="B188" s="350" t="s">
        <v>1086</v>
      </c>
      <c r="C188" s="344">
        <v>0</v>
      </c>
      <c r="D188" s="344">
        <v>0</v>
      </c>
      <c r="E188" s="344">
        <v>1</v>
      </c>
      <c r="F188" s="344">
        <v>0</v>
      </c>
      <c r="G188" s="344">
        <v>0</v>
      </c>
      <c r="H188" s="344">
        <v>0</v>
      </c>
      <c r="I188" s="344">
        <v>0</v>
      </c>
      <c r="J188" s="344">
        <v>0</v>
      </c>
      <c r="K188" s="344">
        <v>0</v>
      </c>
      <c r="L188" s="344">
        <v>0</v>
      </c>
      <c r="M188" s="344">
        <v>0</v>
      </c>
      <c r="N188" s="344">
        <v>0</v>
      </c>
      <c r="O188" s="344">
        <v>0</v>
      </c>
      <c r="P188" s="344">
        <v>0</v>
      </c>
      <c r="Q188" s="344">
        <v>0</v>
      </c>
      <c r="R188" s="340">
        <f t="shared" si="11"/>
        <v>1</v>
      </c>
    </row>
    <row r="189" spans="1:18" ht="15" customHeight="1" x14ac:dyDescent="0.75">
      <c r="A189" s="349" t="s">
        <v>1397</v>
      </c>
      <c r="B189" s="350">
        <v>0</v>
      </c>
      <c r="C189" s="344">
        <v>0</v>
      </c>
      <c r="D189" s="344">
        <v>0</v>
      </c>
      <c r="E189" s="344">
        <v>0.5</v>
      </c>
      <c r="F189" s="344">
        <v>0</v>
      </c>
      <c r="G189" s="344">
        <v>0</v>
      </c>
      <c r="H189" s="344">
        <v>0</v>
      </c>
      <c r="I189" s="344">
        <v>0</v>
      </c>
      <c r="J189" s="344">
        <v>0.4</v>
      </c>
      <c r="K189" s="344">
        <v>0</v>
      </c>
      <c r="L189" s="344">
        <v>0</v>
      </c>
      <c r="M189" s="344">
        <v>0.1</v>
      </c>
      <c r="N189" s="344">
        <v>0</v>
      </c>
      <c r="O189" s="344">
        <v>0</v>
      </c>
      <c r="P189" s="344">
        <v>0</v>
      </c>
      <c r="Q189" s="344">
        <v>0</v>
      </c>
      <c r="R189" s="340">
        <f t="shared" si="11"/>
        <v>1</v>
      </c>
    </row>
    <row r="190" spans="1:18" ht="15" customHeight="1" x14ac:dyDescent="0.75">
      <c r="A190" s="349" t="s">
        <v>1397</v>
      </c>
      <c r="B190" s="350">
        <v>0</v>
      </c>
      <c r="C190" s="344">
        <v>0</v>
      </c>
      <c r="D190" s="344">
        <v>0</v>
      </c>
      <c r="E190" s="344">
        <v>0.5</v>
      </c>
      <c r="F190" s="344">
        <v>0</v>
      </c>
      <c r="G190" s="344">
        <v>0</v>
      </c>
      <c r="H190" s="344">
        <v>0</v>
      </c>
      <c r="I190" s="344">
        <v>0</v>
      </c>
      <c r="J190" s="344">
        <v>0.4</v>
      </c>
      <c r="K190" s="344">
        <v>0</v>
      </c>
      <c r="L190" s="344">
        <v>0</v>
      </c>
      <c r="M190" s="344">
        <v>0.1</v>
      </c>
      <c r="N190" s="344">
        <v>0</v>
      </c>
      <c r="O190" s="344">
        <v>0</v>
      </c>
      <c r="P190" s="344">
        <v>0</v>
      </c>
      <c r="Q190" s="344">
        <v>0</v>
      </c>
      <c r="R190" s="340">
        <f t="shared" si="11"/>
        <v>1</v>
      </c>
    </row>
    <row r="191" spans="1:18" ht="15" customHeight="1" x14ac:dyDescent="0.75">
      <c r="A191" s="349" t="s">
        <v>1397</v>
      </c>
      <c r="B191" s="350">
        <v>0</v>
      </c>
      <c r="C191" s="344">
        <v>0</v>
      </c>
      <c r="D191" s="344">
        <v>0</v>
      </c>
      <c r="E191" s="344">
        <v>0.5</v>
      </c>
      <c r="F191" s="344">
        <v>0</v>
      </c>
      <c r="G191" s="344">
        <v>0</v>
      </c>
      <c r="H191" s="344">
        <v>0</v>
      </c>
      <c r="I191" s="344">
        <v>0</v>
      </c>
      <c r="J191" s="344">
        <v>0.4</v>
      </c>
      <c r="K191" s="344">
        <v>0</v>
      </c>
      <c r="L191" s="344">
        <v>0</v>
      </c>
      <c r="M191" s="344">
        <v>0.1</v>
      </c>
      <c r="N191" s="344">
        <v>0</v>
      </c>
      <c r="O191" s="344">
        <v>0</v>
      </c>
      <c r="P191" s="344">
        <v>0</v>
      </c>
      <c r="Q191" s="344">
        <v>0</v>
      </c>
      <c r="R191" s="340">
        <f t="shared" si="11"/>
        <v>1</v>
      </c>
    </row>
    <row r="192" spans="1:18" ht="15" customHeight="1" x14ac:dyDescent="0.75">
      <c r="A192" s="349" t="s">
        <v>1397</v>
      </c>
      <c r="B192" s="350">
        <v>0</v>
      </c>
      <c r="C192" s="344">
        <v>0</v>
      </c>
      <c r="D192" s="344">
        <v>0</v>
      </c>
      <c r="E192" s="344">
        <v>0.5</v>
      </c>
      <c r="F192" s="344">
        <v>0</v>
      </c>
      <c r="G192" s="344">
        <v>0</v>
      </c>
      <c r="H192" s="344">
        <v>0</v>
      </c>
      <c r="I192" s="344">
        <v>0</v>
      </c>
      <c r="J192" s="344">
        <v>0.4</v>
      </c>
      <c r="K192" s="344">
        <v>0</v>
      </c>
      <c r="L192" s="344">
        <v>0</v>
      </c>
      <c r="M192" s="344">
        <v>0.1</v>
      </c>
      <c r="N192" s="344">
        <v>0</v>
      </c>
      <c r="O192" s="344">
        <v>0</v>
      </c>
      <c r="P192" s="344">
        <v>0</v>
      </c>
      <c r="Q192" s="344">
        <v>0</v>
      </c>
      <c r="R192" s="340">
        <f t="shared" si="11"/>
        <v>1</v>
      </c>
    </row>
    <row r="193" spans="1:18" ht="15" customHeight="1" x14ac:dyDescent="0.75">
      <c r="A193" s="349" t="s">
        <v>1397</v>
      </c>
      <c r="B193" s="350">
        <v>0</v>
      </c>
      <c r="C193" s="344">
        <v>0</v>
      </c>
      <c r="D193" s="344">
        <v>0</v>
      </c>
      <c r="E193" s="344">
        <v>0.5</v>
      </c>
      <c r="F193" s="344">
        <v>0</v>
      </c>
      <c r="G193" s="344">
        <v>0</v>
      </c>
      <c r="H193" s="344">
        <v>0</v>
      </c>
      <c r="I193" s="344">
        <v>0</v>
      </c>
      <c r="J193" s="344">
        <v>0.4</v>
      </c>
      <c r="K193" s="344">
        <v>0</v>
      </c>
      <c r="L193" s="344">
        <v>0</v>
      </c>
      <c r="M193" s="344">
        <v>0.1</v>
      </c>
      <c r="N193" s="344">
        <v>0</v>
      </c>
      <c r="O193" s="344">
        <v>0</v>
      </c>
      <c r="P193" s="344">
        <v>0</v>
      </c>
      <c r="Q193" s="344">
        <v>0</v>
      </c>
      <c r="R193" s="340">
        <f t="shared" si="11"/>
        <v>1</v>
      </c>
    </row>
    <row r="194" spans="1:18" ht="15" customHeight="1" thickBot="1" x14ac:dyDescent="0.9">
      <c r="A194" s="351" t="s">
        <v>1397</v>
      </c>
      <c r="B194" s="352">
        <v>0</v>
      </c>
      <c r="C194" s="344">
        <v>0</v>
      </c>
      <c r="D194" s="344">
        <v>0</v>
      </c>
      <c r="E194" s="344">
        <v>0.5</v>
      </c>
      <c r="F194" s="344">
        <v>0</v>
      </c>
      <c r="G194" s="344">
        <v>0</v>
      </c>
      <c r="H194" s="344">
        <v>0</v>
      </c>
      <c r="I194" s="344">
        <v>0</v>
      </c>
      <c r="J194" s="344">
        <v>0.4</v>
      </c>
      <c r="K194" s="344">
        <v>0</v>
      </c>
      <c r="L194" s="344">
        <v>0</v>
      </c>
      <c r="M194" s="344">
        <v>0.1</v>
      </c>
      <c r="N194" s="344">
        <v>0</v>
      </c>
      <c r="O194" s="344">
        <v>0</v>
      </c>
      <c r="P194" s="344">
        <v>0</v>
      </c>
      <c r="Q194" s="344">
        <v>0</v>
      </c>
      <c r="R194" s="340">
        <f t="shared" si="11"/>
        <v>1</v>
      </c>
    </row>
    <row r="195" spans="1:18" ht="15" customHeight="1" x14ac:dyDescent="0.75">
      <c r="A195" s="353">
        <v>8520</v>
      </c>
      <c r="B195" s="354" t="s">
        <v>1407</v>
      </c>
      <c r="C195" s="339">
        <v>0</v>
      </c>
      <c r="D195" s="339">
        <v>0</v>
      </c>
      <c r="E195" s="339">
        <v>0</v>
      </c>
      <c r="F195" s="339">
        <v>0</v>
      </c>
      <c r="G195" s="339">
        <v>0.125</v>
      </c>
      <c r="H195" s="339">
        <v>0.125</v>
      </c>
      <c r="I195" s="339">
        <v>0.125</v>
      </c>
      <c r="J195" s="339">
        <v>0.125</v>
      </c>
      <c r="K195" s="339">
        <v>0.125</v>
      </c>
      <c r="L195" s="339">
        <v>0.125</v>
      </c>
      <c r="M195" s="339">
        <v>0.125</v>
      </c>
      <c r="N195" s="339">
        <v>0.125</v>
      </c>
      <c r="O195" s="339">
        <v>0</v>
      </c>
      <c r="P195" s="339">
        <v>0</v>
      </c>
      <c r="Q195" s="339">
        <v>0</v>
      </c>
      <c r="R195" s="340">
        <f t="shared" si="11"/>
        <v>1</v>
      </c>
    </row>
    <row r="196" spans="1:18" ht="15" customHeight="1" x14ac:dyDescent="0.75">
      <c r="A196" s="349">
        <v>8550</v>
      </c>
      <c r="B196" s="350" t="s">
        <v>1238</v>
      </c>
      <c r="C196" s="343">
        <v>0</v>
      </c>
      <c r="D196" s="344">
        <v>0</v>
      </c>
      <c r="E196" s="344">
        <v>0</v>
      </c>
      <c r="F196" s="344">
        <v>0.25</v>
      </c>
      <c r="G196" s="344">
        <v>0</v>
      </c>
      <c r="H196" s="344">
        <v>0</v>
      </c>
      <c r="I196" s="344">
        <v>0</v>
      </c>
      <c r="J196" s="344">
        <v>0.25</v>
      </c>
      <c r="K196" s="344">
        <v>0</v>
      </c>
      <c r="L196" s="344">
        <v>0</v>
      </c>
      <c r="M196" s="344">
        <v>0</v>
      </c>
      <c r="N196" s="344">
        <v>0.25</v>
      </c>
      <c r="O196" s="344">
        <v>0.25</v>
      </c>
      <c r="P196" s="344">
        <v>0</v>
      </c>
      <c r="Q196" s="344">
        <v>0</v>
      </c>
      <c r="R196" s="340">
        <f t="shared" si="11"/>
        <v>1</v>
      </c>
    </row>
    <row r="197" spans="1:18" ht="15" customHeight="1" x14ac:dyDescent="0.75">
      <c r="A197" s="349">
        <v>8561</v>
      </c>
      <c r="B197" s="350" t="s">
        <v>779</v>
      </c>
      <c r="C197" s="343">
        <v>0</v>
      </c>
      <c r="D197" s="344">
        <v>0</v>
      </c>
      <c r="E197" s="344">
        <v>0</v>
      </c>
      <c r="F197" s="344">
        <v>0</v>
      </c>
      <c r="G197" s="344">
        <v>0</v>
      </c>
      <c r="H197" s="344">
        <v>0.5</v>
      </c>
      <c r="I197" s="344">
        <v>0</v>
      </c>
      <c r="J197" s="344">
        <v>0</v>
      </c>
      <c r="K197" s="344">
        <v>0.25</v>
      </c>
      <c r="L197" s="344">
        <v>0</v>
      </c>
      <c r="M197" s="344">
        <v>0</v>
      </c>
      <c r="N197" s="344">
        <v>0.25</v>
      </c>
      <c r="O197" s="344">
        <v>0</v>
      </c>
      <c r="P197" s="344">
        <v>0</v>
      </c>
      <c r="Q197" s="344">
        <v>0</v>
      </c>
      <c r="R197" s="340">
        <f t="shared" si="11"/>
        <v>1</v>
      </c>
    </row>
    <row r="198" spans="1:18" ht="15" customHeight="1" x14ac:dyDescent="0.75">
      <c r="A198" s="349">
        <v>8562</v>
      </c>
      <c r="B198" s="350" t="s">
        <v>1347</v>
      </c>
      <c r="C198" s="343">
        <v>0</v>
      </c>
      <c r="D198" s="344">
        <v>0</v>
      </c>
      <c r="E198" s="344">
        <v>0</v>
      </c>
      <c r="F198" s="344">
        <v>0</v>
      </c>
      <c r="G198" s="344">
        <v>0</v>
      </c>
      <c r="H198" s="344">
        <v>0.5</v>
      </c>
      <c r="I198" s="344">
        <v>0</v>
      </c>
      <c r="J198" s="344">
        <v>0</v>
      </c>
      <c r="K198" s="344">
        <v>0.25</v>
      </c>
      <c r="L198" s="344">
        <v>0</v>
      </c>
      <c r="M198" s="344">
        <v>0</v>
      </c>
      <c r="N198" s="344">
        <v>0.25</v>
      </c>
      <c r="O198" s="344">
        <v>0</v>
      </c>
      <c r="P198" s="344">
        <v>0</v>
      </c>
      <c r="Q198" s="344">
        <v>0</v>
      </c>
      <c r="R198" s="340">
        <f t="shared" si="11"/>
        <v>1</v>
      </c>
    </row>
    <row r="199" spans="1:18" ht="15" customHeight="1" x14ac:dyDescent="0.75">
      <c r="A199" s="349">
        <v>8590</v>
      </c>
      <c r="B199" s="350" t="s">
        <v>1502</v>
      </c>
      <c r="C199" s="344">
        <v>0</v>
      </c>
      <c r="D199" s="344">
        <v>0</v>
      </c>
      <c r="E199" s="344">
        <v>0.37</v>
      </c>
      <c r="F199" s="344">
        <v>0</v>
      </c>
      <c r="G199" s="344">
        <v>0</v>
      </c>
      <c r="H199" s="344">
        <v>0</v>
      </c>
      <c r="I199" s="344">
        <v>0.25</v>
      </c>
      <c r="J199" s="344">
        <v>0</v>
      </c>
      <c r="K199" s="344">
        <v>0</v>
      </c>
      <c r="L199" s="344">
        <v>0.13</v>
      </c>
      <c r="M199" s="344">
        <v>0</v>
      </c>
      <c r="N199" s="344">
        <v>0.25</v>
      </c>
      <c r="O199" s="344">
        <v>0</v>
      </c>
      <c r="P199" s="344">
        <v>0</v>
      </c>
      <c r="Q199" s="344">
        <v>0</v>
      </c>
      <c r="R199" s="340">
        <f t="shared" si="11"/>
        <v>1</v>
      </c>
    </row>
    <row r="200" spans="1:18" ht="15" customHeight="1" x14ac:dyDescent="0.75">
      <c r="A200" s="349">
        <v>8591</v>
      </c>
      <c r="B200" s="350" t="s">
        <v>1408</v>
      </c>
      <c r="C200" s="343">
        <v>0</v>
      </c>
      <c r="D200" s="344">
        <v>0</v>
      </c>
      <c r="E200" s="344">
        <v>0.5</v>
      </c>
      <c r="F200" s="344">
        <v>0</v>
      </c>
      <c r="G200" s="344">
        <v>0</v>
      </c>
      <c r="H200" s="344">
        <v>0</v>
      </c>
      <c r="I200" s="344">
        <v>0.5</v>
      </c>
      <c r="J200" s="344">
        <v>0</v>
      </c>
      <c r="K200" s="344">
        <v>0</v>
      </c>
      <c r="L200" s="344">
        <v>0</v>
      </c>
      <c r="M200" s="344">
        <v>0</v>
      </c>
      <c r="N200" s="344">
        <v>0</v>
      </c>
      <c r="O200" s="344">
        <v>0</v>
      </c>
      <c r="P200" s="344">
        <v>0</v>
      </c>
      <c r="Q200" s="344">
        <v>0</v>
      </c>
      <c r="R200" s="340">
        <f t="shared" si="11"/>
        <v>1</v>
      </c>
    </row>
    <row r="201" spans="1:18" ht="15" customHeight="1" x14ac:dyDescent="0.75">
      <c r="A201" s="349">
        <v>8599</v>
      </c>
      <c r="B201" s="350" t="s">
        <v>1409</v>
      </c>
      <c r="C201" s="343">
        <v>0</v>
      </c>
      <c r="D201" s="344">
        <v>0</v>
      </c>
      <c r="E201" s="344">
        <v>0.1</v>
      </c>
      <c r="F201" s="344">
        <v>0.8</v>
      </c>
      <c r="G201" s="344">
        <v>0</v>
      </c>
      <c r="H201" s="344">
        <v>0</v>
      </c>
      <c r="I201" s="344">
        <v>0</v>
      </c>
      <c r="J201" s="344">
        <v>0</v>
      </c>
      <c r="K201" s="344">
        <v>0</v>
      </c>
      <c r="L201" s="344">
        <v>0</v>
      </c>
      <c r="M201" s="344">
        <v>0</v>
      </c>
      <c r="N201" s="344">
        <v>0.1</v>
      </c>
      <c r="O201" s="344">
        <v>0</v>
      </c>
      <c r="P201" s="344">
        <v>0</v>
      </c>
      <c r="Q201" s="344">
        <v>0</v>
      </c>
      <c r="R201" s="340">
        <f t="shared" si="11"/>
        <v>1</v>
      </c>
    </row>
    <row r="202" spans="1:18" ht="15" customHeight="1" x14ac:dyDescent="0.75">
      <c r="A202" s="349">
        <v>8792</v>
      </c>
      <c r="B202" s="350" t="s">
        <v>1410</v>
      </c>
      <c r="C202" s="344">
        <v>0.05</v>
      </c>
      <c r="D202" s="344">
        <v>0.05</v>
      </c>
      <c r="E202" s="344">
        <v>0.09</v>
      </c>
      <c r="F202" s="344">
        <v>0.09</v>
      </c>
      <c r="G202" s="344">
        <v>0.09</v>
      </c>
      <c r="H202" s="344">
        <v>0.09</v>
      </c>
      <c r="I202" s="344">
        <v>0.09</v>
      </c>
      <c r="J202" s="344">
        <v>4.4699999999999997E-2</v>
      </c>
      <c r="K202" s="344">
        <v>2.1899999999999999E-2</v>
      </c>
      <c r="L202" s="344">
        <v>2.1100000000000001E-2</v>
      </c>
      <c r="M202" s="344">
        <v>2.0799999999999999E-2</v>
      </c>
      <c r="N202" s="344">
        <v>0</v>
      </c>
      <c r="O202" s="344">
        <v>0.09</v>
      </c>
      <c r="P202" s="344">
        <v>6.5600000000000006E-2</v>
      </c>
      <c r="Q202" s="344">
        <v>0.18590000000000001</v>
      </c>
      <c r="R202" s="340">
        <f t="shared" si="11"/>
        <v>1</v>
      </c>
    </row>
    <row r="203" spans="1:18" ht="15" customHeight="1" x14ac:dyDescent="0.75">
      <c r="A203" s="349" t="s">
        <v>1397</v>
      </c>
      <c r="B203" s="350">
        <v>0</v>
      </c>
      <c r="C203" s="344">
        <v>0</v>
      </c>
      <c r="D203" s="344">
        <v>0</v>
      </c>
      <c r="E203" s="344">
        <v>0.5</v>
      </c>
      <c r="F203" s="344">
        <v>0</v>
      </c>
      <c r="G203" s="344">
        <v>0</v>
      </c>
      <c r="H203" s="344">
        <v>0</v>
      </c>
      <c r="I203" s="344">
        <v>0</v>
      </c>
      <c r="J203" s="344">
        <v>0.4</v>
      </c>
      <c r="K203" s="344">
        <v>0</v>
      </c>
      <c r="L203" s="344">
        <v>0</v>
      </c>
      <c r="M203" s="344">
        <v>0.1</v>
      </c>
      <c r="N203" s="344">
        <v>0</v>
      </c>
      <c r="O203" s="344">
        <v>0</v>
      </c>
      <c r="P203" s="344">
        <v>0</v>
      </c>
      <c r="Q203" s="344">
        <v>0</v>
      </c>
      <c r="R203" s="340">
        <f t="shared" si="11"/>
        <v>1</v>
      </c>
    </row>
    <row r="204" spans="1:18" ht="15" customHeight="1" x14ac:dyDescent="0.75">
      <c r="A204" s="349" t="s">
        <v>1397</v>
      </c>
      <c r="B204" s="350">
        <v>0</v>
      </c>
      <c r="C204" s="344">
        <v>0</v>
      </c>
      <c r="D204" s="344">
        <v>0</v>
      </c>
      <c r="E204" s="344">
        <v>0.5</v>
      </c>
      <c r="F204" s="344">
        <v>0</v>
      </c>
      <c r="G204" s="344">
        <v>0</v>
      </c>
      <c r="H204" s="344">
        <v>0</v>
      </c>
      <c r="I204" s="344">
        <v>0</v>
      </c>
      <c r="J204" s="344">
        <v>0.4</v>
      </c>
      <c r="K204" s="344">
        <v>0</v>
      </c>
      <c r="L204" s="344">
        <v>0</v>
      </c>
      <c r="M204" s="344">
        <v>0.1</v>
      </c>
      <c r="N204" s="344">
        <v>0</v>
      </c>
      <c r="O204" s="344">
        <v>0</v>
      </c>
      <c r="P204" s="344">
        <v>0</v>
      </c>
      <c r="Q204" s="344">
        <v>0</v>
      </c>
      <c r="R204" s="340">
        <f t="shared" si="11"/>
        <v>1</v>
      </c>
    </row>
    <row r="205" spans="1:18" ht="15" customHeight="1" x14ac:dyDescent="0.75">
      <c r="A205" s="349" t="s">
        <v>1397</v>
      </c>
      <c r="B205" s="350">
        <v>0</v>
      </c>
      <c r="C205" s="344">
        <v>0</v>
      </c>
      <c r="D205" s="344">
        <v>0</v>
      </c>
      <c r="E205" s="344">
        <v>0.5</v>
      </c>
      <c r="F205" s="344">
        <v>0</v>
      </c>
      <c r="G205" s="344">
        <v>0</v>
      </c>
      <c r="H205" s="344">
        <v>0</v>
      </c>
      <c r="I205" s="344">
        <v>0</v>
      </c>
      <c r="J205" s="344">
        <v>0.4</v>
      </c>
      <c r="K205" s="344">
        <v>0</v>
      </c>
      <c r="L205" s="344">
        <v>0</v>
      </c>
      <c r="M205" s="344">
        <v>0.1</v>
      </c>
      <c r="N205" s="344">
        <v>0</v>
      </c>
      <c r="O205" s="344">
        <v>0</v>
      </c>
      <c r="P205" s="344">
        <v>0</v>
      </c>
      <c r="Q205" s="344">
        <v>0</v>
      </c>
      <c r="R205" s="340">
        <f t="shared" si="11"/>
        <v>1</v>
      </c>
    </row>
    <row r="206" spans="1:18" ht="15" customHeight="1" x14ac:dyDescent="0.75">
      <c r="A206" s="349" t="s">
        <v>1397</v>
      </c>
      <c r="B206" s="350">
        <v>0</v>
      </c>
      <c r="C206" s="344">
        <v>0</v>
      </c>
      <c r="D206" s="344">
        <v>0</v>
      </c>
      <c r="E206" s="344">
        <v>0.5</v>
      </c>
      <c r="F206" s="344">
        <v>0</v>
      </c>
      <c r="G206" s="344">
        <v>0</v>
      </c>
      <c r="H206" s="344">
        <v>0</v>
      </c>
      <c r="I206" s="344">
        <v>0</v>
      </c>
      <c r="J206" s="344">
        <v>0.4</v>
      </c>
      <c r="K206" s="344">
        <v>0</v>
      </c>
      <c r="L206" s="344">
        <v>0</v>
      </c>
      <c r="M206" s="344">
        <v>0.1</v>
      </c>
      <c r="N206" s="344">
        <v>0</v>
      </c>
      <c r="O206" s="344">
        <v>0</v>
      </c>
      <c r="P206" s="344">
        <v>0</v>
      </c>
      <c r="Q206" s="344">
        <v>0</v>
      </c>
      <c r="R206" s="340">
        <f t="shared" si="11"/>
        <v>1</v>
      </c>
    </row>
    <row r="207" spans="1:18" ht="15" customHeight="1" x14ac:dyDescent="0.75">
      <c r="A207" s="349" t="s">
        <v>1397</v>
      </c>
      <c r="B207" s="350">
        <v>0</v>
      </c>
      <c r="C207" s="344">
        <v>0</v>
      </c>
      <c r="D207" s="344">
        <v>0</v>
      </c>
      <c r="E207" s="344">
        <v>0.5</v>
      </c>
      <c r="F207" s="344">
        <v>0</v>
      </c>
      <c r="G207" s="344">
        <v>0</v>
      </c>
      <c r="H207" s="344">
        <v>0</v>
      </c>
      <c r="I207" s="344">
        <v>0</v>
      </c>
      <c r="J207" s="344">
        <v>0.4</v>
      </c>
      <c r="K207" s="344">
        <v>0</v>
      </c>
      <c r="L207" s="344">
        <v>0</v>
      </c>
      <c r="M207" s="344">
        <v>0.1</v>
      </c>
      <c r="N207" s="344">
        <v>0</v>
      </c>
      <c r="O207" s="344">
        <v>0</v>
      </c>
      <c r="P207" s="344">
        <v>0</v>
      </c>
      <c r="Q207" s="344">
        <v>0</v>
      </c>
      <c r="R207" s="340">
        <f t="shared" si="11"/>
        <v>1</v>
      </c>
    </row>
    <row r="208" spans="1:18" ht="15" customHeight="1" x14ac:dyDescent="0.75">
      <c r="A208" s="349" t="s">
        <v>1397</v>
      </c>
      <c r="B208" s="350">
        <v>0</v>
      </c>
      <c r="C208" s="344">
        <v>0</v>
      </c>
      <c r="D208" s="344">
        <v>0</v>
      </c>
      <c r="E208" s="344">
        <v>0.5</v>
      </c>
      <c r="F208" s="344">
        <v>0</v>
      </c>
      <c r="G208" s="344">
        <v>0</v>
      </c>
      <c r="H208" s="344">
        <v>0</v>
      </c>
      <c r="I208" s="344">
        <v>0</v>
      </c>
      <c r="J208" s="344">
        <v>0.4</v>
      </c>
      <c r="K208" s="344">
        <v>0</v>
      </c>
      <c r="L208" s="344">
        <v>0</v>
      </c>
      <c r="M208" s="344">
        <v>0.1</v>
      </c>
      <c r="N208" s="344">
        <v>0</v>
      </c>
      <c r="O208" s="344">
        <v>0</v>
      </c>
      <c r="P208" s="344">
        <v>0</v>
      </c>
      <c r="Q208" s="344">
        <v>0</v>
      </c>
      <c r="R208" s="340">
        <f t="shared" si="11"/>
        <v>1</v>
      </c>
    </row>
    <row r="209" spans="1:18" ht="15" customHeight="1" x14ac:dyDescent="0.75">
      <c r="A209" s="349" t="s">
        <v>1397</v>
      </c>
      <c r="B209" s="350">
        <v>0</v>
      </c>
      <c r="C209" s="344">
        <v>0</v>
      </c>
      <c r="D209" s="344">
        <v>0</v>
      </c>
      <c r="E209" s="344">
        <v>0.5</v>
      </c>
      <c r="F209" s="344">
        <v>0</v>
      </c>
      <c r="G209" s="344">
        <v>0</v>
      </c>
      <c r="H209" s="344">
        <v>0</v>
      </c>
      <c r="I209" s="344">
        <v>0</v>
      </c>
      <c r="J209" s="344">
        <v>0.4</v>
      </c>
      <c r="K209" s="344">
        <v>0</v>
      </c>
      <c r="L209" s="344">
        <v>0</v>
      </c>
      <c r="M209" s="344">
        <v>0.1</v>
      </c>
      <c r="N209" s="344">
        <v>0</v>
      </c>
      <c r="O209" s="344">
        <v>0</v>
      </c>
      <c r="P209" s="344">
        <v>0</v>
      </c>
      <c r="Q209" s="344">
        <v>0</v>
      </c>
      <c r="R209" s="340">
        <f t="shared" ref="R209:R232" si="12">SUM(C209:Q209)</f>
        <v>1</v>
      </c>
    </row>
    <row r="210" spans="1:18" ht="15" customHeight="1" x14ac:dyDescent="0.75">
      <c r="A210" s="349" t="s">
        <v>1397</v>
      </c>
      <c r="B210" s="350">
        <v>0</v>
      </c>
      <c r="C210" s="344">
        <v>0</v>
      </c>
      <c r="D210" s="344">
        <v>0</v>
      </c>
      <c r="E210" s="344">
        <v>0.5</v>
      </c>
      <c r="F210" s="344">
        <v>0</v>
      </c>
      <c r="G210" s="344">
        <v>0</v>
      </c>
      <c r="H210" s="344">
        <v>0</v>
      </c>
      <c r="I210" s="344">
        <v>0</v>
      </c>
      <c r="J210" s="344">
        <v>0.4</v>
      </c>
      <c r="K210" s="344">
        <v>0</v>
      </c>
      <c r="L210" s="344">
        <v>0</v>
      </c>
      <c r="M210" s="344">
        <v>0.1</v>
      </c>
      <c r="N210" s="344">
        <v>0</v>
      </c>
      <c r="O210" s="344">
        <v>0</v>
      </c>
      <c r="P210" s="344">
        <v>0</v>
      </c>
      <c r="Q210" s="344">
        <v>0</v>
      </c>
      <c r="R210" s="340">
        <f t="shared" si="12"/>
        <v>1</v>
      </c>
    </row>
    <row r="211" spans="1:18" ht="15" customHeight="1" x14ac:dyDescent="0.75">
      <c r="A211" s="349" t="s">
        <v>1397</v>
      </c>
      <c r="B211" s="350">
        <v>0</v>
      </c>
      <c r="C211" s="344">
        <v>0</v>
      </c>
      <c r="D211" s="344">
        <v>0</v>
      </c>
      <c r="E211" s="344">
        <v>0.5</v>
      </c>
      <c r="F211" s="344">
        <v>0</v>
      </c>
      <c r="G211" s="344">
        <v>0</v>
      </c>
      <c r="H211" s="344">
        <v>0</v>
      </c>
      <c r="I211" s="344">
        <v>0</v>
      </c>
      <c r="J211" s="344">
        <v>0.4</v>
      </c>
      <c r="K211" s="344">
        <v>0</v>
      </c>
      <c r="L211" s="344">
        <v>0</v>
      </c>
      <c r="M211" s="344">
        <v>0.1</v>
      </c>
      <c r="N211" s="344">
        <v>0</v>
      </c>
      <c r="O211" s="344">
        <v>0</v>
      </c>
      <c r="P211" s="344">
        <v>0</v>
      </c>
      <c r="Q211" s="344">
        <v>0</v>
      </c>
      <c r="R211" s="340">
        <f t="shared" si="12"/>
        <v>1</v>
      </c>
    </row>
    <row r="212" spans="1:18" ht="15" customHeight="1" thickBot="1" x14ac:dyDescent="0.9">
      <c r="A212" s="351" t="s">
        <v>1397</v>
      </c>
      <c r="B212" s="352">
        <v>0</v>
      </c>
      <c r="C212" s="348">
        <v>0</v>
      </c>
      <c r="D212" s="348">
        <v>0</v>
      </c>
      <c r="E212" s="348">
        <v>0.5</v>
      </c>
      <c r="F212" s="348">
        <v>0</v>
      </c>
      <c r="G212" s="348">
        <v>0</v>
      </c>
      <c r="H212" s="348">
        <v>0</v>
      </c>
      <c r="I212" s="348">
        <v>0</v>
      </c>
      <c r="J212" s="348">
        <v>0.4</v>
      </c>
      <c r="K212" s="348">
        <v>0</v>
      </c>
      <c r="L212" s="348">
        <v>0</v>
      </c>
      <c r="M212" s="348">
        <v>0.1</v>
      </c>
      <c r="N212" s="348">
        <v>0</v>
      </c>
      <c r="O212" s="348">
        <v>0</v>
      </c>
      <c r="P212" s="348">
        <v>0</v>
      </c>
      <c r="Q212" s="348">
        <v>0</v>
      </c>
      <c r="R212" s="340">
        <f t="shared" si="12"/>
        <v>1</v>
      </c>
    </row>
    <row r="213" spans="1:18" ht="15" customHeight="1" x14ac:dyDescent="0.75">
      <c r="A213" s="349">
        <v>8639</v>
      </c>
      <c r="B213" s="350" t="s">
        <v>628</v>
      </c>
      <c r="C213" s="344">
        <v>8.3000000000000004E-2</v>
      </c>
      <c r="D213" s="344">
        <v>8.3000000000000004E-2</v>
      </c>
      <c r="E213" s="344">
        <v>8.3000000000000004E-2</v>
      </c>
      <c r="F213" s="344">
        <v>8.3000000000000004E-2</v>
      </c>
      <c r="G213" s="344">
        <v>8.3000000000000004E-2</v>
      </c>
      <c r="H213" s="344">
        <v>8.3000000000000004E-2</v>
      </c>
      <c r="I213" s="344">
        <v>8.3000000000000004E-2</v>
      </c>
      <c r="J213" s="344">
        <v>8.3000000000000004E-2</v>
      </c>
      <c r="K213" s="344">
        <v>8.4000000000000005E-2</v>
      </c>
      <c r="L213" s="344">
        <v>8.4000000000000005E-2</v>
      </c>
      <c r="M213" s="344">
        <v>8.4000000000000005E-2</v>
      </c>
      <c r="N213" s="344">
        <v>8.4000000000000005E-2</v>
      </c>
      <c r="O213" s="344">
        <v>0</v>
      </c>
      <c r="P213" s="344">
        <v>0</v>
      </c>
      <c r="Q213" s="344">
        <v>0</v>
      </c>
      <c r="R213" s="340">
        <f t="shared" si="12"/>
        <v>0.99999999999999989</v>
      </c>
    </row>
    <row r="214" spans="1:18" ht="15" customHeight="1" x14ac:dyDescent="0.75">
      <c r="A214" s="349">
        <v>8660</v>
      </c>
      <c r="B214" s="350" t="s">
        <v>624</v>
      </c>
      <c r="C214" s="344">
        <v>8.3000000000000004E-2</v>
      </c>
      <c r="D214" s="344">
        <v>8.3000000000000004E-2</v>
      </c>
      <c r="E214" s="344">
        <v>8.3000000000000004E-2</v>
      </c>
      <c r="F214" s="344">
        <v>8.3000000000000004E-2</v>
      </c>
      <c r="G214" s="344">
        <v>8.3000000000000004E-2</v>
      </c>
      <c r="H214" s="344">
        <v>8.3000000000000004E-2</v>
      </c>
      <c r="I214" s="344">
        <v>8.3000000000000004E-2</v>
      </c>
      <c r="J214" s="344">
        <v>8.3000000000000004E-2</v>
      </c>
      <c r="K214" s="344">
        <v>8.4000000000000005E-2</v>
      </c>
      <c r="L214" s="344">
        <v>8.4000000000000005E-2</v>
      </c>
      <c r="M214" s="344">
        <v>8.4000000000000005E-2</v>
      </c>
      <c r="N214" s="344">
        <v>8.4000000000000005E-2</v>
      </c>
      <c r="O214" s="344">
        <v>0</v>
      </c>
      <c r="P214" s="344">
        <v>0</v>
      </c>
      <c r="Q214" s="344">
        <v>0</v>
      </c>
      <c r="R214" s="340">
        <f t="shared" si="12"/>
        <v>0.99999999999999989</v>
      </c>
    </row>
    <row r="215" spans="1:18" ht="15" customHeight="1" x14ac:dyDescent="0.75">
      <c r="A215" s="349">
        <v>8682</v>
      </c>
      <c r="B215" s="350" t="s">
        <v>1411</v>
      </c>
      <c r="C215" s="344">
        <v>0</v>
      </c>
      <c r="D215" s="344">
        <v>0</v>
      </c>
      <c r="E215" s="344">
        <v>0.1</v>
      </c>
      <c r="F215" s="344">
        <v>0.1</v>
      </c>
      <c r="G215" s="344">
        <v>0.1</v>
      </c>
      <c r="H215" s="344">
        <v>0.1</v>
      </c>
      <c r="I215" s="344">
        <v>0.1</v>
      </c>
      <c r="J215" s="344">
        <v>0.1</v>
      </c>
      <c r="K215" s="344">
        <v>0.1</v>
      </c>
      <c r="L215" s="344">
        <v>0.1</v>
      </c>
      <c r="M215" s="344">
        <v>0.1</v>
      </c>
      <c r="N215" s="344">
        <v>0.1</v>
      </c>
      <c r="O215" s="344">
        <v>0</v>
      </c>
      <c r="P215" s="344">
        <v>0</v>
      </c>
      <c r="Q215" s="344">
        <v>0</v>
      </c>
      <c r="R215" s="340">
        <f t="shared" si="12"/>
        <v>0.99999999999999989</v>
      </c>
    </row>
    <row r="216" spans="1:18" ht="15" customHeight="1" x14ac:dyDescent="0.75">
      <c r="A216" s="349">
        <v>8684</v>
      </c>
      <c r="B216" s="350" t="s">
        <v>629</v>
      </c>
      <c r="C216" s="344">
        <v>0</v>
      </c>
      <c r="D216" s="344">
        <v>0</v>
      </c>
      <c r="E216" s="344">
        <v>0.1</v>
      </c>
      <c r="F216" s="344">
        <v>0.1</v>
      </c>
      <c r="G216" s="344">
        <v>0.1</v>
      </c>
      <c r="H216" s="344">
        <v>0.1</v>
      </c>
      <c r="I216" s="344">
        <v>0.1</v>
      </c>
      <c r="J216" s="344">
        <v>0.1</v>
      </c>
      <c r="K216" s="344">
        <v>0.1</v>
      </c>
      <c r="L216" s="344">
        <v>0.1</v>
      </c>
      <c r="M216" s="344">
        <v>0.1</v>
      </c>
      <c r="N216" s="344">
        <v>0.1</v>
      </c>
      <c r="O216" s="344">
        <v>0</v>
      </c>
      <c r="P216" s="344">
        <v>0</v>
      </c>
      <c r="Q216" s="344">
        <v>0</v>
      </c>
      <c r="R216" s="340">
        <f t="shared" si="12"/>
        <v>0.99999999999999989</v>
      </c>
    </row>
    <row r="217" spans="1:18" ht="15" customHeight="1" x14ac:dyDescent="0.75">
      <c r="A217" s="349">
        <v>8685</v>
      </c>
      <c r="B217" s="350" t="s">
        <v>630</v>
      </c>
      <c r="C217" s="344">
        <v>0</v>
      </c>
      <c r="D217" s="344">
        <v>0</v>
      </c>
      <c r="E217" s="344">
        <v>0.1</v>
      </c>
      <c r="F217" s="344">
        <v>0.1</v>
      </c>
      <c r="G217" s="344">
        <v>0.1</v>
      </c>
      <c r="H217" s="344">
        <v>0.1</v>
      </c>
      <c r="I217" s="344">
        <v>0.1</v>
      </c>
      <c r="J217" s="344">
        <v>0.1</v>
      </c>
      <c r="K217" s="344">
        <v>0.1</v>
      </c>
      <c r="L217" s="344">
        <v>0.1</v>
      </c>
      <c r="M217" s="344">
        <v>0.1</v>
      </c>
      <c r="N217" s="344">
        <v>0.1</v>
      </c>
      <c r="O217" s="344">
        <v>0</v>
      </c>
      <c r="P217" s="344">
        <v>0</v>
      </c>
      <c r="Q217" s="344">
        <v>0</v>
      </c>
      <c r="R217" s="340">
        <f t="shared" si="12"/>
        <v>0.99999999999999989</v>
      </c>
    </row>
    <row r="218" spans="1:18" ht="15" customHeight="1" x14ac:dyDescent="0.75">
      <c r="A218" s="349">
        <v>8693</v>
      </c>
      <c r="B218" s="350" t="s">
        <v>1412</v>
      </c>
      <c r="C218" s="344">
        <v>0</v>
      </c>
      <c r="D218" s="344">
        <v>0</v>
      </c>
      <c r="E218" s="344">
        <v>0.1</v>
      </c>
      <c r="F218" s="344">
        <v>0.1</v>
      </c>
      <c r="G218" s="344">
        <v>0.1</v>
      </c>
      <c r="H218" s="344">
        <v>0.1</v>
      </c>
      <c r="I218" s="344">
        <v>0.1</v>
      </c>
      <c r="J218" s="344">
        <v>0.1</v>
      </c>
      <c r="K218" s="344">
        <v>0.1</v>
      </c>
      <c r="L218" s="344">
        <v>0.1</v>
      </c>
      <c r="M218" s="344">
        <v>0.1</v>
      </c>
      <c r="N218" s="344">
        <v>0.1</v>
      </c>
      <c r="O218" s="344">
        <v>0</v>
      </c>
      <c r="P218" s="344">
        <v>0</v>
      </c>
      <c r="Q218" s="344">
        <v>0</v>
      </c>
      <c r="R218" s="340">
        <f t="shared" si="12"/>
        <v>0.99999999999999989</v>
      </c>
    </row>
    <row r="219" spans="1:18" ht="15" customHeight="1" x14ac:dyDescent="0.75">
      <c r="A219" s="349">
        <v>8698</v>
      </c>
      <c r="B219" s="350" t="s">
        <v>1413</v>
      </c>
      <c r="C219" s="344">
        <v>0</v>
      </c>
      <c r="D219" s="344">
        <v>0</v>
      </c>
      <c r="E219" s="344">
        <v>0.1</v>
      </c>
      <c r="F219" s="344">
        <v>0.1</v>
      </c>
      <c r="G219" s="344">
        <v>0.1</v>
      </c>
      <c r="H219" s="344">
        <v>0.1</v>
      </c>
      <c r="I219" s="344">
        <v>0.1</v>
      </c>
      <c r="J219" s="344">
        <v>0.1</v>
      </c>
      <c r="K219" s="344">
        <v>0.1</v>
      </c>
      <c r="L219" s="344">
        <v>0.1</v>
      </c>
      <c r="M219" s="344">
        <v>0.1</v>
      </c>
      <c r="N219" s="344">
        <v>0.1</v>
      </c>
      <c r="O219" s="344">
        <v>0</v>
      </c>
      <c r="P219" s="344">
        <v>0</v>
      </c>
      <c r="Q219" s="344">
        <v>0</v>
      </c>
      <c r="R219" s="340">
        <f t="shared" si="12"/>
        <v>0.99999999999999989</v>
      </c>
    </row>
    <row r="220" spans="1:18" ht="15" customHeight="1" x14ac:dyDescent="0.75">
      <c r="A220" s="349">
        <v>8699</v>
      </c>
      <c r="B220" s="350" t="s">
        <v>1090</v>
      </c>
      <c r="C220" s="344">
        <v>0</v>
      </c>
      <c r="D220" s="344">
        <v>0</v>
      </c>
      <c r="E220" s="344">
        <v>0.1</v>
      </c>
      <c r="F220" s="344">
        <v>0.1</v>
      </c>
      <c r="G220" s="344">
        <v>0.1</v>
      </c>
      <c r="H220" s="344">
        <v>0.1</v>
      </c>
      <c r="I220" s="344">
        <v>0.1</v>
      </c>
      <c r="J220" s="344">
        <v>0.1</v>
      </c>
      <c r="K220" s="344">
        <v>0.1</v>
      </c>
      <c r="L220" s="344">
        <v>0.1</v>
      </c>
      <c r="M220" s="344">
        <v>0.1</v>
      </c>
      <c r="N220" s="344">
        <v>0.1</v>
      </c>
      <c r="O220" s="344">
        <v>0</v>
      </c>
      <c r="P220" s="344">
        <v>0</v>
      </c>
      <c r="Q220" s="344">
        <v>0</v>
      </c>
      <c r="R220" s="340">
        <f t="shared" si="12"/>
        <v>0.99999999999999989</v>
      </c>
    </row>
    <row r="221" spans="1:18" ht="15" customHeight="1" x14ac:dyDescent="0.75">
      <c r="A221" s="349">
        <v>8701</v>
      </c>
      <c r="B221" s="350" t="s">
        <v>1414</v>
      </c>
      <c r="C221" s="344">
        <v>0</v>
      </c>
      <c r="D221" s="344">
        <v>0</v>
      </c>
      <c r="E221" s="344">
        <v>0.1</v>
      </c>
      <c r="F221" s="344">
        <v>0.1</v>
      </c>
      <c r="G221" s="344">
        <v>0.1</v>
      </c>
      <c r="H221" s="344">
        <v>0.1</v>
      </c>
      <c r="I221" s="344">
        <v>0.1</v>
      </c>
      <c r="J221" s="344">
        <v>0.1</v>
      </c>
      <c r="K221" s="344">
        <v>0.1</v>
      </c>
      <c r="L221" s="344">
        <v>0.1</v>
      </c>
      <c r="M221" s="344">
        <v>0.1</v>
      </c>
      <c r="N221" s="344">
        <v>0.1</v>
      </c>
      <c r="O221" s="344">
        <v>0</v>
      </c>
      <c r="P221" s="344">
        <v>0</v>
      </c>
      <c r="Q221" s="344">
        <v>0</v>
      </c>
      <c r="R221" s="340">
        <f t="shared" si="12"/>
        <v>0.99999999999999989</v>
      </c>
    </row>
    <row r="222" spans="1:18" ht="15" customHeight="1" x14ac:dyDescent="0.75">
      <c r="A222" s="349">
        <v>8910</v>
      </c>
      <c r="B222" s="350" t="s">
        <v>1415</v>
      </c>
      <c r="C222" s="344">
        <v>0</v>
      </c>
      <c r="D222" s="344">
        <v>0</v>
      </c>
      <c r="E222" s="344">
        <v>0.1</v>
      </c>
      <c r="F222" s="344">
        <v>0.1</v>
      </c>
      <c r="G222" s="344">
        <v>0.1</v>
      </c>
      <c r="H222" s="344">
        <v>0.1</v>
      </c>
      <c r="I222" s="344">
        <v>0.1</v>
      </c>
      <c r="J222" s="344">
        <v>0.1</v>
      </c>
      <c r="K222" s="344">
        <v>0.1</v>
      </c>
      <c r="L222" s="344">
        <v>0.1</v>
      </c>
      <c r="M222" s="344">
        <v>0.1</v>
      </c>
      <c r="N222" s="344">
        <v>0.1</v>
      </c>
      <c r="O222" s="344">
        <v>0</v>
      </c>
      <c r="P222" s="344">
        <v>0</v>
      </c>
      <c r="Q222" s="344">
        <v>0</v>
      </c>
      <c r="R222" s="340">
        <f t="shared" si="12"/>
        <v>0.99999999999999989</v>
      </c>
    </row>
    <row r="223" spans="1:18" ht="15" customHeight="1" x14ac:dyDescent="0.75">
      <c r="A223" s="349">
        <v>8986</v>
      </c>
      <c r="B223" s="350" t="s">
        <v>631</v>
      </c>
      <c r="C223" s="344">
        <v>0</v>
      </c>
      <c r="D223" s="344">
        <v>0</v>
      </c>
      <c r="E223" s="344">
        <v>0.1</v>
      </c>
      <c r="F223" s="344">
        <v>0.1</v>
      </c>
      <c r="G223" s="344">
        <v>0.1</v>
      </c>
      <c r="H223" s="344">
        <v>0.1</v>
      </c>
      <c r="I223" s="344">
        <v>0.1</v>
      </c>
      <c r="J223" s="344">
        <v>0.1</v>
      </c>
      <c r="K223" s="344">
        <v>0.1</v>
      </c>
      <c r="L223" s="344">
        <v>0.1</v>
      </c>
      <c r="M223" s="344">
        <v>0.1</v>
      </c>
      <c r="N223" s="344">
        <v>0.1</v>
      </c>
      <c r="O223" s="344">
        <v>0</v>
      </c>
      <c r="P223" s="344">
        <v>0</v>
      </c>
      <c r="Q223" s="344">
        <v>0</v>
      </c>
      <c r="R223" s="340">
        <f t="shared" si="12"/>
        <v>0.99999999999999989</v>
      </c>
    </row>
    <row r="224" spans="1:18" ht="15" customHeight="1" x14ac:dyDescent="0.75">
      <c r="A224" s="355">
        <v>8999</v>
      </c>
      <c r="B224" s="350" t="s">
        <v>1093</v>
      </c>
      <c r="C224" s="344">
        <v>0</v>
      </c>
      <c r="D224" s="344">
        <v>0</v>
      </c>
      <c r="E224" s="344">
        <v>0.1</v>
      </c>
      <c r="F224" s="344">
        <v>0.1</v>
      </c>
      <c r="G224" s="344">
        <v>0.1</v>
      </c>
      <c r="H224" s="344">
        <v>0.1</v>
      </c>
      <c r="I224" s="344">
        <v>0.1</v>
      </c>
      <c r="J224" s="344">
        <v>0.1</v>
      </c>
      <c r="K224" s="344">
        <v>0.1</v>
      </c>
      <c r="L224" s="344">
        <v>0.1</v>
      </c>
      <c r="M224" s="344">
        <v>0.1</v>
      </c>
      <c r="N224" s="344">
        <v>0.1</v>
      </c>
      <c r="O224" s="344">
        <v>0</v>
      </c>
      <c r="P224" s="344">
        <v>0</v>
      </c>
      <c r="Q224" s="344">
        <v>0</v>
      </c>
      <c r="R224" s="340">
        <f t="shared" si="12"/>
        <v>0.99999999999999989</v>
      </c>
    </row>
    <row r="225" spans="1:18" ht="15" customHeight="1" x14ac:dyDescent="0.75">
      <c r="A225" s="349">
        <v>8688</v>
      </c>
      <c r="B225" s="350" t="s">
        <v>1416</v>
      </c>
      <c r="C225" s="344">
        <v>0</v>
      </c>
      <c r="D225" s="344">
        <v>0</v>
      </c>
      <c r="E225" s="344">
        <v>0.1</v>
      </c>
      <c r="F225" s="344">
        <v>0.1</v>
      </c>
      <c r="G225" s="344">
        <v>0.1</v>
      </c>
      <c r="H225" s="344">
        <v>0.1</v>
      </c>
      <c r="I225" s="344">
        <v>0.1</v>
      </c>
      <c r="J225" s="344">
        <v>0.1</v>
      </c>
      <c r="K225" s="344">
        <v>0.1</v>
      </c>
      <c r="L225" s="344">
        <v>0.1</v>
      </c>
      <c r="M225" s="344">
        <v>0.1</v>
      </c>
      <c r="N225" s="344">
        <v>0.1</v>
      </c>
      <c r="O225" s="344">
        <v>0</v>
      </c>
      <c r="P225" s="344">
        <v>0</v>
      </c>
      <c r="Q225" s="344">
        <v>0</v>
      </c>
      <c r="R225" s="340">
        <f t="shared" si="12"/>
        <v>0.99999999999999989</v>
      </c>
    </row>
    <row r="226" spans="1:18" ht="15" customHeight="1" x14ac:dyDescent="0.75">
      <c r="A226" s="349">
        <v>8982</v>
      </c>
      <c r="B226" s="350" t="s">
        <v>1474</v>
      </c>
      <c r="C226" s="344">
        <v>0</v>
      </c>
      <c r="D226" s="344">
        <v>0</v>
      </c>
      <c r="E226" s="344">
        <v>0.1</v>
      </c>
      <c r="F226" s="344">
        <v>0.1</v>
      </c>
      <c r="G226" s="344">
        <v>0.1</v>
      </c>
      <c r="H226" s="344">
        <v>0.1</v>
      </c>
      <c r="I226" s="344">
        <v>0.1</v>
      </c>
      <c r="J226" s="344">
        <v>0.1</v>
      </c>
      <c r="K226" s="344">
        <v>0.1</v>
      </c>
      <c r="L226" s="344">
        <v>0.1</v>
      </c>
      <c r="M226" s="344">
        <v>0.1</v>
      </c>
      <c r="N226" s="344">
        <v>0.1</v>
      </c>
      <c r="O226" s="344">
        <v>0</v>
      </c>
      <c r="P226" s="344">
        <v>0</v>
      </c>
      <c r="Q226" s="344">
        <v>0</v>
      </c>
      <c r="R226" s="340">
        <f t="shared" si="12"/>
        <v>0.99999999999999989</v>
      </c>
    </row>
    <row r="227" spans="1:18" ht="15" customHeight="1" x14ac:dyDescent="0.75">
      <c r="A227" s="349">
        <v>8662</v>
      </c>
      <c r="B227" s="350" t="s">
        <v>1635</v>
      </c>
      <c r="C227" s="344">
        <v>0</v>
      </c>
      <c r="D227" s="344">
        <v>0</v>
      </c>
      <c r="E227" s="344">
        <v>0.1</v>
      </c>
      <c r="F227" s="344">
        <v>0.1</v>
      </c>
      <c r="G227" s="344">
        <v>0.1</v>
      </c>
      <c r="H227" s="344">
        <v>0.1</v>
      </c>
      <c r="I227" s="344">
        <v>0.1</v>
      </c>
      <c r="J227" s="344">
        <v>0.1</v>
      </c>
      <c r="K227" s="344">
        <v>0.1</v>
      </c>
      <c r="L227" s="344">
        <v>0.1</v>
      </c>
      <c r="M227" s="344">
        <v>0.1</v>
      </c>
      <c r="N227" s="344">
        <v>0.1</v>
      </c>
      <c r="O227" s="344">
        <v>0</v>
      </c>
      <c r="P227" s="344">
        <v>0</v>
      </c>
      <c r="Q227" s="344">
        <v>0</v>
      </c>
      <c r="R227" s="340">
        <f t="shared" ref="R227" si="13">SUM(C227:Q227)</f>
        <v>0.99999999999999989</v>
      </c>
    </row>
    <row r="228" spans="1:18" ht="15" customHeight="1" x14ac:dyDescent="0.75">
      <c r="A228" s="349" t="s">
        <v>1397</v>
      </c>
      <c r="B228" s="350">
        <v>0</v>
      </c>
      <c r="C228" s="344">
        <v>0</v>
      </c>
      <c r="D228" s="344">
        <v>0</v>
      </c>
      <c r="E228" s="344">
        <v>0.5</v>
      </c>
      <c r="F228" s="344">
        <v>0</v>
      </c>
      <c r="G228" s="344">
        <v>0</v>
      </c>
      <c r="H228" s="344">
        <v>0</v>
      </c>
      <c r="I228" s="344">
        <v>0</v>
      </c>
      <c r="J228" s="344">
        <v>0.4</v>
      </c>
      <c r="K228" s="344">
        <v>0</v>
      </c>
      <c r="L228" s="344">
        <v>0</v>
      </c>
      <c r="M228" s="344">
        <v>0.1</v>
      </c>
      <c r="N228" s="344">
        <v>0</v>
      </c>
      <c r="O228" s="344">
        <v>0</v>
      </c>
      <c r="P228" s="344">
        <v>0</v>
      </c>
      <c r="Q228" s="344">
        <v>0</v>
      </c>
      <c r="R228" s="340">
        <f t="shared" si="12"/>
        <v>1</v>
      </c>
    </row>
    <row r="229" spans="1:18" ht="15" customHeight="1" x14ac:dyDescent="0.75">
      <c r="A229" s="349" t="s">
        <v>1397</v>
      </c>
      <c r="B229" s="350">
        <v>0</v>
      </c>
      <c r="C229" s="344">
        <v>0</v>
      </c>
      <c r="D229" s="344">
        <v>0</v>
      </c>
      <c r="E229" s="344">
        <v>0.5</v>
      </c>
      <c r="F229" s="344">
        <v>0</v>
      </c>
      <c r="G229" s="344">
        <v>0</v>
      </c>
      <c r="H229" s="344">
        <v>0</v>
      </c>
      <c r="I229" s="344">
        <v>0</v>
      </c>
      <c r="J229" s="344">
        <v>0.4</v>
      </c>
      <c r="K229" s="344">
        <v>0</v>
      </c>
      <c r="L229" s="344">
        <v>0</v>
      </c>
      <c r="M229" s="344">
        <v>0.1</v>
      </c>
      <c r="N229" s="344">
        <v>0</v>
      </c>
      <c r="O229" s="344">
        <v>0</v>
      </c>
      <c r="P229" s="344">
        <v>0</v>
      </c>
      <c r="Q229" s="344">
        <v>0</v>
      </c>
      <c r="R229" s="340">
        <f t="shared" si="12"/>
        <v>1</v>
      </c>
    </row>
    <row r="230" spans="1:18" ht="15" customHeight="1" x14ac:dyDescent="0.75">
      <c r="A230" s="349" t="s">
        <v>1397</v>
      </c>
      <c r="B230" s="350">
        <v>0</v>
      </c>
      <c r="C230" s="344">
        <v>0</v>
      </c>
      <c r="D230" s="344">
        <v>0</v>
      </c>
      <c r="E230" s="344">
        <v>0.5</v>
      </c>
      <c r="F230" s="344">
        <v>0</v>
      </c>
      <c r="G230" s="344">
        <v>0</v>
      </c>
      <c r="H230" s="344">
        <v>0</v>
      </c>
      <c r="I230" s="344">
        <v>0</v>
      </c>
      <c r="J230" s="344">
        <v>0.4</v>
      </c>
      <c r="K230" s="344">
        <v>0</v>
      </c>
      <c r="L230" s="344">
        <v>0</v>
      </c>
      <c r="M230" s="344">
        <v>0.1</v>
      </c>
      <c r="N230" s="344">
        <v>0</v>
      </c>
      <c r="O230" s="344">
        <v>0</v>
      </c>
      <c r="P230" s="344">
        <v>0</v>
      </c>
      <c r="Q230" s="344">
        <v>0</v>
      </c>
      <c r="R230" s="340">
        <f t="shared" si="12"/>
        <v>1</v>
      </c>
    </row>
    <row r="231" spans="1:18" ht="15" customHeight="1" x14ac:dyDescent="0.75">
      <c r="A231" s="349" t="s">
        <v>1397</v>
      </c>
      <c r="B231" s="350">
        <v>0</v>
      </c>
      <c r="C231" s="344">
        <v>0</v>
      </c>
      <c r="D231" s="344">
        <v>0</v>
      </c>
      <c r="E231" s="344">
        <v>0.5</v>
      </c>
      <c r="F231" s="344">
        <v>0</v>
      </c>
      <c r="G231" s="344">
        <v>0</v>
      </c>
      <c r="H231" s="344">
        <v>0</v>
      </c>
      <c r="I231" s="344">
        <v>0</v>
      </c>
      <c r="J231" s="344">
        <v>0.4</v>
      </c>
      <c r="K231" s="344">
        <v>0</v>
      </c>
      <c r="L231" s="344">
        <v>0</v>
      </c>
      <c r="M231" s="344">
        <v>0.1</v>
      </c>
      <c r="N231" s="344">
        <v>0</v>
      </c>
      <c r="O231" s="344">
        <v>0</v>
      </c>
      <c r="P231" s="344">
        <v>0</v>
      </c>
      <c r="Q231" s="344">
        <v>0</v>
      </c>
      <c r="R231" s="340">
        <f t="shared" si="12"/>
        <v>1</v>
      </c>
    </row>
    <row r="232" spans="1:18" ht="15" customHeight="1" thickBot="1" x14ac:dyDescent="0.9">
      <c r="A232" s="351" t="s">
        <v>1397</v>
      </c>
      <c r="B232" s="352">
        <v>0</v>
      </c>
      <c r="C232" s="347">
        <v>0</v>
      </c>
      <c r="D232" s="348">
        <v>0</v>
      </c>
      <c r="E232" s="348">
        <v>0.5</v>
      </c>
      <c r="F232" s="348">
        <v>0</v>
      </c>
      <c r="G232" s="348">
        <v>0</v>
      </c>
      <c r="H232" s="348">
        <v>0</v>
      </c>
      <c r="I232" s="348">
        <v>0</v>
      </c>
      <c r="J232" s="348">
        <v>0.4</v>
      </c>
      <c r="K232" s="348">
        <v>0</v>
      </c>
      <c r="L232" s="348">
        <v>0</v>
      </c>
      <c r="M232" s="348">
        <v>0.1</v>
      </c>
      <c r="N232" s="348">
        <v>0</v>
      </c>
      <c r="O232" s="348">
        <v>0</v>
      </c>
      <c r="P232" s="348">
        <v>0</v>
      </c>
      <c r="Q232" s="348">
        <v>0</v>
      </c>
      <c r="R232" s="340">
        <f t="shared" si="12"/>
        <v>1</v>
      </c>
    </row>
  </sheetData>
  <autoFilter ref="A3:R3" xr:uid="{762854A9-5A28-438C-B179-00C8EFEDFE9A}"/>
  <pageMargins left="0.20000000298023224" right="0.20000000298023224" top="0.20000000298023224" bottom="0.20000000298023224"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74892-CEE8-469E-A0B3-875F648F69FB}">
  <sheetPr filterMode="1">
    <tabColor theme="5"/>
  </sheetPr>
  <dimension ref="A1:W231"/>
  <sheetViews>
    <sheetView zoomScale="85" zoomScaleNormal="85" workbookViewId="0">
      <pane xSplit="2" ySplit="3" topLeftCell="C98" activePane="bottomRight" state="frozen"/>
      <selection pane="topRight" activeCell="C1" sqref="C1"/>
      <selection pane="bottomLeft" activeCell="A4" sqref="A4"/>
      <selection pane="bottomRight" activeCell="A4" sqref="A4:A226"/>
    </sheetView>
  </sheetViews>
  <sheetFormatPr defaultColWidth="8.86328125" defaultRowHeight="14.75" x14ac:dyDescent="0.75"/>
  <cols>
    <col min="1" max="1" width="17.6796875" style="335" customWidth="1"/>
    <col min="2" max="2" width="27.453125" style="335" customWidth="1"/>
    <col min="3" max="17" width="16.453125" style="335" customWidth="1"/>
    <col min="18" max="18" width="8.86328125" style="335"/>
    <col min="19" max="19" width="22.31640625" style="501" bestFit="1" customWidth="1"/>
    <col min="20" max="21" width="21.31640625" style="501" bestFit="1" customWidth="1"/>
    <col min="22" max="22" width="21.31640625" style="335" bestFit="1" customWidth="1"/>
    <col min="23" max="23" width="22.31640625" style="335" bestFit="1" customWidth="1"/>
    <col min="24" max="16384" width="8.86328125" style="335"/>
  </cols>
  <sheetData>
    <row r="1" spans="1:23" s="330" customFormat="1" ht="15" customHeight="1" x14ac:dyDescent="0.75">
      <c r="C1" s="330" t="str">
        <f>+'Distribution %'!C1</f>
        <v>ACTUAL</v>
      </c>
      <c r="D1" s="330" t="str">
        <f>+'Distribution %'!D1</f>
        <v>ACTUAL</v>
      </c>
      <c r="E1" s="330" t="str">
        <f>+'Distribution %'!E1</f>
        <v>ACTUAL</v>
      </c>
      <c r="F1" s="330" t="str">
        <f>+'Distribution %'!F1</f>
        <v>ACTUAL</v>
      </c>
      <c r="G1" s="330" t="str">
        <f>+'Distribution %'!G1</f>
        <v>ACTUAL</v>
      </c>
      <c r="H1" s="330" t="str">
        <f>+'Distribution %'!H1</f>
        <v>ACTUAL</v>
      </c>
      <c r="I1" s="330" t="str">
        <f>+'Distribution %'!I1</f>
        <v>ACTUAL</v>
      </c>
      <c r="J1" s="330" t="str">
        <f>+'Distribution %'!J1</f>
        <v>BUDGET</v>
      </c>
      <c r="K1" s="330" t="str">
        <f>+'Distribution %'!K1</f>
        <v>BUDGET</v>
      </c>
      <c r="L1" s="330" t="str">
        <f>+'Distribution %'!L1</f>
        <v>BUDGET</v>
      </c>
      <c r="M1" s="330" t="str">
        <f>+'Distribution %'!M1</f>
        <v>BUDGET</v>
      </c>
      <c r="N1" s="330" t="str">
        <f>+'Distribution %'!N1</f>
        <v>BUDGET</v>
      </c>
      <c r="O1" s="330" t="str">
        <f>+'Distribution %'!O1</f>
        <v>BUDGET</v>
      </c>
      <c r="P1" s="330" t="str">
        <f>+'Distribution %'!P1</f>
        <v>BUDGET</v>
      </c>
      <c r="Q1" s="330" t="str">
        <f>+'Distribution %'!Q1</f>
        <v>BUDGET</v>
      </c>
      <c r="S1" s="501">
        <f ca="1">+SUM(S169:S231)-SUM(S4:S168)</f>
        <v>1194279.1078939587</v>
      </c>
      <c r="T1" s="501">
        <f ca="1">+SUM(T169:T231)-SUM(T4:T168)</f>
        <v>-694767.60999999754</v>
      </c>
      <c r="U1" s="501">
        <f ca="1">+SUM(U169:U231)-SUM(U4:U168)</f>
        <v>1889046.7178939544</v>
      </c>
    </row>
    <row r="2" spans="1:23" s="330" customFormat="1" ht="15" customHeight="1" x14ac:dyDescent="0.75">
      <c r="C2" s="331">
        <v>1</v>
      </c>
      <c r="D2" s="331">
        <v>2</v>
      </c>
      <c r="E2" s="331">
        <v>3</v>
      </c>
      <c r="F2" s="331">
        <v>4</v>
      </c>
      <c r="G2" s="331">
        <v>5</v>
      </c>
      <c r="H2" s="331">
        <v>6</v>
      </c>
      <c r="I2" s="331">
        <v>7</v>
      </c>
      <c r="J2" s="331">
        <v>8</v>
      </c>
      <c r="K2" s="331">
        <v>9</v>
      </c>
      <c r="L2" s="331">
        <v>10</v>
      </c>
      <c r="M2" s="331">
        <v>11</v>
      </c>
      <c r="N2" s="331">
        <v>12</v>
      </c>
      <c r="O2" s="331">
        <v>13</v>
      </c>
      <c r="P2" s="331">
        <v>14</v>
      </c>
      <c r="Q2" s="331">
        <v>15</v>
      </c>
      <c r="S2" s="501" t="s">
        <v>1472</v>
      </c>
      <c r="T2" s="501" t="s">
        <v>1473</v>
      </c>
      <c r="U2" s="501" t="s">
        <v>1515</v>
      </c>
    </row>
    <row r="3" spans="1:23" ht="15.75" customHeight="1" thickBot="1" x14ac:dyDescent="0.9">
      <c r="A3" s="332" t="s">
        <v>1352</v>
      </c>
      <c r="B3" s="333" t="s">
        <v>1180</v>
      </c>
      <c r="C3" s="334"/>
      <c r="D3" s="334"/>
      <c r="E3" s="334"/>
      <c r="F3" s="334"/>
      <c r="G3" s="334"/>
      <c r="H3" s="334"/>
      <c r="I3" s="334"/>
      <c r="J3" s="334"/>
      <c r="K3" s="334"/>
      <c r="L3" s="334"/>
      <c r="M3" s="334"/>
      <c r="N3" s="334"/>
      <c r="O3" s="334"/>
      <c r="P3" s="334"/>
      <c r="Q3" s="334"/>
    </row>
    <row r="4" spans="1:23" ht="13.5" customHeight="1" thickTop="1" x14ac:dyDescent="0.75">
      <c r="A4" s="336">
        <v>1100</v>
      </c>
      <c r="B4" s="337" t="s">
        <v>1452</v>
      </c>
      <c r="C4" s="338">
        <f ca="1">+IFERROR(_xlfn.XLOOKUP($A4,'CONSOLIDATED CY Cash Flows'!$B:$B,'CONSOLIDATED CY Cash Flows'!I:I)/$S4,0)</f>
        <v>5.5212427862173768E-3</v>
      </c>
      <c r="D4" s="339">
        <f ca="1">+IFERROR(_xlfn.XLOOKUP($A4,'CONSOLIDATED CY Cash Flows'!$B:$B,'CONSOLIDATED CY Cash Flows'!J:J)/$S4,0)</f>
        <v>7.6954148555632484E-2</v>
      </c>
      <c r="E4" s="339">
        <f ca="1">+IFERROR(_xlfn.XLOOKUP($A4,'CONSOLIDATED CY Cash Flows'!$B:$B,'CONSOLIDATED CY Cash Flows'!K:K)/$S4,0)</f>
        <v>7.6610768160013262E-2</v>
      </c>
      <c r="F4" s="339">
        <f ca="1">+IFERROR(_xlfn.XLOOKUP($A4,'CONSOLIDATED CY Cash Flows'!$B:$B,'CONSOLIDATED CY Cash Flows'!L:L)/$S4,0)</f>
        <v>7.3497705116809947E-2</v>
      </c>
      <c r="G4" s="339">
        <f ca="1">+IFERROR(_xlfn.XLOOKUP($A4,'CONSOLIDATED CY Cash Flows'!$B:$B,'CONSOLIDATED CY Cash Flows'!M:M)/$S4,0)</f>
        <v>7.347447806036754E-2</v>
      </c>
      <c r="H4" s="339">
        <f ca="1">+IFERROR(_xlfn.XLOOKUP($A4,'CONSOLIDATED CY Cash Flows'!$B:$B,'CONSOLIDATED CY Cash Flows'!N:N)/$S4,0)</f>
        <v>7.4096230965658302E-2</v>
      </c>
      <c r="I4" s="339">
        <f ca="1">+IFERROR(_xlfn.XLOOKUP($A4,'CONSOLIDATED CY Cash Flows'!$B:$B,'CONSOLIDATED CY Cash Flows'!O:O)/$S4,0)</f>
        <v>9.142236836059163E-2</v>
      </c>
      <c r="J4" s="339">
        <f ca="1">+IFERROR(_xlfn.XLOOKUP($A4,'CONSOLIDATED CY Cash Flows'!$B:$B,'CONSOLIDATED CY Cash Flows'!P:P)/$S4,0)</f>
        <v>0.10467568929250808</v>
      </c>
      <c r="K4" s="339">
        <f ca="1">+IFERROR(_xlfn.XLOOKUP($A4,'CONSOLIDATED CY Cash Flows'!$B:$B,'CONSOLIDATED CY Cash Flows'!Q:Q)/$S4,0)</f>
        <v>0.10593684217555033</v>
      </c>
      <c r="L4" s="339">
        <f ca="1">+IFERROR(_xlfn.XLOOKUP($A4,'CONSOLIDATED CY Cash Flows'!$B:$B,'CONSOLIDATED CY Cash Flows'!R:R)/$S4,0)</f>
        <v>0.10593684217555033</v>
      </c>
      <c r="M4" s="339">
        <f ca="1">+IFERROR(_xlfn.XLOOKUP($A4,'CONSOLIDATED CY Cash Flows'!$B:$B,'CONSOLIDATED CY Cash Flows'!S:S)/$S4,0)</f>
        <v>0.10593684217555033</v>
      </c>
      <c r="N4" s="339">
        <f ca="1">+IFERROR(_xlfn.XLOOKUP($A4,'CONSOLIDATED CY Cash Flows'!$B:$B,'CONSOLIDATED CY Cash Flows'!T:T)/$S4,0)</f>
        <v>0.10593684217555033</v>
      </c>
      <c r="O4" s="339">
        <f ca="1">+IFERROR(_xlfn.XLOOKUP($A4,'CONSOLIDATED CY Cash Flows'!$B:$B,'CONSOLIDATED CY Cash Flows'!U:U)/$S4,0)</f>
        <v>0</v>
      </c>
      <c r="P4" s="339">
        <f ca="1">+IFERROR(_xlfn.XLOOKUP($A4,'CONSOLIDATED CY Cash Flows'!$B:$B,'CONSOLIDATED CY Cash Flows'!V:V)/$S4,0)</f>
        <v>0</v>
      </c>
      <c r="Q4" s="339">
        <f ca="1">+IFERROR(_xlfn.XLOOKUP($A4,'CONSOLIDATED CY Cash Flows'!$B:$B,'CONSOLIDATED CY Cash Flows'!W:W)/$S4,0)</f>
        <v>0</v>
      </c>
      <c r="R4" s="340">
        <f ca="1">SUM(C4:Q4)</f>
        <v>0.99999999999999989</v>
      </c>
      <c r="S4" s="501">
        <f ca="1">+IFERROR(_xlfn.XLOOKUP($A4,'CONSOLIDATED CY Cash Flows'!$B:$B,'CONSOLIDATED CY Cash Flows'!$H:$H),0)</f>
        <v>10619942.333702598</v>
      </c>
      <c r="T4" s="501">
        <f ca="1">+SUMIF($C$1:$Q$1,"ACTUAL",$C4:$Q4)*S4</f>
        <v>5008119.93</v>
      </c>
      <c r="U4" s="501">
        <f ca="1">+S4-T4</f>
        <v>5611822.4037025981</v>
      </c>
    </row>
    <row r="5" spans="1:23" ht="16.95" hidden="1" customHeight="1" x14ac:dyDescent="0.75">
      <c r="A5" s="341">
        <v>1105</v>
      </c>
      <c r="B5" s="342">
        <v>0</v>
      </c>
      <c r="C5" s="343">
        <f ca="1">+IFERROR(_xlfn.XLOOKUP($A5,'CONSOLIDATED CY Cash Flows'!$B:$B,'CONSOLIDATED CY Cash Flows'!I:I)/$S5,0)</f>
        <v>0</v>
      </c>
      <c r="D5" s="344">
        <f ca="1">+IFERROR(_xlfn.XLOOKUP($A5,'CONSOLIDATED CY Cash Flows'!$B:$B,'CONSOLIDATED CY Cash Flows'!J:J)/$S5,0)</f>
        <v>0</v>
      </c>
      <c r="E5" s="344">
        <f ca="1">+IFERROR(_xlfn.XLOOKUP($A5,'CONSOLIDATED CY Cash Flows'!$B:$B,'CONSOLIDATED CY Cash Flows'!K:K)/$S5,0)</f>
        <v>0</v>
      </c>
      <c r="F5" s="344">
        <f ca="1">+IFERROR(_xlfn.XLOOKUP($A5,'CONSOLIDATED CY Cash Flows'!$B:$B,'CONSOLIDATED CY Cash Flows'!L:L)/$S5,0)</f>
        <v>0</v>
      </c>
      <c r="G5" s="344">
        <f ca="1">+IFERROR(_xlfn.XLOOKUP($A5,'CONSOLIDATED CY Cash Flows'!$B:$B,'CONSOLIDATED CY Cash Flows'!M:M)/$S5,0)</f>
        <v>0</v>
      </c>
      <c r="H5" s="344">
        <f ca="1">+IFERROR(_xlfn.XLOOKUP($A5,'CONSOLIDATED CY Cash Flows'!$B:$B,'CONSOLIDATED CY Cash Flows'!N:N)/$S5,0)</f>
        <v>0</v>
      </c>
      <c r="I5" s="344">
        <f ca="1">+IFERROR(_xlfn.XLOOKUP($A5,'CONSOLIDATED CY Cash Flows'!$B:$B,'CONSOLIDATED CY Cash Flows'!O:O)/$S5,0)</f>
        <v>0</v>
      </c>
      <c r="J5" s="344">
        <f ca="1">+IFERROR(_xlfn.XLOOKUP($A5,'CONSOLIDATED CY Cash Flows'!$B:$B,'CONSOLIDATED CY Cash Flows'!P:P)/$S5,0)</f>
        <v>0</v>
      </c>
      <c r="K5" s="344">
        <f ca="1">+IFERROR(_xlfn.XLOOKUP($A5,'CONSOLIDATED CY Cash Flows'!$B:$B,'CONSOLIDATED CY Cash Flows'!Q:Q)/$S5,0)</f>
        <v>0</v>
      </c>
      <c r="L5" s="344">
        <f ca="1">+IFERROR(_xlfn.XLOOKUP($A5,'CONSOLIDATED CY Cash Flows'!$B:$B,'CONSOLIDATED CY Cash Flows'!R:R)/$S5,0)</f>
        <v>0</v>
      </c>
      <c r="M5" s="344">
        <f ca="1">+IFERROR(_xlfn.XLOOKUP($A5,'CONSOLIDATED CY Cash Flows'!$B:$B,'CONSOLIDATED CY Cash Flows'!S:S)/$S5,0)</f>
        <v>0</v>
      </c>
      <c r="N5" s="344">
        <f ca="1">+IFERROR(_xlfn.XLOOKUP($A5,'CONSOLIDATED CY Cash Flows'!$B:$B,'CONSOLIDATED CY Cash Flows'!T:T)/$S5,0)</f>
        <v>0</v>
      </c>
      <c r="O5" s="344">
        <f ca="1">+IFERROR(_xlfn.XLOOKUP($A5,'CONSOLIDATED CY Cash Flows'!$B:$B,'CONSOLIDATED CY Cash Flows'!U:U)/$S5,0)</f>
        <v>0</v>
      </c>
      <c r="P5" s="344">
        <f ca="1">+IFERROR(_xlfn.XLOOKUP($A5,'CONSOLIDATED CY Cash Flows'!$B:$B,'CONSOLIDATED CY Cash Flows'!V:V)/$S5,0)</f>
        <v>0</v>
      </c>
      <c r="Q5" s="344">
        <f ca="1">+IFERROR(_xlfn.XLOOKUP($A5,'CONSOLIDATED CY Cash Flows'!$B:$B,'CONSOLIDATED CY Cash Flows'!W:W)/$S5,0)</f>
        <v>0</v>
      </c>
      <c r="R5" s="340">
        <f t="shared" ref="R5:R81" ca="1" si="0">SUM(C5:Q5)</f>
        <v>0</v>
      </c>
      <c r="S5" s="501">
        <f ca="1">+IFERROR(_xlfn.XLOOKUP($A5,'CONSOLIDATED CY Cash Flows'!$B:$B,'CONSOLIDATED CY Cash Flows'!$H:$H),0)</f>
        <v>0</v>
      </c>
      <c r="T5" s="501">
        <f t="shared" ref="T5:T81" ca="1" si="1">+SUMIF($C$1:$Q$1,"ACTUAL",$C5:$Q5)*S5</f>
        <v>0</v>
      </c>
      <c r="U5" s="501">
        <f t="shared" ref="U5:U81" ca="1" si="2">+S5-T5</f>
        <v>0</v>
      </c>
      <c r="V5" s="340"/>
      <c r="W5" s="340"/>
    </row>
    <row r="6" spans="1:23" ht="13.5" hidden="1" customHeight="1" x14ac:dyDescent="0.75">
      <c r="A6" s="341">
        <v>1120</v>
      </c>
      <c r="B6" s="342" t="s">
        <v>571</v>
      </c>
      <c r="C6" s="343">
        <f ca="1">+IFERROR(_xlfn.XLOOKUP($A6,'CONSOLIDATED CY Cash Flows'!$B:$B,'CONSOLIDATED CY Cash Flows'!I:I)/$S6,0)</f>
        <v>0</v>
      </c>
      <c r="D6" s="344">
        <f ca="1">+IFERROR(_xlfn.XLOOKUP($A6,'CONSOLIDATED CY Cash Flows'!$B:$B,'CONSOLIDATED CY Cash Flows'!J:J)/$S6,0)</f>
        <v>0</v>
      </c>
      <c r="E6" s="344">
        <f ca="1">+IFERROR(_xlfn.XLOOKUP($A6,'CONSOLIDATED CY Cash Flows'!$B:$B,'CONSOLIDATED CY Cash Flows'!K:K)/$S6,0)</f>
        <v>0</v>
      </c>
      <c r="F6" s="344">
        <f ca="1">+IFERROR(_xlfn.XLOOKUP($A6,'CONSOLIDATED CY Cash Flows'!$B:$B,'CONSOLIDATED CY Cash Flows'!L:L)/$S6,0)</f>
        <v>0</v>
      </c>
      <c r="G6" s="344">
        <f ca="1">+IFERROR(_xlfn.XLOOKUP($A6,'CONSOLIDATED CY Cash Flows'!$B:$B,'CONSOLIDATED CY Cash Flows'!M:M)/$S6,0)</f>
        <v>0</v>
      </c>
      <c r="H6" s="344">
        <f ca="1">+IFERROR(_xlfn.XLOOKUP($A6,'CONSOLIDATED CY Cash Flows'!$B:$B,'CONSOLIDATED CY Cash Flows'!N:N)/$S6,0)</f>
        <v>0</v>
      </c>
      <c r="I6" s="344">
        <f ca="1">+IFERROR(_xlfn.XLOOKUP($A6,'CONSOLIDATED CY Cash Flows'!$B:$B,'CONSOLIDATED CY Cash Flows'!O:O)/$S6,0)</f>
        <v>0</v>
      </c>
      <c r="J6" s="344">
        <f ca="1">+IFERROR(_xlfn.XLOOKUP($A6,'CONSOLIDATED CY Cash Flows'!$B:$B,'CONSOLIDATED CY Cash Flows'!P:P)/$S6,0)</f>
        <v>0</v>
      </c>
      <c r="K6" s="344">
        <f ca="1">+IFERROR(_xlfn.XLOOKUP($A6,'CONSOLIDATED CY Cash Flows'!$B:$B,'CONSOLIDATED CY Cash Flows'!Q:Q)/$S6,0)</f>
        <v>0</v>
      </c>
      <c r="L6" s="344">
        <f ca="1">+IFERROR(_xlfn.XLOOKUP($A6,'CONSOLIDATED CY Cash Flows'!$B:$B,'CONSOLIDATED CY Cash Flows'!R:R)/$S6,0)</f>
        <v>0</v>
      </c>
      <c r="M6" s="344">
        <f ca="1">+IFERROR(_xlfn.XLOOKUP($A6,'CONSOLIDATED CY Cash Flows'!$B:$B,'CONSOLIDATED CY Cash Flows'!S:S)/$S6,0)</f>
        <v>0</v>
      </c>
      <c r="N6" s="344">
        <f ca="1">+IFERROR(_xlfn.XLOOKUP($A6,'CONSOLIDATED CY Cash Flows'!$B:$B,'CONSOLIDATED CY Cash Flows'!T:T)/$S6,0)</f>
        <v>0</v>
      </c>
      <c r="O6" s="344">
        <f ca="1">+IFERROR(_xlfn.XLOOKUP($A6,'CONSOLIDATED CY Cash Flows'!$B:$B,'CONSOLIDATED CY Cash Flows'!U:U)/$S6,0)</f>
        <v>0</v>
      </c>
      <c r="P6" s="344">
        <f ca="1">+IFERROR(_xlfn.XLOOKUP($A6,'CONSOLIDATED CY Cash Flows'!$B:$B,'CONSOLIDATED CY Cash Flows'!V:V)/$S6,0)</f>
        <v>0</v>
      </c>
      <c r="Q6" s="344">
        <f ca="1">+IFERROR(_xlfn.XLOOKUP($A6,'CONSOLIDATED CY Cash Flows'!$B:$B,'CONSOLIDATED CY Cash Flows'!W:W)/$S6,0)</f>
        <v>0</v>
      </c>
      <c r="R6" s="340">
        <f t="shared" ca="1" si="0"/>
        <v>0</v>
      </c>
      <c r="S6" s="501">
        <f ca="1">+IFERROR(_xlfn.XLOOKUP($A6,'CONSOLIDATED CY Cash Flows'!$B:$B,'CONSOLIDATED CY Cash Flows'!$H:$H),0)</f>
        <v>0</v>
      </c>
      <c r="T6" s="501">
        <f t="shared" ca="1" si="1"/>
        <v>0</v>
      </c>
      <c r="U6" s="501">
        <f t="shared" ca="1" si="2"/>
        <v>0</v>
      </c>
      <c r="V6" s="340"/>
      <c r="W6" s="340"/>
    </row>
    <row r="7" spans="1:23" ht="13.5" customHeight="1" x14ac:dyDescent="0.75">
      <c r="A7" s="341">
        <v>1200</v>
      </c>
      <c r="B7" s="342" t="s">
        <v>572</v>
      </c>
      <c r="C7" s="343">
        <f ca="1">+IFERROR(_xlfn.XLOOKUP($A7,'CONSOLIDATED CY Cash Flows'!$B:$B,'CONSOLIDATED CY Cash Flows'!I:I)/$S7,0)</f>
        <v>2.0422345053163954E-2</v>
      </c>
      <c r="D7" s="344">
        <f ca="1">+IFERROR(_xlfn.XLOOKUP($A7,'CONSOLIDATED CY Cash Flows'!$B:$B,'CONSOLIDATED CY Cash Flows'!J:J)/$S7,0)</f>
        <v>6.1983821264719734E-2</v>
      </c>
      <c r="E7" s="344">
        <f ca="1">+IFERROR(_xlfn.XLOOKUP($A7,'CONSOLIDATED CY Cash Flows'!$B:$B,'CONSOLIDATED CY Cash Flows'!K:K)/$S7,0)</f>
        <v>6.6785453463009736E-2</v>
      </c>
      <c r="F7" s="344">
        <f ca="1">+IFERROR(_xlfn.XLOOKUP($A7,'CONSOLIDATED CY Cash Flows'!$B:$B,'CONSOLIDATED CY Cash Flows'!L:L)/$S7,0)</f>
        <v>0.12121450147599719</v>
      </c>
      <c r="G7" s="344">
        <f ca="1">+IFERROR(_xlfn.XLOOKUP($A7,'CONSOLIDATED CY Cash Flows'!$B:$B,'CONSOLIDATED CY Cash Flows'!M:M)/$S7,0)</f>
        <v>7.9258269384358357E-2</v>
      </c>
      <c r="H7" s="344">
        <f ca="1">+IFERROR(_xlfn.XLOOKUP($A7,'CONSOLIDATED CY Cash Flows'!$B:$B,'CONSOLIDATED CY Cash Flows'!N:N)/$S7,0)</f>
        <v>8.1088766614114405E-2</v>
      </c>
      <c r="I7" s="344">
        <f ca="1">+IFERROR(_xlfn.XLOOKUP($A7,'CONSOLIDATED CY Cash Flows'!$B:$B,'CONSOLIDATED CY Cash Flows'!O:O)/$S7,0)</f>
        <v>9.5732753604648987E-2</v>
      </c>
      <c r="J7" s="344">
        <f ca="1">+IFERROR(_xlfn.XLOOKUP($A7,'CONSOLIDATED CY Cash Flows'!$B:$B,'CONSOLIDATED CY Cash Flows'!P:P)/$S7,0)</f>
        <v>9.3798733648255278E-2</v>
      </c>
      <c r="K7" s="344">
        <f ca="1">+IFERROR(_xlfn.XLOOKUP($A7,'CONSOLIDATED CY Cash Flows'!$B:$B,'CONSOLIDATED CY Cash Flows'!Q:Q)/$S7,0)</f>
        <v>9.4928838872933047E-2</v>
      </c>
      <c r="L7" s="344">
        <f ca="1">+IFERROR(_xlfn.XLOOKUP($A7,'CONSOLIDATED CY Cash Flows'!$B:$B,'CONSOLIDATED CY Cash Flows'!R:R)/$S7,0)</f>
        <v>9.4928838872933047E-2</v>
      </c>
      <c r="M7" s="344">
        <f ca="1">+IFERROR(_xlfn.XLOOKUP($A7,'CONSOLIDATED CY Cash Flows'!$B:$B,'CONSOLIDATED CY Cash Flows'!S:S)/$S7,0)</f>
        <v>9.4928838872933047E-2</v>
      </c>
      <c r="N7" s="344">
        <f ca="1">+IFERROR(_xlfn.XLOOKUP($A7,'CONSOLIDATED CY Cash Flows'!$B:$B,'CONSOLIDATED CY Cash Flows'!T:T)/$S7,0)</f>
        <v>9.4928838872933047E-2</v>
      </c>
      <c r="O7" s="344">
        <f ca="1">+IFERROR(_xlfn.XLOOKUP($A7,'CONSOLIDATED CY Cash Flows'!$B:$B,'CONSOLIDATED CY Cash Flows'!U:U)/$S7,0)</f>
        <v>0</v>
      </c>
      <c r="P7" s="344">
        <f ca="1">+IFERROR(_xlfn.XLOOKUP($A7,'CONSOLIDATED CY Cash Flows'!$B:$B,'CONSOLIDATED CY Cash Flows'!V:V)/$S7,0)</f>
        <v>0</v>
      </c>
      <c r="Q7" s="344">
        <f ca="1">+IFERROR(_xlfn.XLOOKUP($A7,'CONSOLIDATED CY Cash Flows'!$B:$B,'CONSOLIDATED CY Cash Flows'!W:W)/$S7,0)</f>
        <v>0</v>
      </c>
      <c r="R7" s="340">
        <f t="shared" ca="1" si="0"/>
        <v>0.99999999999999978</v>
      </c>
      <c r="S7" s="501">
        <f ca="1">+IFERROR(_xlfn.XLOOKUP($A7,'CONSOLIDATED CY Cash Flows'!$B:$B,'CONSOLIDATED CY Cash Flows'!$H:$H),0)</f>
        <v>1092599.3044340941</v>
      </c>
      <c r="T7" s="501">
        <f t="shared" ca="1" si="1"/>
        <v>575238.14</v>
      </c>
      <c r="U7" s="501">
        <f ca="1">+S7-T7</f>
        <v>517361.1644340941</v>
      </c>
    </row>
    <row r="8" spans="1:23" ht="14.25" customHeight="1" x14ac:dyDescent="0.75">
      <c r="A8" s="341">
        <v>1300</v>
      </c>
      <c r="B8" s="342" t="s">
        <v>573</v>
      </c>
      <c r="C8" s="343">
        <f ca="1">+IFERROR(_xlfn.XLOOKUP($A8,'CONSOLIDATED CY Cash Flows'!$B:$B,'CONSOLIDATED CY Cash Flows'!I:I)/$S8,0)</f>
        <v>4.7366601678520422E-2</v>
      </c>
      <c r="D8" s="344">
        <f ca="1">+IFERROR(_xlfn.XLOOKUP($A8,'CONSOLIDATED CY Cash Flows'!$B:$B,'CONSOLIDATED CY Cash Flows'!J:J)/$S8,0)</f>
        <v>6.2786775999173344E-2</v>
      </c>
      <c r="E8" s="344">
        <f ca="1">+IFERROR(_xlfn.XLOOKUP($A8,'CONSOLIDATED CY Cash Flows'!$B:$B,'CONSOLIDATED CY Cash Flows'!K:K)/$S8,0)</f>
        <v>6.3372252128247625E-2</v>
      </c>
      <c r="F8" s="344">
        <f ca="1">+IFERROR(_xlfn.XLOOKUP($A8,'CONSOLIDATED CY Cash Flows'!$B:$B,'CONSOLIDATED CY Cash Flows'!L:L)/$S8,0)</f>
        <v>6.7913367537555211E-2</v>
      </c>
      <c r="G8" s="344">
        <f ca="1">+IFERROR(_xlfn.XLOOKUP($A8,'CONSOLIDATED CY Cash Flows'!$B:$B,'CONSOLIDATED CY Cash Flows'!M:M)/$S8,0)</f>
        <v>5.6602056695309176E-2</v>
      </c>
      <c r="H8" s="344">
        <f ca="1">+IFERROR(_xlfn.XLOOKUP($A8,'CONSOLIDATED CY Cash Flows'!$B:$B,'CONSOLIDATED CY Cash Flows'!N:N)/$S8,0)</f>
        <v>5.9279152010396692E-2</v>
      </c>
      <c r="I8" s="344">
        <f ca="1">+IFERROR(_xlfn.XLOOKUP($A8,'CONSOLIDATED CY Cash Flows'!$B:$B,'CONSOLIDATED CY Cash Flows'!O:O)/$S8,0)</f>
        <v>6.9379435906730305E-2</v>
      </c>
      <c r="J8" s="344">
        <f ca="1">+IFERROR(_xlfn.XLOOKUP($A8,'CONSOLIDATED CY Cash Flows'!$B:$B,'CONSOLIDATED CY Cash Flows'!P:P)/$S8,0)</f>
        <v>0.1135654647199465</v>
      </c>
      <c r="K8" s="344">
        <f ca="1">+IFERROR(_xlfn.XLOOKUP($A8,'CONSOLIDATED CY Cash Flows'!$B:$B,'CONSOLIDATED CY Cash Flows'!Q:Q)/$S8,0)</f>
        <v>0.11493372333103019</v>
      </c>
      <c r="L8" s="344">
        <f ca="1">+IFERROR(_xlfn.XLOOKUP($A8,'CONSOLIDATED CY Cash Flows'!$B:$B,'CONSOLIDATED CY Cash Flows'!R:R)/$S8,0)</f>
        <v>0.11493372333103019</v>
      </c>
      <c r="M8" s="344">
        <f ca="1">+IFERROR(_xlfn.XLOOKUP($A8,'CONSOLIDATED CY Cash Flows'!$B:$B,'CONSOLIDATED CY Cash Flows'!S:S)/$S8,0)</f>
        <v>0.11493372333103019</v>
      </c>
      <c r="N8" s="344">
        <f ca="1">+IFERROR(_xlfn.XLOOKUP($A8,'CONSOLIDATED CY Cash Flows'!$B:$B,'CONSOLIDATED CY Cash Flows'!T:T)/$S8,0)</f>
        <v>0.11493372333103019</v>
      </c>
      <c r="O8" s="344">
        <f ca="1">+IFERROR(_xlfn.XLOOKUP($A8,'CONSOLIDATED CY Cash Flows'!$B:$B,'CONSOLIDATED CY Cash Flows'!U:U)/$S8,0)</f>
        <v>0</v>
      </c>
      <c r="P8" s="344">
        <f ca="1">+IFERROR(_xlfn.XLOOKUP($A8,'CONSOLIDATED CY Cash Flows'!$B:$B,'CONSOLIDATED CY Cash Flows'!V:V)/$S8,0)</f>
        <v>0</v>
      </c>
      <c r="Q8" s="344">
        <f ca="1">+IFERROR(_xlfn.XLOOKUP($A8,'CONSOLIDATED CY Cash Flows'!$B:$B,'CONSOLIDATED CY Cash Flows'!W:W)/$S8,0)</f>
        <v>0</v>
      </c>
      <c r="R8" s="340">
        <f t="shared" ca="1" si="0"/>
        <v>0.99999999999999978</v>
      </c>
      <c r="S8" s="501">
        <f ca="1">+IFERROR(_xlfn.XLOOKUP($A8,'CONSOLIDATED CY Cash Flows'!$B:$B,'CONSOLIDATED CY Cash Flows'!$H:$H),0)</f>
        <v>1846053.0606241999</v>
      </c>
      <c r="T8" s="501">
        <f t="shared" ca="1" si="1"/>
        <v>787710.17999999993</v>
      </c>
      <c r="U8" s="501">
        <f t="shared" ca="1" si="2"/>
        <v>1058342.8806242</v>
      </c>
    </row>
    <row r="9" spans="1:23" ht="13.5" hidden="1" customHeight="1" x14ac:dyDescent="0.75">
      <c r="A9" s="341">
        <v>1305</v>
      </c>
      <c r="B9" s="342">
        <v>0</v>
      </c>
      <c r="C9" s="343">
        <f ca="1">+IFERROR(_xlfn.XLOOKUP($A9,'CONSOLIDATED CY Cash Flows'!$B:$B,'CONSOLIDATED CY Cash Flows'!I:I)/$S9,0)</f>
        <v>0</v>
      </c>
      <c r="D9" s="344">
        <f ca="1">+IFERROR(_xlfn.XLOOKUP($A9,'CONSOLIDATED CY Cash Flows'!$B:$B,'CONSOLIDATED CY Cash Flows'!J:J)/$S9,0)</f>
        <v>0</v>
      </c>
      <c r="E9" s="344">
        <f ca="1">+IFERROR(_xlfn.XLOOKUP($A9,'CONSOLIDATED CY Cash Flows'!$B:$B,'CONSOLIDATED CY Cash Flows'!K:K)/$S9,0)</f>
        <v>0</v>
      </c>
      <c r="F9" s="344">
        <f ca="1">+IFERROR(_xlfn.XLOOKUP($A9,'CONSOLIDATED CY Cash Flows'!$B:$B,'CONSOLIDATED CY Cash Flows'!L:L)/$S9,0)</f>
        <v>0</v>
      </c>
      <c r="G9" s="344">
        <f ca="1">+IFERROR(_xlfn.XLOOKUP($A9,'CONSOLIDATED CY Cash Flows'!$B:$B,'CONSOLIDATED CY Cash Flows'!M:M)/$S9,0)</f>
        <v>0</v>
      </c>
      <c r="H9" s="344">
        <f ca="1">+IFERROR(_xlfn.XLOOKUP($A9,'CONSOLIDATED CY Cash Flows'!$B:$B,'CONSOLIDATED CY Cash Flows'!N:N)/$S9,0)</f>
        <v>0</v>
      </c>
      <c r="I9" s="344">
        <f ca="1">+IFERROR(_xlfn.XLOOKUP($A9,'CONSOLIDATED CY Cash Flows'!$B:$B,'CONSOLIDATED CY Cash Flows'!O:O)/$S9,0)</f>
        <v>0</v>
      </c>
      <c r="J9" s="344">
        <f ca="1">+IFERROR(_xlfn.XLOOKUP($A9,'CONSOLIDATED CY Cash Flows'!$B:$B,'CONSOLIDATED CY Cash Flows'!P:P)/$S9,0)</f>
        <v>0</v>
      </c>
      <c r="K9" s="344">
        <f ca="1">+IFERROR(_xlfn.XLOOKUP($A9,'CONSOLIDATED CY Cash Flows'!$B:$B,'CONSOLIDATED CY Cash Flows'!Q:Q)/$S9,0)</f>
        <v>0</v>
      </c>
      <c r="L9" s="344">
        <f ca="1">+IFERROR(_xlfn.XLOOKUP($A9,'CONSOLIDATED CY Cash Flows'!$B:$B,'CONSOLIDATED CY Cash Flows'!R:R)/$S9,0)</f>
        <v>0</v>
      </c>
      <c r="M9" s="344">
        <f ca="1">+IFERROR(_xlfn.XLOOKUP($A9,'CONSOLIDATED CY Cash Flows'!$B:$B,'CONSOLIDATED CY Cash Flows'!S:S)/$S9,0)</f>
        <v>0</v>
      </c>
      <c r="N9" s="344">
        <f ca="1">+IFERROR(_xlfn.XLOOKUP($A9,'CONSOLIDATED CY Cash Flows'!$B:$B,'CONSOLIDATED CY Cash Flows'!T:T)/$S9,0)</f>
        <v>0</v>
      </c>
      <c r="O9" s="344">
        <f ca="1">+IFERROR(_xlfn.XLOOKUP($A9,'CONSOLIDATED CY Cash Flows'!$B:$B,'CONSOLIDATED CY Cash Flows'!U:U)/$S9,0)</f>
        <v>0</v>
      </c>
      <c r="P9" s="344">
        <f ca="1">+IFERROR(_xlfn.XLOOKUP($A9,'CONSOLIDATED CY Cash Flows'!$B:$B,'CONSOLIDATED CY Cash Flows'!V:V)/$S9,0)</f>
        <v>0</v>
      </c>
      <c r="Q9" s="344">
        <f ca="1">+IFERROR(_xlfn.XLOOKUP($A9,'CONSOLIDATED CY Cash Flows'!$B:$B,'CONSOLIDATED CY Cash Flows'!W:W)/$S9,0)</f>
        <v>0</v>
      </c>
      <c r="R9" s="340">
        <f ca="1">SUM(C9:Q9)</f>
        <v>0</v>
      </c>
      <c r="S9" s="501">
        <f ca="1">+IFERROR(_xlfn.XLOOKUP($A9,'CONSOLIDATED CY Cash Flows'!$B:$B,'CONSOLIDATED CY Cash Flows'!$H:$H),0)</f>
        <v>0</v>
      </c>
      <c r="T9" s="501">
        <f t="shared" ca="1" si="1"/>
        <v>0</v>
      </c>
      <c r="U9" s="501">
        <f t="shared" ca="1" si="2"/>
        <v>0</v>
      </c>
    </row>
    <row r="10" spans="1:23" ht="13.5" hidden="1" customHeight="1" x14ac:dyDescent="0.75">
      <c r="A10" s="341">
        <v>1900</v>
      </c>
      <c r="B10" s="342" t="s">
        <v>575</v>
      </c>
      <c r="C10" s="343">
        <f ca="1">+IFERROR(_xlfn.XLOOKUP($A10,'CONSOLIDATED CY Cash Flows'!$B:$B,'CONSOLIDATED CY Cash Flows'!I:I)/$S10,0)</f>
        <v>0</v>
      </c>
      <c r="D10" s="344">
        <f ca="1">+IFERROR(_xlfn.XLOOKUP($A10,'CONSOLIDATED CY Cash Flows'!$B:$B,'CONSOLIDATED CY Cash Flows'!J:J)/$S10,0)</f>
        <v>0</v>
      </c>
      <c r="E10" s="344">
        <f ca="1">+IFERROR(_xlfn.XLOOKUP($A10,'CONSOLIDATED CY Cash Flows'!$B:$B,'CONSOLIDATED CY Cash Flows'!K:K)/$S10,0)</f>
        <v>0</v>
      </c>
      <c r="F10" s="344">
        <f ca="1">+IFERROR(_xlfn.XLOOKUP($A10,'CONSOLIDATED CY Cash Flows'!$B:$B,'CONSOLIDATED CY Cash Flows'!L:L)/$S10,0)</f>
        <v>0</v>
      </c>
      <c r="G10" s="344">
        <f ca="1">+IFERROR(_xlfn.XLOOKUP($A10,'CONSOLIDATED CY Cash Flows'!$B:$B,'CONSOLIDATED CY Cash Flows'!M:M)/$S10,0)</f>
        <v>0</v>
      </c>
      <c r="H10" s="344">
        <f ca="1">+IFERROR(_xlfn.XLOOKUP($A10,'CONSOLIDATED CY Cash Flows'!$B:$B,'CONSOLIDATED CY Cash Flows'!N:N)/$S10,0)</f>
        <v>0</v>
      </c>
      <c r="I10" s="344">
        <f ca="1">+IFERROR(_xlfn.XLOOKUP($A10,'CONSOLIDATED CY Cash Flows'!$B:$B,'CONSOLIDATED CY Cash Flows'!O:O)/$S10,0)</f>
        <v>0</v>
      </c>
      <c r="J10" s="344">
        <f ca="1">+IFERROR(_xlfn.XLOOKUP($A10,'CONSOLIDATED CY Cash Flows'!$B:$B,'CONSOLIDATED CY Cash Flows'!P:P)/$S10,0)</f>
        <v>0</v>
      </c>
      <c r="K10" s="344">
        <f ca="1">+IFERROR(_xlfn.XLOOKUP($A10,'CONSOLIDATED CY Cash Flows'!$B:$B,'CONSOLIDATED CY Cash Flows'!Q:Q)/$S10,0)</f>
        <v>0</v>
      </c>
      <c r="L10" s="344">
        <f ca="1">+IFERROR(_xlfn.XLOOKUP($A10,'CONSOLIDATED CY Cash Flows'!$B:$B,'CONSOLIDATED CY Cash Flows'!R:R)/$S10,0)</f>
        <v>0</v>
      </c>
      <c r="M10" s="344">
        <f ca="1">+IFERROR(_xlfn.XLOOKUP($A10,'CONSOLIDATED CY Cash Flows'!$B:$B,'CONSOLIDATED CY Cash Flows'!S:S)/$S10,0)</f>
        <v>0</v>
      </c>
      <c r="N10" s="344">
        <f ca="1">+IFERROR(_xlfn.XLOOKUP($A10,'CONSOLIDATED CY Cash Flows'!$B:$B,'CONSOLIDATED CY Cash Flows'!T:T)/$S10,0)</f>
        <v>0</v>
      </c>
      <c r="O10" s="344">
        <f ca="1">+IFERROR(_xlfn.XLOOKUP($A10,'CONSOLIDATED CY Cash Flows'!$B:$B,'CONSOLIDATED CY Cash Flows'!U:U)/$S10,0)</f>
        <v>0</v>
      </c>
      <c r="P10" s="344">
        <f ca="1">+IFERROR(_xlfn.XLOOKUP($A10,'CONSOLIDATED CY Cash Flows'!$B:$B,'CONSOLIDATED CY Cash Flows'!V:V)/$S10,0)</f>
        <v>0</v>
      </c>
      <c r="Q10" s="344">
        <f ca="1">+IFERROR(_xlfn.XLOOKUP($A10,'CONSOLIDATED CY Cash Flows'!$B:$B,'CONSOLIDATED CY Cash Flows'!W:W)/$S10,0)</f>
        <v>0</v>
      </c>
      <c r="R10" s="340">
        <f t="shared" ca="1" si="0"/>
        <v>0</v>
      </c>
      <c r="S10" s="501">
        <f ca="1">+IFERROR(_xlfn.XLOOKUP($A10,'CONSOLIDATED CY Cash Flows'!$B:$B,'CONSOLIDATED CY Cash Flows'!$H:$H),0)</f>
        <v>0</v>
      </c>
      <c r="T10" s="501">
        <f t="shared" ca="1" si="1"/>
        <v>0</v>
      </c>
      <c r="U10" s="501">
        <f t="shared" ca="1" si="2"/>
        <v>0</v>
      </c>
    </row>
    <row r="11" spans="1:23" ht="13.5" hidden="1" customHeight="1" x14ac:dyDescent="0.75">
      <c r="A11" s="341">
        <v>1910</v>
      </c>
      <c r="B11" s="342">
        <v>0</v>
      </c>
      <c r="C11" s="343">
        <f>+IFERROR(_xlfn.XLOOKUP($A11,'CONSOLIDATED CY Cash Flows'!$B:$B,'CONSOLIDATED CY Cash Flows'!I:I)/$S11,0)</f>
        <v>0</v>
      </c>
      <c r="D11" s="344">
        <f>+IFERROR(_xlfn.XLOOKUP($A11,'CONSOLIDATED CY Cash Flows'!$B:$B,'CONSOLIDATED CY Cash Flows'!J:J)/$S11,0)</f>
        <v>0</v>
      </c>
      <c r="E11" s="344">
        <f>+IFERROR(_xlfn.XLOOKUP($A11,'CONSOLIDATED CY Cash Flows'!$B:$B,'CONSOLIDATED CY Cash Flows'!K:K)/$S11,0)</f>
        <v>0</v>
      </c>
      <c r="F11" s="344">
        <f>+IFERROR(_xlfn.XLOOKUP($A11,'CONSOLIDATED CY Cash Flows'!$B:$B,'CONSOLIDATED CY Cash Flows'!L:L)/$S11,0)</f>
        <v>0</v>
      </c>
      <c r="G11" s="344">
        <f>+IFERROR(_xlfn.XLOOKUP($A11,'CONSOLIDATED CY Cash Flows'!$B:$B,'CONSOLIDATED CY Cash Flows'!M:M)/$S11,0)</f>
        <v>0</v>
      </c>
      <c r="H11" s="344">
        <f>+IFERROR(_xlfn.XLOOKUP($A11,'CONSOLIDATED CY Cash Flows'!$B:$B,'CONSOLIDATED CY Cash Flows'!N:N)/$S11,0)</f>
        <v>0</v>
      </c>
      <c r="I11" s="344">
        <f>+IFERROR(_xlfn.XLOOKUP($A11,'CONSOLIDATED CY Cash Flows'!$B:$B,'CONSOLIDATED CY Cash Flows'!O:O)/$S11,0)</f>
        <v>0</v>
      </c>
      <c r="J11" s="344">
        <f>+IFERROR(_xlfn.XLOOKUP($A11,'CONSOLIDATED CY Cash Flows'!$B:$B,'CONSOLIDATED CY Cash Flows'!P:P)/$S11,0)</f>
        <v>0</v>
      </c>
      <c r="K11" s="344">
        <f>+IFERROR(_xlfn.XLOOKUP($A11,'CONSOLIDATED CY Cash Flows'!$B:$B,'CONSOLIDATED CY Cash Flows'!Q:Q)/$S11,0)</f>
        <v>0</v>
      </c>
      <c r="L11" s="344">
        <f>+IFERROR(_xlfn.XLOOKUP($A11,'CONSOLIDATED CY Cash Flows'!$B:$B,'CONSOLIDATED CY Cash Flows'!R:R)/$S11,0)</f>
        <v>0</v>
      </c>
      <c r="M11" s="344">
        <f>+IFERROR(_xlfn.XLOOKUP($A11,'CONSOLIDATED CY Cash Flows'!$B:$B,'CONSOLIDATED CY Cash Flows'!S:S)/$S11,0)</f>
        <v>0</v>
      </c>
      <c r="N11" s="344">
        <f>+IFERROR(_xlfn.XLOOKUP($A11,'CONSOLIDATED CY Cash Flows'!$B:$B,'CONSOLIDATED CY Cash Flows'!T:T)/$S11,0)</f>
        <v>0</v>
      </c>
      <c r="O11" s="344">
        <f>+IFERROR(_xlfn.XLOOKUP($A11,'CONSOLIDATED CY Cash Flows'!$B:$B,'CONSOLIDATED CY Cash Flows'!U:U)/$S11,0)</f>
        <v>0</v>
      </c>
      <c r="P11" s="344">
        <f>+IFERROR(_xlfn.XLOOKUP($A11,'CONSOLIDATED CY Cash Flows'!$B:$B,'CONSOLIDATED CY Cash Flows'!V:V)/$S11,0)</f>
        <v>0</v>
      </c>
      <c r="Q11" s="344">
        <f>+IFERROR(_xlfn.XLOOKUP($A11,'CONSOLIDATED CY Cash Flows'!$B:$B,'CONSOLIDATED CY Cash Flows'!W:W)/$S11,0)</f>
        <v>0</v>
      </c>
      <c r="R11" s="340">
        <f t="shared" si="0"/>
        <v>0</v>
      </c>
      <c r="S11" s="501">
        <f>+IFERROR(_xlfn.XLOOKUP($A11,'CONSOLIDATED CY Cash Flows'!$B:$B,'CONSOLIDATED CY Cash Flows'!$H:$H),0)</f>
        <v>0</v>
      </c>
      <c r="T11" s="501">
        <f t="shared" si="1"/>
        <v>0</v>
      </c>
      <c r="U11" s="501">
        <f t="shared" si="2"/>
        <v>0</v>
      </c>
    </row>
    <row r="12" spans="1:23" ht="13.5" hidden="1" customHeight="1" x14ac:dyDescent="0.75">
      <c r="A12" s="341" t="s">
        <v>1453</v>
      </c>
      <c r="B12" s="342">
        <v>0</v>
      </c>
      <c r="C12" s="343">
        <f>+IFERROR(_xlfn.XLOOKUP($A12,'CONSOLIDATED CY Cash Flows'!$B:$B,'CONSOLIDATED CY Cash Flows'!I:I)/$S12,0)</f>
        <v>0</v>
      </c>
      <c r="D12" s="344">
        <f>+IFERROR(_xlfn.XLOOKUP($A12,'CONSOLIDATED CY Cash Flows'!$B:$B,'CONSOLIDATED CY Cash Flows'!J:J)/$S12,0)</f>
        <v>0</v>
      </c>
      <c r="E12" s="344">
        <f>+IFERROR(_xlfn.XLOOKUP($A12,'CONSOLIDATED CY Cash Flows'!$B:$B,'CONSOLIDATED CY Cash Flows'!K:K)/$S12,0)</f>
        <v>0</v>
      </c>
      <c r="F12" s="344">
        <f>+IFERROR(_xlfn.XLOOKUP($A12,'CONSOLIDATED CY Cash Flows'!$B:$B,'CONSOLIDATED CY Cash Flows'!L:L)/$S12,0)</f>
        <v>0</v>
      </c>
      <c r="G12" s="344">
        <f>+IFERROR(_xlfn.XLOOKUP($A12,'CONSOLIDATED CY Cash Flows'!$B:$B,'CONSOLIDATED CY Cash Flows'!M:M)/$S12,0)</f>
        <v>0</v>
      </c>
      <c r="H12" s="344">
        <f>+IFERROR(_xlfn.XLOOKUP($A12,'CONSOLIDATED CY Cash Flows'!$B:$B,'CONSOLIDATED CY Cash Flows'!N:N)/$S12,0)</f>
        <v>0</v>
      </c>
      <c r="I12" s="344">
        <f>+IFERROR(_xlfn.XLOOKUP($A12,'CONSOLIDATED CY Cash Flows'!$B:$B,'CONSOLIDATED CY Cash Flows'!O:O)/$S12,0)</f>
        <v>0</v>
      </c>
      <c r="J12" s="344">
        <f>+IFERROR(_xlfn.XLOOKUP($A12,'CONSOLIDATED CY Cash Flows'!$B:$B,'CONSOLIDATED CY Cash Flows'!P:P)/$S12,0)</f>
        <v>0</v>
      </c>
      <c r="K12" s="344">
        <f>+IFERROR(_xlfn.XLOOKUP($A12,'CONSOLIDATED CY Cash Flows'!$B:$B,'CONSOLIDATED CY Cash Flows'!Q:Q)/$S12,0)</f>
        <v>0</v>
      </c>
      <c r="L12" s="344">
        <f>+IFERROR(_xlfn.XLOOKUP($A12,'CONSOLIDATED CY Cash Flows'!$B:$B,'CONSOLIDATED CY Cash Flows'!R:R)/$S12,0)</f>
        <v>0</v>
      </c>
      <c r="M12" s="344">
        <f>+IFERROR(_xlfn.XLOOKUP($A12,'CONSOLIDATED CY Cash Flows'!$B:$B,'CONSOLIDATED CY Cash Flows'!S:S)/$S12,0)</f>
        <v>0</v>
      </c>
      <c r="N12" s="344">
        <f>+IFERROR(_xlfn.XLOOKUP($A12,'CONSOLIDATED CY Cash Flows'!$B:$B,'CONSOLIDATED CY Cash Flows'!T:T)/$S12,0)</f>
        <v>0</v>
      </c>
      <c r="O12" s="344">
        <f>+IFERROR(_xlfn.XLOOKUP($A12,'CONSOLIDATED CY Cash Flows'!$B:$B,'CONSOLIDATED CY Cash Flows'!U:U)/$S12,0)</f>
        <v>0</v>
      </c>
      <c r="P12" s="344">
        <f>+IFERROR(_xlfn.XLOOKUP($A12,'CONSOLIDATED CY Cash Flows'!$B:$B,'CONSOLIDATED CY Cash Flows'!V:V)/$S12,0)</f>
        <v>0</v>
      </c>
      <c r="Q12" s="344">
        <f>+IFERROR(_xlfn.XLOOKUP($A12,'CONSOLIDATED CY Cash Flows'!$B:$B,'CONSOLIDATED CY Cash Flows'!W:W)/$S12,0)</f>
        <v>0</v>
      </c>
      <c r="R12" s="340">
        <f t="shared" si="0"/>
        <v>0</v>
      </c>
      <c r="S12" s="501">
        <f>+IFERROR(_xlfn.XLOOKUP($A12,'CONSOLIDATED CY Cash Flows'!$B:$B,'CONSOLIDATED CY Cash Flows'!$H:$H),0)</f>
        <v>0</v>
      </c>
      <c r="T12" s="501">
        <f t="shared" si="1"/>
        <v>0</v>
      </c>
      <c r="U12" s="501">
        <f t="shared" si="2"/>
        <v>0</v>
      </c>
    </row>
    <row r="13" spans="1:23" ht="13.5" hidden="1" customHeight="1" x14ac:dyDescent="0.75">
      <c r="A13" s="341" t="s">
        <v>1453</v>
      </c>
      <c r="B13" s="342">
        <v>0</v>
      </c>
      <c r="C13" s="343">
        <f>+IFERROR(_xlfn.XLOOKUP($A13,'CONSOLIDATED CY Cash Flows'!$B:$B,'CONSOLIDATED CY Cash Flows'!I:I)/$S13,0)</f>
        <v>0</v>
      </c>
      <c r="D13" s="344">
        <f>+IFERROR(_xlfn.XLOOKUP($A13,'CONSOLIDATED CY Cash Flows'!$B:$B,'CONSOLIDATED CY Cash Flows'!J:J)/$S13,0)</f>
        <v>0</v>
      </c>
      <c r="E13" s="344">
        <f>+IFERROR(_xlfn.XLOOKUP($A13,'CONSOLIDATED CY Cash Flows'!$B:$B,'CONSOLIDATED CY Cash Flows'!K:K)/$S13,0)</f>
        <v>0</v>
      </c>
      <c r="F13" s="344">
        <f>+IFERROR(_xlfn.XLOOKUP($A13,'CONSOLIDATED CY Cash Flows'!$B:$B,'CONSOLIDATED CY Cash Flows'!L:L)/$S13,0)</f>
        <v>0</v>
      </c>
      <c r="G13" s="344">
        <f>+IFERROR(_xlfn.XLOOKUP($A13,'CONSOLIDATED CY Cash Flows'!$B:$B,'CONSOLIDATED CY Cash Flows'!M:M)/$S13,0)</f>
        <v>0</v>
      </c>
      <c r="H13" s="344">
        <f>+IFERROR(_xlfn.XLOOKUP($A13,'CONSOLIDATED CY Cash Flows'!$B:$B,'CONSOLIDATED CY Cash Flows'!N:N)/$S13,0)</f>
        <v>0</v>
      </c>
      <c r="I13" s="344">
        <f>+IFERROR(_xlfn.XLOOKUP($A13,'CONSOLIDATED CY Cash Flows'!$B:$B,'CONSOLIDATED CY Cash Flows'!O:O)/$S13,0)</f>
        <v>0</v>
      </c>
      <c r="J13" s="344">
        <f>+IFERROR(_xlfn.XLOOKUP($A13,'CONSOLIDATED CY Cash Flows'!$B:$B,'CONSOLIDATED CY Cash Flows'!P:P)/$S13,0)</f>
        <v>0</v>
      </c>
      <c r="K13" s="344">
        <f>+IFERROR(_xlfn.XLOOKUP($A13,'CONSOLIDATED CY Cash Flows'!$B:$B,'CONSOLIDATED CY Cash Flows'!Q:Q)/$S13,0)</f>
        <v>0</v>
      </c>
      <c r="L13" s="344">
        <f>+IFERROR(_xlfn.XLOOKUP($A13,'CONSOLIDATED CY Cash Flows'!$B:$B,'CONSOLIDATED CY Cash Flows'!R:R)/$S13,0)</f>
        <v>0</v>
      </c>
      <c r="M13" s="344">
        <f>+IFERROR(_xlfn.XLOOKUP($A13,'CONSOLIDATED CY Cash Flows'!$B:$B,'CONSOLIDATED CY Cash Flows'!S:S)/$S13,0)</f>
        <v>0</v>
      </c>
      <c r="N13" s="344">
        <f>+IFERROR(_xlfn.XLOOKUP($A13,'CONSOLIDATED CY Cash Flows'!$B:$B,'CONSOLIDATED CY Cash Flows'!T:T)/$S13,0)</f>
        <v>0</v>
      </c>
      <c r="O13" s="344">
        <f>+IFERROR(_xlfn.XLOOKUP($A13,'CONSOLIDATED CY Cash Flows'!$B:$B,'CONSOLIDATED CY Cash Flows'!U:U)/$S13,0)</f>
        <v>0</v>
      </c>
      <c r="P13" s="344">
        <f>+IFERROR(_xlfn.XLOOKUP($A13,'CONSOLIDATED CY Cash Flows'!$B:$B,'CONSOLIDATED CY Cash Flows'!V:V)/$S13,0)</f>
        <v>0</v>
      </c>
      <c r="Q13" s="344">
        <f>+IFERROR(_xlfn.XLOOKUP($A13,'CONSOLIDATED CY Cash Flows'!$B:$B,'CONSOLIDATED CY Cash Flows'!W:W)/$S13,0)</f>
        <v>0</v>
      </c>
      <c r="R13" s="340">
        <f t="shared" si="0"/>
        <v>0</v>
      </c>
      <c r="S13" s="501">
        <f>+IFERROR(_xlfn.XLOOKUP($A13,'CONSOLIDATED CY Cash Flows'!$B:$B,'CONSOLIDATED CY Cash Flows'!$H:$H),0)</f>
        <v>0</v>
      </c>
      <c r="T13" s="501">
        <f t="shared" si="1"/>
        <v>0</v>
      </c>
      <c r="U13" s="501">
        <f t="shared" si="2"/>
        <v>0</v>
      </c>
    </row>
    <row r="14" spans="1:23" ht="13.5" hidden="1" customHeight="1" x14ac:dyDescent="0.75">
      <c r="A14" s="341" t="s">
        <v>1453</v>
      </c>
      <c r="B14" s="342">
        <v>0</v>
      </c>
      <c r="C14" s="343">
        <f>+IFERROR(_xlfn.XLOOKUP($A14,'CONSOLIDATED CY Cash Flows'!$B:$B,'CONSOLIDATED CY Cash Flows'!I:I)/$S14,0)</f>
        <v>0</v>
      </c>
      <c r="D14" s="344">
        <f>+IFERROR(_xlfn.XLOOKUP($A14,'CONSOLIDATED CY Cash Flows'!$B:$B,'CONSOLIDATED CY Cash Flows'!J:J)/$S14,0)</f>
        <v>0</v>
      </c>
      <c r="E14" s="344">
        <f>+IFERROR(_xlfn.XLOOKUP($A14,'CONSOLIDATED CY Cash Flows'!$B:$B,'CONSOLIDATED CY Cash Flows'!K:K)/$S14,0)</f>
        <v>0</v>
      </c>
      <c r="F14" s="344">
        <f>+IFERROR(_xlfn.XLOOKUP($A14,'CONSOLIDATED CY Cash Flows'!$B:$B,'CONSOLIDATED CY Cash Flows'!L:L)/$S14,0)</f>
        <v>0</v>
      </c>
      <c r="G14" s="344">
        <f>+IFERROR(_xlfn.XLOOKUP($A14,'CONSOLIDATED CY Cash Flows'!$B:$B,'CONSOLIDATED CY Cash Flows'!M:M)/$S14,0)</f>
        <v>0</v>
      </c>
      <c r="H14" s="344">
        <f>+IFERROR(_xlfn.XLOOKUP($A14,'CONSOLIDATED CY Cash Flows'!$B:$B,'CONSOLIDATED CY Cash Flows'!N:N)/$S14,0)</f>
        <v>0</v>
      </c>
      <c r="I14" s="344">
        <f>+IFERROR(_xlfn.XLOOKUP($A14,'CONSOLIDATED CY Cash Flows'!$B:$B,'CONSOLIDATED CY Cash Flows'!O:O)/$S14,0)</f>
        <v>0</v>
      </c>
      <c r="J14" s="344">
        <f>+IFERROR(_xlfn.XLOOKUP($A14,'CONSOLIDATED CY Cash Flows'!$B:$B,'CONSOLIDATED CY Cash Flows'!P:P)/$S14,0)</f>
        <v>0</v>
      </c>
      <c r="K14" s="344">
        <f>+IFERROR(_xlfn.XLOOKUP($A14,'CONSOLIDATED CY Cash Flows'!$B:$B,'CONSOLIDATED CY Cash Flows'!Q:Q)/$S14,0)</f>
        <v>0</v>
      </c>
      <c r="L14" s="344">
        <f>+IFERROR(_xlfn.XLOOKUP($A14,'CONSOLIDATED CY Cash Flows'!$B:$B,'CONSOLIDATED CY Cash Flows'!R:R)/$S14,0)</f>
        <v>0</v>
      </c>
      <c r="M14" s="344">
        <f>+IFERROR(_xlfn.XLOOKUP($A14,'CONSOLIDATED CY Cash Flows'!$B:$B,'CONSOLIDATED CY Cash Flows'!S:S)/$S14,0)</f>
        <v>0</v>
      </c>
      <c r="N14" s="344">
        <f>+IFERROR(_xlfn.XLOOKUP($A14,'CONSOLIDATED CY Cash Flows'!$B:$B,'CONSOLIDATED CY Cash Flows'!T:T)/$S14,0)</f>
        <v>0</v>
      </c>
      <c r="O14" s="344">
        <f>+IFERROR(_xlfn.XLOOKUP($A14,'CONSOLIDATED CY Cash Flows'!$B:$B,'CONSOLIDATED CY Cash Flows'!U:U)/$S14,0)</f>
        <v>0</v>
      </c>
      <c r="P14" s="344">
        <f>+IFERROR(_xlfn.XLOOKUP($A14,'CONSOLIDATED CY Cash Flows'!$B:$B,'CONSOLIDATED CY Cash Flows'!V:V)/$S14,0)</f>
        <v>0</v>
      </c>
      <c r="Q14" s="344">
        <f>+IFERROR(_xlfn.XLOOKUP($A14,'CONSOLIDATED CY Cash Flows'!$B:$B,'CONSOLIDATED CY Cash Flows'!W:W)/$S14,0)</f>
        <v>0</v>
      </c>
      <c r="R14" s="340">
        <f t="shared" si="0"/>
        <v>0</v>
      </c>
      <c r="S14" s="501">
        <f>+IFERROR(_xlfn.XLOOKUP($A14,'CONSOLIDATED CY Cash Flows'!$B:$B,'CONSOLIDATED CY Cash Flows'!$H:$H),0)</f>
        <v>0</v>
      </c>
      <c r="T14" s="501">
        <f t="shared" si="1"/>
        <v>0</v>
      </c>
      <c r="U14" s="501">
        <f t="shared" si="2"/>
        <v>0</v>
      </c>
    </row>
    <row r="15" spans="1:23" ht="13.5" hidden="1" customHeight="1" x14ac:dyDescent="0.75">
      <c r="A15" s="341" t="s">
        <v>1453</v>
      </c>
      <c r="B15" s="342">
        <v>0</v>
      </c>
      <c r="C15" s="343">
        <f>+IFERROR(_xlfn.XLOOKUP($A15,'CONSOLIDATED CY Cash Flows'!$B:$B,'CONSOLIDATED CY Cash Flows'!I:I)/$S15,0)</f>
        <v>0</v>
      </c>
      <c r="D15" s="344">
        <f>+IFERROR(_xlfn.XLOOKUP($A15,'CONSOLIDATED CY Cash Flows'!$B:$B,'CONSOLIDATED CY Cash Flows'!J:J)/$S15,0)</f>
        <v>0</v>
      </c>
      <c r="E15" s="344">
        <f>+IFERROR(_xlfn.XLOOKUP($A15,'CONSOLIDATED CY Cash Flows'!$B:$B,'CONSOLIDATED CY Cash Flows'!K:K)/$S15,0)</f>
        <v>0</v>
      </c>
      <c r="F15" s="344">
        <f>+IFERROR(_xlfn.XLOOKUP($A15,'CONSOLIDATED CY Cash Flows'!$B:$B,'CONSOLIDATED CY Cash Flows'!L:L)/$S15,0)</f>
        <v>0</v>
      </c>
      <c r="G15" s="344">
        <f>+IFERROR(_xlfn.XLOOKUP($A15,'CONSOLIDATED CY Cash Flows'!$B:$B,'CONSOLIDATED CY Cash Flows'!M:M)/$S15,0)</f>
        <v>0</v>
      </c>
      <c r="H15" s="344">
        <f>+IFERROR(_xlfn.XLOOKUP($A15,'CONSOLIDATED CY Cash Flows'!$B:$B,'CONSOLIDATED CY Cash Flows'!N:N)/$S15,0)</f>
        <v>0</v>
      </c>
      <c r="I15" s="344">
        <f>+IFERROR(_xlfn.XLOOKUP($A15,'CONSOLIDATED CY Cash Flows'!$B:$B,'CONSOLIDATED CY Cash Flows'!O:O)/$S15,0)</f>
        <v>0</v>
      </c>
      <c r="J15" s="344">
        <f>+IFERROR(_xlfn.XLOOKUP($A15,'CONSOLIDATED CY Cash Flows'!$B:$B,'CONSOLIDATED CY Cash Flows'!P:P)/$S15,0)</f>
        <v>0</v>
      </c>
      <c r="K15" s="344">
        <f>+IFERROR(_xlfn.XLOOKUP($A15,'CONSOLIDATED CY Cash Flows'!$B:$B,'CONSOLIDATED CY Cash Flows'!Q:Q)/$S15,0)</f>
        <v>0</v>
      </c>
      <c r="L15" s="344">
        <f>+IFERROR(_xlfn.XLOOKUP($A15,'CONSOLIDATED CY Cash Flows'!$B:$B,'CONSOLIDATED CY Cash Flows'!R:R)/$S15,0)</f>
        <v>0</v>
      </c>
      <c r="M15" s="344">
        <f>+IFERROR(_xlfn.XLOOKUP($A15,'CONSOLIDATED CY Cash Flows'!$B:$B,'CONSOLIDATED CY Cash Flows'!S:S)/$S15,0)</f>
        <v>0</v>
      </c>
      <c r="N15" s="344">
        <f>+IFERROR(_xlfn.XLOOKUP($A15,'CONSOLIDATED CY Cash Flows'!$B:$B,'CONSOLIDATED CY Cash Flows'!T:T)/$S15,0)</f>
        <v>0</v>
      </c>
      <c r="O15" s="344">
        <f>+IFERROR(_xlfn.XLOOKUP($A15,'CONSOLIDATED CY Cash Flows'!$B:$B,'CONSOLIDATED CY Cash Flows'!U:U)/$S15,0)</f>
        <v>0</v>
      </c>
      <c r="P15" s="344">
        <f>+IFERROR(_xlfn.XLOOKUP($A15,'CONSOLIDATED CY Cash Flows'!$B:$B,'CONSOLIDATED CY Cash Flows'!V:V)/$S15,0)</f>
        <v>0</v>
      </c>
      <c r="Q15" s="344">
        <f>+IFERROR(_xlfn.XLOOKUP($A15,'CONSOLIDATED CY Cash Flows'!$B:$B,'CONSOLIDATED CY Cash Flows'!W:W)/$S15,0)</f>
        <v>0</v>
      </c>
      <c r="R15" s="340">
        <f t="shared" si="0"/>
        <v>0</v>
      </c>
      <c r="S15" s="501">
        <f>+IFERROR(_xlfn.XLOOKUP($A15,'CONSOLIDATED CY Cash Flows'!$B:$B,'CONSOLIDATED CY Cash Flows'!$H:$H),0)</f>
        <v>0</v>
      </c>
      <c r="T15" s="501">
        <f t="shared" si="1"/>
        <v>0</v>
      </c>
      <c r="U15" s="501">
        <f t="shared" si="2"/>
        <v>0</v>
      </c>
    </row>
    <row r="16" spans="1:23" ht="13.5" hidden="1" customHeight="1" thickBot="1" x14ac:dyDescent="0.9">
      <c r="A16" s="345" t="s">
        <v>1453</v>
      </c>
      <c r="B16" s="346">
        <v>0</v>
      </c>
      <c r="C16" s="347">
        <f>+IFERROR(_xlfn.XLOOKUP($A16,'CONSOLIDATED CY Cash Flows'!$B:$B,'CONSOLIDATED CY Cash Flows'!I:I)/$S16,0)</f>
        <v>0</v>
      </c>
      <c r="D16" s="348">
        <f>+IFERROR(_xlfn.XLOOKUP($A16,'CONSOLIDATED CY Cash Flows'!$B:$B,'CONSOLIDATED CY Cash Flows'!J:J)/$S16,0)</f>
        <v>0</v>
      </c>
      <c r="E16" s="348">
        <f>+IFERROR(_xlfn.XLOOKUP($A16,'CONSOLIDATED CY Cash Flows'!$B:$B,'CONSOLIDATED CY Cash Flows'!K:K)/$S16,0)</f>
        <v>0</v>
      </c>
      <c r="F16" s="348">
        <f>+IFERROR(_xlfn.XLOOKUP($A16,'CONSOLIDATED CY Cash Flows'!$B:$B,'CONSOLIDATED CY Cash Flows'!L:L)/$S16,0)</f>
        <v>0</v>
      </c>
      <c r="G16" s="348">
        <f>+IFERROR(_xlfn.XLOOKUP($A16,'CONSOLIDATED CY Cash Flows'!$B:$B,'CONSOLIDATED CY Cash Flows'!M:M)/$S16,0)</f>
        <v>0</v>
      </c>
      <c r="H16" s="348">
        <f>+IFERROR(_xlfn.XLOOKUP($A16,'CONSOLIDATED CY Cash Flows'!$B:$B,'CONSOLIDATED CY Cash Flows'!N:N)/$S16,0)</f>
        <v>0</v>
      </c>
      <c r="I16" s="348">
        <f>+IFERROR(_xlfn.XLOOKUP($A16,'CONSOLIDATED CY Cash Flows'!$B:$B,'CONSOLIDATED CY Cash Flows'!O:O)/$S16,0)</f>
        <v>0</v>
      </c>
      <c r="J16" s="348">
        <f>+IFERROR(_xlfn.XLOOKUP($A16,'CONSOLIDATED CY Cash Flows'!$B:$B,'CONSOLIDATED CY Cash Flows'!P:P)/$S16,0)</f>
        <v>0</v>
      </c>
      <c r="K16" s="348">
        <f>+IFERROR(_xlfn.XLOOKUP($A16,'CONSOLIDATED CY Cash Flows'!$B:$B,'CONSOLIDATED CY Cash Flows'!Q:Q)/$S16,0)</f>
        <v>0</v>
      </c>
      <c r="L16" s="348">
        <f>+IFERROR(_xlfn.XLOOKUP($A16,'CONSOLIDATED CY Cash Flows'!$B:$B,'CONSOLIDATED CY Cash Flows'!R:R)/$S16,0)</f>
        <v>0</v>
      </c>
      <c r="M16" s="348">
        <f>+IFERROR(_xlfn.XLOOKUP($A16,'CONSOLIDATED CY Cash Flows'!$B:$B,'CONSOLIDATED CY Cash Flows'!S:S)/$S16,0)</f>
        <v>0</v>
      </c>
      <c r="N16" s="348">
        <f>+IFERROR(_xlfn.XLOOKUP($A16,'CONSOLIDATED CY Cash Flows'!$B:$B,'CONSOLIDATED CY Cash Flows'!T:T)/$S16,0)</f>
        <v>0</v>
      </c>
      <c r="O16" s="348">
        <f>+IFERROR(_xlfn.XLOOKUP($A16,'CONSOLIDATED CY Cash Flows'!$B:$B,'CONSOLIDATED CY Cash Flows'!U:U)/$S16,0)</f>
        <v>0</v>
      </c>
      <c r="P16" s="348">
        <f>+IFERROR(_xlfn.XLOOKUP($A16,'CONSOLIDATED CY Cash Flows'!$B:$B,'CONSOLIDATED CY Cash Flows'!V:V)/$S16,0)</f>
        <v>0</v>
      </c>
      <c r="Q16" s="348">
        <f>+IFERROR(_xlfn.XLOOKUP($A16,'CONSOLIDATED CY Cash Flows'!$B:$B,'CONSOLIDATED CY Cash Flows'!W:W)/$S16,0)</f>
        <v>0</v>
      </c>
      <c r="R16" s="340">
        <f t="shared" si="0"/>
        <v>0</v>
      </c>
      <c r="S16" s="501">
        <f>+IFERROR(_xlfn.XLOOKUP($A16,'CONSOLIDATED CY Cash Flows'!$B:$B,'CONSOLIDATED CY Cash Flows'!$H:$H),0)</f>
        <v>0</v>
      </c>
      <c r="T16" s="501">
        <f t="shared" si="1"/>
        <v>0</v>
      </c>
      <c r="U16" s="501">
        <f t="shared" si="2"/>
        <v>0</v>
      </c>
    </row>
    <row r="17" spans="1:21" ht="13.5" customHeight="1" x14ac:dyDescent="0.75">
      <c r="A17" s="349">
        <v>2100</v>
      </c>
      <c r="B17" s="350" t="s">
        <v>577</v>
      </c>
      <c r="C17" s="344">
        <f ca="1">+IFERROR(_xlfn.XLOOKUP($A17,'CONSOLIDATED CY Cash Flows'!$B:$B,'CONSOLIDATED CY Cash Flows'!I:I)/$S17,0)</f>
        <v>4.6097986056668483E-3</v>
      </c>
      <c r="D17" s="344">
        <f ca="1">+IFERROR(_xlfn.XLOOKUP($A17,'CONSOLIDATED CY Cash Flows'!$B:$B,'CONSOLIDATED CY Cash Flows'!J:J)/$S17,0)</f>
        <v>7.3172639854177685E-2</v>
      </c>
      <c r="E17" s="344">
        <f ca="1">+IFERROR(_xlfn.XLOOKUP($A17,'CONSOLIDATED CY Cash Flows'!$B:$B,'CONSOLIDATED CY Cash Flows'!K:K)/$S17,0)</f>
        <v>9.5286032080762056E-2</v>
      </c>
      <c r="F17" s="344">
        <f ca="1">+IFERROR(_xlfn.XLOOKUP($A17,'CONSOLIDATED CY Cash Flows'!$B:$B,'CONSOLIDATED CY Cash Flows'!L:L)/$S17,0)</f>
        <v>8.758432862999288E-2</v>
      </c>
      <c r="G17" s="344">
        <f ca="1">+IFERROR(_xlfn.XLOOKUP($A17,'CONSOLIDATED CY Cash Flows'!$B:$B,'CONSOLIDATED CY Cash Flows'!M:M)/$S17,0)</f>
        <v>0.10058402513101466</v>
      </c>
      <c r="H17" s="344">
        <f ca="1">+IFERROR(_xlfn.XLOOKUP($A17,'CONSOLIDATED CY Cash Flows'!$B:$B,'CONSOLIDATED CY Cash Flows'!N:N)/$S17,0)</f>
        <v>9.7610990986399512E-2</v>
      </c>
      <c r="I17" s="344">
        <f ca="1">+IFERROR(_xlfn.XLOOKUP($A17,'CONSOLIDATED CY Cash Flows'!$B:$B,'CONSOLIDATED CY Cash Flows'!O:O)/$S17,0)</f>
        <v>0.13258373133309687</v>
      </c>
      <c r="J17" s="344">
        <f ca="1">+IFERROR(_xlfn.XLOOKUP($A17,'CONSOLIDATED CY Cash Flows'!$B:$B,'CONSOLIDATED CY Cash Flows'!P:P)/$S17,0)</f>
        <v>8.0933607709899352E-2</v>
      </c>
      <c r="K17" s="344">
        <f ca="1">+IFERROR(_xlfn.XLOOKUP($A17,'CONSOLIDATED CY Cash Flows'!$B:$B,'CONSOLIDATED CY Cash Flows'!Q:Q)/$S17,0)</f>
        <v>8.1908711417247537E-2</v>
      </c>
      <c r="L17" s="344">
        <f ca="1">+IFERROR(_xlfn.XLOOKUP($A17,'CONSOLIDATED CY Cash Flows'!$B:$B,'CONSOLIDATED CY Cash Flows'!R:R)/$S17,0)</f>
        <v>8.1908711417247537E-2</v>
      </c>
      <c r="M17" s="344">
        <f ca="1">+IFERROR(_xlfn.XLOOKUP($A17,'CONSOLIDATED CY Cash Flows'!$B:$B,'CONSOLIDATED CY Cash Flows'!S:S)/$S17,0)</f>
        <v>8.1908711417247537E-2</v>
      </c>
      <c r="N17" s="344">
        <f ca="1">+IFERROR(_xlfn.XLOOKUP($A17,'CONSOLIDATED CY Cash Flows'!$B:$B,'CONSOLIDATED CY Cash Flows'!T:T)/$S17,0)</f>
        <v>8.1908711417247537E-2</v>
      </c>
      <c r="O17" s="344">
        <f ca="1">+IFERROR(_xlfn.XLOOKUP($A17,'CONSOLIDATED CY Cash Flows'!$B:$B,'CONSOLIDATED CY Cash Flows'!U:U)/$S17,0)</f>
        <v>0</v>
      </c>
      <c r="P17" s="344">
        <f ca="1">+IFERROR(_xlfn.XLOOKUP($A17,'CONSOLIDATED CY Cash Flows'!$B:$B,'CONSOLIDATED CY Cash Flows'!V:V)/$S17,0)</f>
        <v>0</v>
      </c>
      <c r="Q17" s="344">
        <f ca="1">+IFERROR(_xlfn.XLOOKUP($A17,'CONSOLIDATED CY Cash Flows'!$B:$B,'CONSOLIDATED CY Cash Flows'!W:W)/$S17,0)</f>
        <v>0</v>
      </c>
      <c r="R17" s="340">
        <f t="shared" ca="1" si="0"/>
        <v>1</v>
      </c>
      <c r="S17" s="501">
        <f ca="1">+IFERROR(_xlfn.XLOOKUP($A17,'CONSOLIDATED CY Cash Flows'!$B:$B,'CONSOLIDATED CY Cash Flows'!$H:$H),0)</f>
        <v>363167.70930989995</v>
      </c>
      <c r="T17" s="501">
        <f t="shared" ca="1" si="1"/>
        <v>214788.84</v>
      </c>
      <c r="U17" s="501">
        <f t="shared" ca="1" si="2"/>
        <v>148378.86930989995</v>
      </c>
    </row>
    <row r="18" spans="1:21" ht="13.5" customHeight="1" x14ac:dyDescent="0.75">
      <c r="A18" s="349">
        <v>2200</v>
      </c>
      <c r="B18" s="350" t="s">
        <v>579</v>
      </c>
      <c r="C18" s="344">
        <f ca="1">+IFERROR(_xlfn.XLOOKUP($A18,'CONSOLIDATED CY Cash Flows'!$B:$B,'CONSOLIDATED CY Cash Flows'!I:I)/$S18,0)</f>
        <v>6.5778114468678039E-2</v>
      </c>
      <c r="D18" s="344">
        <f ca="1">+IFERROR(_xlfn.XLOOKUP($A18,'CONSOLIDATED CY Cash Flows'!$B:$B,'CONSOLIDATED CY Cash Flows'!J:J)/$S18,0)</f>
        <v>7.9879609330674201E-2</v>
      </c>
      <c r="E18" s="344">
        <f ca="1">+IFERROR(_xlfn.XLOOKUP($A18,'CONSOLIDATED CY Cash Flows'!$B:$B,'CONSOLIDATED CY Cash Flows'!K:K)/$S18,0)</f>
        <v>8.0895504253227016E-2</v>
      </c>
      <c r="F18" s="344">
        <f ca="1">+IFERROR(_xlfn.XLOOKUP($A18,'CONSOLIDATED CY Cash Flows'!$B:$B,'CONSOLIDATED CY Cash Flows'!L:L)/$S18,0)</f>
        <v>8.7717759051363114E-2</v>
      </c>
      <c r="G18" s="344">
        <f ca="1">+IFERROR(_xlfn.XLOOKUP($A18,'CONSOLIDATED CY Cash Flows'!$B:$B,'CONSOLIDATED CY Cash Flows'!M:M)/$S18,0)</f>
        <v>8.2346006265139132E-2</v>
      </c>
      <c r="H18" s="344">
        <f ca="1">+IFERROR(_xlfn.XLOOKUP($A18,'CONSOLIDATED CY Cash Flows'!$B:$B,'CONSOLIDATED CY Cash Flows'!N:N)/$S18,0)</f>
        <v>8.7093082936526456E-2</v>
      </c>
      <c r="I18" s="344">
        <f ca="1">+IFERROR(_xlfn.XLOOKUP($A18,'CONSOLIDATED CY Cash Flows'!$B:$B,'CONSOLIDATED CY Cash Flows'!O:O)/$S18,0)</f>
        <v>0.10108210502221016</v>
      </c>
      <c r="J18" s="344">
        <f ca="1">+IFERROR(_xlfn.XLOOKUP($A18,'CONSOLIDATED CY Cash Flows'!$B:$B,'CONSOLIDATED CY Cash Flows'!P:P)/$S18,0)</f>
        <v>8.2248804176112383E-2</v>
      </c>
      <c r="K18" s="344">
        <f ca="1">+IFERROR(_xlfn.XLOOKUP($A18,'CONSOLIDATED CY Cash Flows'!$B:$B,'CONSOLIDATED CY Cash Flows'!Q:Q)/$S18,0)</f>
        <v>8.3239753624017351E-2</v>
      </c>
      <c r="L18" s="344">
        <f ca="1">+IFERROR(_xlfn.XLOOKUP($A18,'CONSOLIDATED CY Cash Flows'!$B:$B,'CONSOLIDATED CY Cash Flows'!R:R)/$S18,0)</f>
        <v>8.3239753624017351E-2</v>
      </c>
      <c r="M18" s="344">
        <f ca="1">+IFERROR(_xlfn.XLOOKUP($A18,'CONSOLIDATED CY Cash Flows'!$B:$B,'CONSOLIDATED CY Cash Flows'!S:S)/$S18,0)</f>
        <v>8.3239753624017351E-2</v>
      </c>
      <c r="N18" s="344">
        <f ca="1">+IFERROR(_xlfn.XLOOKUP($A18,'CONSOLIDATED CY Cash Flows'!$B:$B,'CONSOLIDATED CY Cash Flows'!T:T)/$S18,0)</f>
        <v>8.3239753624017351E-2</v>
      </c>
      <c r="O18" s="344">
        <f ca="1">+IFERROR(_xlfn.XLOOKUP($A18,'CONSOLIDATED CY Cash Flows'!$B:$B,'CONSOLIDATED CY Cash Flows'!U:U)/$S18,0)</f>
        <v>0</v>
      </c>
      <c r="P18" s="344">
        <f ca="1">+IFERROR(_xlfn.XLOOKUP($A18,'CONSOLIDATED CY Cash Flows'!$B:$B,'CONSOLIDATED CY Cash Flows'!V:V)/$S18,0)</f>
        <v>0</v>
      </c>
      <c r="Q18" s="344">
        <f ca="1">+IFERROR(_xlfn.XLOOKUP($A18,'CONSOLIDATED CY Cash Flows'!$B:$B,'CONSOLIDATED CY Cash Flows'!W:W)/$S18,0)</f>
        <v>0</v>
      </c>
      <c r="R18" s="340">
        <f t="shared" ca="1" si="0"/>
        <v>0.99999999999999989</v>
      </c>
      <c r="S18" s="501">
        <f ca="1">+IFERROR(_xlfn.XLOOKUP($A18,'CONSOLIDATED CY Cash Flows'!$B:$B,'CONSOLIDATED CY Cash Flows'!$H:$H),0)</f>
        <v>1615413.1333545281</v>
      </c>
      <c r="T18" s="501">
        <f t="shared" ca="1" si="1"/>
        <v>944680.97</v>
      </c>
      <c r="U18" s="501">
        <f t="shared" ca="1" si="2"/>
        <v>670732.16335452814</v>
      </c>
    </row>
    <row r="19" spans="1:21" ht="16.95" customHeight="1" x14ac:dyDescent="0.75">
      <c r="A19" s="349">
        <v>2300</v>
      </c>
      <c r="B19" s="350" t="s">
        <v>1454</v>
      </c>
      <c r="C19" s="344">
        <f ca="1">+IFERROR(_xlfn.XLOOKUP($A19,'CONSOLIDATED CY Cash Flows'!$B:$B,'CONSOLIDATED CY Cash Flows'!I:I)/$S19,0)</f>
        <v>0.11679902161421477</v>
      </c>
      <c r="D19" s="344">
        <f ca="1">+IFERROR(_xlfn.XLOOKUP($A19,'CONSOLIDATED CY Cash Flows'!$B:$B,'CONSOLIDATED CY Cash Flows'!J:J)/$S19,0)</f>
        <v>0.11577344122680847</v>
      </c>
      <c r="E19" s="344">
        <f ca="1">+IFERROR(_xlfn.XLOOKUP($A19,'CONSOLIDATED CY Cash Flows'!$B:$B,'CONSOLIDATED CY Cash Flows'!K:K)/$S19,0)</f>
        <v>0.12127088441293815</v>
      </c>
      <c r="F19" s="344">
        <f ca="1">+IFERROR(_xlfn.XLOOKUP($A19,'CONSOLIDATED CY Cash Flows'!$B:$B,'CONSOLIDATED CY Cash Flows'!L:L)/$S19,0)</f>
        <v>3.7637879216217605E-2</v>
      </c>
      <c r="G19" s="344">
        <f ca="1">+IFERROR(_xlfn.XLOOKUP($A19,'CONSOLIDATED CY Cash Flows'!$B:$B,'CONSOLIDATED CY Cash Flows'!M:M)/$S19,0)</f>
        <v>9.9689331579606036E-2</v>
      </c>
      <c r="H19" s="344">
        <f ca="1">+IFERROR(_xlfn.XLOOKUP($A19,'CONSOLIDATED CY Cash Flows'!$B:$B,'CONSOLIDATED CY Cash Flows'!N:N)/$S19,0)</f>
        <v>0.10127483326810609</v>
      </c>
      <c r="I19" s="344">
        <f ca="1">+IFERROR(_xlfn.XLOOKUP($A19,'CONSOLIDATED CY Cash Flows'!$B:$B,'CONSOLIDATED CY Cash Flows'!O:O)/$S19,0)</f>
        <v>0.11382532708123035</v>
      </c>
      <c r="J19" s="344">
        <f ca="1">+IFERROR(_xlfn.XLOOKUP($A19,'CONSOLIDATED CY Cash Flows'!$B:$B,'CONSOLIDATED CY Cash Flows'!P:P)/$S19,0)</f>
        <v>5.8185036689434158E-2</v>
      </c>
      <c r="K19" s="344">
        <f ca="1">+IFERROR(_xlfn.XLOOKUP($A19,'CONSOLIDATED CY Cash Flows'!$B:$B,'CONSOLIDATED CY Cash Flows'!Q:Q)/$S19,0)</f>
        <v>5.8886061227861081E-2</v>
      </c>
      <c r="L19" s="344">
        <f ca="1">+IFERROR(_xlfn.XLOOKUP($A19,'CONSOLIDATED CY Cash Flows'!$B:$B,'CONSOLIDATED CY Cash Flows'!R:R)/$S19,0)</f>
        <v>5.8886061227861081E-2</v>
      </c>
      <c r="M19" s="344">
        <f ca="1">+IFERROR(_xlfn.XLOOKUP($A19,'CONSOLIDATED CY Cash Flows'!$B:$B,'CONSOLIDATED CY Cash Flows'!S:S)/$S19,0)</f>
        <v>5.8886061227861081E-2</v>
      </c>
      <c r="N19" s="344">
        <f ca="1">+IFERROR(_xlfn.XLOOKUP($A19,'CONSOLIDATED CY Cash Flows'!$B:$B,'CONSOLIDATED CY Cash Flows'!T:T)/$S19,0)</f>
        <v>5.8886061227861081E-2</v>
      </c>
      <c r="O19" s="344">
        <f ca="1">+IFERROR(_xlfn.XLOOKUP($A19,'CONSOLIDATED CY Cash Flows'!$B:$B,'CONSOLIDATED CY Cash Flows'!U:U)/$S19,0)</f>
        <v>0</v>
      </c>
      <c r="P19" s="344">
        <f ca="1">+IFERROR(_xlfn.XLOOKUP($A19,'CONSOLIDATED CY Cash Flows'!$B:$B,'CONSOLIDATED CY Cash Flows'!V:V)/$S19,0)</f>
        <v>0</v>
      </c>
      <c r="Q19" s="344">
        <f ca="1">+IFERROR(_xlfn.XLOOKUP($A19,'CONSOLIDATED CY Cash Flows'!$B:$B,'CONSOLIDATED CY Cash Flows'!W:W)/$S19,0)</f>
        <v>0</v>
      </c>
      <c r="R19" s="340">
        <f t="shared" ca="1" si="0"/>
        <v>1</v>
      </c>
      <c r="S19" s="501">
        <f ca="1">+IFERROR(_xlfn.XLOOKUP($A19,'CONSOLIDATED CY Cash Flows'!$B:$B,'CONSOLIDATED CY Cash Flows'!$H:$H),0)</f>
        <v>587403.97866184008</v>
      </c>
      <c r="T19" s="501">
        <f t="shared" ca="1" si="1"/>
        <v>414866.23000000004</v>
      </c>
      <c r="U19" s="501">
        <f t="shared" ca="1" si="2"/>
        <v>172537.74866184004</v>
      </c>
    </row>
    <row r="20" spans="1:21" ht="13.5" customHeight="1" x14ac:dyDescent="0.75">
      <c r="A20" s="349">
        <v>2400</v>
      </c>
      <c r="B20" s="350" t="s">
        <v>1455</v>
      </c>
      <c r="C20" s="344">
        <f ca="1">+IFERROR(_xlfn.XLOOKUP($A20,'CONSOLIDATED CY Cash Flows'!$B:$B,'CONSOLIDATED CY Cash Flows'!I:I)/$S20,0)</f>
        <v>7.4633303028488904E-2</v>
      </c>
      <c r="D20" s="344">
        <f ca="1">+IFERROR(_xlfn.XLOOKUP($A20,'CONSOLIDATED CY Cash Flows'!$B:$B,'CONSOLIDATED CY Cash Flows'!J:J)/$S20,0)</f>
        <v>7.9462291123552034E-2</v>
      </c>
      <c r="E20" s="344">
        <f ca="1">+IFERROR(_xlfn.XLOOKUP($A20,'CONSOLIDATED CY Cash Flows'!$B:$B,'CONSOLIDATED CY Cash Flows'!K:K)/$S20,0)</f>
        <v>7.8760301721637463E-2</v>
      </c>
      <c r="F20" s="344">
        <f ca="1">+IFERROR(_xlfn.XLOOKUP($A20,'CONSOLIDATED CY Cash Flows'!$B:$B,'CONSOLIDATED CY Cash Flows'!L:L)/$S20,0)</f>
        <v>4.8756503316399608E-2</v>
      </c>
      <c r="G20" s="344">
        <f ca="1">+IFERROR(_xlfn.XLOOKUP($A20,'CONSOLIDATED CY Cash Flows'!$B:$B,'CONSOLIDATED CY Cash Flows'!M:M)/$S20,0)</f>
        <v>7.1587823963115013E-2</v>
      </c>
      <c r="H20" s="344">
        <f ca="1">+IFERROR(_xlfn.XLOOKUP($A20,'CONSOLIDATED CY Cash Flows'!$B:$B,'CONSOLIDATED CY Cash Flows'!N:N)/$S20,0)</f>
        <v>7.4593087159195826E-2</v>
      </c>
      <c r="I20" s="344">
        <f ca="1">+IFERROR(_xlfn.XLOOKUP($A20,'CONSOLIDATED CY Cash Flows'!$B:$B,'CONSOLIDATED CY Cash Flows'!O:O)/$S20,0)</f>
        <v>9.275074928163661E-2</v>
      </c>
      <c r="J20" s="344">
        <f ca="1">+IFERROR(_xlfn.XLOOKUP($A20,'CONSOLIDATED CY Cash Flows'!$B:$B,'CONSOLIDATED CY Cash Flows'!P:P)/$S20,0)</f>
        <v>9.4975759078033142E-2</v>
      </c>
      <c r="K20" s="344">
        <f ca="1">+IFERROR(_xlfn.XLOOKUP($A20,'CONSOLIDATED CY Cash Flows'!$B:$B,'CONSOLIDATED CY Cash Flows'!Q:Q)/$S20,0)</f>
        <v>9.6120045331985357E-2</v>
      </c>
      <c r="L20" s="344">
        <f ca="1">+IFERROR(_xlfn.XLOOKUP($A20,'CONSOLIDATED CY Cash Flows'!$B:$B,'CONSOLIDATED CY Cash Flows'!R:R)/$S20,0)</f>
        <v>9.6120045331985357E-2</v>
      </c>
      <c r="M20" s="344">
        <f ca="1">+IFERROR(_xlfn.XLOOKUP($A20,'CONSOLIDATED CY Cash Flows'!$B:$B,'CONSOLIDATED CY Cash Flows'!S:S)/$S20,0)</f>
        <v>9.6120045331985357E-2</v>
      </c>
      <c r="N20" s="344">
        <f ca="1">+IFERROR(_xlfn.XLOOKUP($A20,'CONSOLIDATED CY Cash Flows'!$B:$B,'CONSOLIDATED CY Cash Flows'!T:T)/$S20,0)</f>
        <v>9.6120045331985357E-2</v>
      </c>
      <c r="O20" s="344">
        <f ca="1">+IFERROR(_xlfn.XLOOKUP($A20,'CONSOLIDATED CY Cash Flows'!$B:$B,'CONSOLIDATED CY Cash Flows'!U:U)/$S20,0)</f>
        <v>0</v>
      </c>
      <c r="P20" s="344">
        <f ca="1">+IFERROR(_xlfn.XLOOKUP($A20,'CONSOLIDATED CY Cash Flows'!$B:$B,'CONSOLIDATED CY Cash Flows'!V:V)/$S20,0)</f>
        <v>0</v>
      </c>
      <c r="Q20" s="344">
        <f ca="1">+IFERROR(_xlfn.XLOOKUP($A20,'CONSOLIDATED CY Cash Flows'!$B:$B,'CONSOLIDATED CY Cash Flows'!W:W)/$S20,0)</f>
        <v>0</v>
      </c>
      <c r="R20" s="340">
        <f t="shared" ca="1" si="0"/>
        <v>1</v>
      </c>
      <c r="S20" s="501">
        <f ca="1">+IFERROR(_xlfn.XLOOKUP($A20,'CONSOLIDATED CY Cash Flows'!$B:$B,'CONSOLIDATED CY Cash Flows'!$H:$H),0)</f>
        <v>710167.41654550796</v>
      </c>
      <c r="T20" s="501">
        <f t="shared" ca="1" si="1"/>
        <v>369673.42999999993</v>
      </c>
      <c r="U20" s="501">
        <f t="shared" ca="1" si="2"/>
        <v>340493.98654550803</v>
      </c>
    </row>
    <row r="21" spans="1:21" ht="13.5" customHeight="1" thickBot="1" x14ac:dyDescent="0.9">
      <c r="A21" s="349">
        <v>2900</v>
      </c>
      <c r="B21" s="350" t="s">
        <v>584</v>
      </c>
      <c r="C21" s="344">
        <f ca="1">+IFERROR(_xlfn.XLOOKUP($A21,'CONSOLIDATED CY Cash Flows'!$B:$B,'CONSOLIDATED CY Cash Flows'!I:I)/$S21,0)</f>
        <v>0</v>
      </c>
      <c r="D21" s="344">
        <f ca="1">+IFERROR(_xlfn.XLOOKUP($A21,'CONSOLIDATED CY Cash Flows'!$B:$B,'CONSOLIDATED CY Cash Flows'!J:J)/$S21,0)</f>
        <v>1.2559027777777779E-3</v>
      </c>
      <c r="E21" s="344">
        <f ca="1">+IFERROR(_xlfn.XLOOKUP($A21,'CONSOLIDATED CY Cash Flows'!$B:$B,'CONSOLIDATED CY Cash Flows'!K:K)/$S21,0)</f>
        <v>5.2278819444444451E-2</v>
      </c>
      <c r="F21" s="344">
        <f ca="1">+IFERROR(_xlfn.XLOOKUP($A21,'CONSOLIDATED CY Cash Flows'!$B:$B,'CONSOLIDATED CY Cash Flows'!L:L)/$S21,0)</f>
        <v>2.4334027777777781E-2</v>
      </c>
      <c r="G21" s="344">
        <f ca="1">+IFERROR(_xlfn.XLOOKUP($A21,'CONSOLIDATED CY Cash Flows'!$B:$B,'CONSOLIDATED CY Cash Flows'!M:M)/$S21,0)</f>
        <v>4.8589583333333339E-2</v>
      </c>
      <c r="H21" s="344">
        <f ca="1">+IFERROR(_xlfn.XLOOKUP($A21,'CONSOLIDATED CY Cash Flows'!$B:$B,'CONSOLIDATED CY Cash Flows'!N:N)/$S21,0)</f>
        <v>9.3802083333333324E-3</v>
      </c>
      <c r="I21" s="344">
        <f ca="1">+IFERROR(_xlfn.XLOOKUP($A21,'CONSOLIDATED CY Cash Flows'!$B:$B,'CONSOLIDATED CY Cash Flows'!O:O)/$S21,0)</f>
        <v>6.979097222222222E-2</v>
      </c>
      <c r="J21" s="344">
        <f ca="1">+IFERROR(_xlfn.XLOOKUP($A21,'CONSOLIDATED CY Cash Flows'!$B:$B,'CONSOLIDATED CY Cash Flows'!P:P)/$S21,0)</f>
        <v>0.15735739939671176</v>
      </c>
      <c r="K21" s="344">
        <f ca="1">+IFERROR(_xlfn.XLOOKUP($A21,'CONSOLIDATED CY Cash Flows'!$B:$B,'CONSOLIDATED CY Cash Flows'!Q:Q)/$S21,0)</f>
        <v>0.15925327167859984</v>
      </c>
      <c r="L21" s="344">
        <f ca="1">+IFERROR(_xlfn.XLOOKUP($A21,'CONSOLIDATED CY Cash Flows'!$B:$B,'CONSOLIDATED CY Cash Flows'!R:R)/$S21,0)</f>
        <v>0.15925327167859984</v>
      </c>
      <c r="M21" s="344">
        <f ca="1">+IFERROR(_xlfn.XLOOKUP($A21,'CONSOLIDATED CY Cash Flows'!$B:$B,'CONSOLIDATED CY Cash Flows'!S:S)/$S21,0)</f>
        <v>0.15925327167859984</v>
      </c>
      <c r="N21" s="344">
        <f ca="1">+IFERROR(_xlfn.XLOOKUP($A21,'CONSOLIDATED CY Cash Flows'!$B:$B,'CONSOLIDATED CY Cash Flows'!T:T)/$S21,0)</f>
        <v>0.15925327167859984</v>
      </c>
      <c r="O21" s="344">
        <f ca="1">+IFERROR(_xlfn.XLOOKUP($A21,'CONSOLIDATED CY Cash Flows'!$B:$B,'CONSOLIDATED CY Cash Flows'!U:U)/$S21,0)</f>
        <v>0</v>
      </c>
      <c r="P21" s="344">
        <f ca="1">+IFERROR(_xlfn.XLOOKUP($A21,'CONSOLIDATED CY Cash Flows'!$B:$B,'CONSOLIDATED CY Cash Flows'!V:V)/$S21,0)</f>
        <v>0</v>
      </c>
      <c r="Q21" s="344">
        <f ca="1">+IFERROR(_xlfn.XLOOKUP($A21,'CONSOLIDATED CY Cash Flows'!$B:$B,'CONSOLIDATED CY Cash Flows'!W:W)/$S21,0)</f>
        <v>0</v>
      </c>
      <c r="R21" s="340">
        <f t="shared" ca="1" si="0"/>
        <v>0.99999999999999989</v>
      </c>
      <c r="S21" s="501">
        <f ca="1">+IFERROR(_xlfn.XLOOKUP($A21,'CONSOLIDATED CY Cash Flows'!$B:$B,'CONSOLIDATED CY Cash Flows'!$H:$H),0)</f>
        <v>28800</v>
      </c>
      <c r="T21" s="501">
        <f t="shared" ca="1" si="1"/>
        <v>5922.13</v>
      </c>
      <c r="U21" s="501">
        <f t="shared" ca="1" si="2"/>
        <v>22877.87</v>
      </c>
    </row>
    <row r="22" spans="1:21" ht="14.25" hidden="1" customHeight="1" x14ac:dyDescent="0.75">
      <c r="A22" s="349">
        <v>2905</v>
      </c>
      <c r="B22" s="350" t="s">
        <v>585</v>
      </c>
      <c r="C22" s="344">
        <f>+IFERROR(_xlfn.XLOOKUP($A22,'CONSOLIDATED CY Cash Flows'!$B:$B,'CONSOLIDATED CY Cash Flows'!I:I)/$S22,0)</f>
        <v>0</v>
      </c>
      <c r="D22" s="344">
        <f>+IFERROR(_xlfn.XLOOKUP($A22,'CONSOLIDATED CY Cash Flows'!$B:$B,'CONSOLIDATED CY Cash Flows'!J:J)/$S22,0)</f>
        <v>0</v>
      </c>
      <c r="E22" s="344">
        <f>+IFERROR(_xlfn.XLOOKUP($A22,'CONSOLIDATED CY Cash Flows'!$B:$B,'CONSOLIDATED CY Cash Flows'!K:K)/$S22,0)</f>
        <v>0</v>
      </c>
      <c r="F22" s="344">
        <f>+IFERROR(_xlfn.XLOOKUP($A22,'CONSOLIDATED CY Cash Flows'!$B:$B,'CONSOLIDATED CY Cash Flows'!L:L)/$S22,0)</f>
        <v>0</v>
      </c>
      <c r="G22" s="344">
        <f>+IFERROR(_xlfn.XLOOKUP($A22,'CONSOLIDATED CY Cash Flows'!$B:$B,'CONSOLIDATED CY Cash Flows'!M:M)/$S22,0)</f>
        <v>0</v>
      </c>
      <c r="H22" s="344">
        <f>+IFERROR(_xlfn.XLOOKUP($A22,'CONSOLIDATED CY Cash Flows'!$B:$B,'CONSOLIDATED CY Cash Flows'!N:N)/$S22,0)</f>
        <v>0</v>
      </c>
      <c r="I22" s="344">
        <f>+IFERROR(_xlfn.XLOOKUP($A22,'CONSOLIDATED CY Cash Flows'!$B:$B,'CONSOLIDATED CY Cash Flows'!O:O)/$S22,0)</f>
        <v>0</v>
      </c>
      <c r="J22" s="344">
        <f>+IFERROR(_xlfn.XLOOKUP($A22,'CONSOLIDATED CY Cash Flows'!$B:$B,'CONSOLIDATED CY Cash Flows'!P:P)/$S22,0)</f>
        <v>0</v>
      </c>
      <c r="K22" s="344">
        <f>+IFERROR(_xlfn.XLOOKUP($A22,'CONSOLIDATED CY Cash Flows'!$B:$B,'CONSOLIDATED CY Cash Flows'!Q:Q)/$S22,0)</f>
        <v>0</v>
      </c>
      <c r="L22" s="344">
        <f>+IFERROR(_xlfn.XLOOKUP($A22,'CONSOLIDATED CY Cash Flows'!$B:$B,'CONSOLIDATED CY Cash Flows'!R:R)/$S22,0)</f>
        <v>0</v>
      </c>
      <c r="M22" s="344">
        <f>+IFERROR(_xlfn.XLOOKUP($A22,'CONSOLIDATED CY Cash Flows'!$B:$B,'CONSOLIDATED CY Cash Flows'!S:S)/$S22,0)</f>
        <v>0</v>
      </c>
      <c r="N22" s="344">
        <f>+IFERROR(_xlfn.XLOOKUP($A22,'CONSOLIDATED CY Cash Flows'!$B:$B,'CONSOLIDATED CY Cash Flows'!T:T)/$S22,0)</f>
        <v>0</v>
      </c>
      <c r="O22" s="344">
        <f>+IFERROR(_xlfn.XLOOKUP($A22,'CONSOLIDATED CY Cash Flows'!$B:$B,'CONSOLIDATED CY Cash Flows'!U:U)/$S22,0)</f>
        <v>0</v>
      </c>
      <c r="P22" s="344">
        <f>+IFERROR(_xlfn.XLOOKUP($A22,'CONSOLIDATED CY Cash Flows'!$B:$B,'CONSOLIDATED CY Cash Flows'!V:V)/$S22,0)</f>
        <v>0</v>
      </c>
      <c r="Q22" s="344">
        <f>+IFERROR(_xlfn.XLOOKUP($A22,'CONSOLIDATED CY Cash Flows'!$B:$B,'CONSOLIDATED CY Cash Flows'!W:W)/$S22,0)</f>
        <v>0</v>
      </c>
      <c r="R22" s="340">
        <f t="shared" si="0"/>
        <v>0</v>
      </c>
      <c r="S22" s="501">
        <f>+IFERROR(_xlfn.XLOOKUP($A22,'CONSOLIDATED CY Cash Flows'!$B:$B,'CONSOLIDATED CY Cash Flows'!$H:$H),0)</f>
        <v>0</v>
      </c>
      <c r="T22" s="501">
        <f t="shared" si="1"/>
        <v>0</v>
      </c>
      <c r="U22" s="501">
        <f t="shared" si="2"/>
        <v>0</v>
      </c>
    </row>
    <row r="23" spans="1:21" ht="13.5" hidden="1" customHeight="1" x14ac:dyDescent="0.75">
      <c r="A23" s="349">
        <v>2910</v>
      </c>
      <c r="B23" s="350">
        <v>0</v>
      </c>
      <c r="C23" s="344">
        <f>+IFERROR(_xlfn.XLOOKUP($A23,'CONSOLIDATED CY Cash Flows'!$B:$B,'CONSOLIDATED CY Cash Flows'!I:I)/$S23,0)</f>
        <v>0</v>
      </c>
      <c r="D23" s="344">
        <f>+IFERROR(_xlfn.XLOOKUP($A23,'CONSOLIDATED CY Cash Flows'!$B:$B,'CONSOLIDATED CY Cash Flows'!J:J)/$S23,0)</f>
        <v>0</v>
      </c>
      <c r="E23" s="344">
        <f>+IFERROR(_xlfn.XLOOKUP($A23,'CONSOLIDATED CY Cash Flows'!$B:$B,'CONSOLIDATED CY Cash Flows'!K:K)/$S23,0)</f>
        <v>0</v>
      </c>
      <c r="F23" s="344">
        <f>+IFERROR(_xlfn.XLOOKUP($A23,'CONSOLIDATED CY Cash Flows'!$B:$B,'CONSOLIDATED CY Cash Flows'!L:L)/$S23,0)</f>
        <v>0</v>
      </c>
      <c r="G23" s="344">
        <f>+IFERROR(_xlfn.XLOOKUP($A23,'CONSOLIDATED CY Cash Flows'!$B:$B,'CONSOLIDATED CY Cash Flows'!M:M)/$S23,0)</f>
        <v>0</v>
      </c>
      <c r="H23" s="344">
        <f>+IFERROR(_xlfn.XLOOKUP($A23,'CONSOLIDATED CY Cash Flows'!$B:$B,'CONSOLIDATED CY Cash Flows'!N:N)/$S23,0)</f>
        <v>0</v>
      </c>
      <c r="I23" s="344">
        <f>+IFERROR(_xlfn.XLOOKUP($A23,'CONSOLIDATED CY Cash Flows'!$B:$B,'CONSOLIDATED CY Cash Flows'!O:O)/$S23,0)</f>
        <v>0</v>
      </c>
      <c r="J23" s="344">
        <f>+IFERROR(_xlfn.XLOOKUP($A23,'CONSOLIDATED CY Cash Flows'!$B:$B,'CONSOLIDATED CY Cash Flows'!P:P)/$S23,0)</f>
        <v>0</v>
      </c>
      <c r="K23" s="344">
        <f>+IFERROR(_xlfn.XLOOKUP($A23,'CONSOLIDATED CY Cash Flows'!$B:$B,'CONSOLIDATED CY Cash Flows'!Q:Q)/$S23,0)</f>
        <v>0</v>
      </c>
      <c r="L23" s="344">
        <f>+IFERROR(_xlfn.XLOOKUP($A23,'CONSOLIDATED CY Cash Flows'!$B:$B,'CONSOLIDATED CY Cash Flows'!R:R)/$S23,0)</f>
        <v>0</v>
      </c>
      <c r="M23" s="344">
        <f>+IFERROR(_xlfn.XLOOKUP($A23,'CONSOLIDATED CY Cash Flows'!$B:$B,'CONSOLIDATED CY Cash Flows'!S:S)/$S23,0)</f>
        <v>0</v>
      </c>
      <c r="N23" s="344">
        <f>+IFERROR(_xlfn.XLOOKUP($A23,'CONSOLIDATED CY Cash Flows'!$B:$B,'CONSOLIDATED CY Cash Flows'!T:T)/$S23,0)</f>
        <v>0</v>
      </c>
      <c r="O23" s="344">
        <f>+IFERROR(_xlfn.XLOOKUP($A23,'CONSOLIDATED CY Cash Flows'!$B:$B,'CONSOLIDATED CY Cash Flows'!U:U)/$S23,0)</f>
        <v>0</v>
      </c>
      <c r="P23" s="344">
        <f>+IFERROR(_xlfn.XLOOKUP($A23,'CONSOLIDATED CY Cash Flows'!$B:$B,'CONSOLIDATED CY Cash Flows'!V:V)/$S23,0)</f>
        <v>0</v>
      </c>
      <c r="Q23" s="344">
        <f>+IFERROR(_xlfn.XLOOKUP($A23,'CONSOLIDATED CY Cash Flows'!$B:$B,'CONSOLIDATED CY Cash Flows'!W:W)/$S23,0)</f>
        <v>0</v>
      </c>
      <c r="R23" s="340">
        <f t="shared" si="0"/>
        <v>0</v>
      </c>
      <c r="S23" s="501">
        <f>+IFERROR(_xlfn.XLOOKUP($A23,'CONSOLIDATED CY Cash Flows'!$B:$B,'CONSOLIDATED CY Cash Flows'!$H:$H),0)</f>
        <v>0</v>
      </c>
      <c r="T23" s="501">
        <f t="shared" si="1"/>
        <v>0</v>
      </c>
      <c r="U23" s="501">
        <f t="shared" si="2"/>
        <v>0</v>
      </c>
    </row>
    <row r="24" spans="1:21" ht="13.5" hidden="1" customHeight="1" x14ac:dyDescent="0.75">
      <c r="A24" s="349" t="s">
        <v>1456</v>
      </c>
      <c r="B24" s="350">
        <v>0</v>
      </c>
      <c r="C24" s="344">
        <f>+IFERROR(_xlfn.XLOOKUP($A24,'CONSOLIDATED CY Cash Flows'!$B:$B,'CONSOLIDATED CY Cash Flows'!I:I)/$S24,0)</f>
        <v>0</v>
      </c>
      <c r="D24" s="344">
        <f>+IFERROR(_xlfn.XLOOKUP($A24,'CONSOLIDATED CY Cash Flows'!$B:$B,'CONSOLIDATED CY Cash Flows'!J:J)/$S24,0)</f>
        <v>0</v>
      </c>
      <c r="E24" s="344">
        <f>+IFERROR(_xlfn.XLOOKUP($A24,'CONSOLIDATED CY Cash Flows'!$B:$B,'CONSOLIDATED CY Cash Flows'!K:K)/$S24,0)</f>
        <v>0</v>
      </c>
      <c r="F24" s="344">
        <f>+IFERROR(_xlfn.XLOOKUP($A24,'CONSOLIDATED CY Cash Flows'!$B:$B,'CONSOLIDATED CY Cash Flows'!L:L)/$S24,0)</f>
        <v>0</v>
      </c>
      <c r="G24" s="344">
        <f>+IFERROR(_xlfn.XLOOKUP($A24,'CONSOLIDATED CY Cash Flows'!$B:$B,'CONSOLIDATED CY Cash Flows'!M:M)/$S24,0)</f>
        <v>0</v>
      </c>
      <c r="H24" s="344">
        <f>+IFERROR(_xlfn.XLOOKUP($A24,'CONSOLIDATED CY Cash Flows'!$B:$B,'CONSOLIDATED CY Cash Flows'!N:N)/$S24,0)</f>
        <v>0</v>
      </c>
      <c r="I24" s="344">
        <f>+IFERROR(_xlfn.XLOOKUP($A24,'CONSOLIDATED CY Cash Flows'!$B:$B,'CONSOLIDATED CY Cash Flows'!O:O)/$S24,0)</f>
        <v>0</v>
      </c>
      <c r="J24" s="344">
        <f>+IFERROR(_xlfn.XLOOKUP($A24,'CONSOLIDATED CY Cash Flows'!$B:$B,'CONSOLIDATED CY Cash Flows'!P:P)/$S24,0)</f>
        <v>0</v>
      </c>
      <c r="K24" s="344">
        <f>+IFERROR(_xlfn.XLOOKUP($A24,'CONSOLIDATED CY Cash Flows'!$B:$B,'CONSOLIDATED CY Cash Flows'!Q:Q)/$S24,0)</f>
        <v>0</v>
      </c>
      <c r="L24" s="344">
        <f>+IFERROR(_xlfn.XLOOKUP($A24,'CONSOLIDATED CY Cash Flows'!$B:$B,'CONSOLIDATED CY Cash Flows'!R:R)/$S24,0)</f>
        <v>0</v>
      </c>
      <c r="M24" s="344">
        <f>+IFERROR(_xlfn.XLOOKUP($A24,'CONSOLIDATED CY Cash Flows'!$B:$B,'CONSOLIDATED CY Cash Flows'!S:S)/$S24,0)</f>
        <v>0</v>
      </c>
      <c r="N24" s="344">
        <f>+IFERROR(_xlfn.XLOOKUP($A24,'CONSOLIDATED CY Cash Flows'!$B:$B,'CONSOLIDATED CY Cash Flows'!T:T)/$S24,0)</f>
        <v>0</v>
      </c>
      <c r="O24" s="344">
        <f>+IFERROR(_xlfn.XLOOKUP($A24,'CONSOLIDATED CY Cash Flows'!$B:$B,'CONSOLIDATED CY Cash Flows'!U:U)/$S24,0)</f>
        <v>0</v>
      </c>
      <c r="P24" s="344">
        <f>+IFERROR(_xlfn.XLOOKUP($A24,'CONSOLIDATED CY Cash Flows'!$B:$B,'CONSOLIDATED CY Cash Flows'!V:V)/$S24,0)</f>
        <v>0</v>
      </c>
      <c r="Q24" s="344">
        <f>+IFERROR(_xlfn.XLOOKUP($A24,'CONSOLIDATED CY Cash Flows'!$B:$B,'CONSOLIDATED CY Cash Flows'!W:W)/$S24,0)</f>
        <v>0</v>
      </c>
      <c r="R24" s="340">
        <f t="shared" si="0"/>
        <v>0</v>
      </c>
      <c r="S24" s="501">
        <f>+IFERROR(_xlfn.XLOOKUP($A24,'CONSOLIDATED CY Cash Flows'!$B:$B,'CONSOLIDATED CY Cash Flows'!$H:$H),0)</f>
        <v>0</v>
      </c>
      <c r="T24" s="501">
        <f t="shared" si="1"/>
        <v>0</v>
      </c>
      <c r="U24" s="501">
        <f t="shared" si="2"/>
        <v>0</v>
      </c>
    </row>
    <row r="25" spans="1:21" ht="13.5" hidden="1" customHeight="1" x14ac:dyDescent="0.75">
      <c r="A25" s="349" t="s">
        <v>1456</v>
      </c>
      <c r="B25" s="350">
        <v>0</v>
      </c>
      <c r="C25" s="344">
        <f>+IFERROR(_xlfn.XLOOKUP($A25,'CONSOLIDATED CY Cash Flows'!$B:$B,'CONSOLIDATED CY Cash Flows'!I:I)/$S25,0)</f>
        <v>0</v>
      </c>
      <c r="D25" s="344">
        <f>+IFERROR(_xlfn.XLOOKUP($A25,'CONSOLIDATED CY Cash Flows'!$B:$B,'CONSOLIDATED CY Cash Flows'!J:J)/$S25,0)</f>
        <v>0</v>
      </c>
      <c r="E25" s="344">
        <f>+IFERROR(_xlfn.XLOOKUP($A25,'CONSOLIDATED CY Cash Flows'!$B:$B,'CONSOLIDATED CY Cash Flows'!K:K)/$S25,0)</f>
        <v>0</v>
      </c>
      <c r="F25" s="344">
        <f>+IFERROR(_xlfn.XLOOKUP($A25,'CONSOLIDATED CY Cash Flows'!$B:$B,'CONSOLIDATED CY Cash Flows'!L:L)/$S25,0)</f>
        <v>0</v>
      </c>
      <c r="G25" s="344">
        <f>+IFERROR(_xlfn.XLOOKUP($A25,'CONSOLIDATED CY Cash Flows'!$B:$B,'CONSOLIDATED CY Cash Flows'!M:M)/$S25,0)</f>
        <v>0</v>
      </c>
      <c r="H25" s="344">
        <f>+IFERROR(_xlfn.XLOOKUP($A25,'CONSOLIDATED CY Cash Flows'!$B:$B,'CONSOLIDATED CY Cash Flows'!N:N)/$S25,0)</f>
        <v>0</v>
      </c>
      <c r="I25" s="344">
        <f>+IFERROR(_xlfn.XLOOKUP($A25,'CONSOLIDATED CY Cash Flows'!$B:$B,'CONSOLIDATED CY Cash Flows'!O:O)/$S25,0)</f>
        <v>0</v>
      </c>
      <c r="J25" s="344">
        <f>+IFERROR(_xlfn.XLOOKUP($A25,'CONSOLIDATED CY Cash Flows'!$B:$B,'CONSOLIDATED CY Cash Flows'!P:P)/$S25,0)</f>
        <v>0</v>
      </c>
      <c r="K25" s="344">
        <f>+IFERROR(_xlfn.XLOOKUP($A25,'CONSOLIDATED CY Cash Flows'!$B:$B,'CONSOLIDATED CY Cash Flows'!Q:Q)/$S25,0)</f>
        <v>0</v>
      </c>
      <c r="L25" s="344">
        <f>+IFERROR(_xlfn.XLOOKUP($A25,'CONSOLIDATED CY Cash Flows'!$B:$B,'CONSOLIDATED CY Cash Flows'!R:R)/$S25,0)</f>
        <v>0</v>
      </c>
      <c r="M25" s="344">
        <f>+IFERROR(_xlfn.XLOOKUP($A25,'CONSOLIDATED CY Cash Flows'!$B:$B,'CONSOLIDATED CY Cash Flows'!S:S)/$S25,0)</f>
        <v>0</v>
      </c>
      <c r="N25" s="344">
        <f>+IFERROR(_xlfn.XLOOKUP($A25,'CONSOLIDATED CY Cash Flows'!$B:$B,'CONSOLIDATED CY Cash Flows'!T:T)/$S25,0)</f>
        <v>0</v>
      </c>
      <c r="O25" s="344">
        <f>+IFERROR(_xlfn.XLOOKUP($A25,'CONSOLIDATED CY Cash Flows'!$B:$B,'CONSOLIDATED CY Cash Flows'!U:U)/$S25,0)</f>
        <v>0</v>
      </c>
      <c r="P25" s="344">
        <f>+IFERROR(_xlfn.XLOOKUP($A25,'CONSOLIDATED CY Cash Flows'!$B:$B,'CONSOLIDATED CY Cash Flows'!V:V)/$S25,0)</f>
        <v>0</v>
      </c>
      <c r="Q25" s="344">
        <f>+IFERROR(_xlfn.XLOOKUP($A25,'CONSOLIDATED CY Cash Flows'!$B:$B,'CONSOLIDATED CY Cash Flows'!W:W)/$S25,0)</f>
        <v>0</v>
      </c>
      <c r="R25" s="340">
        <f t="shared" si="0"/>
        <v>0</v>
      </c>
      <c r="S25" s="501">
        <f>+IFERROR(_xlfn.XLOOKUP($A25,'CONSOLIDATED CY Cash Flows'!$B:$B,'CONSOLIDATED CY Cash Flows'!$H:$H),0)</f>
        <v>0</v>
      </c>
      <c r="T25" s="501">
        <f t="shared" si="1"/>
        <v>0</v>
      </c>
      <c r="U25" s="501">
        <f t="shared" si="2"/>
        <v>0</v>
      </c>
    </row>
    <row r="26" spans="1:21" ht="13.5" hidden="1" customHeight="1" x14ac:dyDescent="0.75">
      <c r="A26" s="349" t="s">
        <v>1456</v>
      </c>
      <c r="B26" s="350">
        <v>0</v>
      </c>
      <c r="C26" s="344">
        <f>+IFERROR(_xlfn.XLOOKUP($A26,'CONSOLIDATED CY Cash Flows'!$B:$B,'CONSOLIDATED CY Cash Flows'!I:I)/$S26,0)</f>
        <v>0</v>
      </c>
      <c r="D26" s="344">
        <f>+IFERROR(_xlfn.XLOOKUP($A26,'CONSOLIDATED CY Cash Flows'!$B:$B,'CONSOLIDATED CY Cash Flows'!J:J)/$S26,0)</f>
        <v>0</v>
      </c>
      <c r="E26" s="344">
        <f>+IFERROR(_xlfn.XLOOKUP($A26,'CONSOLIDATED CY Cash Flows'!$B:$B,'CONSOLIDATED CY Cash Flows'!K:K)/$S26,0)</f>
        <v>0</v>
      </c>
      <c r="F26" s="344">
        <f>+IFERROR(_xlfn.XLOOKUP($A26,'CONSOLIDATED CY Cash Flows'!$B:$B,'CONSOLIDATED CY Cash Flows'!L:L)/$S26,0)</f>
        <v>0</v>
      </c>
      <c r="G26" s="344">
        <f>+IFERROR(_xlfn.XLOOKUP($A26,'CONSOLIDATED CY Cash Flows'!$B:$B,'CONSOLIDATED CY Cash Flows'!M:M)/$S26,0)</f>
        <v>0</v>
      </c>
      <c r="H26" s="344">
        <f>+IFERROR(_xlfn.XLOOKUP($A26,'CONSOLIDATED CY Cash Flows'!$B:$B,'CONSOLIDATED CY Cash Flows'!N:N)/$S26,0)</f>
        <v>0</v>
      </c>
      <c r="I26" s="344">
        <f>+IFERROR(_xlfn.XLOOKUP($A26,'CONSOLIDATED CY Cash Flows'!$B:$B,'CONSOLIDATED CY Cash Flows'!O:O)/$S26,0)</f>
        <v>0</v>
      </c>
      <c r="J26" s="344">
        <f>+IFERROR(_xlfn.XLOOKUP($A26,'CONSOLIDATED CY Cash Flows'!$B:$B,'CONSOLIDATED CY Cash Flows'!P:P)/$S26,0)</f>
        <v>0</v>
      </c>
      <c r="K26" s="344">
        <f>+IFERROR(_xlfn.XLOOKUP($A26,'CONSOLIDATED CY Cash Flows'!$B:$B,'CONSOLIDATED CY Cash Flows'!Q:Q)/$S26,0)</f>
        <v>0</v>
      </c>
      <c r="L26" s="344">
        <f>+IFERROR(_xlfn.XLOOKUP($A26,'CONSOLIDATED CY Cash Flows'!$B:$B,'CONSOLIDATED CY Cash Flows'!R:R)/$S26,0)</f>
        <v>0</v>
      </c>
      <c r="M26" s="344">
        <f>+IFERROR(_xlfn.XLOOKUP($A26,'CONSOLIDATED CY Cash Flows'!$B:$B,'CONSOLIDATED CY Cash Flows'!S:S)/$S26,0)</f>
        <v>0</v>
      </c>
      <c r="N26" s="344">
        <f>+IFERROR(_xlfn.XLOOKUP($A26,'CONSOLIDATED CY Cash Flows'!$B:$B,'CONSOLIDATED CY Cash Flows'!T:T)/$S26,0)</f>
        <v>0</v>
      </c>
      <c r="O26" s="344">
        <f>+IFERROR(_xlfn.XLOOKUP($A26,'CONSOLIDATED CY Cash Flows'!$B:$B,'CONSOLIDATED CY Cash Flows'!U:U)/$S26,0)</f>
        <v>0</v>
      </c>
      <c r="P26" s="344">
        <f>+IFERROR(_xlfn.XLOOKUP($A26,'CONSOLIDATED CY Cash Flows'!$B:$B,'CONSOLIDATED CY Cash Flows'!V:V)/$S26,0)</f>
        <v>0</v>
      </c>
      <c r="Q26" s="344">
        <f>+IFERROR(_xlfn.XLOOKUP($A26,'CONSOLIDATED CY Cash Flows'!$B:$B,'CONSOLIDATED CY Cash Flows'!W:W)/$S26,0)</f>
        <v>0</v>
      </c>
      <c r="R26" s="340">
        <f t="shared" si="0"/>
        <v>0</v>
      </c>
      <c r="S26" s="501">
        <f>+IFERROR(_xlfn.XLOOKUP($A26,'CONSOLIDATED CY Cash Flows'!$B:$B,'CONSOLIDATED CY Cash Flows'!$H:$H),0)</f>
        <v>0</v>
      </c>
      <c r="T26" s="501">
        <f t="shared" si="1"/>
        <v>0</v>
      </c>
      <c r="U26" s="501">
        <f t="shared" si="2"/>
        <v>0</v>
      </c>
    </row>
    <row r="27" spans="1:21" ht="13.5" hidden="1" customHeight="1" x14ac:dyDescent="0.75">
      <c r="A27" s="349" t="s">
        <v>1456</v>
      </c>
      <c r="B27" s="350">
        <v>0</v>
      </c>
      <c r="C27" s="344">
        <f>+IFERROR(_xlfn.XLOOKUP($A27,'CONSOLIDATED CY Cash Flows'!$B:$B,'CONSOLIDATED CY Cash Flows'!I:I)/$S27,0)</f>
        <v>0</v>
      </c>
      <c r="D27" s="344">
        <f>+IFERROR(_xlfn.XLOOKUP($A27,'CONSOLIDATED CY Cash Flows'!$B:$B,'CONSOLIDATED CY Cash Flows'!J:J)/$S27,0)</f>
        <v>0</v>
      </c>
      <c r="E27" s="344">
        <f>+IFERROR(_xlfn.XLOOKUP($A27,'CONSOLIDATED CY Cash Flows'!$B:$B,'CONSOLIDATED CY Cash Flows'!K:K)/$S27,0)</f>
        <v>0</v>
      </c>
      <c r="F27" s="344">
        <f>+IFERROR(_xlfn.XLOOKUP($A27,'CONSOLIDATED CY Cash Flows'!$B:$B,'CONSOLIDATED CY Cash Flows'!L:L)/$S27,0)</f>
        <v>0</v>
      </c>
      <c r="G27" s="344">
        <f>+IFERROR(_xlfn.XLOOKUP($A27,'CONSOLIDATED CY Cash Flows'!$B:$B,'CONSOLIDATED CY Cash Flows'!M:M)/$S27,0)</f>
        <v>0</v>
      </c>
      <c r="H27" s="344">
        <f>+IFERROR(_xlfn.XLOOKUP($A27,'CONSOLIDATED CY Cash Flows'!$B:$B,'CONSOLIDATED CY Cash Flows'!N:N)/$S27,0)</f>
        <v>0</v>
      </c>
      <c r="I27" s="344">
        <f>+IFERROR(_xlfn.XLOOKUP($A27,'CONSOLIDATED CY Cash Flows'!$B:$B,'CONSOLIDATED CY Cash Flows'!O:O)/$S27,0)</f>
        <v>0</v>
      </c>
      <c r="J27" s="344">
        <f>+IFERROR(_xlfn.XLOOKUP($A27,'CONSOLIDATED CY Cash Flows'!$B:$B,'CONSOLIDATED CY Cash Flows'!P:P)/$S27,0)</f>
        <v>0</v>
      </c>
      <c r="K27" s="344">
        <f>+IFERROR(_xlfn.XLOOKUP($A27,'CONSOLIDATED CY Cash Flows'!$B:$B,'CONSOLIDATED CY Cash Flows'!Q:Q)/$S27,0)</f>
        <v>0</v>
      </c>
      <c r="L27" s="344">
        <f>+IFERROR(_xlfn.XLOOKUP($A27,'CONSOLIDATED CY Cash Flows'!$B:$B,'CONSOLIDATED CY Cash Flows'!R:R)/$S27,0)</f>
        <v>0</v>
      </c>
      <c r="M27" s="344">
        <f>+IFERROR(_xlfn.XLOOKUP($A27,'CONSOLIDATED CY Cash Flows'!$B:$B,'CONSOLIDATED CY Cash Flows'!S:S)/$S27,0)</f>
        <v>0</v>
      </c>
      <c r="N27" s="344">
        <f>+IFERROR(_xlfn.XLOOKUP($A27,'CONSOLIDATED CY Cash Flows'!$B:$B,'CONSOLIDATED CY Cash Flows'!T:T)/$S27,0)</f>
        <v>0</v>
      </c>
      <c r="O27" s="344">
        <f>+IFERROR(_xlfn.XLOOKUP($A27,'CONSOLIDATED CY Cash Flows'!$B:$B,'CONSOLIDATED CY Cash Flows'!U:U)/$S27,0)</f>
        <v>0</v>
      </c>
      <c r="P27" s="344">
        <f>+IFERROR(_xlfn.XLOOKUP($A27,'CONSOLIDATED CY Cash Flows'!$B:$B,'CONSOLIDATED CY Cash Flows'!V:V)/$S27,0)</f>
        <v>0</v>
      </c>
      <c r="Q27" s="344">
        <f>+IFERROR(_xlfn.XLOOKUP($A27,'CONSOLIDATED CY Cash Flows'!$B:$B,'CONSOLIDATED CY Cash Flows'!W:W)/$S27,0)</f>
        <v>0</v>
      </c>
      <c r="R27" s="340">
        <f t="shared" si="0"/>
        <v>0</v>
      </c>
      <c r="S27" s="501">
        <f>+IFERROR(_xlfn.XLOOKUP($A27,'CONSOLIDATED CY Cash Flows'!$B:$B,'CONSOLIDATED CY Cash Flows'!$H:$H),0)</f>
        <v>0</v>
      </c>
      <c r="T27" s="501">
        <f t="shared" si="1"/>
        <v>0</v>
      </c>
      <c r="U27" s="501">
        <f t="shared" si="2"/>
        <v>0</v>
      </c>
    </row>
    <row r="28" spans="1:21" ht="13.5" hidden="1" customHeight="1" thickBot="1" x14ac:dyDescent="0.9">
      <c r="A28" s="351" t="s">
        <v>1456</v>
      </c>
      <c r="B28" s="352">
        <v>0</v>
      </c>
      <c r="C28" s="344">
        <f>+IFERROR(_xlfn.XLOOKUP($A28,'CONSOLIDATED CY Cash Flows'!$B:$B,'CONSOLIDATED CY Cash Flows'!I:I)/$S28,0)</f>
        <v>0</v>
      </c>
      <c r="D28" s="344">
        <f>+IFERROR(_xlfn.XLOOKUP($A28,'CONSOLIDATED CY Cash Flows'!$B:$B,'CONSOLIDATED CY Cash Flows'!J:J)/$S28,0)</f>
        <v>0</v>
      </c>
      <c r="E28" s="344">
        <f>+IFERROR(_xlfn.XLOOKUP($A28,'CONSOLIDATED CY Cash Flows'!$B:$B,'CONSOLIDATED CY Cash Flows'!K:K)/$S28,0)</f>
        <v>0</v>
      </c>
      <c r="F28" s="344">
        <f>+IFERROR(_xlfn.XLOOKUP($A28,'CONSOLIDATED CY Cash Flows'!$B:$B,'CONSOLIDATED CY Cash Flows'!L:L)/$S28,0)</f>
        <v>0</v>
      </c>
      <c r="G28" s="344">
        <f>+IFERROR(_xlfn.XLOOKUP($A28,'CONSOLIDATED CY Cash Flows'!$B:$B,'CONSOLIDATED CY Cash Flows'!M:M)/$S28,0)</f>
        <v>0</v>
      </c>
      <c r="H28" s="344">
        <f>+IFERROR(_xlfn.XLOOKUP($A28,'CONSOLIDATED CY Cash Flows'!$B:$B,'CONSOLIDATED CY Cash Flows'!N:N)/$S28,0)</f>
        <v>0</v>
      </c>
      <c r="I28" s="344">
        <f>+IFERROR(_xlfn.XLOOKUP($A28,'CONSOLIDATED CY Cash Flows'!$B:$B,'CONSOLIDATED CY Cash Flows'!O:O)/$S28,0)</f>
        <v>0</v>
      </c>
      <c r="J28" s="344">
        <f>+IFERROR(_xlfn.XLOOKUP($A28,'CONSOLIDATED CY Cash Flows'!$B:$B,'CONSOLIDATED CY Cash Flows'!P:P)/$S28,0)</f>
        <v>0</v>
      </c>
      <c r="K28" s="344">
        <f>+IFERROR(_xlfn.XLOOKUP($A28,'CONSOLIDATED CY Cash Flows'!$B:$B,'CONSOLIDATED CY Cash Flows'!Q:Q)/$S28,0)</f>
        <v>0</v>
      </c>
      <c r="L28" s="344">
        <f>+IFERROR(_xlfn.XLOOKUP($A28,'CONSOLIDATED CY Cash Flows'!$B:$B,'CONSOLIDATED CY Cash Flows'!R:R)/$S28,0)</f>
        <v>0</v>
      </c>
      <c r="M28" s="344">
        <f>+IFERROR(_xlfn.XLOOKUP($A28,'CONSOLIDATED CY Cash Flows'!$B:$B,'CONSOLIDATED CY Cash Flows'!S:S)/$S28,0)</f>
        <v>0</v>
      </c>
      <c r="N28" s="344">
        <f>+IFERROR(_xlfn.XLOOKUP($A28,'CONSOLIDATED CY Cash Flows'!$B:$B,'CONSOLIDATED CY Cash Flows'!T:T)/$S28,0)</f>
        <v>0</v>
      </c>
      <c r="O28" s="344">
        <f>+IFERROR(_xlfn.XLOOKUP($A28,'CONSOLIDATED CY Cash Flows'!$B:$B,'CONSOLIDATED CY Cash Flows'!U:U)/$S28,0)</f>
        <v>0</v>
      </c>
      <c r="P28" s="344">
        <f>+IFERROR(_xlfn.XLOOKUP($A28,'CONSOLIDATED CY Cash Flows'!$B:$B,'CONSOLIDATED CY Cash Flows'!V:V)/$S28,0)</f>
        <v>0</v>
      </c>
      <c r="Q28" s="344">
        <f>+IFERROR(_xlfn.XLOOKUP($A28,'CONSOLIDATED CY Cash Flows'!$B:$B,'CONSOLIDATED CY Cash Flows'!W:W)/$S28,0)</f>
        <v>0</v>
      </c>
      <c r="R28" s="340">
        <f t="shared" si="0"/>
        <v>0</v>
      </c>
      <c r="S28" s="501">
        <f>+IFERROR(_xlfn.XLOOKUP($A28,'CONSOLIDATED CY Cash Flows'!$B:$B,'CONSOLIDATED CY Cash Flows'!$H:$H),0)</f>
        <v>0</v>
      </c>
      <c r="T28" s="501">
        <f t="shared" si="1"/>
        <v>0</v>
      </c>
      <c r="U28" s="501">
        <f t="shared" si="2"/>
        <v>0</v>
      </c>
    </row>
    <row r="29" spans="1:21" ht="13.5" customHeight="1" x14ac:dyDescent="0.75">
      <c r="A29" s="353">
        <v>3101</v>
      </c>
      <c r="B29" s="354" t="s">
        <v>587</v>
      </c>
      <c r="C29" s="339">
        <f ca="1">+IFERROR(_xlfn.XLOOKUP($A29,'CONSOLIDATED CY Cash Flows'!$B:$B,'CONSOLIDATED CY Cash Flows'!I:I)/$S29,0)</f>
        <v>1.5711407565660983E-3</v>
      </c>
      <c r="D29" s="339">
        <f ca="1">+IFERROR(_xlfn.XLOOKUP($A29,'CONSOLIDATED CY Cash Flows'!$B:$B,'CONSOLIDATED CY Cash Flows'!J:J)/$S29,0)</f>
        <v>5.9807210538035935E-2</v>
      </c>
      <c r="E29" s="339">
        <f ca="1">+IFERROR(_xlfn.XLOOKUP($A29,'CONSOLIDATED CY Cash Flows'!$B:$B,'CONSOLIDATED CY Cash Flows'!K:K)/$S29,0)</f>
        <v>6.6999507138205391E-2</v>
      </c>
      <c r="F29" s="339">
        <f ca="1">+IFERROR(_xlfn.XLOOKUP($A29,'CONSOLIDATED CY Cash Flows'!$B:$B,'CONSOLIDATED CY Cash Flows'!L:L)/$S29,0)</f>
        <v>7.934444047110277E-2</v>
      </c>
      <c r="G29" s="339">
        <f ca="1">+IFERROR(_xlfn.XLOOKUP($A29,'CONSOLIDATED CY Cash Flows'!$B:$B,'CONSOLIDATED CY Cash Flows'!M:M)/$S29,0)</f>
        <v>6.3489216552250163E-2</v>
      </c>
      <c r="H29" s="339">
        <f ca="1">+IFERROR(_xlfn.XLOOKUP($A29,'CONSOLIDATED CY Cash Flows'!$B:$B,'CONSOLIDATED CY Cash Flows'!N:N)/$S29,0)</f>
        <v>6.3295150972227848E-2</v>
      </c>
      <c r="I29" s="339">
        <f ca="1">+IFERROR(_xlfn.XLOOKUP($A29,'CONSOLIDATED CY Cash Flows'!$B:$B,'CONSOLIDATED CY Cash Flows'!O:O)/$S29,0)</f>
        <v>8.026220226617739E-2</v>
      </c>
      <c r="J29" s="339">
        <f ca="1">+IFERROR(_xlfn.XLOOKUP($A29,'CONSOLIDATED CY Cash Flows'!$B:$B,'CONSOLIDATED CY Cash Flows'!P:P)/$S29,0)</f>
        <v>0.11592883985286649</v>
      </c>
      <c r="K29" s="339">
        <f ca="1">+IFERROR(_xlfn.XLOOKUP($A29,'CONSOLIDATED CY Cash Flows'!$B:$B,'CONSOLIDATED CY Cash Flows'!Q:Q)/$S29,0)</f>
        <v>0.11732557286314199</v>
      </c>
      <c r="L29" s="339">
        <f ca="1">+IFERROR(_xlfn.XLOOKUP($A29,'CONSOLIDATED CY Cash Flows'!$B:$B,'CONSOLIDATED CY Cash Flows'!R:R)/$S29,0)</f>
        <v>0.11732557286314199</v>
      </c>
      <c r="M29" s="339">
        <f ca="1">+IFERROR(_xlfn.XLOOKUP($A29,'CONSOLIDATED CY Cash Flows'!$B:$B,'CONSOLIDATED CY Cash Flows'!S:S)/$S29,0)</f>
        <v>0.11732557286314199</v>
      </c>
      <c r="N29" s="339">
        <f ca="1">+IFERROR(_xlfn.XLOOKUP($A29,'CONSOLIDATED CY Cash Flows'!$B:$B,'CONSOLIDATED CY Cash Flows'!T:T)/$S29,0)</f>
        <v>0.11732557286314199</v>
      </c>
      <c r="O29" s="339">
        <f ca="1">+IFERROR(_xlfn.XLOOKUP($A29,'CONSOLIDATED CY Cash Flows'!$B:$B,'CONSOLIDATED CY Cash Flows'!U:U)/$S29,0)</f>
        <v>0</v>
      </c>
      <c r="P29" s="339">
        <f ca="1">+IFERROR(_xlfn.XLOOKUP($A29,'CONSOLIDATED CY Cash Flows'!$B:$B,'CONSOLIDATED CY Cash Flows'!V:V)/$S29,0)</f>
        <v>0</v>
      </c>
      <c r="Q29" s="339">
        <f ca="1">+IFERROR(_xlfn.XLOOKUP($A29,'CONSOLIDATED CY Cash Flows'!$B:$B,'CONSOLIDATED CY Cash Flows'!W:W)/$S29,0)</f>
        <v>0</v>
      </c>
      <c r="R29" s="340">
        <f t="shared" ca="1" si="0"/>
        <v>1</v>
      </c>
      <c r="S29" s="501">
        <f ca="1">+IFERROR(_xlfn.XLOOKUP($A29,'CONSOLIDATED CY Cash Flows'!$B:$B,'CONSOLIDATED CY Cash Flows'!$H:$H),0)</f>
        <v>2589691.5874633323</v>
      </c>
      <c r="T29" s="501">
        <f t="shared" ca="1" si="1"/>
        <v>1074123.4500000002</v>
      </c>
      <c r="U29" s="501">
        <f t="shared" ca="1" si="2"/>
        <v>1515568.1374633322</v>
      </c>
    </row>
    <row r="30" spans="1:21" ht="16.95" hidden="1" customHeight="1" x14ac:dyDescent="0.75">
      <c r="A30" s="349">
        <v>3202</v>
      </c>
      <c r="B30" s="350" t="s">
        <v>1457</v>
      </c>
      <c r="C30" s="344">
        <f ca="1">+IFERROR(_xlfn.XLOOKUP($A30,'CONSOLIDATED CY Cash Flows'!$B:$B,'CONSOLIDATED CY Cash Flows'!I:I)/$S30,0)</f>
        <v>0</v>
      </c>
      <c r="D30" s="344">
        <f ca="1">+IFERROR(_xlfn.XLOOKUP($A30,'CONSOLIDATED CY Cash Flows'!$B:$B,'CONSOLIDATED CY Cash Flows'!J:J)/$S30,0)</f>
        <v>0</v>
      </c>
      <c r="E30" s="344">
        <f ca="1">+IFERROR(_xlfn.XLOOKUP($A30,'CONSOLIDATED CY Cash Flows'!$B:$B,'CONSOLIDATED CY Cash Flows'!K:K)/$S30,0)</f>
        <v>0</v>
      </c>
      <c r="F30" s="344">
        <f ca="1">+IFERROR(_xlfn.XLOOKUP($A30,'CONSOLIDATED CY Cash Flows'!$B:$B,'CONSOLIDATED CY Cash Flows'!L:L)/$S30,0)</f>
        <v>0</v>
      </c>
      <c r="G30" s="344">
        <f ca="1">+IFERROR(_xlfn.XLOOKUP($A30,'CONSOLIDATED CY Cash Flows'!$B:$B,'CONSOLIDATED CY Cash Flows'!M:M)/$S30,0)</f>
        <v>0</v>
      </c>
      <c r="H30" s="344">
        <f ca="1">+IFERROR(_xlfn.XLOOKUP($A30,'CONSOLIDATED CY Cash Flows'!$B:$B,'CONSOLIDATED CY Cash Flows'!N:N)/$S30,0)</f>
        <v>0</v>
      </c>
      <c r="I30" s="344">
        <f ca="1">+IFERROR(_xlfn.XLOOKUP($A30,'CONSOLIDATED CY Cash Flows'!$B:$B,'CONSOLIDATED CY Cash Flows'!O:O)/$S30,0)</f>
        <v>0</v>
      </c>
      <c r="J30" s="344">
        <f ca="1">+IFERROR(_xlfn.XLOOKUP($A30,'CONSOLIDATED CY Cash Flows'!$B:$B,'CONSOLIDATED CY Cash Flows'!P:P)/$S30,0)</f>
        <v>0</v>
      </c>
      <c r="K30" s="344">
        <f ca="1">+IFERROR(_xlfn.XLOOKUP($A30,'CONSOLIDATED CY Cash Flows'!$B:$B,'CONSOLIDATED CY Cash Flows'!Q:Q)/$S30,0)</f>
        <v>0</v>
      </c>
      <c r="L30" s="344">
        <f ca="1">+IFERROR(_xlfn.XLOOKUP($A30,'CONSOLIDATED CY Cash Flows'!$B:$B,'CONSOLIDATED CY Cash Flows'!R:R)/$S30,0)</f>
        <v>0</v>
      </c>
      <c r="M30" s="344">
        <f ca="1">+IFERROR(_xlfn.XLOOKUP($A30,'CONSOLIDATED CY Cash Flows'!$B:$B,'CONSOLIDATED CY Cash Flows'!S:S)/$S30,0)</f>
        <v>0</v>
      </c>
      <c r="N30" s="344">
        <f ca="1">+IFERROR(_xlfn.XLOOKUP($A30,'CONSOLIDATED CY Cash Flows'!$B:$B,'CONSOLIDATED CY Cash Flows'!T:T)/$S30,0)</f>
        <v>0</v>
      </c>
      <c r="O30" s="344">
        <f ca="1">+IFERROR(_xlfn.XLOOKUP($A30,'CONSOLIDATED CY Cash Flows'!$B:$B,'CONSOLIDATED CY Cash Flows'!U:U)/$S30,0)</f>
        <v>0</v>
      </c>
      <c r="P30" s="344">
        <f ca="1">+IFERROR(_xlfn.XLOOKUP($A30,'CONSOLIDATED CY Cash Flows'!$B:$B,'CONSOLIDATED CY Cash Flows'!V:V)/$S30,0)</f>
        <v>0</v>
      </c>
      <c r="Q30" s="344">
        <f ca="1">+IFERROR(_xlfn.XLOOKUP($A30,'CONSOLIDATED CY Cash Flows'!$B:$B,'CONSOLIDATED CY Cash Flows'!W:W)/$S30,0)</f>
        <v>0</v>
      </c>
      <c r="R30" s="340">
        <f t="shared" ca="1" si="0"/>
        <v>0</v>
      </c>
      <c r="S30" s="501">
        <f ca="1">+IFERROR(_xlfn.XLOOKUP($A30,'CONSOLIDATED CY Cash Flows'!$B:$B,'CONSOLIDATED CY Cash Flows'!$H:$H),0)</f>
        <v>0</v>
      </c>
      <c r="T30" s="501">
        <f t="shared" ca="1" si="1"/>
        <v>0</v>
      </c>
      <c r="U30" s="501">
        <f t="shared" ca="1" si="2"/>
        <v>0</v>
      </c>
    </row>
    <row r="31" spans="1:21" ht="13.5" customHeight="1" x14ac:dyDescent="0.75">
      <c r="A31" s="349">
        <v>3301</v>
      </c>
      <c r="B31" s="350" t="s">
        <v>1519</v>
      </c>
      <c r="C31" s="344">
        <f ca="1">+IFERROR(_xlfn.XLOOKUP($A31,'CONSOLIDATED CY Cash Flows'!$B:$B,'CONSOLIDATED CY Cash Flows'!I:I)/$S31,0)</f>
        <v>0</v>
      </c>
      <c r="D31" s="344">
        <f ca="1">+IFERROR(_xlfn.XLOOKUP($A31,'CONSOLIDATED CY Cash Flows'!$B:$B,'CONSOLIDATED CY Cash Flows'!J:J)/$S31,0)</f>
        <v>0</v>
      </c>
      <c r="E31" s="344">
        <f ca="1">+IFERROR(_xlfn.XLOOKUP($A31,'CONSOLIDATED CY Cash Flows'!$B:$B,'CONSOLIDATED CY Cash Flows'!K:K)/$S31,0)</f>
        <v>0</v>
      </c>
      <c r="F31" s="344">
        <f ca="1">+IFERROR(_xlfn.XLOOKUP($A31,'CONSOLIDATED CY Cash Flows'!$B:$B,'CONSOLIDATED CY Cash Flows'!L:L)/$S31,0)</f>
        <v>0.23897456796469785</v>
      </c>
      <c r="G31" s="344">
        <f ca="1">+IFERROR(_xlfn.XLOOKUP($A31,'CONSOLIDATED CY Cash Flows'!$B:$B,'CONSOLIDATED CY Cash Flows'!M:M)/$S31,0)</f>
        <v>7.1588489213674431E-2</v>
      </c>
      <c r="H31" s="344">
        <f ca="1">+IFERROR(_xlfn.XLOOKUP($A31,'CONSOLIDATED CY Cash Flows'!$B:$B,'CONSOLIDATED CY Cash Flows'!N:N)/$S31,0)</f>
        <v>7.0587164812010689E-2</v>
      </c>
      <c r="I31" s="344">
        <f ca="1">+IFERROR(_xlfn.XLOOKUP($A31,'CONSOLIDATED CY Cash Flows'!$B:$B,'CONSOLIDATED CY Cash Flows'!O:O)/$S31,0)</f>
        <v>8.6651742910814802E-2</v>
      </c>
      <c r="J31" s="344">
        <f ca="1">+IFERROR(_xlfn.XLOOKUP($A31,'CONSOLIDATED CY Cash Flows'!$B:$B,'CONSOLIDATED CY Cash Flows'!P:P)/$S31,0)</f>
        <v>0.10542347711981047</v>
      </c>
      <c r="K31" s="344">
        <f ca="1">+IFERROR(_xlfn.XLOOKUP($A31,'CONSOLIDATED CY Cash Flows'!$B:$B,'CONSOLIDATED CY Cash Flows'!Q:Q)/$S31,0)</f>
        <v>0.10669363949474793</v>
      </c>
      <c r="L31" s="344">
        <f ca="1">+IFERROR(_xlfn.XLOOKUP($A31,'CONSOLIDATED CY Cash Flows'!$B:$B,'CONSOLIDATED CY Cash Flows'!R:R)/$S31,0)</f>
        <v>0.10669363949474793</v>
      </c>
      <c r="M31" s="344">
        <f ca="1">+IFERROR(_xlfn.XLOOKUP($A31,'CONSOLIDATED CY Cash Flows'!$B:$B,'CONSOLIDATED CY Cash Flows'!S:S)/$S31,0)</f>
        <v>0.10669363949474793</v>
      </c>
      <c r="N31" s="344">
        <f ca="1">+IFERROR(_xlfn.XLOOKUP($A31,'CONSOLIDATED CY Cash Flows'!$B:$B,'CONSOLIDATED CY Cash Flows'!T:T)/$S31,0)</f>
        <v>0.10669363949474793</v>
      </c>
      <c r="O31" s="344">
        <f ca="1">+IFERROR(_xlfn.XLOOKUP($A31,'CONSOLIDATED CY Cash Flows'!$B:$B,'CONSOLIDATED CY Cash Flows'!U:U)/$S31,0)</f>
        <v>0</v>
      </c>
      <c r="P31" s="344">
        <f ca="1">+IFERROR(_xlfn.XLOOKUP($A31,'CONSOLIDATED CY Cash Flows'!$B:$B,'CONSOLIDATED CY Cash Flows'!V:V)/$S31,0)</f>
        <v>0</v>
      </c>
      <c r="Q31" s="344">
        <f ca="1">+IFERROR(_xlfn.XLOOKUP($A31,'CONSOLIDATED CY Cash Flows'!$B:$B,'CONSOLIDATED CY Cash Flows'!W:W)/$S31,0)</f>
        <v>0</v>
      </c>
      <c r="R31" s="340">
        <f t="shared" ca="1" si="0"/>
        <v>1</v>
      </c>
      <c r="S31" s="501">
        <f ca="1">+IFERROR(_xlfn.XLOOKUP($A31,'CONSOLIDATED CY Cash Flows'!$B:$B,'CONSOLIDATED CY Cash Flows'!$H:$H),0)</f>
        <v>196599.62313203298</v>
      </c>
      <c r="T31" s="501">
        <f t="shared" ca="1" si="1"/>
        <v>91969.69</v>
      </c>
      <c r="U31" s="501">
        <f t="shared" ca="1" si="2"/>
        <v>104629.93313203298</v>
      </c>
    </row>
    <row r="32" spans="1:21" ht="13.5" customHeight="1" x14ac:dyDescent="0.75">
      <c r="A32" s="349">
        <v>3302</v>
      </c>
      <c r="B32" s="350" t="s">
        <v>1520</v>
      </c>
      <c r="C32" s="344">
        <f ca="1">+IFERROR(_xlfn.XLOOKUP($A32,'CONSOLIDATED CY Cash Flows'!$B:$B,'CONSOLIDATED CY Cash Flows'!I:I)/$S32,0)</f>
        <v>0</v>
      </c>
      <c r="D32" s="344">
        <f ca="1">+IFERROR(_xlfn.XLOOKUP($A32,'CONSOLIDATED CY Cash Flows'!$B:$B,'CONSOLIDATED CY Cash Flows'!J:J)/$S32,0)</f>
        <v>0</v>
      </c>
      <c r="E32" s="344">
        <f ca="1">+IFERROR(_xlfn.XLOOKUP($A32,'CONSOLIDATED CY Cash Flows'!$B:$B,'CONSOLIDATED CY Cash Flows'!K:K)/$S32,0)</f>
        <v>0</v>
      </c>
      <c r="F32" s="344">
        <f ca="1">+IFERROR(_xlfn.XLOOKUP($A32,'CONSOLIDATED CY Cash Flows'!$B:$B,'CONSOLIDATED CY Cash Flows'!L:L)/$S32,0)</f>
        <v>0.29535470783171136</v>
      </c>
      <c r="G32" s="344">
        <f ca="1">+IFERROR(_xlfn.XLOOKUP($A32,'CONSOLIDATED CY Cash Flows'!$B:$B,'CONSOLIDATED CY Cash Flows'!M:M)/$S32,0)</f>
        <v>7.6109907114759442E-2</v>
      </c>
      <c r="H32" s="344">
        <f ca="1">+IFERROR(_xlfn.XLOOKUP($A32,'CONSOLIDATED CY Cash Flows'!$B:$B,'CONSOLIDATED CY Cash Flows'!N:N)/$S32,0)</f>
        <v>8.1153754045917764E-2</v>
      </c>
      <c r="I32" s="344">
        <f ca="1">+IFERROR(_xlfn.XLOOKUP($A32,'CONSOLIDATED CY Cash Flows'!$B:$B,'CONSOLIDATED CY Cash Flows'!O:O)/$S32,0)</f>
        <v>9.9539274803998296E-2</v>
      </c>
      <c r="J32" s="344">
        <f ca="1">+IFERROR(_xlfn.XLOOKUP($A32,'CONSOLIDATED CY Cash Flows'!$B:$B,'CONSOLIDATED CY Cash Flows'!P:P)/$S32,0)</f>
        <v>8.8713402302863689E-2</v>
      </c>
      <c r="K32" s="344">
        <f ca="1">+IFERROR(_xlfn.XLOOKUP($A32,'CONSOLIDATED CY Cash Flows'!$B:$B,'CONSOLIDATED CY Cash Flows'!Q:Q)/$S32,0)</f>
        <v>8.9782238475187348E-2</v>
      </c>
      <c r="L32" s="344">
        <f ca="1">+IFERROR(_xlfn.XLOOKUP($A32,'CONSOLIDATED CY Cash Flows'!$B:$B,'CONSOLIDATED CY Cash Flows'!R:R)/$S32,0)</f>
        <v>8.9782238475187348E-2</v>
      </c>
      <c r="M32" s="344">
        <f ca="1">+IFERROR(_xlfn.XLOOKUP($A32,'CONSOLIDATED CY Cash Flows'!$B:$B,'CONSOLIDATED CY Cash Flows'!S:S)/$S32,0)</f>
        <v>8.9782238475187348E-2</v>
      </c>
      <c r="N32" s="344">
        <f ca="1">+IFERROR(_xlfn.XLOOKUP($A32,'CONSOLIDATED CY Cash Flows'!$B:$B,'CONSOLIDATED CY Cash Flows'!T:T)/$S32,0)</f>
        <v>8.9782238475187348E-2</v>
      </c>
      <c r="O32" s="344">
        <f ca="1">+IFERROR(_xlfn.XLOOKUP($A32,'CONSOLIDATED CY Cash Flows'!$B:$B,'CONSOLIDATED CY Cash Flows'!U:U)/$S32,0)</f>
        <v>0</v>
      </c>
      <c r="P32" s="344">
        <f ca="1">+IFERROR(_xlfn.XLOOKUP($A32,'CONSOLIDATED CY Cash Flows'!$B:$B,'CONSOLIDATED CY Cash Flows'!V:V)/$S32,0)</f>
        <v>0</v>
      </c>
      <c r="Q32" s="344">
        <f ca="1">+IFERROR(_xlfn.XLOOKUP($A32,'CONSOLIDATED CY Cash Flows'!$B:$B,'CONSOLIDATED CY Cash Flows'!W:W)/$S32,0)</f>
        <v>0</v>
      </c>
      <c r="R32" s="340">
        <f t="shared" ca="1" si="0"/>
        <v>1.0000000000000002</v>
      </c>
      <c r="S32" s="501">
        <f ca="1">+IFERROR(_xlfn.XLOOKUP($A32,'CONSOLIDATED CY Cash Flows'!$B:$B,'CONSOLIDATED CY Cash Flows'!$H:$H),0)</f>
        <v>252828.84619719087</v>
      </c>
      <c r="T32" s="501">
        <f t="shared" ca="1" si="1"/>
        <v>139601.38</v>
      </c>
      <c r="U32" s="501">
        <f t="shared" ca="1" si="2"/>
        <v>113227.46619719086</v>
      </c>
    </row>
    <row r="33" spans="1:21" ht="13.5" hidden="1" customHeight="1" x14ac:dyDescent="0.75">
      <c r="A33" s="349">
        <v>3313</v>
      </c>
      <c r="B33" s="350" t="s">
        <v>1066</v>
      </c>
      <c r="C33" s="344">
        <f ca="1">+IFERROR(_xlfn.XLOOKUP($A33,'CONSOLIDATED CY Cash Flows'!$B:$B,'CONSOLIDATED CY Cash Flows'!I:I)/$S33,0)</f>
        <v>0</v>
      </c>
      <c r="D33" s="344">
        <f ca="1">+IFERROR(_xlfn.XLOOKUP($A33,'CONSOLIDATED CY Cash Flows'!$B:$B,'CONSOLIDATED CY Cash Flows'!J:J)/$S33,0)</f>
        <v>0</v>
      </c>
      <c r="E33" s="344">
        <f ca="1">+IFERROR(_xlfn.XLOOKUP($A33,'CONSOLIDATED CY Cash Flows'!$B:$B,'CONSOLIDATED CY Cash Flows'!K:K)/$S33,0)</f>
        <v>0</v>
      </c>
      <c r="F33" s="344">
        <f ca="1">+IFERROR(_xlfn.XLOOKUP($A33,'CONSOLIDATED CY Cash Flows'!$B:$B,'CONSOLIDATED CY Cash Flows'!L:L)/$S33,0)</f>
        <v>0</v>
      </c>
      <c r="G33" s="344">
        <f ca="1">+IFERROR(_xlfn.XLOOKUP($A33,'CONSOLIDATED CY Cash Flows'!$B:$B,'CONSOLIDATED CY Cash Flows'!M:M)/$S33,0)</f>
        <v>0</v>
      </c>
      <c r="H33" s="344">
        <f ca="1">+IFERROR(_xlfn.XLOOKUP($A33,'CONSOLIDATED CY Cash Flows'!$B:$B,'CONSOLIDATED CY Cash Flows'!N:N)/$S33,0)</f>
        <v>0</v>
      </c>
      <c r="I33" s="344">
        <f ca="1">+IFERROR(_xlfn.XLOOKUP($A33,'CONSOLIDATED CY Cash Flows'!$B:$B,'CONSOLIDATED CY Cash Flows'!O:O)/$S33,0)</f>
        <v>0</v>
      </c>
      <c r="J33" s="344">
        <f ca="1">+IFERROR(_xlfn.XLOOKUP($A33,'CONSOLIDATED CY Cash Flows'!$B:$B,'CONSOLIDATED CY Cash Flows'!P:P)/$S33,0)</f>
        <v>0</v>
      </c>
      <c r="K33" s="344">
        <f ca="1">+IFERROR(_xlfn.XLOOKUP($A33,'CONSOLIDATED CY Cash Flows'!$B:$B,'CONSOLIDATED CY Cash Flows'!Q:Q)/$S33,0)</f>
        <v>0</v>
      </c>
      <c r="L33" s="344">
        <f ca="1">+IFERROR(_xlfn.XLOOKUP($A33,'CONSOLIDATED CY Cash Flows'!$B:$B,'CONSOLIDATED CY Cash Flows'!R:R)/$S33,0)</f>
        <v>0</v>
      </c>
      <c r="M33" s="344">
        <f ca="1">+IFERROR(_xlfn.XLOOKUP($A33,'CONSOLIDATED CY Cash Flows'!$B:$B,'CONSOLIDATED CY Cash Flows'!S:S)/$S33,0)</f>
        <v>0</v>
      </c>
      <c r="N33" s="344">
        <f ca="1">+IFERROR(_xlfn.XLOOKUP($A33,'CONSOLIDATED CY Cash Flows'!$B:$B,'CONSOLIDATED CY Cash Flows'!T:T)/$S33,0)</f>
        <v>0</v>
      </c>
      <c r="O33" s="344">
        <f ca="1">+IFERROR(_xlfn.XLOOKUP($A33,'CONSOLIDATED CY Cash Flows'!$B:$B,'CONSOLIDATED CY Cash Flows'!U:U)/$S33,0)</f>
        <v>0</v>
      </c>
      <c r="P33" s="344">
        <f ca="1">+IFERROR(_xlfn.XLOOKUP($A33,'CONSOLIDATED CY Cash Flows'!$B:$B,'CONSOLIDATED CY Cash Flows'!V:V)/$S33,0)</f>
        <v>0</v>
      </c>
      <c r="Q33" s="344">
        <f ca="1">+IFERROR(_xlfn.XLOOKUP($A33,'CONSOLIDATED CY Cash Flows'!$B:$B,'CONSOLIDATED CY Cash Flows'!W:W)/$S33,0)</f>
        <v>0</v>
      </c>
      <c r="R33" s="340">
        <f t="shared" ca="1" si="0"/>
        <v>0</v>
      </c>
      <c r="S33" s="501">
        <f ca="1">+IFERROR(_xlfn.XLOOKUP($A33,'CONSOLIDATED CY Cash Flows'!$B:$B,'CONSOLIDATED CY Cash Flows'!$H:$H),0)</f>
        <v>0</v>
      </c>
      <c r="T33" s="501">
        <f t="shared" ca="1" si="1"/>
        <v>0</v>
      </c>
      <c r="U33" s="501">
        <f t="shared" ca="1" si="2"/>
        <v>0</v>
      </c>
    </row>
    <row r="34" spans="1:21" ht="13.5" hidden="1" customHeight="1" x14ac:dyDescent="0.75">
      <c r="A34" s="349">
        <v>3323</v>
      </c>
      <c r="B34" s="350" t="s">
        <v>1068</v>
      </c>
      <c r="C34" s="344">
        <f ca="1">+IFERROR(_xlfn.XLOOKUP($A34,'CONSOLIDATED CY Cash Flows'!$B:$B,'CONSOLIDATED CY Cash Flows'!I:I)/$S34,0)</f>
        <v>0</v>
      </c>
      <c r="D34" s="344">
        <f ca="1">+IFERROR(_xlfn.XLOOKUP($A34,'CONSOLIDATED CY Cash Flows'!$B:$B,'CONSOLIDATED CY Cash Flows'!J:J)/$S34,0)</f>
        <v>0</v>
      </c>
      <c r="E34" s="344">
        <f ca="1">+IFERROR(_xlfn.XLOOKUP($A34,'CONSOLIDATED CY Cash Flows'!$B:$B,'CONSOLIDATED CY Cash Flows'!K:K)/$S34,0)</f>
        <v>0</v>
      </c>
      <c r="F34" s="344">
        <f ca="1">+IFERROR(_xlfn.XLOOKUP($A34,'CONSOLIDATED CY Cash Flows'!$B:$B,'CONSOLIDATED CY Cash Flows'!L:L)/$S34,0)</f>
        <v>0</v>
      </c>
      <c r="G34" s="344">
        <f ca="1">+IFERROR(_xlfn.XLOOKUP($A34,'CONSOLIDATED CY Cash Flows'!$B:$B,'CONSOLIDATED CY Cash Flows'!M:M)/$S34,0)</f>
        <v>0</v>
      </c>
      <c r="H34" s="344">
        <f ca="1">+IFERROR(_xlfn.XLOOKUP($A34,'CONSOLIDATED CY Cash Flows'!$B:$B,'CONSOLIDATED CY Cash Flows'!N:N)/$S34,0)</f>
        <v>0</v>
      </c>
      <c r="I34" s="344">
        <f ca="1">+IFERROR(_xlfn.XLOOKUP($A34,'CONSOLIDATED CY Cash Flows'!$B:$B,'CONSOLIDATED CY Cash Flows'!O:O)/$S34,0)</f>
        <v>0</v>
      </c>
      <c r="J34" s="344">
        <f ca="1">+IFERROR(_xlfn.XLOOKUP($A34,'CONSOLIDATED CY Cash Flows'!$B:$B,'CONSOLIDATED CY Cash Flows'!P:P)/$S34,0)</f>
        <v>0</v>
      </c>
      <c r="K34" s="344">
        <f ca="1">+IFERROR(_xlfn.XLOOKUP($A34,'CONSOLIDATED CY Cash Flows'!$B:$B,'CONSOLIDATED CY Cash Flows'!Q:Q)/$S34,0)</f>
        <v>0</v>
      </c>
      <c r="L34" s="344">
        <f ca="1">+IFERROR(_xlfn.XLOOKUP($A34,'CONSOLIDATED CY Cash Flows'!$B:$B,'CONSOLIDATED CY Cash Flows'!R:R)/$S34,0)</f>
        <v>0</v>
      </c>
      <c r="M34" s="344">
        <f ca="1">+IFERROR(_xlfn.XLOOKUP($A34,'CONSOLIDATED CY Cash Flows'!$B:$B,'CONSOLIDATED CY Cash Flows'!S:S)/$S34,0)</f>
        <v>0</v>
      </c>
      <c r="N34" s="344">
        <f ca="1">+IFERROR(_xlfn.XLOOKUP($A34,'CONSOLIDATED CY Cash Flows'!$B:$B,'CONSOLIDATED CY Cash Flows'!T:T)/$S34,0)</f>
        <v>0</v>
      </c>
      <c r="O34" s="344">
        <f ca="1">+IFERROR(_xlfn.XLOOKUP($A34,'CONSOLIDATED CY Cash Flows'!$B:$B,'CONSOLIDATED CY Cash Flows'!U:U)/$S34,0)</f>
        <v>0</v>
      </c>
      <c r="P34" s="344">
        <f ca="1">+IFERROR(_xlfn.XLOOKUP($A34,'CONSOLIDATED CY Cash Flows'!$B:$B,'CONSOLIDATED CY Cash Flows'!V:V)/$S34,0)</f>
        <v>0</v>
      </c>
      <c r="Q34" s="344">
        <f ca="1">+IFERROR(_xlfn.XLOOKUP($A34,'CONSOLIDATED CY Cash Flows'!$B:$B,'CONSOLIDATED CY Cash Flows'!W:W)/$S34,0)</f>
        <v>0</v>
      </c>
      <c r="R34" s="340">
        <f t="shared" ca="1" si="0"/>
        <v>0</v>
      </c>
      <c r="S34" s="501">
        <f ca="1">+IFERROR(_xlfn.XLOOKUP($A34,'CONSOLIDATED CY Cash Flows'!$B:$B,'CONSOLIDATED CY Cash Flows'!$H:$H),0)</f>
        <v>0</v>
      </c>
      <c r="T34" s="501">
        <f t="shared" ca="1" si="1"/>
        <v>0</v>
      </c>
      <c r="U34" s="501">
        <f t="shared" ca="1" si="2"/>
        <v>0</v>
      </c>
    </row>
    <row r="35" spans="1:21" ht="13.5" customHeight="1" x14ac:dyDescent="0.75">
      <c r="A35" s="349">
        <v>3401</v>
      </c>
      <c r="B35" s="350" t="s">
        <v>1521</v>
      </c>
      <c r="C35" s="344">
        <f ca="1">+IFERROR(_xlfn.XLOOKUP($A35,'CONSOLIDATED CY Cash Flows'!$B:$B,'CONSOLIDATED CY Cash Flows'!I:I)/$S35,0)</f>
        <v>0</v>
      </c>
      <c r="D35" s="344">
        <f ca="1">+IFERROR(_xlfn.XLOOKUP($A35,'CONSOLIDATED CY Cash Flows'!$B:$B,'CONSOLIDATED CY Cash Flows'!J:J)/$S35,0)</f>
        <v>0</v>
      </c>
      <c r="E35" s="344">
        <f ca="1">+IFERROR(_xlfn.XLOOKUP($A35,'CONSOLIDATED CY Cash Flows'!$B:$B,'CONSOLIDATED CY Cash Flows'!K:K)/$S35,0)</f>
        <v>0</v>
      </c>
      <c r="F35" s="344">
        <f ca="1">+IFERROR(_xlfn.XLOOKUP($A35,'CONSOLIDATED CY Cash Flows'!$B:$B,'CONSOLIDATED CY Cash Flows'!L:L)/$S35,0)</f>
        <v>0.32457378950792976</v>
      </c>
      <c r="G35" s="344">
        <f ca="1">+IFERROR(_xlfn.XLOOKUP($A35,'CONSOLIDATED CY Cash Flows'!$B:$B,'CONSOLIDATED CY Cash Flows'!M:M)/$S35,0)</f>
        <v>0.10555641097495973</v>
      </c>
      <c r="H35" s="344">
        <f ca="1">+IFERROR(_xlfn.XLOOKUP($A35,'CONSOLIDATED CY Cash Flows'!$B:$B,'CONSOLIDATED CY Cash Flows'!N:N)/$S35,0)</f>
        <v>8.752525763192158E-2</v>
      </c>
      <c r="I35" s="344">
        <f ca="1">+IFERROR(_xlfn.XLOOKUP($A35,'CONSOLIDATED CY Cash Flows'!$B:$B,'CONSOLIDATED CY Cash Flows'!O:O)/$S35,0)</f>
        <v>0.16488912065043757</v>
      </c>
      <c r="J35" s="344">
        <f ca="1">+IFERROR(_xlfn.XLOOKUP($A35,'CONSOLIDATED CY Cash Flows'!$B:$B,'CONSOLIDATED CY Cash Flows'!P:P)/$S35,0)</f>
        <v>6.2884964110941202E-2</v>
      </c>
      <c r="K35" s="344">
        <f ca="1">+IFERROR(_xlfn.XLOOKUP($A35,'CONSOLIDATED CY Cash Flows'!$B:$B,'CONSOLIDATED CY Cash Flows'!Q:Q)/$S35,0)</f>
        <v>6.3642614280952539E-2</v>
      </c>
      <c r="L35" s="344">
        <f ca="1">+IFERROR(_xlfn.XLOOKUP($A35,'CONSOLIDATED CY Cash Flows'!$B:$B,'CONSOLIDATED CY Cash Flows'!R:R)/$S35,0)</f>
        <v>6.3642614280952539E-2</v>
      </c>
      <c r="M35" s="344">
        <f ca="1">+IFERROR(_xlfn.XLOOKUP($A35,'CONSOLIDATED CY Cash Flows'!$B:$B,'CONSOLIDATED CY Cash Flows'!S:S)/$S35,0)</f>
        <v>6.3642614280952539E-2</v>
      </c>
      <c r="N35" s="344">
        <f ca="1">+IFERROR(_xlfn.XLOOKUP($A35,'CONSOLIDATED CY Cash Flows'!$B:$B,'CONSOLIDATED CY Cash Flows'!T:T)/$S35,0)</f>
        <v>6.3642614280952539E-2</v>
      </c>
      <c r="O35" s="344">
        <f ca="1">+IFERROR(_xlfn.XLOOKUP($A35,'CONSOLIDATED CY Cash Flows'!$B:$B,'CONSOLIDATED CY Cash Flows'!U:U)/$S35,0)</f>
        <v>0</v>
      </c>
      <c r="P35" s="344">
        <f ca="1">+IFERROR(_xlfn.XLOOKUP($A35,'CONSOLIDATED CY Cash Flows'!$B:$B,'CONSOLIDATED CY Cash Flows'!V:V)/$S35,0)</f>
        <v>0</v>
      </c>
      <c r="Q35" s="344">
        <f ca="1">+IFERROR(_xlfn.XLOOKUP($A35,'CONSOLIDATED CY Cash Flows'!$B:$B,'CONSOLIDATED CY Cash Flows'!W:W)/$S35,0)</f>
        <v>0</v>
      </c>
      <c r="R35" s="340">
        <f t="shared" ca="1" si="0"/>
        <v>1</v>
      </c>
      <c r="S35" s="501">
        <f ca="1">+IFERROR(_xlfn.XLOOKUP($A35,'CONSOLIDATED CY Cash Flows'!$B:$B,'CONSOLIDATED CY Cash Flows'!$H:$H),0)</f>
        <v>1447503.08</v>
      </c>
      <c r="T35" s="501">
        <f t="shared" ca="1" si="1"/>
        <v>987985.38000000012</v>
      </c>
      <c r="U35" s="501">
        <f t="shared" ca="1" si="2"/>
        <v>459517.69999999995</v>
      </c>
    </row>
    <row r="36" spans="1:21" ht="13.5" customHeight="1" x14ac:dyDescent="0.75">
      <c r="A36" s="349">
        <v>3402</v>
      </c>
      <c r="B36" s="350" t="s">
        <v>1522</v>
      </c>
      <c r="C36" s="344">
        <f ca="1">+IFERROR(_xlfn.XLOOKUP($A36,'CONSOLIDATED CY Cash Flows'!$B:$B,'CONSOLIDATED CY Cash Flows'!I:I)/$S36,0)</f>
        <v>0</v>
      </c>
      <c r="D36" s="344">
        <f ca="1">+IFERROR(_xlfn.XLOOKUP($A36,'CONSOLIDATED CY Cash Flows'!$B:$B,'CONSOLIDATED CY Cash Flows'!J:J)/$S36,0)</f>
        <v>0</v>
      </c>
      <c r="E36" s="344">
        <f ca="1">+IFERROR(_xlfn.XLOOKUP($A36,'CONSOLIDATED CY Cash Flows'!$B:$B,'CONSOLIDATED CY Cash Flows'!K:K)/$S36,0)</f>
        <v>0</v>
      </c>
      <c r="F36" s="344">
        <f ca="1">+IFERROR(_xlfn.XLOOKUP($A36,'CONSOLIDATED CY Cash Flows'!$B:$B,'CONSOLIDATED CY Cash Flows'!L:L)/$S36,0)</f>
        <v>0.37314013378008881</v>
      </c>
      <c r="G36" s="344">
        <f ca="1">+IFERROR(_xlfn.XLOOKUP($A36,'CONSOLIDATED CY Cash Flows'!$B:$B,'CONSOLIDATED CY Cash Flows'!M:M)/$S36,0)</f>
        <v>0.10922333089245077</v>
      </c>
      <c r="H36" s="344">
        <f ca="1">+IFERROR(_xlfn.XLOOKUP($A36,'CONSOLIDATED CY Cash Flows'!$B:$B,'CONSOLIDATED CY Cash Flows'!N:N)/$S36,0)</f>
        <v>9.213234514572563E-2</v>
      </c>
      <c r="I36" s="344">
        <f ca="1">+IFERROR(_xlfn.XLOOKUP($A36,'CONSOLIDATED CY Cash Flows'!$B:$B,'CONSOLIDATED CY Cash Flows'!O:O)/$S36,0)</f>
        <v>0.17502183233848878</v>
      </c>
      <c r="J36" s="344">
        <f ca="1">+IFERROR(_xlfn.XLOOKUP($A36,'CONSOLIDATED CY Cash Flows'!$B:$B,'CONSOLIDATED CY Cash Flows'!P:P)/$S36,0)</f>
        <v>4.9618223630046358E-2</v>
      </c>
      <c r="K36" s="344">
        <f ca="1">+IFERROR(_xlfn.XLOOKUP($A36,'CONSOLIDATED CY Cash Flows'!$B:$B,'CONSOLIDATED CY Cash Flows'!Q:Q)/$S36,0)</f>
        <v>5.021603355329992E-2</v>
      </c>
      <c r="L36" s="344">
        <f ca="1">+IFERROR(_xlfn.XLOOKUP($A36,'CONSOLIDATED CY Cash Flows'!$B:$B,'CONSOLIDATED CY Cash Flows'!R:R)/$S36,0)</f>
        <v>5.021603355329992E-2</v>
      </c>
      <c r="M36" s="344">
        <f ca="1">+IFERROR(_xlfn.XLOOKUP($A36,'CONSOLIDATED CY Cash Flows'!$B:$B,'CONSOLIDATED CY Cash Flows'!S:S)/$S36,0)</f>
        <v>5.021603355329992E-2</v>
      </c>
      <c r="N36" s="344">
        <f ca="1">+IFERROR(_xlfn.XLOOKUP($A36,'CONSOLIDATED CY Cash Flows'!$B:$B,'CONSOLIDATED CY Cash Flows'!T:T)/$S36,0)</f>
        <v>5.021603355329992E-2</v>
      </c>
      <c r="O36" s="344">
        <f ca="1">+IFERROR(_xlfn.XLOOKUP($A36,'CONSOLIDATED CY Cash Flows'!$B:$B,'CONSOLIDATED CY Cash Flows'!U:U)/$S36,0)</f>
        <v>0</v>
      </c>
      <c r="P36" s="344">
        <f ca="1">+IFERROR(_xlfn.XLOOKUP($A36,'CONSOLIDATED CY Cash Flows'!$B:$B,'CONSOLIDATED CY Cash Flows'!V:V)/$S36,0)</f>
        <v>0</v>
      </c>
      <c r="Q36" s="344">
        <f ca="1">+IFERROR(_xlfn.XLOOKUP($A36,'CONSOLIDATED CY Cash Flows'!$B:$B,'CONSOLIDATED CY Cash Flows'!W:W)/$S36,0)</f>
        <v>0</v>
      </c>
      <c r="R36" s="340">
        <f t="shared" ref="R36:R45" ca="1" si="3">SUM(C36:Q36)</f>
        <v>1</v>
      </c>
      <c r="S36" s="501">
        <f ca="1">+IFERROR(_xlfn.XLOOKUP($A36,'CONSOLIDATED CY Cash Flows'!$B:$B,'CONSOLIDATED CY Cash Flows'!$H:$H),0)</f>
        <v>405591</v>
      </c>
      <c r="T36" s="501">
        <f t="shared" ref="T36:T45" ca="1" si="4">+SUMIF($C$1:$Q$1,"ACTUAL",$C36:$Q36)*S36</f>
        <v>303997.61</v>
      </c>
      <c r="U36" s="501">
        <f t="shared" ref="U36:U45" ca="1" si="5">+S36-T36</f>
        <v>101593.39000000001</v>
      </c>
    </row>
    <row r="37" spans="1:21" ht="13.5" hidden="1" customHeight="1" x14ac:dyDescent="0.75">
      <c r="A37" s="349">
        <v>3403</v>
      </c>
      <c r="B37" s="350" t="s">
        <v>589</v>
      </c>
      <c r="C37" s="344">
        <f ca="1">+IFERROR(_xlfn.XLOOKUP($A37,'CONSOLIDATED CY Cash Flows'!$B:$B,'CONSOLIDATED CY Cash Flows'!I:I)/$S37,0)</f>
        <v>0</v>
      </c>
      <c r="D37" s="344">
        <f ca="1">+IFERROR(_xlfn.XLOOKUP($A37,'CONSOLIDATED CY Cash Flows'!$B:$B,'CONSOLIDATED CY Cash Flows'!J:J)/$S37,0)</f>
        <v>0</v>
      </c>
      <c r="E37" s="344">
        <f ca="1">+IFERROR(_xlfn.XLOOKUP($A37,'CONSOLIDATED CY Cash Flows'!$B:$B,'CONSOLIDATED CY Cash Flows'!K:K)/$S37,0)</f>
        <v>0</v>
      </c>
      <c r="F37" s="344">
        <f ca="1">+IFERROR(_xlfn.XLOOKUP($A37,'CONSOLIDATED CY Cash Flows'!$B:$B,'CONSOLIDATED CY Cash Flows'!L:L)/$S37,0)</f>
        <v>0</v>
      </c>
      <c r="G37" s="344">
        <f ca="1">+IFERROR(_xlfn.XLOOKUP($A37,'CONSOLIDATED CY Cash Flows'!$B:$B,'CONSOLIDATED CY Cash Flows'!M:M)/$S37,0)</f>
        <v>0</v>
      </c>
      <c r="H37" s="344">
        <f ca="1">+IFERROR(_xlfn.XLOOKUP($A37,'CONSOLIDATED CY Cash Flows'!$B:$B,'CONSOLIDATED CY Cash Flows'!N:N)/$S37,0)</f>
        <v>0</v>
      </c>
      <c r="I37" s="344">
        <f ca="1">+IFERROR(_xlfn.XLOOKUP($A37,'CONSOLIDATED CY Cash Flows'!$B:$B,'CONSOLIDATED CY Cash Flows'!O:O)/$S37,0)</f>
        <v>0</v>
      </c>
      <c r="J37" s="344">
        <f ca="1">+IFERROR(_xlfn.XLOOKUP($A37,'CONSOLIDATED CY Cash Flows'!$B:$B,'CONSOLIDATED CY Cash Flows'!P:P)/$S37,0)</f>
        <v>0</v>
      </c>
      <c r="K37" s="344">
        <f ca="1">+IFERROR(_xlfn.XLOOKUP($A37,'CONSOLIDATED CY Cash Flows'!$B:$B,'CONSOLIDATED CY Cash Flows'!Q:Q)/$S37,0)</f>
        <v>0</v>
      </c>
      <c r="L37" s="344">
        <f ca="1">+IFERROR(_xlfn.XLOOKUP($A37,'CONSOLIDATED CY Cash Flows'!$B:$B,'CONSOLIDATED CY Cash Flows'!R:R)/$S37,0)</f>
        <v>0</v>
      </c>
      <c r="M37" s="344">
        <f ca="1">+IFERROR(_xlfn.XLOOKUP($A37,'CONSOLIDATED CY Cash Flows'!$B:$B,'CONSOLIDATED CY Cash Flows'!S:S)/$S37,0)</f>
        <v>0</v>
      </c>
      <c r="N37" s="344">
        <f ca="1">+IFERROR(_xlfn.XLOOKUP($A37,'CONSOLIDATED CY Cash Flows'!$B:$B,'CONSOLIDATED CY Cash Flows'!T:T)/$S37,0)</f>
        <v>0</v>
      </c>
      <c r="O37" s="344">
        <f ca="1">+IFERROR(_xlfn.XLOOKUP($A37,'CONSOLIDATED CY Cash Flows'!$B:$B,'CONSOLIDATED CY Cash Flows'!U:U)/$S37,0)</f>
        <v>0</v>
      </c>
      <c r="P37" s="344">
        <f ca="1">+IFERROR(_xlfn.XLOOKUP($A37,'CONSOLIDATED CY Cash Flows'!$B:$B,'CONSOLIDATED CY Cash Flows'!V:V)/$S37,0)</f>
        <v>0</v>
      </c>
      <c r="Q37" s="344">
        <f ca="1">+IFERROR(_xlfn.XLOOKUP($A37,'CONSOLIDATED CY Cash Flows'!$B:$B,'CONSOLIDATED CY Cash Flows'!W:W)/$S37,0)</f>
        <v>0</v>
      </c>
      <c r="R37" s="340">
        <f t="shared" ca="1" si="3"/>
        <v>0</v>
      </c>
      <c r="S37" s="501">
        <f ca="1">+IFERROR(_xlfn.XLOOKUP($A37,'CONSOLIDATED CY Cash Flows'!$B:$B,'CONSOLIDATED CY Cash Flows'!$H:$H),0)</f>
        <v>0</v>
      </c>
      <c r="T37" s="501">
        <f t="shared" ca="1" si="4"/>
        <v>0</v>
      </c>
      <c r="U37" s="501">
        <f t="shared" ca="1" si="5"/>
        <v>0</v>
      </c>
    </row>
    <row r="38" spans="1:21" ht="13.5" customHeight="1" x14ac:dyDescent="0.75">
      <c r="A38" s="349">
        <v>3501</v>
      </c>
      <c r="B38" s="350" t="s">
        <v>1523</v>
      </c>
      <c r="C38" s="344">
        <f ca="1">+IFERROR(_xlfn.XLOOKUP($A38,'CONSOLIDATED CY Cash Flows'!$B:$B,'CONSOLIDATED CY Cash Flows'!I:I)/$S38,0)</f>
        <v>0</v>
      </c>
      <c r="D38" s="344">
        <f ca="1">+IFERROR(_xlfn.XLOOKUP($A38,'CONSOLIDATED CY Cash Flows'!$B:$B,'CONSOLIDATED CY Cash Flows'!J:J)/$S38,0)</f>
        <v>0</v>
      </c>
      <c r="E38" s="344">
        <f ca="1">+IFERROR(_xlfn.XLOOKUP($A38,'CONSOLIDATED CY Cash Flows'!$B:$B,'CONSOLIDATED CY Cash Flows'!K:K)/$S38,0)</f>
        <v>0</v>
      </c>
      <c r="F38" s="344">
        <f ca="1">+IFERROR(_xlfn.XLOOKUP($A38,'CONSOLIDATED CY Cash Flows'!$B:$B,'CONSOLIDATED CY Cash Flows'!L:L)/$S38,0)</f>
        <v>0.13400146842878102</v>
      </c>
      <c r="G38" s="344">
        <f ca="1">+IFERROR(_xlfn.XLOOKUP($A38,'CONSOLIDATED CY Cash Flows'!$B:$B,'CONSOLIDATED CY Cash Flows'!M:M)/$S38,0)</f>
        <v>3.26845547990922E-3</v>
      </c>
      <c r="H38" s="344">
        <f ca="1">+IFERROR(_xlfn.XLOOKUP($A38,'CONSOLIDATED CY Cash Flows'!$B:$B,'CONSOLIDATED CY Cash Flows'!N:N)/$S38,0)</f>
        <v>0.39939727673207792</v>
      </c>
      <c r="I38" s="344">
        <f ca="1">+IFERROR(_xlfn.XLOOKUP($A38,'CONSOLIDATED CY Cash Flows'!$B:$B,'CONSOLIDATED CY Cash Flows'!O:O)/$S38,0)</f>
        <v>0.49402950206914897</v>
      </c>
      <c r="J38" s="344">
        <f ca="1">+IFERROR(_xlfn.XLOOKUP($A38,'CONSOLIDATED CY Cash Flows'!$B:$B,'CONSOLIDATED CY Cash Flows'!P:P)/$S38,0)</f>
        <v>-6.080731085735357E-3</v>
      </c>
      <c r="K38" s="344">
        <f ca="1">+IFERROR(_xlfn.XLOOKUP($A38,'CONSOLIDATED CY Cash Flows'!$B:$B,'CONSOLIDATED CY Cash Flows'!Q:Q)/$S38,0)</f>
        <v>-6.1539929060454215E-3</v>
      </c>
      <c r="L38" s="344">
        <f ca="1">+IFERROR(_xlfn.XLOOKUP($A38,'CONSOLIDATED CY Cash Flows'!$B:$B,'CONSOLIDATED CY Cash Flows'!R:R)/$S38,0)</f>
        <v>-6.1539929060454215E-3</v>
      </c>
      <c r="M38" s="344">
        <f ca="1">+IFERROR(_xlfn.XLOOKUP($A38,'CONSOLIDATED CY Cash Flows'!$B:$B,'CONSOLIDATED CY Cash Flows'!S:S)/$S38,0)</f>
        <v>-6.1539929060454215E-3</v>
      </c>
      <c r="N38" s="344">
        <f ca="1">+IFERROR(_xlfn.XLOOKUP($A38,'CONSOLIDATED CY Cash Flows'!$B:$B,'CONSOLIDATED CY Cash Flows'!T:T)/$S38,0)</f>
        <v>-6.1539929060454215E-3</v>
      </c>
      <c r="O38" s="344">
        <f ca="1">+IFERROR(_xlfn.XLOOKUP($A38,'CONSOLIDATED CY Cash Flows'!$B:$B,'CONSOLIDATED CY Cash Flows'!U:U)/$S38,0)</f>
        <v>0</v>
      </c>
      <c r="P38" s="344">
        <f ca="1">+IFERROR(_xlfn.XLOOKUP($A38,'CONSOLIDATED CY Cash Flows'!$B:$B,'CONSOLIDATED CY Cash Flows'!V:V)/$S38,0)</f>
        <v>0</v>
      </c>
      <c r="Q38" s="344">
        <f ca="1">+IFERROR(_xlfn.XLOOKUP($A38,'CONSOLIDATED CY Cash Flows'!$B:$B,'CONSOLIDATED CY Cash Flows'!W:W)/$S38,0)</f>
        <v>0</v>
      </c>
      <c r="R38" s="340">
        <f t="shared" ca="1" si="3"/>
        <v>1</v>
      </c>
      <c r="S38" s="501">
        <f ca="1">+IFERROR(_xlfn.XLOOKUP($A38,'CONSOLIDATED CY Cash Flows'!$B:$B,'CONSOLIDATED CY Cash Flows'!$H:$H),0)</f>
        <v>74910.000000000102</v>
      </c>
      <c r="T38" s="501">
        <f t="shared" ca="1" si="4"/>
        <v>77209.490000000005</v>
      </c>
      <c r="U38" s="501">
        <f t="shared" ca="1" si="5"/>
        <v>-2299.4899999999034</v>
      </c>
    </row>
    <row r="39" spans="1:21" ht="13.5" customHeight="1" x14ac:dyDescent="0.75">
      <c r="A39" s="349">
        <v>3502</v>
      </c>
      <c r="B39" s="350" t="s">
        <v>1524</v>
      </c>
      <c r="C39" s="344">
        <f ca="1">+IFERROR(_xlfn.XLOOKUP($A39,'CONSOLIDATED CY Cash Flows'!$B:$B,'CONSOLIDATED CY Cash Flows'!I:I)/$S39,0)</f>
        <v>0</v>
      </c>
      <c r="D39" s="344">
        <f ca="1">+IFERROR(_xlfn.XLOOKUP($A39,'CONSOLIDATED CY Cash Flows'!$B:$B,'CONSOLIDATED CY Cash Flows'!J:J)/$S39,0)</f>
        <v>0</v>
      </c>
      <c r="E39" s="344">
        <f ca="1">+IFERROR(_xlfn.XLOOKUP($A39,'CONSOLIDATED CY Cash Flows'!$B:$B,'CONSOLIDATED CY Cash Flows'!K:K)/$S39,0)</f>
        <v>0</v>
      </c>
      <c r="F39" s="344">
        <f ca="1">+IFERROR(_xlfn.XLOOKUP($A39,'CONSOLIDATED CY Cash Flows'!$B:$B,'CONSOLIDATED CY Cash Flows'!L:L)/$S39,0)</f>
        <v>0.1514518699034586</v>
      </c>
      <c r="G39" s="344">
        <f ca="1">+IFERROR(_xlfn.XLOOKUP($A39,'CONSOLIDATED CY Cash Flows'!$B:$B,'CONSOLIDATED CY Cash Flows'!M:M)/$S39,0)</f>
        <v>0</v>
      </c>
      <c r="H39" s="344">
        <f ca="1">+IFERROR(_xlfn.XLOOKUP($A39,'CONSOLIDATED CY Cash Flows'!$B:$B,'CONSOLIDATED CY Cash Flows'!N:N)/$S39,0)</f>
        <v>0.41233808229449803</v>
      </c>
      <c r="I39" s="344">
        <f ca="1">+IFERROR(_xlfn.XLOOKUP($A39,'CONSOLIDATED CY Cash Flows'!$B:$B,'CONSOLIDATED CY Cash Flows'!O:O)/$S39,0)</f>
        <v>0.51267082200768588</v>
      </c>
      <c r="J39" s="344">
        <f ca="1">+IFERROR(_xlfn.XLOOKUP($A39,'CONSOLIDATED CY Cash Flows'!$B:$B,'CONSOLIDATED CY Cash Flows'!P:P)/$S39,0)</f>
        <v>-1.5146167682740647E-2</v>
      </c>
      <c r="K39" s="344">
        <f ca="1">+IFERROR(_xlfn.XLOOKUP($A39,'CONSOLIDATED CY Cash Flows'!$B:$B,'CONSOLIDATED CY Cash Flows'!Q:Q)/$S39,0)</f>
        <v>-1.5328651630725474E-2</v>
      </c>
      <c r="L39" s="344">
        <f ca="1">+IFERROR(_xlfn.XLOOKUP($A39,'CONSOLIDATED CY Cash Flows'!$B:$B,'CONSOLIDATED CY Cash Flows'!R:R)/$S39,0)</f>
        <v>-1.5328651630725474E-2</v>
      </c>
      <c r="M39" s="344">
        <f ca="1">+IFERROR(_xlfn.XLOOKUP($A39,'CONSOLIDATED CY Cash Flows'!$B:$B,'CONSOLIDATED CY Cash Flows'!S:S)/$S39,0)</f>
        <v>-1.5328651630725474E-2</v>
      </c>
      <c r="N39" s="344">
        <f ca="1">+IFERROR(_xlfn.XLOOKUP($A39,'CONSOLIDATED CY Cash Flows'!$B:$B,'CONSOLIDATED CY Cash Flows'!T:T)/$S39,0)</f>
        <v>-1.5328651630725474E-2</v>
      </c>
      <c r="O39" s="344">
        <f ca="1">+IFERROR(_xlfn.XLOOKUP($A39,'CONSOLIDATED CY Cash Flows'!$B:$B,'CONSOLIDATED CY Cash Flows'!U:U)/$S39,0)</f>
        <v>0</v>
      </c>
      <c r="P39" s="344">
        <f ca="1">+IFERROR(_xlfn.XLOOKUP($A39,'CONSOLIDATED CY Cash Flows'!$B:$B,'CONSOLIDATED CY Cash Flows'!V:V)/$S39,0)</f>
        <v>0</v>
      </c>
      <c r="Q39" s="344">
        <f ca="1">+IFERROR(_xlfn.XLOOKUP($A39,'CONSOLIDATED CY Cash Flows'!$B:$B,'CONSOLIDATED CY Cash Flows'!W:W)/$S39,0)</f>
        <v>0</v>
      </c>
      <c r="R39" s="340">
        <f t="shared" ca="1" si="3"/>
        <v>1.0000000000000002</v>
      </c>
      <c r="S39" s="501">
        <f ca="1">+IFERROR(_xlfn.XLOOKUP($A39,'CONSOLIDATED CY Cash Flows'!$B:$B,'CONSOLIDATED CY Cash Flows'!$H:$H),0)</f>
        <v>21338</v>
      </c>
      <c r="T39" s="501">
        <f t="shared" ca="1" si="4"/>
        <v>22969.52</v>
      </c>
      <c r="U39" s="501">
        <f t="shared" ca="1" si="5"/>
        <v>-1631.5200000000004</v>
      </c>
    </row>
    <row r="40" spans="1:21" ht="13.5" hidden="1" customHeight="1" x14ac:dyDescent="0.75">
      <c r="A40" s="349">
        <v>3503</v>
      </c>
      <c r="B40" s="350" t="s">
        <v>590</v>
      </c>
      <c r="C40" s="344">
        <f ca="1">+IFERROR(_xlfn.XLOOKUP($A40,'CONSOLIDATED CY Cash Flows'!$B:$B,'CONSOLIDATED CY Cash Flows'!I:I)/$S40,0)</f>
        <v>0</v>
      </c>
      <c r="D40" s="344">
        <f ca="1">+IFERROR(_xlfn.XLOOKUP($A40,'CONSOLIDATED CY Cash Flows'!$B:$B,'CONSOLIDATED CY Cash Flows'!J:J)/$S40,0)</f>
        <v>0</v>
      </c>
      <c r="E40" s="344">
        <f ca="1">+IFERROR(_xlfn.XLOOKUP($A40,'CONSOLIDATED CY Cash Flows'!$B:$B,'CONSOLIDATED CY Cash Flows'!K:K)/$S40,0)</f>
        <v>0</v>
      </c>
      <c r="F40" s="344">
        <f ca="1">+IFERROR(_xlfn.XLOOKUP($A40,'CONSOLIDATED CY Cash Flows'!$B:$B,'CONSOLIDATED CY Cash Flows'!L:L)/$S40,0)</f>
        <v>0</v>
      </c>
      <c r="G40" s="344">
        <f ca="1">+IFERROR(_xlfn.XLOOKUP($A40,'CONSOLIDATED CY Cash Flows'!$B:$B,'CONSOLIDATED CY Cash Flows'!M:M)/$S40,0)</f>
        <v>0</v>
      </c>
      <c r="H40" s="344">
        <f ca="1">+IFERROR(_xlfn.XLOOKUP($A40,'CONSOLIDATED CY Cash Flows'!$B:$B,'CONSOLIDATED CY Cash Flows'!N:N)/$S40,0)</f>
        <v>0</v>
      </c>
      <c r="I40" s="344">
        <f ca="1">+IFERROR(_xlfn.XLOOKUP($A40,'CONSOLIDATED CY Cash Flows'!$B:$B,'CONSOLIDATED CY Cash Flows'!O:O)/$S40,0)</f>
        <v>0</v>
      </c>
      <c r="J40" s="344">
        <f ca="1">+IFERROR(_xlfn.XLOOKUP($A40,'CONSOLIDATED CY Cash Flows'!$B:$B,'CONSOLIDATED CY Cash Flows'!P:P)/$S40,0)</f>
        <v>0</v>
      </c>
      <c r="K40" s="344">
        <f ca="1">+IFERROR(_xlfn.XLOOKUP($A40,'CONSOLIDATED CY Cash Flows'!$B:$B,'CONSOLIDATED CY Cash Flows'!Q:Q)/$S40,0)</f>
        <v>0</v>
      </c>
      <c r="L40" s="344">
        <f ca="1">+IFERROR(_xlfn.XLOOKUP($A40,'CONSOLIDATED CY Cash Flows'!$B:$B,'CONSOLIDATED CY Cash Flows'!R:R)/$S40,0)</f>
        <v>0</v>
      </c>
      <c r="M40" s="344">
        <f ca="1">+IFERROR(_xlfn.XLOOKUP($A40,'CONSOLIDATED CY Cash Flows'!$B:$B,'CONSOLIDATED CY Cash Flows'!S:S)/$S40,0)</f>
        <v>0</v>
      </c>
      <c r="N40" s="344">
        <f ca="1">+IFERROR(_xlfn.XLOOKUP($A40,'CONSOLIDATED CY Cash Flows'!$B:$B,'CONSOLIDATED CY Cash Flows'!T:T)/$S40,0)</f>
        <v>0</v>
      </c>
      <c r="O40" s="344">
        <f ca="1">+IFERROR(_xlfn.XLOOKUP($A40,'CONSOLIDATED CY Cash Flows'!$B:$B,'CONSOLIDATED CY Cash Flows'!U:U)/$S40,0)</f>
        <v>0</v>
      </c>
      <c r="P40" s="344">
        <f ca="1">+IFERROR(_xlfn.XLOOKUP($A40,'CONSOLIDATED CY Cash Flows'!$B:$B,'CONSOLIDATED CY Cash Flows'!V:V)/$S40,0)</f>
        <v>0</v>
      </c>
      <c r="Q40" s="344">
        <f ca="1">+IFERROR(_xlfn.XLOOKUP($A40,'CONSOLIDATED CY Cash Flows'!$B:$B,'CONSOLIDATED CY Cash Flows'!W:W)/$S40,0)</f>
        <v>0</v>
      </c>
      <c r="R40" s="340">
        <f t="shared" ca="1" si="3"/>
        <v>0</v>
      </c>
      <c r="S40" s="501">
        <f ca="1">+IFERROR(_xlfn.XLOOKUP($A40,'CONSOLIDATED CY Cash Flows'!$B:$B,'CONSOLIDATED CY Cash Flows'!$H:$H),0)</f>
        <v>0</v>
      </c>
      <c r="T40" s="501">
        <f t="shared" ca="1" si="4"/>
        <v>0</v>
      </c>
      <c r="U40" s="501">
        <f t="shared" ca="1" si="5"/>
        <v>0</v>
      </c>
    </row>
    <row r="41" spans="1:21" ht="13.5" customHeight="1" x14ac:dyDescent="0.75">
      <c r="A41" s="349">
        <v>3601</v>
      </c>
      <c r="B41" s="350" t="s">
        <v>1525</v>
      </c>
      <c r="C41" s="344">
        <f ca="1">+IFERROR(_xlfn.XLOOKUP($A41,'CONSOLIDATED CY Cash Flows'!$B:$B,'CONSOLIDATED CY Cash Flows'!I:I)/$S41,0)</f>
        <v>0</v>
      </c>
      <c r="D41" s="344">
        <f ca="1">+IFERROR(_xlfn.XLOOKUP($A41,'CONSOLIDATED CY Cash Flows'!$B:$B,'CONSOLIDATED CY Cash Flows'!J:J)/$S41,0)</f>
        <v>0</v>
      </c>
      <c r="E41" s="344">
        <f ca="1">+IFERROR(_xlfn.XLOOKUP($A41,'CONSOLIDATED CY Cash Flows'!$B:$B,'CONSOLIDATED CY Cash Flows'!K:K)/$S41,0)</f>
        <v>0</v>
      </c>
      <c r="F41" s="344">
        <f ca="1">+IFERROR(_xlfn.XLOOKUP($A41,'CONSOLIDATED CY Cash Flows'!$B:$B,'CONSOLIDATED CY Cash Flows'!L:L)/$S41,0)</f>
        <v>0.12712274041521668</v>
      </c>
      <c r="G41" s="344">
        <f ca="1">+IFERROR(_xlfn.XLOOKUP($A41,'CONSOLIDATED CY Cash Flows'!$B:$B,'CONSOLIDATED CY Cash Flows'!M:M)/$S41,0)</f>
        <v>0</v>
      </c>
      <c r="H41" s="344">
        <f ca="1">+IFERROR(_xlfn.XLOOKUP($A41,'CONSOLIDATED CY Cash Flows'!$B:$B,'CONSOLIDATED CY Cash Flows'!N:N)/$S41,0)</f>
        <v>0</v>
      </c>
      <c r="I41" s="344">
        <f ca="1">+IFERROR(_xlfn.XLOOKUP($A41,'CONSOLIDATED CY Cash Flows'!$B:$B,'CONSOLIDATED CY Cash Flows'!O:O)/$S41,0)</f>
        <v>2.7821678095985205E-2</v>
      </c>
      <c r="J41" s="344">
        <f ca="1">+IFERROR(_xlfn.XLOOKUP($A41,'CONSOLIDATED CY Cash Flows'!$B:$B,'CONSOLIDATED CY Cash Flows'!P:P)/$S41,0)</f>
        <v>0.16739764502045407</v>
      </c>
      <c r="K41" s="344">
        <f ca="1">+IFERROR(_xlfn.XLOOKUP($A41,'CONSOLIDATED CY Cash Flows'!$B:$B,'CONSOLIDATED CY Cash Flows'!Q:Q)/$S41,0)</f>
        <v>0.16941448411708601</v>
      </c>
      <c r="L41" s="344">
        <f ca="1">+IFERROR(_xlfn.XLOOKUP($A41,'CONSOLIDATED CY Cash Flows'!$B:$B,'CONSOLIDATED CY Cash Flows'!R:R)/$S41,0)</f>
        <v>0.16941448411708601</v>
      </c>
      <c r="M41" s="344">
        <f ca="1">+IFERROR(_xlfn.XLOOKUP($A41,'CONSOLIDATED CY Cash Flows'!$B:$B,'CONSOLIDATED CY Cash Flows'!S:S)/$S41,0)</f>
        <v>0.16941448411708601</v>
      </c>
      <c r="N41" s="344">
        <f ca="1">+IFERROR(_xlfn.XLOOKUP($A41,'CONSOLIDATED CY Cash Flows'!$B:$B,'CONSOLIDATED CY Cash Flows'!T:T)/$S41,0)</f>
        <v>0.16941448411708601</v>
      </c>
      <c r="O41" s="344">
        <f ca="1">+IFERROR(_xlfn.XLOOKUP($A41,'CONSOLIDATED CY Cash Flows'!$B:$B,'CONSOLIDATED CY Cash Flows'!U:U)/$S41,0)</f>
        <v>0</v>
      </c>
      <c r="P41" s="344">
        <f ca="1">+IFERROR(_xlfn.XLOOKUP($A41,'CONSOLIDATED CY Cash Flows'!$B:$B,'CONSOLIDATED CY Cash Flows'!V:V)/$S41,0)</f>
        <v>0</v>
      </c>
      <c r="Q41" s="344">
        <f ca="1">+IFERROR(_xlfn.XLOOKUP($A41,'CONSOLIDATED CY Cash Flows'!$B:$B,'CONSOLIDATED CY Cash Flows'!W:W)/$S41,0)</f>
        <v>0</v>
      </c>
      <c r="R41" s="340">
        <f t="shared" ca="1" si="3"/>
        <v>1</v>
      </c>
      <c r="S41" s="501">
        <f ca="1">+IFERROR(_xlfn.XLOOKUP($A41,'CONSOLIDATED CY Cash Flows'!$B:$B,'CONSOLIDATED CY Cash Flows'!$H:$H),0)</f>
        <v>284730.48867397883</v>
      </c>
      <c r="T41" s="501">
        <f t="shared" ca="1" si="4"/>
        <v>44117.400000000009</v>
      </c>
      <c r="U41" s="501">
        <f t="shared" ca="1" si="5"/>
        <v>240613.08867397881</v>
      </c>
    </row>
    <row r="42" spans="1:21" ht="13.5" customHeight="1" x14ac:dyDescent="0.75">
      <c r="A42" s="349">
        <v>3602</v>
      </c>
      <c r="B42" s="350" t="s">
        <v>1526</v>
      </c>
      <c r="C42" s="344">
        <f ca="1">+IFERROR(_xlfn.XLOOKUP($A42,'CONSOLIDATED CY Cash Flows'!$B:$B,'CONSOLIDATED CY Cash Flows'!I:I)/$S42,0)</f>
        <v>0</v>
      </c>
      <c r="D42" s="344">
        <f ca="1">+IFERROR(_xlfn.XLOOKUP($A42,'CONSOLIDATED CY Cash Flows'!$B:$B,'CONSOLIDATED CY Cash Flows'!J:J)/$S42,0)</f>
        <v>0</v>
      </c>
      <c r="E42" s="344">
        <f ca="1">+IFERROR(_xlfn.XLOOKUP($A42,'CONSOLIDATED CY Cash Flows'!$B:$B,'CONSOLIDATED CY Cash Flows'!K:K)/$S42,0)</f>
        <v>0</v>
      </c>
      <c r="F42" s="344">
        <f ca="1">+IFERROR(_xlfn.XLOOKUP($A42,'CONSOLIDATED CY Cash Flows'!$B:$B,'CONSOLIDATED CY Cash Flows'!L:L)/$S42,0)</f>
        <v>0.16836018825817861</v>
      </c>
      <c r="G42" s="344">
        <f ca="1">+IFERROR(_xlfn.XLOOKUP($A42,'CONSOLIDATED CY Cash Flows'!$B:$B,'CONSOLIDATED CY Cash Flows'!M:M)/$S42,0)</f>
        <v>0</v>
      </c>
      <c r="H42" s="344">
        <f ca="1">+IFERROR(_xlfn.XLOOKUP($A42,'CONSOLIDATED CY Cash Flows'!$B:$B,'CONSOLIDATED CY Cash Flows'!N:N)/$S42,0)</f>
        <v>0</v>
      </c>
      <c r="I42" s="344">
        <f ca="1">+IFERROR(_xlfn.XLOOKUP($A42,'CONSOLIDATED CY Cash Flows'!$B:$B,'CONSOLIDATED CY Cash Flows'!O:O)/$S42,0)</f>
        <v>3.6846869210903105E-2</v>
      </c>
      <c r="J42" s="344">
        <f ca="1">+IFERROR(_xlfn.XLOOKUP($A42,'CONSOLIDATED CY Cash Flows'!$B:$B,'CONSOLIDATED CY Cash Flows'!P:P)/$S42,0)</f>
        <v>0.15744108408130361</v>
      </c>
      <c r="K42" s="344">
        <f ca="1">+IFERROR(_xlfn.XLOOKUP($A42,'CONSOLIDATED CY Cash Flows'!$B:$B,'CONSOLIDATED CY Cash Flows'!Q:Q)/$S42,0)</f>
        <v>0.15933796461240365</v>
      </c>
      <c r="L42" s="344">
        <f ca="1">+IFERROR(_xlfn.XLOOKUP($A42,'CONSOLIDATED CY Cash Flows'!$B:$B,'CONSOLIDATED CY Cash Flows'!R:R)/$S42,0)</f>
        <v>0.15933796461240365</v>
      </c>
      <c r="M42" s="344">
        <f ca="1">+IFERROR(_xlfn.XLOOKUP($A42,'CONSOLIDATED CY Cash Flows'!$B:$B,'CONSOLIDATED CY Cash Flows'!S:S)/$S42,0)</f>
        <v>0.15933796461240365</v>
      </c>
      <c r="N42" s="344">
        <f ca="1">+IFERROR(_xlfn.XLOOKUP($A42,'CONSOLIDATED CY Cash Flows'!$B:$B,'CONSOLIDATED CY Cash Flows'!T:T)/$S42,0)</f>
        <v>0.15933796461240365</v>
      </c>
      <c r="O42" s="344">
        <f ca="1">+IFERROR(_xlfn.XLOOKUP($A42,'CONSOLIDATED CY Cash Flows'!$B:$B,'CONSOLIDATED CY Cash Flows'!U:U)/$S42,0)</f>
        <v>0</v>
      </c>
      <c r="P42" s="344">
        <f ca="1">+IFERROR(_xlfn.XLOOKUP($A42,'CONSOLIDATED CY Cash Flows'!$B:$B,'CONSOLIDATED CY Cash Flows'!V:V)/$S42,0)</f>
        <v>0</v>
      </c>
      <c r="Q42" s="344">
        <f ca="1">+IFERROR(_xlfn.XLOOKUP($A42,'CONSOLIDATED CY Cash Flows'!$B:$B,'CONSOLIDATED CY Cash Flows'!W:W)/$S42,0)</f>
        <v>0</v>
      </c>
      <c r="R42" s="340">
        <f t="shared" ca="1" si="3"/>
        <v>1</v>
      </c>
      <c r="S42" s="501">
        <f ca="1">+IFERROR(_xlfn.XLOOKUP($A42,'CONSOLIDATED CY Cash Flows'!$B:$B,'CONSOLIDATED CY Cash Flows'!$H:$H),0)</f>
        <v>69403.996995307301</v>
      </c>
      <c r="T42" s="501">
        <f t="shared" ca="1" si="4"/>
        <v>14242.19</v>
      </c>
      <c r="U42" s="501">
        <f t="shared" ca="1" si="5"/>
        <v>55161.806995307299</v>
      </c>
    </row>
    <row r="43" spans="1:21" ht="13.5" hidden="1" customHeight="1" x14ac:dyDescent="0.75">
      <c r="A43" s="349">
        <v>3603</v>
      </c>
      <c r="B43" s="350" t="s">
        <v>591</v>
      </c>
      <c r="C43" s="344">
        <f ca="1">+IFERROR(_xlfn.XLOOKUP($A43,'CONSOLIDATED CY Cash Flows'!$B:$B,'CONSOLIDATED CY Cash Flows'!I:I)/$S43,0)</f>
        <v>0</v>
      </c>
      <c r="D43" s="344">
        <f ca="1">+IFERROR(_xlfn.XLOOKUP($A43,'CONSOLIDATED CY Cash Flows'!$B:$B,'CONSOLIDATED CY Cash Flows'!J:J)/$S43,0)</f>
        <v>0</v>
      </c>
      <c r="E43" s="344">
        <f ca="1">+IFERROR(_xlfn.XLOOKUP($A43,'CONSOLIDATED CY Cash Flows'!$B:$B,'CONSOLIDATED CY Cash Flows'!K:K)/$S43,0)</f>
        <v>0</v>
      </c>
      <c r="F43" s="344">
        <f ca="1">+IFERROR(_xlfn.XLOOKUP($A43,'CONSOLIDATED CY Cash Flows'!$B:$B,'CONSOLIDATED CY Cash Flows'!L:L)/$S43,0)</f>
        <v>0</v>
      </c>
      <c r="G43" s="344">
        <f ca="1">+IFERROR(_xlfn.XLOOKUP($A43,'CONSOLIDATED CY Cash Flows'!$B:$B,'CONSOLIDATED CY Cash Flows'!M:M)/$S43,0)</f>
        <v>0</v>
      </c>
      <c r="H43" s="344">
        <f ca="1">+IFERROR(_xlfn.XLOOKUP($A43,'CONSOLIDATED CY Cash Flows'!$B:$B,'CONSOLIDATED CY Cash Flows'!N:N)/$S43,0)</f>
        <v>0</v>
      </c>
      <c r="I43" s="344">
        <f ca="1">+IFERROR(_xlfn.XLOOKUP($A43,'CONSOLIDATED CY Cash Flows'!$B:$B,'CONSOLIDATED CY Cash Flows'!O:O)/$S43,0)</f>
        <v>0</v>
      </c>
      <c r="J43" s="344">
        <f ca="1">+IFERROR(_xlfn.XLOOKUP($A43,'CONSOLIDATED CY Cash Flows'!$B:$B,'CONSOLIDATED CY Cash Flows'!P:P)/$S43,0)</f>
        <v>0</v>
      </c>
      <c r="K43" s="344">
        <f ca="1">+IFERROR(_xlfn.XLOOKUP($A43,'CONSOLIDATED CY Cash Flows'!$B:$B,'CONSOLIDATED CY Cash Flows'!Q:Q)/$S43,0)</f>
        <v>0</v>
      </c>
      <c r="L43" s="344">
        <f ca="1">+IFERROR(_xlfn.XLOOKUP($A43,'CONSOLIDATED CY Cash Flows'!$B:$B,'CONSOLIDATED CY Cash Flows'!R:R)/$S43,0)</f>
        <v>0</v>
      </c>
      <c r="M43" s="344">
        <f ca="1">+IFERROR(_xlfn.XLOOKUP($A43,'CONSOLIDATED CY Cash Flows'!$B:$B,'CONSOLIDATED CY Cash Flows'!S:S)/$S43,0)</f>
        <v>0</v>
      </c>
      <c r="N43" s="344">
        <f ca="1">+IFERROR(_xlfn.XLOOKUP($A43,'CONSOLIDATED CY Cash Flows'!$B:$B,'CONSOLIDATED CY Cash Flows'!T:T)/$S43,0)</f>
        <v>0</v>
      </c>
      <c r="O43" s="344">
        <f ca="1">+IFERROR(_xlfn.XLOOKUP($A43,'CONSOLIDATED CY Cash Flows'!$B:$B,'CONSOLIDATED CY Cash Flows'!U:U)/$S43,0)</f>
        <v>0</v>
      </c>
      <c r="P43" s="344">
        <f ca="1">+IFERROR(_xlfn.XLOOKUP($A43,'CONSOLIDATED CY Cash Flows'!$B:$B,'CONSOLIDATED CY Cash Flows'!V:V)/$S43,0)</f>
        <v>0</v>
      </c>
      <c r="Q43" s="344">
        <f ca="1">+IFERROR(_xlfn.XLOOKUP($A43,'CONSOLIDATED CY Cash Flows'!$B:$B,'CONSOLIDATED CY Cash Flows'!W:W)/$S43,0)</f>
        <v>0</v>
      </c>
      <c r="R43" s="340">
        <f t="shared" ca="1" si="3"/>
        <v>0</v>
      </c>
      <c r="S43" s="501">
        <f ca="1">+IFERROR(_xlfn.XLOOKUP($A43,'CONSOLIDATED CY Cash Flows'!$B:$B,'CONSOLIDATED CY Cash Flows'!$H:$H),0)</f>
        <v>0</v>
      </c>
      <c r="T43" s="501">
        <f t="shared" ca="1" si="4"/>
        <v>0</v>
      </c>
      <c r="U43" s="501">
        <f t="shared" ca="1" si="5"/>
        <v>0</v>
      </c>
    </row>
    <row r="44" spans="1:21" ht="13.5" hidden="1" customHeight="1" x14ac:dyDescent="0.75">
      <c r="A44" s="349">
        <v>3703</v>
      </c>
      <c r="B44" s="350">
        <v>0</v>
      </c>
      <c r="C44" s="344">
        <f ca="1">+IFERROR(_xlfn.XLOOKUP($A44,'CONSOLIDATED CY Cash Flows'!$B:$B,'CONSOLIDATED CY Cash Flows'!I:I)/$S44,0)</f>
        <v>0</v>
      </c>
      <c r="D44" s="344">
        <f ca="1">+IFERROR(_xlfn.XLOOKUP($A44,'CONSOLIDATED CY Cash Flows'!$B:$B,'CONSOLIDATED CY Cash Flows'!J:J)/$S44,0)</f>
        <v>0</v>
      </c>
      <c r="E44" s="344">
        <f ca="1">+IFERROR(_xlfn.XLOOKUP($A44,'CONSOLIDATED CY Cash Flows'!$B:$B,'CONSOLIDATED CY Cash Flows'!K:K)/$S44,0)</f>
        <v>0</v>
      </c>
      <c r="F44" s="344">
        <f ca="1">+IFERROR(_xlfn.XLOOKUP($A44,'CONSOLIDATED CY Cash Flows'!$B:$B,'CONSOLIDATED CY Cash Flows'!L:L)/$S44,0)</f>
        <v>0</v>
      </c>
      <c r="G44" s="344">
        <f ca="1">+IFERROR(_xlfn.XLOOKUP($A44,'CONSOLIDATED CY Cash Flows'!$B:$B,'CONSOLIDATED CY Cash Flows'!M:M)/$S44,0)</f>
        <v>0</v>
      </c>
      <c r="H44" s="344">
        <f ca="1">+IFERROR(_xlfn.XLOOKUP($A44,'CONSOLIDATED CY Cash Flows'!$B:$B,'CONSOLIDATED CY Cash Flows'!N:N)/$S44,0)</f>
        <v>0</v>
      </c>
      <c r="I44" s="344">
        <f ca="1">+IFERROR(_xlfn.XLOOKUP($A44,'CONSOLIDATED CY Cash Flows'!$B:$B,'CONSOLIDATED CY Cash Flows'!O:O)/$S44,0)</f>
        <v>0</v>
      </c>
      <c r="J44" s="344">
        <f ca="1">+IFERROR(_xlfn.XLOOKUP($A44,'CONSOLIDATED CY Cash Flows'!$B:$B,'CONSOLIDATED CY Cash Flows'!P:P)/$S44,0)</f>
        <v>0</v>
      </c>
      <c r="K44" s="344">
        <f ca="1">+IFERROR(_xlfn.XLOOKUP($A44,'CONSOLIDATED CY Cash Flows'!$B:$B,'CONSOLIDATED CY Cash Flows'!Q:Q)/$S44,0)</f>
        <v>0</v>
      </c>
      <c r="L44" s="344">
        <f ca="1">+IFERROR(_xlfn.XLOOKUP($A44,'CONSOLIDATED CY Cash Flows'!$B:$B,'CONSOLIDATED CY Cash Flows'!R:R)/$S44,0)</f>
        <v>0</v>
      </c>
      <c r="M44" s="344">
        <f ca="1">+IFERROR(_xlfn.XLOOKUP($A44,'CONSOLIDATED CY Cash Flows'!$B:$B,'CONSOLIDATED CY Cash Flows'!S:S)/$S44,0)</f>
        <v>0</v>
      </c>
      <c r="N44" s="344">
        <f ca="1">+IFERROR(_xlfn.XLOOKUP($A44,'CONSOLIDATED CY Cash Flows'!$B:$B,'CONSOLIDATED CY Cash Flows'!T:T)/$S44,0)</f>
        <v>0</v>
      </c>
      <c r="O44" s="344">
        <f ca="1">+IFERROR(_xlfn.XLOOKUP($A44,'CONSOLIDATED CY Cash Flows'!$B:$B,'CONSOLIDATED CY Cash Flows'!U:U)/$S44,0)</f>
        <v>0</v>
      </c>
      <c r="P44" s="344">
        <f ca="1">+IFERROR(_xlfn.XLOOKUP($A44,'CONSOLIDATED CY Cash Flows'!$B:$B,'CONSOLIDATED CY Cash Flows'!V:V)/$S44,0)</f>
        <v>0</v>
      </c>
      <c r="Q44" s="344">
        <f ca="1">+IFERROR(_xlfn.XLOOKUP($A44,'CONSOLIDATED CY Cash Flows'!$B:$B,'CONSOLIDATED CY Cash Flows'!W:W)/$S44,0)</f>
        <v>0</v>
      </c>
      <c r="R44" s="340">
        <f t="shared" ca="1" si="3"/>
        <v>0</v>
      </c>
      <c r="S44" s="501">
        <f ca="1">+IFERROR(_xlfn.XLOOKUP($A44,'CONSOLIDATED CY Cash Flows'!$B:$B,'CONSOLIDATED CY Cash Flows'!$H:$H),0)</f>
        <v>0</v>
      </c>
      <c r="T44" s="501">
        <f t="shared" ca="1" si="4"/>
        <v>0</v>
      </c>
      <c r="U44" s="501">
        <f t="shared" ca="1" si="5"/>
        <v>0</v>
      </c>
    </row>
    <row r="45" spans="1:21" ht="13.5" customHeight="1" thickBot="1" x14ac:dyDescent="0.9">
      <c r="A45" s="349">
        <v>3901</v>
      </c>
      <c r="B45" s="350" t="s">
        <v>1527</v>
      </c>
      <c r="C45" s="344">
        <f ca="1">+IFERROR(_xlfn.XLOOKUP($A45,'CONSOLIDATED CY Cash Flows'!$B:$B,'CONSOLIDATED CY Cash Flows'!I:I)/$S45,0)</f>
        <v>0</v>
      </c>
      <c r="D45" s="344">
        <f ca="1">+IFERROR(_xlfn.XLOOKUP($A45,'CONSOLIDATED CY Cash Flows'!$B:$B,'CONSOLIDATED CY Cash Flows'!J:J)/$S45,0)</f>
        <v>0</v>
      </c>
      <c r="E45" s="344">
        <f ca="1">+IFERROR(_xlfn.XLOOKUP($A45,'CONSOLIDATED CY Cash Flows'!$B:$B,'CONSOLIDATED CY Cash Flows'!K:K)/$S45,0)</f>
        <v>0</v>
      </c>
      <c r="F45" s="344">
        <f ca="1">+IFERROR(_xlfn.XLOOKUP($A45,'CONSOLIDATED CY Cash Flows'!$B:$B,'CONSOLIDATED CY Cash Flows'!L:L)/$S45,0)</f>
        <v>0.31583938088405139</v>
      </c>
      <c r="G45" s="344">
        <f ca="1">+IFERROR(_xlfn.XLOOKUP($A45,'CONSOLIDATED CY Cash Flows'!$B:$B,'CONSOLIDATED CY Cash Flows'!M:M)/$S45,0)</f>
        <v>8.0922250342383137E-2</v>
      </c>
      <c r="H45" s="344">
        <f ca="1">+IFERROR(_xlfn.XLOOKUP($A45,'CONSOLIDATED CY Cash Flows'!$B:$B,'CONSOLIDATED CY Cash Flows'!N:N)/$S45,0)</f>
        <v>8.6689279347662809E-2</v>
      </c>
      <c r="I45" s="344">
        <f ca="1">+IFERROR(_xlfn.XLOOKUP($A45,'CONSOLIDATED CY Cash Flows'!$B:$B,'CONSOLIDATED CY Cash Flows'!O:O)/$S45,0)</f>
        <v>6.6961695969283364E-2</v>
      </c>
      <c r="J45" s="344">
        <f ca="1">+IFERROR(_xlfn.XLOOKUP($A45,'CONSOLIDATED CY Cash Flows'!$B:$B,'CONSOLIDATED CY Cash Flows'!P:P)/$S45,0)</f>
        <v>8.9059077940094031E-2</v>
      </c>
      <c r="K45" s="344">
        <f ca="1">+IFERROR(_xlfn.XLOOKUP($A45,'CONSOLIDATED CY Cash Flows'!$B:$B,'CONSOLIDATED CY Cash Flows'!Q:Q)/$S45,0)</f>
        <v>9.0132078879131314E-2</v>
      </c>
      <c r="L45" s="344">
        <f ca="1">+IFERROR(_xlfn.XLOOKUP($A45,'CONSOLIDATED CY Cash Flows'!$B:$B,'CONSOLIDATED CY Cash Flows'!R:R)/$S45,0)</f>
        <v>9.0132078879131314E-2</v>
      </c>
      <c r="M45" s="344">
        <f ca="1">+IFERROR(_xlfn.XLOOKUP($A45,'CONSOLIDATED CY Cash Flows'!$B:$B,'CONSOLIDATED CY Cash Flows'!S:S)/$S45,0)</f>
        <v>9.0132078879131314E-2</v>
      </c>
      <c r="N45" s="344">
        <f ca="1">+IFERROR(_xlfn.XLOOKUP($A45,'CONSOLIDATED CY Cash Flows'!$B:$B,'CONSOLIDATED CY Cash Flows'!T:T)/$S45,0)</f>
        <v>9.0132078879131314E-2</v>
      </c>
      <c r="O45" s="344">
        <f ca="1">+IFERROR(_xlfn.XLOOKUP($A45,'CONSOLIDATED CY Cash Flows'!$B:$B,'CONSOLIDATED CY Cash Flows'!U:U)/$S45,0)</f>
        <v>0</v>
      </c>
      <c r="P45" s="344">
        <f ca="1">+IFERROR(_xlfn.XLOOKUP($A45,'CONSOLIDATED CY Cash Flows'!$B:$B,'CONSOLIDATED CY Cash Flows'!V:V)/$S45,0)</f>
        <v>0</v>
      </c>
      <c r="Q45" s="344">
        <f ca="1">+IFERROR(_xlfn.XLOOKUP($A45,'CONSOLIDATED CY Cash Flows'!$B:$B,'CONSOLIDATED CY Cash Flows'!W:W)/$S45,0)</f>
        <v>0</v>
      </c>
      <c r="R45" s="340">
        <f t="shared" ca="1" si="3"/>
        <v>1</v>
      </c>
      <c r="S45" s="501">
        <f ca="1">+IFERROR(_xlfn.XLOOKUP($A45,'CONSOLIDATED CY Cash Flows'!$B:$B,'CONSOLIDATED CY Cash Flows'!$H:$H),0)</f>
        <v>88716.390975596994</v>
      </c>
      <c r="T45" s="501">
        <f t="shared" ca="1" si="4"/>
        <v>48830.62</v>
      </c>
      <c r="U45" s="501">
        <f t="shared" ca="1" si="5"/>
        <v>39885.770975596992</v>
      </c>
    </row>
    <row r="46" spans="1:21" ht="13.5" hidden="1" customHeight="1" x14ac:dyDescent="0.75">
      <c r="A46" s="349">
        <v>3902</v>
      </c>
      <c r="B46" s="350" t="s">
        <v>1528</v>
      </c>
      <c r="C46" s="344">
        <f ca="1">+IFERROR(_xlfn.XLOOKUP($A46,'CONSOLIDATED CY Cash Flows'!$B:$B,'CONSOLIDATED CY Cash Flows'!I:I)/$S46,0)</f>
        <v>0</v>
      </c>
      <c r="D46" s="344">
        <f ca="1">+IFERROR(_xlfn.XLOOKUP($A46,'CONSOLIDATED CY Cash Flows'!$B:$B,'CONSOLIDATED CY Cash Flows'!J:J)/$S46,0)</f>
        <v>0</v>
      </c>
      <c r="E46" s="344">
        <f ca="1">+IFERROR(_xlfn.XLOOKUP($A46,'CONSOLIDATED CY Cash Flows'!$B:$B,'CONSOLIDATED CY Cash Flows'!K:K)/$S46,0)</f>
        <v>0</v>
      </c>
      <c r="F46" s="344">
        <f ca="1">+IFERROR(_xlfn.XLOOKUP($A46,'CONSOLIDATED CY Cash Flows'!$B:$B,'CONSOLIDATED CY Cash Flows'!L:L)/$S46,0)</f>
        <v>0</v>
      </c>
      <c r="G46" s="344">
        <f ca="1">+IFERROR(_xlfn.XLOOKUP($A46,'CONSOLIDATED CY Cash Flows'!$B:$B,'CONSOLIDATED CY Cash Flows'!M:M)/$S46,0)</f>
        <v>0</v>
      </c>
      <c r="H46" s="344">
        <f ca="1">+IFERROR(_xlfn.XLOOKUP($A46,'CONSOLIDATED CY Cash Flows'!$B:$B,'CONSOLIDATED CY Cash Flows'!N:N)/$S46,0)</f>
        <v>0</v>
      </c>
      <c r="I46" s="344">
        <f ca="1">+IFERROR(_xlfn.XLOOKUP($A46,'CONSOLIDATED CY Cash Flows'!$B:$B,'CONSOLIDATED CY Cash Flows'!O:O)/$S46,0)</f>
        <v>0</v>
      </c>
      <c r="J46" s="344">
        <f ca="1">+IFERROR(_xlfn.XLOOKUP($A46,'CONSOLIDATED CY Cash Flows'!$B:$B,'CONSOLIDATED CY Cash Flows'!P:P)/$S46,0)</f>
        <v>0</v>
      </c>
      <c r="K46" s="344">
        <f ca="1">+IFERROR(_xlfn.XLOOKUP($A46,'CONSOLIDATED CY Cash Flows'!$B:$B,'CONSOLIDATED CY Cash Flows'!Q:Q)/$S46,0)</f>
        <v>0</v>
      </c>
      <c r="L46" s="344">
        <f ca="1">+IFERROR(_xlfn.XLOOKUP($A46,'CONSOLIDATED CY Cash Flows'!$B:$B,'CONSOLIDATED CY Cash Flows'!R:R)/$S46,0)</f>
        <v>0</v>
      </c>
      <c r="M46" s="344">
        <f ca="1">+IFERROR(_xlfn.XLOOKUP($A46,'CONSOLIDATED CY Cash Flows'!$B:$B,'CONSOLIDATED CY Cash Flows'!S:S)/$S46,0)</f>
        <v>0</v>
      </c>
      <c r="N46" s="344">
        <f ca="1">+IFERROR(_xlfn.XLOOKUP($A46,'CONSOLIDATED CY Cash Flows'!$B:$B,'CONSOLIDATED CY Cash Flows'!T:T)/$S46,0)</f>
        <v>0</v>
      </c>
      <c r="O46" s="344">
        <f ca="1">+IFERROR(_xlfn.XLOOKUP($A46,'CONSOLIDATED CY Cash Flows'!$B:$B,'CONSOLIDATED CY Cash Flows'!U:U)/$S46,0)</f>
        <v>0</v>
      </c>
      <c r="P46" s="344">
        <f ca="1">+IFERROR(_xlfn.XLOOKUP($A46,'CONSOLIDATED CY Cash Flows'!$B:$B,'CONSOLIDATED CY Cash Flows'!V:V)/$S46,0)</f>
        <v>0</v>
      </c>
      <c r="Q46" s="344">
        <f ca="1">+IFERROR(_xlfn.XLOOKUP($A46,'CONSOLIDATED CY Cash Flows'!$B:$B,'CONSOLIDATED CY Cash Flows'!W:W)/$S46,0)</f>
        <v>0</v>
      </c>
      <c r="R46" s="340">
        <f t="shared" ca="1" si="0"/>
        <v>0</v>
      </c>
      <c r="S46" s="501">
        <f ca="1">+IFERROR(_xlfn.XLOOKUP($A46,'CONSOLIDATED CY Cash Flows'!$B:$B,'CONSOLIDATED CY Cash Flows'!$H:$H),0)</f>
        <v>0</v>
      </c>
      <c r="T46" s="501">
        <f t="shared" ca="1" si="1"/>
        <v>0</v>
      </c>
      <c r="U46" s="501">
        <f t="shared" ca="1" si="2"/>
        <v>0</v>
      </c>
    </row>
    <row r="47" spans="1:21" ht="13.5" hidden="1" customHeight="1" x14ac:dyDescent="0.75">
      <c r="A47" s="349">
        <v>3903</v>
      </c>
      <c r="B47" s="350" t="s">
        <v>1075</v>
      </c>
      <c r="C47" s="344">
        <f ca="1">+IFERROR(_xlfn.XLOOKUP($A47,'CONSOLIDATED CY Cash Flows'!$B:$B,'CONSOLIDATED CY Cash Flows'!I:I)/$S47,0)</f>
        <v>0</v>
      </c>
      <c r="D47" s="344">
        <f ca="1">+IFERROR(_xlfn.XLOOKUP($A47,'CONSOLIDATED CY Cash Flows'!$B:$B,'CONSOLIDATED CY Cash Flows'!J:J)/$S47,0)</f>
        <v>0</v>
      </c>
      <c r="E47" s="344">
        <f ca="1">+IFERROR(_xlfn.XLOOKUP($A47,'CONSOLIDATED CY Cash Flows'!$B:$B,'CONSOLIDATED CY Cash Flows'!K:K)/$S47,0)</f>
        <v>0</v>
      </c>
      <c r="F47" s="344">
        <f ca="1">+IFERROR(_xlfn.XLOOKUP($A47,'CONSOLIDATED CY Cash Flows'!$B:$B,'CONSOLIDATED CY Cash Flows'!L:L)/$S47,0)</f>
        <v>0</v>
      </c>
      <c r="G47" s="344">
        <f ca="1">+IFERROR(_xlfn.XLOOKUP($A47,'CONSOLIDATED CY Cash Flows'!$B:$B,'CONSOLIDATED CY Cash Flows'!M:M)/$S47,0)</f>
        <v>0</v>
      </c>
      <c r="H47" s="344">
        <f ca="1">+IFERROR(_xlfn.XLOOKUP($A47,'CONSOLIDATED CY Cash Flows'!$B:$B,'CONSOLIDATED CY Cash Flows'!N:N)/$S47,0)</f>
        <v>0</v>
      </c>
      <c r="I47" s="344">
        <f ca="1">+IFERROR(_xlfn.XLOOKUP($A47,'CONSOLIDATED CY Cash Flows'!$B:$B,'CONSOLIDATED CY Cash Flows'!O:O)/$S47,0)</f>
        <v>0</v>
      </c>
      <c r="J47" s="344">
        <f ca="1">+IFERROR(_xlfn.XLOOKUP($A47,'CONSOLIDATED CY Cash Flows'!$B:$B,'CONSOLIDATED CY Cash Flows'!P:P)/$S47,0)</f>
        <v>0</v>
      </c>
      <c r="K47" s="344">
        <f ca="1">+IFERROR(_xlfn.XLOOKUP($A47,'CONSOLIDATED CY Cash Flows'!$B:$B,'CONSOLIDATED CY Cash Flows'!Q:Q)/$S47,0)</f>
        <v>0</v>
      </c>
      <c r="L47" s="344">
        <f ca="1">+IFERROR(_xlfn.XLOOKUP($A47,'CONSOLIDATED CY Cash Flows'!$B:$B,'CONSOLIDATED CY Cash Flows'!R:R)/$S47,0)</f>
        <v>0</v>
      </c>
      <c r="M47" s="344">
        <f ca="1">+IFERROR(_xlfn.XLOOKUP($A47,'CONSOLIDATED CY Cash Flows'!$B:$B,'CONSOLIDATED CY Cash Flows'!S:S)/$S47,0)</f>
        <v>0</v>
      </c>
      <c r="N47" s="344">
        <f ca="1">+IFERROR(_xlfn.XLOOKUP($A47,'CONSOLIDATED CY Cash Flows'!$B:$B,'CONSOLIDATED CY Cash Flows'!T:T)/$S47,0)</f>
        <v>0</v>
      </c>
      <c r="O47" s="344">
        <f ca="1">+IFERROR(_xlfn.XLOOKUP($A47,'CONSOLIDATED CY Cash Flows'!$B:$B,'CONSOLIDATED CY Cash Flows'!U:U)/$S47,0)</f>
        <v>0</v>
      </c>
      <c r="P47" s="344">
        <f ca="1">+IFERROR(_xlfn.XLOOKUP($A47,'CONSOLIDATED CY Cash Flows'!$B:$B,'CONSOLIDATED CY Cash Flows'!V:V)/$S47,0)</f>
        <v>0</v>
      </c>
      <c r="Q47" s="344">
        <f ca="1">+IFERROR(_xlfn.XLOOKUP($A47,'CONSOLIDATED CY Cash Flows'!$B:$B,'CONSOLIDATED CY Cash Flows'!W:W)/$S47,0)</f>
        <v>0</v>
      </c>
      <c r="R47" s="340">
        <f t="shared" ca="1" si="0"/>
        <v>0</v>
      </c>
      <c r="S47" s="501">
        <f ca="1">+IFERROR(_xlfn.XLOOKUP($A47,'CONSOLIDATED CY Cash Flows'!$B:$B,'CONSOLIDATED CY Cash Flows'!$H:$H),0)</f>
        <v>0</v>
      </c>
      <c r="T47" s="501">
        <f t="shared" ca="1" si="1"/>
        <v>0</v>
      </c>
      <c r="U47" s="501">
        <f t="shared" ca="1" si="2"/>
        <v>0</v>
      </c>
    </row>
    <row r="48" spans="1:21" ht="14.25" hidden="1" customHeight="1" x14ac:dyDescent="0.75">
      <c r="A48" s="349" t="s">
        <v>1458</v>
      </c>
      <c r="B48" s="350">
        <v>0</v>
      </c>
      <c r="C48" s="344">
        <f>+IFERROR(_xlfn.XLOOKUP($A48,'CONSOLIDATED CY Cash Flows'!$B:$B,'CONSOLIDATED CY Cash Flows'!I:I)/$S48,0)</f>
        <v>0</v>
      </c>
      <c r="D48" s="344">
        <f>+IFERROR(_xlfn.XLOOKUP($A48,'CONSOLIDATED CY Cash Flows'!$B:$B,'CONSOLIDATED CY Cash Flows'!J:J)/$S48,0)</f>
        <v>0</v>
      </c>
      <c r="E48" s="344">
        <f>+IFERROR(_xlfn.XLOOKUP($A48,'CONSOLIDATED CY Cash Flows'!$B:$B,'CONSOLIDATED CY Cash Flows'!K:K)/$S48,0)</f>
        <v>0</v>
      </c>
      <c r="F48" s="344">
        <f>+IFERROR(_xlfn.XLOOKUP($A48,'CONSOLIDATED CY Cash Flows'!$B:$B,'CONSOLIDATED CY Cash Flows'!L:L)/$S48,0)</f>
        <v>0</v>
      </c>
      <c r="G48" s="344">
        <f>+IFERROR(_xlfn.XLOOKUP($A48,'CONSOLIDATED CY Cash Flows'!$B:$B,'CONSOLIDATED CY Cash Flows'!M:M)/$S48,0)</f>
        <v>0</v>
      </c>
      <c r="H48" s="344">
        <f>+IFERROR(_xlfn.XLOOKUP($A48,'CONSOLIDATED CY Cash Flows'!$B:$B,'CONSOLIDATED CY Cash Flows'!N:N)/$S48,0)</f>
        <v>0</v>
      </c>
      <c r="I48" s="344">
        <f>+IFERROR(_xlfn.XLOOKUP($A48,'CONSOLIDATED CY Cash Flows'!$B:$B,'CONSOLIDATED CY Cash Flows'!O:O)/$S48,0)</f>
        <v>0</v>
      </c>
      <c r="J48" s="344">
        <f>+IFERROR(_xlfn.XLOOKUP($A48,'CONSOLIDATED CY Cash Flows'!$B:$B,'CONSOLIDATED CY Cash Flows'!P:P)/$S48,0)</f>
        <v>0</v>
      </c>
      <c r="K48" s="344">
        <f>+IFERROR(_xlfn.XLOOKUP($A48,'CONSOLIDATED CY Cash Flows'!$B:$B,'CONSOLIDATED CY Cash Flows'!Q:Q)/$S48,0)</f>
        <v>0</v>
      </c>
      <c r="L48" s="344">
        <f>+IFERROR(_xlfn.XLOOKUP($A48,'CONSOLIDATED CY Cash Flows'!$B:$B,'CONSOLIDATED CY Cash Flows'!R:R)/$S48,0)</f>
        <v>0</v>
      </c>
      <c r="M48" s="344">
        <f>+IFERROR(_xlfn.XLOOKUP($A48,'CONSOLIDATED CY Cash Flows'!$B:$B,'CONSOLIDATED CY Cash Flows'!S:S)/$S48,0)</f>
        <v>0</v>
      </c>
      <c r="N48" s="344">
        <f>+IFERROR(_xlfn.XLOOKUP($A48,'CONSOLIDATED CY Cash Flows'!$B:$B,'CONSOLIDATED CY Cash Flows'!T:T)/$S48,0)</f>
        <v>0</v>
      </c>
      <c r="O48" s="344">
        <f>+IFERROR(_xlfn.XLOOKUP($A48,'CONSOLIDATED CY Cash Flows'!$B:$B,'CONSOLIDATED CY Cash Flows'!U:U)/$S48,0)</f>
        <v>0</v>
      </c>
      <c r="P48" s="344">
        <f>+IFERROR(_xlfn.XLOOKUP($A48,'CONSOLIDATED CY Cash Flows'!$B:$B,'CONSOLIDATED CY Cash Flows'!V:V)/$S48,0)</f>
        <v>0</v>
      </c>
      <c r="Q48" s="344">
        <f>+IFERROR(_xlfn.XLOOKUP($A48,'CONSOLIDATED CY Cash Flows'!$B:$B,'CONSOLIDATED CY Cash Flows'!W:W)/$S48,0)</f>
        <v>0</v>
      </c>
      <c r="R48" s="340">
        <f t="shared" si="0"/>
        <v>0</v>
      </c>
      <c r="S48" s="501">
        <f>+IFERROR(_xlfn.XLOOKUP($A48,'CONSOLIDATED CY Cash Flows'!$B:$B,'CONSOLIDATED CY Cash Flows'!$H:$H),0)</f>
        <v>0</v>
      </c>
      <c r="T48" s="501">
        <f t="shared" si="1"/>
        <v>0</v>
      </c>
      <c r="U48" s="501">
        <f t="shared" si="2"/>
        <v>0</v>
      </c>
    </row>
    <row r="49" spans="1:21" ht="13.5" hidden="1" customHeight="1" x14ac:dyDescent="0.75">
      <c r="A49" s="349" t="s">
        <v>1458</v>
      </c>
      <c r="B49" s="350">
        <v>0</v>
      </c>
      <c r="C49" s="344">
        <f>+IFERROR(_xlfn.XLOOKUP($A49,'CONSOLIDATED CY Cash Flows'!$B:$B,'CONSOLIDATED CY Cash Flows'!I:I)/$S49,0)</f>
        <v>0</v>
      </c>
      <c r="D49" s="344">
        <f>+IFERROR(_xlfn.XLOOKUP($A49,'CONSOLIDATED CY Cash Flows'!$B:$B,'CONSOLIDATED CY Cash Flows'!J:J)/$S49,0)</f>
        <v>0</v>
      </c>
      <c r="E49" s="344">
        <f>+IFERROR(_xlfn.XLOOKUP($A49,'CONSOLIDATED CY Cash Flows'!$B:$B,'CONSOLIDATED CY Cash Flows'!K:K)/$S49,0)</f>
        <v>0</v>
      </c>
      <c r="F49" s="344">
        <f>+IFERROR(_xlfn.XLOOKUP($A49,'CONSOLIDATED CY Cash Flows'!$B:$B,'CONSOLIDATED CY Cash Flows'!L:L)/$S49,0)</f>
        <v>0</v>
      </c>
      <c r="G49" s="344">
        <f>+IFERROR(_xlfn.XLOOKUP($A49,'CONSOLIDATED CY Cash Flows'!$B:$B,'CONSOLIDATED CY Cash Flows'!M:M)/$S49,0)</f>
        <v>0</v>
      </c>
      <c r="H49" s="344">
        <f>+IFERROR(_xlfn.XLOOKUP($A49,'CONSOLIDATED CY Cash Flows'!$B:$B,'CONSOLIDATED CY Cash Flows'!N:N)/$S49,0)</f>
        <v>0</v>
      </c>
      <c r="I49" s="344">
        <f>+IFERROR(_xlfn.XLOOKUP($A49,'CONSOLIDATED CY Cash Flows'!$B:$B,'CONSOLIDATED CY Cash Flows'!O:O)/$S49,0)</f>
        <v>0</v>
      </c>
      <c r="J49" s="344">
        <f>+IFERROR(_xlfn.XLOOKUP($A49,'CONSOLIDATED CY Cash Flows'!$B:$B,'CONSOLIDATED CY Cash Flows'!P:P)/$S49,0)</f>
        <v>0</v>
      </c>
      <c r="K49" s="344">
        <f>+IFERROR(_xlfn.XLOOKUP($A49,'CONSOLIDATED CY Cash Flows'!$B:$B,'CONSOLIDATED CY Cash Flows'!Q:Q)/$S49,0)</f>
        <v>0</v>
      </c>
      <c r="L49" s="344">
        <f>+IFERROR(_xlfn.XLOOKUP($A49,'CONSOLIDATED CY Cash Flows'!$B:$B,'CONSOLIDATED CY Cash Flows'!R:R)/$S49,0)</f>
        <v>0</v>
      </c>
      <c r="M49" s="344">
        <f>+IFERROR(_xlfn.XLOOKUP($A49,'CONSOLIDATED CY Cash Flows'!$B:$B,'CONSOLIDATED CY Cash Flows'!S:S)/$S49,0)</f>
        <v>0</v>
      </c>
      <c r="N49" s="344">
        <f>+IFERROR(_xlfn.XLOOKUP($A49,'CONSOLIDATED CY Cash Flows'!$B:$B,'CONSOLIDATED CY Cash Flows'!T:T)/$S49,0)</f>
        <v>0</v>
      </c>
      <c r="O49" s="344">
        <f>+IFERROR(_xlfn.XLOOKUP($A49,'CONSOLIDATED CY Cash Flows'!$B:$B,'CONSOLIDATED CY Cash Flows'!U:U)/$S49,0)</f>
        <v>0</v>
      </c>
      <c r="P49" s="344">
        <f>+IFERROR(_xlfn.XLOOKUP($A49,'CONSOLIDATED CY Cash Flows'!$B:$B,'CONSOLIDATED CY Cash Flows'!V:V)/$S49,0)</f>
        <v>0</v>
      </c>
      <c r="Q49" s="344">
        <f>+IFERROR(_xlfn.XLOOKUP($A49,'CONSOLIDATED CY Cash Flows'!$B:$B,'CONSOLIDATED CY Cash Flows'!W:W)/$S49,0)</f>
        <v>0</v>
      </c>
      <c r="R49" s="340">
        <f t="shared" si="0"/>
        <v>0</v>
      </c>
      <c r="S49" s="501">
        <f>+IFERROR(_xlfn.XLOOKUP($A49,'CONSOLIDATED CY Cash Flows'!$B:$B,'CONSOLIDATED CY Cash Flows'!$H:$H),0)</f>
        <v>0</v>
      </c>
      <c r="T49" s="501">
        <f t="shared" si="1"/>
        <v>0</v>
      </c>
      <c r="U49" s="501">
        <f t="shared" si="2"/>
        <v>0</v>
      </c>
    </row>
    <row r="50" spans="1:21" ht="13.5" hidden="1" customHeight="1" x14ac:dyDescent="0.75">
      <c r="A50" s="349" t="s">
        <v>1458</v>
      </c>
      <c r="B50" s="350">
        <v>0</v>
      </c>
      <c r="C50" s="344">
        <f>+IFERROR(_xlfn.XLOOKUP($A50,'CONSOLIDATED CY Cash Flows'!$B:$B,'CONSOLIDATED CY Cash Flows'!I:I)/$S50,0)</f>
        <v>0</v>
      </c>
      <c r="D50" s="344">
        <f>+IFERROR(_xlfn.XLOOKUP($A50,'CONSOLIDATED CY Cash Flows'!$B:$B,'CONSOLIDATED CY Cash Flows'!J:J)/$S50,0)</f>
        <v>0</v>
      </c>
      <c r="E50" s="344">
        <f>+IFERROR(_xlfn.XLOOKUP($A50,'CONSOLIDATED CY Cash Flows'!$B:$B,'CONSOLIDATED CY Cash Flows'!K:K)/$S50,0)</f>
        <v>0</v>
      </c>
      <c r="F50" s="344">
        <f>+IFERROR(_xlfn.XLOOKUP($A50,'CONSOLIDATED CY Cash Flows'!$B:$B,'CONSOLIDATED CY Cash Flows'!L:L)/$S50,0)</f>
        <v>0</v>
      </c>
      <c r="G50" s="344">
        <f>+IFERROR(_xlfn.XLOOKUP($A50,'CONSOLIDATED CY Cash Flows'!$B:$B,'CONSOLIDATED CY Cash Flows'!M:M)/$S50,0)</f>
        <v>0</v>
      </c>
      <c r="H50" s="344">
        <f>+IFERROR(_xlfn.XLOOKUP($A50,'CONSOLIDATED CY Cash Flows'!$B:$B,'CONSOLIDATED CY Cash Flows'!N:N)/$S50,0)</f>
        <v>0</v>
      </c>
      <c r="I50" s="344">
        <f>+IFERROR(_xlfn.XLOOKUP($A50,'CONSOLIDATED CY Cash Flows'!$B:$B,'CONSOLIDATED CY Cash Flows'!O:O)/$S50,0)</f>
        <v>0</v>
      </c>
      <c r="J50" s="344">
        <f>+IFERROR(_xlfn.XLOOKUP($A50,'CONSOLIDATED CY Cash Flows'!$B:$B,'CONSOLIDATED CY Cash Flows'!P:P)/$S50,0)</f>
        <v>0</v>
      </c>
      <c r="K50" s="344">
        <f>+IFERROR(_xlfn.XLOOKUP($A50,'CONSOLIDATED CY Cash Flows'!$B:$B,'CONSOLIDATED CY Cash Flows'!Q:Q)/$S50,0)</f>
        <v>0</v>
      </c>
      <c r="L50" s="344">
        <f>+IFERROR(_xlfn.XLOOKUP($A50,'CONSOLIDATED CY Cash Flows'!$B:$B,'CONSOLIDATED CY Cash Flows'!R:R)/$S50,0)</f>
        <v>0</v>
      </c>
      <c r="M50" s="344">
        <f>+IFERROR(_xlfn.XLOOKUP($A50,'CONSOLIDATED CY Cash Flows'!$B:$B,'CONSOLIDATED CY Cash Flows'!S:S)/$S50,0)</f>
        <v>0</v>
      </c>
      <c r="N50" s="344">
        <f>+IFERROR(_xlfn.XLOOKUP($A50,'CONSOLIDATED CY Cash Flows'!$B:$B,'CONSOLIDATED CY Cash Flows'!T:T)/$S50,0)</f>
        <v>0</v>
      </c>
      <c r="O50" s="344">
        <f>+IFERROR(_xlfn.XLOOKUP($A50,'CONSOLIDATED CY Cash Flows'!$B:$B,'CONSOLIDATED CY Cash Flows'!U:U)/$S50,0)</f>
        <v>0</v>
      </c>
      <c r="P50" s="344">
        <f>+IFERROR(_xlfn.XLOOKUP($A50,'CONSOLIDATED CY Cash Flows'!$B:$B,'CONSOLIDATED CY Cash Flows'!V:V)/$S50,0)</f>
        <v>0</v>
      </c>
      <c r="Q50" s="344">
        <f>+IFERROR(_xlfn.XLOOKUP($A50,'CONSOLIDATED CY Cash Flows'!$B:$B,'CONSOLIDATED CY Cash Flows'!W:W)/$S50,0)</f>
        <v>0</v>
      </c>
      <c r="R50" s="340">
        <f t="shared" si="0"/>
        <v>0</v>
      </c>
      <c r="S50" s="501">
        <f>+IFERROR(_xlfn.XLOOKUP($A50,'CONSOLIDATED CY Cash Flows'!$B:$B,'CONSOLIDATED CY Cash Flows'!$H:$H),0)</f>
        <v>0</v>
      </c>
      <c r="T50" s="501">
        <f t="shared" si="1"/>
        <v>0</v>
      </c>
      <c r="U50" s="501">
        <f t="shared" si="2"/>
        <v>0</v>
      </c>
    </row>
    <row r="51" spans="1:21" ht="13.5" hidden="1" customHeight="1" x14ac:dyDescent="0.75">
      <c r="A51" s="349" t="s">
        <v>1458</v>
      </c>
      <c r="B51" s="350">
        <v>0</v>
      </c>
      <c r="C51" s="344">
        <f>+IFERROR(_xlfn.XLOOKUP($A51,'CONSOLIDATED CY Cash Flows'!$B:$B,'CONSOLIDATED CY Cash Flows'!I:I)/$S51,0)</f>
        <v>0</v>
      </c>
      <c r="D51" s="344">
        <f>+IFERROR(_xlfn.XLOOKUP($A51,'CONSOLIDATED CY Cash Flows'!$B:$B,'CONSOLIDATED CY Cash Flows'!J:J)/$S51,0)</f>
        <v>0</v>
      </c>
      <c r="E51" s="344">
        <f>+IFERROR(_xlfn.XLOOKUP($A51,'CONSOLIDATED CY Cash Flows'!$B:$B,'CONSOLIDATED CY Cash Flows'!K:K)/$S51,0)</f>
        <v>0</v>
      </c>
      <c r="F51" s="344">
        <f>+IFERROR(_xlfn.XLOOKUP($A51,'CONSOLIDATED CY Cash Flows'!$B:$B,'CONSOLIDATED CY Cash Flows'!L:L)/$S51,0)</f>
        <v>0</v>
      </c>
      <c r="G51" s="344">
        <f>+IFERROR(_xlfn.XLOOKUP($A51,'CONSOLIDATED CY Cash Flows'!$B:$B,'CONSOLIDATED CY Cash Flows'!M:M)/$S51,0)</f>
        <v>0</v>
      </c>
      <c r="H51" s="344">
        <f>+IFERROR(_xlfn.XLOOKUP($A51,'CONSOLIDATED CY Cash Flows'!$B:$B,'CONSOLIDATED CY Cash Flows'!N:N)/$S51,0)</f>
        <v>0</v>
      </c>
      <c r="I51" s="344">
        <f>+IFERROR(_xlfn.XLOOKUP($A51,'CONSOLIDATED CY Cash Flows'!$B:$B,'CONSOLIDATED CY Cash Flows'!O:O)/$S51,0)</f>
        <v>0</v>
      </c>
      <c r="J51" s="344">
        <f>+IFERROR(_xlfn.XLOOKUP($A51,'CONSOLIDATED CY Cash Flows'!$B:$B,'CONSOLIDATED CY Cash Flows'!P:P)/$S51,0)</f>
        <v>0</v>
      </c>
      <c r="K51" s="344">
        <f>+IFERROR(_xlfn.XLOOKUP($A51,'CONSOLIDATED CY Cash Flows'!$B:$B,'CONSOLIDATED CY Cash Flows'!Q:Q)/$S51,0)</f>
        <v>0</v>
      </c>
      <c r="L51" s="344">
        <f>+IFERROR(_xlfn.XLOOKUP($A51,'CONSOLIDATED CY Cash Flows'!$B:$B,'CONSOLIDATED CY Cash Flows'!R:R)/$S51,0)</f>
        <v>0</v>
      </c>
      <c r="M51" s="344">
        <f>+IFERROR(_xlfn.XLOOKUP($A51,'CONSOLIDATED CY Cash Flows'!$B:$B,'CONSOLIDATED CY Cash Flows'!S:S)/$S51,0)</f>
        <v>0</v>
      </c>
      <c r="N51" s="344">
        <f>+IFERROR(_xlfn.XLOOKUP($A51,'CONSOLIDATED CY Cash Flows'!$B:$B,'CONSOLIDATED CY Cash Flows'!T:T)/$S51,0)</f>
        <v>0</v>
      </c>
      <c r="O51" s="344">
        <f>+IFERROR(_xlfn.XLOOKUP($A51,'CONSOLIDATED CY Cash Flows'!$B:$B,'CONSOLIDATED CY Cash Flows'!U:U)/$S51,0)</f>
        <v>0</v>
      </c>
      <c r="P51" s="344">
        <f>+IFERROR(_xlfn.XLOOKUP($A51,'CONSOLIDATED CY Cash Flows'!$B:$B,'CONSOLIDATED CY Cash Flows'!V:V)/$S51,0)</f>
        <v>0</v>
      </c>
      <c r="Q51" s="344">
        <f>+IFERROR(_xlfn.XLOOKUP($A51,'CONSOLIDATED CY Cash Flows'!$B:$B,'CONSOLIDATED CY Cash Flows'!W:W)/$S51,0)</f>
        <v>0</v>
      </c>
      <c r="R51" s="340">
        <f t="shared" si="0"/>
        <v>0</v>
      </c>
      <c r="S51" s="501">
        <f>+IFERROR(_xlfn.XLOOKUP($A51,'CONSOLIDATED CY Cash Flows'!$B:$B,'CONSOLIDATED CY Cash Flows'!$H:$H),0)</f>
        <v>0</v>
      </c>
      <c r="T51" s="501">
        <f t="shared" si="1"/>
        <v>0</v>
      </c>
      <c r="U51" s="501">
        <f t="shared" si="2"/>
        <v>0</v>
      </c>
    </row>
    <row r="52" spans="1:21" ht="13.2" hidden="1" customHeight="1" thickBot="1" x14ac:dyDescent="0.9">
      <c r="A52" s="351" t="s">
        <v>1458</v>
      </c>
      <c r="B52" s="352">
        <v>0</v>
      </c>
      <c r="C52" s="348">
        <f>+IFERROR(_xlfn.XLOOKUP($A52,'CONSOLIDATED CY Cash Flows'!$B:$B,'CONSOLIDATED CY Cash Flows'!I:I)/$S52,0)</f>
        <v>0</v>
      </c>
      <c r="D52" s="348">
        <f>+IFERROR(_xlfn.XLOOKUP($A52,'CONSOLIDATED CY Cash Flows'!$B:$B,'CONSOLIDATED CY Cash Flows'!J:J)/$S52,0)</f>
        <v>0</v>
      </c>
      <c r="E52" s="348">
        <f>+IFERROR(_xlfn.XLOOKUP($A52,'CONSOLIDATED CY Cash Flows'!$B:$B,'CONSOLIDATED CY Cash Flows'!K:K)/$S52,0)</f>
        <v>0</v>
      </c>
      <c r="F52" s="348">
        <f>+IFERROR(_xlfn.XLOOKUP($A52,'CONSOLIDATED CY Cash Flows'!$B:$B,'CONSOLIDATED CY Cash Flows'!L:L)/$S52,0)</f>
        <v>0</v>
      </c>
      <c r="G52" s="348">
        <f>+IFERROR(_xlfn.XLOOKUP($A52,'CONSOLIDATED CY Cash Flows'!$B:$B,'CONSOLIDATED CY Cash Flows'!M:M)/$S52,0)</f>
        <v>0</v>
      </c>
      <c r="H52" s="348">
        <f>+IFERROR(_xlfn.XLOOKUP($A52,'CONSOLIDATED CY Cash Flows'!$B:$B,'CONSOLIDATED CY Cash Flows'!N:N)/$S52,0)</f>
        <v>0</v>
      </c>
      <c r="I52" s="348">
        <f>+IFERROR(_xlfn.XLOOKUP($A52,'CONSOLIDATED CY Cash Flows'!$B:$B,'CONSOLIDATED CY Cash Flows'!O:O)/$S52,0)</f>
        <v>0</v>
      </c>
      <c r="J52" s="348">
        <f>+IFERROR(_xlfn.XLOOKUP($A52,'CONSOLIDATED CY Cash Flows'!$B:$B,'CONSOLIDATED CY Cash Flows'!P:P)/$S52,0)</f>
        <v>0</v>
      </c>
      <c r="K52" s="348">
        <f>+IFERROR(_xlfn.XLOOKUP($A52,'CONSOLIDATED CY Cash Flows'!$B:$B,'CONSOLIDATED CY Cash Flows'!Q:Q)/$S52,0)</f>
        <v>0</v>
      </c>
      <c r="L52" s="348">
        <f>+IFERROR(_xlfn.XLOOKUP($A52,'CONSOLIDATED CY Cash Flows'!$B:$B,'CONSOLIDATED CY Cash Flows'!R:R)/$S52,0)</f>
        <v>0</v>
      </c>
      <c r="M52" s="348">
        <f>+IFERROR(_xlfn.XLOOKUP($A52,'CONSOLIDATED CY Cash Flows'!$B:$B,'CONSOLIDATED CY Cash Flows'!S:S)/$S52,0)</f>
        <v>0</v>
      </c>
      <c r="N52" s="348">
        <f>+IFERROR(_xlfn.XLOOKUP($A52,'CONSOLIDATED CY Cash Flows'!$B:$B,'CONSOLIDATED CY Cash Flows'!T:T)/$S52,0)</f>
        <v>0</v>
      </c>
      <c r="O52" s="348">
        <f>+IFERROR(_xlfn.XLOOKUP($A52,'CONSOLIDATED CY Cash Flows'!$B:$B,'CONSOLIDATED CY Cash Flows'!U:U)/$S52,0)</f>
        <v>0</v>
      </c>
      <c r="P52" s="348">
        <f>+IFERROR(_xlfn.XLOOKUP($A52,'CONSOLIDATED CY Cash Flows'!$B:$B,'CONSOLIDATED CY Cash Flows'!V:V)/$S52,0)</f>
        <v>0</v>
      </c>
      <c r="Q52" s="348">
        <f>+IFERROR(_xlfn.XLOOKUP($A52,'CONSOLIDATED CY Cash Flows'!$B:$B,'CONSOLIDATED CY Cash Flows'!W:W)/$S52,0)</f>
        <v>0</v>
      </c>
      <c r="R52" s="340">
        <f t="shared" si="0"/>
        <v>0</v>
      </c>
      <c r="S52" s="501">
        <f>+IFERROR(_xlfn.XLOOKUP($A52,'CONSOLIDATED CY Cash Flows'!$B:$B,'CONSOLIDATED CY Cash Flows'!$H:$H),0)</f>
        <v>0</v>
      </c>
      <c r="T52" s="501">
        <f t="shared" si="1"/>
        <v>0</v>
      </c>
      <c r="U52" s="501">
        <f t="shared" si="2"/>
        <v>0</v>
      </c>
    </row>
    <row r="53" spans="1:21" ht="16.95" customHeight="1" x14ac:dyDescent="0.75">
      <c r="A53" s="353">
        <v>4100</v>
      </c>
      <c r="B53" s="354" t="s">
        <v>592</v>
      </c>
      <c r="C53" s="339">
        <f>+IFERROR(_xlfn.XLOOKUP($A53,'CONSOLIDATED CY Cash Flows'!$B:$B,'CONSOLIDATED CY Cash Flows'!I:I)/$S53,0)</f>
        <v>-3.4387187804695122E-4</v>
      </c>
      <c r="D53" s="339">
        <f>+IFERROR(_xlfn.XLOOKUP($A53,'CONSOLIDATED CY Cash Flows'!$B:$B,'CONSOLIDATED CY Cash Flows'!J:J)/$S53,0)</f>
        <v>4.560184317107928E-4</v>
      </c>
      <c r="E53" s="339">
        <f>+IFERROR(_xlfn.XLOOKUP($A53,'CONSOLIDATED CY Cash Flows'!$B:$B,'CONSOLIDATED CY Cash Flows'!K:K)/$S53,0)</f>
        <v>5.2400317820445512E-2</v>
      </c>
      <c r="F53" s="339">
        <f>+IFERROR(_xlfn.XLOOKUP($A53,'CONSOLIDATED CY Cash Flows'!$B:$B,'CONSOLIDATED CY Cash Flows'!L:L)/$S53,0)</f>
        <v>0.10574174744993625</v>
      </c>
      <c r="G53" s="339">
        <f>+IFERROR(_xlfn.XLOOKUP($A53,'CONSOLIDATED CY Cash Flows'!$B:$B,'CONSOLIDATED CY Cash Flows'!M:M)/$S53,0)</f>
        <v>9.7919049538738465E-2</v>
      </c>
      <c r="H53" s="339">
        <f>+IFERROR(_xlfn.XLOOKUP($A53,'CONSOLIDATED CY Cash Flows'!$B:$B,'CONSOLIDATED CY Cash Flows'!N:N)/$S53,0)</f>
        <v>0.1250325648766219</v>
      </c>
      <c r="I53" s="339">
        <f>+IFERROR(_xlfn.XLOOKUP($A53,'CONSOLIDATED CY Cash Flows'!$B:$B,'CONSOLIDATED CY Cash Flows'!O:O)/$S53,0)</f>
        <v>3.2662461092777317E-2</v>
      </c>
      <c r="J53" s="339">
        <f>+IFERROR(_xlfn.XLOOKUP($A53,'CONSOLIDATED CY Cash Flows'!$B:$B,'CONSOLIDATED CY Cash Flows'!P:P)/$S53,0)</f>
        <v>0.29306585633390836</v>
      </c>
      <c r="K53" s="339">
        <f>+IFERROR(_xlfn.XLOOKUP($A53,'CONSOLIDATED CY Cash Flows'!$B:$B,'CONSOLIDATED CY Cash Flows'!Q:Q)/$S53,0)</f>
        <v>0.29306585633390836</v>
      </c>
      <c r="L53" s="339">
        <f>+IFERROR(_xlfn.XLOOKUP($A53,'CONSOLIDATED CY Cash Flows'!$B:$B,'CONSOLIDATED CY Cash Flows'!R:R)/$S53,0)</f>
        <v>0</v>
      </c>
      <c r="M53" s="339">
        <f>+IFERROR(_xlfn.XLOOKUP($A53,'CONSOLIDATED CY Cash Flows'!$B:$B,'CONSOLIDATED CY Cash Flows'!S:S)/$S53,0)</f>
        <v>0</v>
      </c>
      <c r="N53" s="339">
        <f>+IFERROR(_xlfn.XLOOKUP($A53,'CONSOLIDATED CY Cash Flows'!$B:$B,'CONSOLIDATED CY Cash Flows'!T:T)/$S53,0)</f>
        <v>0</v>
      </c>
      <c r="O53" s="339">
        <f>+IFERROR(_xlfn.XLOOKUP($A53,'CONSOLIDATED CY Cash Flows'!$B:$B,'CONSOLIDATED CY Cash Flows'!U:U)/$S53,0)</f>
        <v>0</v>
      </c>
      <c r="P53" s="339">
        <f>+IFERROR(_xlfn.XLOOKUP($A53,'CONSOLIDATED CY Cash Flows'!$B:$B,'CONSOLIDATED CY Cash Flows'!V:V)/$S53,0)</f>
        <v>0</v>
      </c>
      <c r="Q53" s="339">
        <f>+IFERROR(_xlfn.XLOOKUP($A53,'CONSOLIDATED CY Cash Flows'!$B:$B,'CONSOLIDATED CY Cash Flows'!W:W)/$S53,0)</f>
        <v>0</v>
      </c>
      <c r="R53" s="340">
        <f t="shared" si="0"/>
        <v>1</v>
      </c>
      <c r="S53" s="501">
        <f>+IFERROR(_xlfn.XLOOKUP($A53,'CONSOLIDATED CY Cash Flows'!$B:$B,'CONSOLIDATED CY Cash Flows'!$H:$H),0)</f>
        <v>4266560</v>
      </c>
      <c r="T53" s="501">
        <f t="shared" si="1"/>
        <v>1765793.88</v>
      </c>
      <c r="U53" s="501">
        <f t="shared" si="2"/>
        <v>2500766.12</v>
      </c>
    </row>
    <row r="54" spans="1:21" ht="16.95" customHeight="1" x14ac:dyDescent="0.75">
      <c r="A54" s="349">
        <v>4101</v>
      </c>
      <c r="B54" s="350" t="s">
        <v>1640</v>
      </c>
      <c r="C54" s="344">
        <f>+IFERROR(_xlfn.XLOOKUP($A54,'CONSOLIDATED CY Cash Flows'!$B:$B,'CONSOLIDATED CY Cash Flows'!I:I)/$S54,0)</f>
        <v>4.0860151706257444</v>
      </c>
      <c r="D54" s="344">
        <f>+IFERROR(_xlfn.XLOOKUP($A54,'CONSOLIDATED CY Cash Flows'!$B:$B,'CONSOLIDATED CY Cash Flows'!J:J)/$S54,0)</f>
        <v>0.68891650900427437</v>
      </c>
      <c r="E54" s="344">
        <f>+IFERROR(_xlfn.XLOOKUP($A54,'CONSOLIDATED CY Cash Flows'!$B:$B,'CONSOLIDATED CY Cash Flows'!K:K)/$S54,0)</f>
        <v>0</v>
      </c>
      <c r="F54" s="344">
        <f>+IFERROR(_xlfn.XLOOKUP($A54,'CONSOLIDATED CY Cash Flows'!$B:$B,'CONSOLIDATED CY Cash Flows'!L:L)/$S54,0)</f>
        <v>-1.751804358489244E-7</v>
      </c>
      <c r="G54" s="344">
        <f>+IFERROR(_xlfn.XLOOKUP($A54,'CONSOLIDATED CY Cash Flows'!$B:$B,'CONSOLIDATED CY Cash Flows'!M:M)/$S54,0)</f>
        <v>0</v>
      </c>
      <c r="H54" s="344">
        <f>+IFERROR(_xlfn.XLOOKUP($A54,'CONSOLIDATED CY Cash Flows'!$B:$B,'CONSOLIDATED CY Cash Flows'!N:N)/$S54,0)</f>
        <v>0</v>
      </c>
      <c r="I54" s="344">
        <f>+IFERROR(_xlfn.XLOOKUP($A54,'CONSOLIDATED CY Cash Flows'!$B:$B,'CONSOLIDATED CY Cash Flows'!O:O)/$S54,0)</f>
        <v>2.9081704155279938E-3</v>
      </c>
      <c r="J54" s="344">
        <f>+IFERROR(_xlfn.XLOOKUP($A54,'CONSOLIDATED CY Cash Flows'!$B:$B,'CONSOLIDATED CY Cash Flows'!P:P)/$S54,0)</f>
        <v>-1.8889198374325555</v>
      </c>
      <c r="K54" s="344">
        <f>+IFERROR(_xlfn.XLOOKUP($A54,'CONSOLIDATED CY Cash Flows'!$B:$B,'CONSOLIDATED CY Cash Flows'!Q:Q)/$S54,0)</f>
        <v>-1.8889198374325555</v>
      </c>
      <c r="L54" s="344">
        <f>+IFERROR(_xlfn.XLOOKUP($A54,'CONSOLIDATED CY Cash Flows'!$B:$B,'CONSOLIDATED CY Cash Flows'!R:R)/$S54,0)</f>
        <v>0</v>
      </c>
      <c r="M54" s="344">
        <f>+IFERROR(_xlfn.XLOOKUP($A54,'CONSOLIDATED CY Cash Flows'!$B:$B,'CONSOLIDATED CY Cash Flows'!S:S)/$S54,0)</f>
        <v>0</v>
      </c>
      <c r="N54" s="344">
        <f>+IFERROR(_xlfn.XLOOKUP($A54,'CONSOLIDATED CY Cash Flows'!$B:$B,'CONSOLIDATED CY Cash Flows'!T:T)/$S54,0)</f>
        <v>0</v>
      </c>
      <c r="O54" s="344">
        <f>+IFERROR(_xlfn.XLOOKUP($A54,'CONSOLIDATED CY Cash Flows'!$B:$B,'CONSOLIDATED CY Cash Flows'!U:U)/$S54,0)</f>
        <v>0</v>
      </c>
      <c r="P54" s="344">
        <f>+IFERROR(_xlfn.XLOOKUP($A54,'CONSOLIDATED CY Cash Flows'!$B:$B,'CONSOLIDATED CY Cash Flows'!V:V)/$S54,0)</f>
        <v>0</v>
      </c>
      <c r="Q54" s="344">
        <f>+IFERROR(_xlfn.XLOOKUP($A54,'CONSOLIDATED CY Cash Flows'!$B:$B,'CONSOLIDATED CY Cash Flows'!W:W)/$S54,0)</f>
        <v>0</v>
      </c>
      <c r="R54" s="340">
        <f t="shared" ref="R54:R55" si="6">SUM(C54:Q54)</f>
        <v>0.99999999999999933</v>
      </c>
      <c r="S54" s="501">
        <f>+IFERROR(_xlfn.XLOOKUP($A54,'CONSOLIDATED CY Cash Flows'!$B:$B,'CONSOLIDATED CY Cash Flows'!$H:$H),0)</f>
        <v>57084</v>
      </c>
      <c r="T54" s="501">
        <f t="shared" ref="T54:T55" si="7">+SUMIF($C$1:$Q$1,"ACTUAL",$C54:$Q54)*S54</f>
        <v>272738.19999999995</v>
      </c>
      <c r="U54" s="501">
        <f t="shared" ref="U54:U55" si="8">+S54-T54</f>
        <v>-215654.19999999995</v>
      </c>
    </row>
    <row r="55" spans="1:21" ht="16.95" customHeight="1" x14ac:dyDescent="0.75">
      <c r="A55" s="349">
        <v>4102</v>
      </c>
      <c r="B55" s="350" t="s">
        <v>1641</v>
      </c>
      <c r="C55" s="344">
        <f>+IFERROR(_xlfn.XLOOKUP($A55,'CONSOLIDATED CY Cash Flows'!$B:$B,'CONSOLIDATED CY Cash Flows'!I:I)/$S55,0)</f>
        <v>0.54524108483958611</v>
      </c>
      <c r="D55" s="344">
        <f>+IFERROR(_xlfn.XLOOKUP($A55,'CONSOLIDATED CY Cash Flows'!$B:$B,'CONSOLIDATED CY Cash Flows'!J:J)/$S55,0)</f>
        <v>6.3287934788111991E-3</v>
      </c>
      <c r="E55" s="344">
        <f>+IFERROR(_xlfn.XLOOKUP($A55,'CONSOLIDATED CY Cash Flows'!$B:$B,'CONSOLIDATED CY Cash Flows'!K:K)/$S55,0)</f>
        <v>0.83666649789884051</v>
      </c>
      <c r="F55" s="344">
        <f>+IFERROR(_xlfn.XLOOKUP($A55,'CONSOLIDATED CY Cash Flows'!$B:$B,'CONSOLIDATED CY Cash Flows'!L:L)/$S55,0)</f>
        <v>4.7001839569304508E-3</v>
      </c>
      <c r="G55" s="344">
        <f>+IFERROR(_xlfn.XLOOKUP($A55,'CONSOLIDATED CY Cash Flows'!$B:$B,'CONSOLIDATED CY Cash Flows'!M:M)/$S55,0)</f>
        <v>0</v>
      </c>
      <c r="H55" s="344">
        <f>+IFERROR(_xlfn.XLOOKUP($A55,'CONSOLIDATED CY Cash Flows'!$B:$B,'CONSOLIDATED CY Cash Flows'!N:N)/$S55,0)</f>
        <v>1.4110677940357449E-3</v>
      </c>
      <c r="I55" s="344">
        <f>+IFERROR(_xlfn.XLOOKUP($A55,'CONSOLIDATED CY Cash Flows'!$B:$B,'CONSOLIDATED CY Cash Flows'!O:O)/$S55,0)</f>
        <v>0.16237903566064166</v>
      </c>
      <c r="J55" s="344">
        <f>+IFERROR(_xlfn.XLOOKUP($A55,'CONSOLIDATED CY Cash Flows'!$B:$B,'CONSOLIDATED CY Cash Flows'!P:P)/$S55,0)</f>
        <v>-0.27836333181442297</v>
      </c>
      <c r="K55" s="344">
        <f>+IFERROR(_xlfn.XLOOKUP($A55,'CONSOLIDATED CY Cash Flows'!$B:$B,'CONSOLIDATED CY Cash Flows'!Q:Q)/$S55,0)</f>
        <v>-0.27836333181442297</v>
      </c>
      <c r="L55" s="344">
        <f>+IFERROR(_xlfn.XLOOKUP($A55,'CONSOLIDATED CY Cash Flows'!$B:$B,'CONSOLIDATED CY Cash Flows'!R:R)/$S55,0)</f>
        <v>0</v>
      </c>
      <c r="M55" s="344">
        <f>+IFERROR(_xlfn.XLOOKUP($A55,'CONSOLIDATED CY Cash Flows'!$B:$B,'CONSOLIDATED CY Cash Flows'!S:S)/$S55,0)</f>
        <v>0</v>
      </c>
      <c r="N55" s="344">
        <f>+IFERROR(_xlfn.XLOOKUP($A55,'CONSOLIDATED CY Cash Flows'!$B:$B,'CONSOLIDATED CY Cash Flows'!T:T)/$S55,0)</f>
        <v>0</v>
      </c>
      <c r="O55" s="344">
        <f>+IFERROR(_xlfn.XLOOKUP($A55,'CONSOLIDATED CY Cash Flows'!$B:$B,'CONSOLIDATED CY Cash Flows'!U:U)/$S55,0)</f>
        <v>0</v>
      </c>
      <c r="P55" s="344">
        <f>+IFERROR(_xlfn.XLOOKUP($A55,'CONSOLIDATED CY Cash Flows'!$B:$B,'CONSOLIDATED CY Cash Flows'!V:V)/$S55,0)</f>
        <v>0</v>
      </c>
      <c r="Q55" s="344">
        <f>+IFERROR(_xlfn.XLOOKUP($A55,'CONSOLIDATED CY Cash Flows'!$B:$B,'CONSOLIDATED CY Cash Flows'!W:W)/$S55,0)</f>
        <v>0</v>
      </c>
      <c r="R55" s="340">
        <f t="shared" si="6"/>
        <v>0.99999999999999978</v>
      </c>
      <c r="S55" s="501">
        <f>+IFERROR(_xlfn.XLOOKUP($A55,'CONSOLIDATED CY Cash Flows'!$B:$B,'CONSOLIDATED CY Cash Flows'!$H:$H),0)</f>
        <v>118506</v>
      </c>
      <c r="T55" s="501">
        <f t="shared" si="7"/>
        <v>184481.44999999998</v>
      </c>
      <c r="U55" s="501">
        <f t="shared" si="8"/>
        <v>-65975.449999999983</v>
      </c>
    </row>
    <row r="56" spans="1:21" ht="16.95" customHeight="1" x14ac:dyDescent="0.75">
      <c r="A56" s="349">
        <v>4200</v>
      </c>
      <c r="B56" s="350" t="s">
        <v>593</v>
      </c>
      <c r="C56" s="344">
        <f>+IFERROR(_xlfn.XLOOKUP($A56,'CONSOLIDATED CY Cash Flows'!$B:$B,'CONSOLIDATED CY Cash Flows'!I:I)/$S56,0)</f>
        <v>0</v>
      </c>
      <c r="D56" s="344">
        <f>+IFERROR(_xlfn.XLOOKUP($A56,'CONSOLIDATED CY Cash Flows'!$B:$B,'CONSOLIDATED CY Cash Flows'!J:J)/$S56,0)</f>
        <v>0</v>
      </c>
      <c r="E56" s="344">
        <f>+IFERROR(_xlfn.XLOOKUP($A56,'CONSOLIDATED CY Cash Flows'!$B:$B,'CONSOLIDATED CY Cash Flows'!K:K)/$S56,0)</f>
        <v>7.8370370370370365E-3</v>
      </c>
      <c r="F56" s="344">
        <f>+IFERROR(_xlfn.XLOOKUP($A56,'CONSOLIDATED CY Cash Flows'!$B:$B,'CONSOLIDATED CY Cash Flows'!L:L)/$S56,0)</f>
        <v>1.4463703703703703E-2</v>
      </c>
      <c r="G56" s="344">
        <f>+IFERROR(_xlfn.XLOOKUP($A56,'CONSOLIDATED CY Cash Flows'!$B:$B,'CONSOLIDATED CY Cash Flows'!M:M)/$S56,0)</f>
        <v>0.1123337037037037</v>
      </c>
      <c r="H56" s="344">
        <f>+IFERROR(_xlfn.XLOOKUP($A56,'CONSOLIDATED CY Cash Flows'!$B:$B,'CONSOLIDATED CY Cash Flows'!N:N)/$S56,0)</f>
        <v>5.8822222222222218E-4</v>
      </c>
      <c r="I56" s="344">
        <f>+IFERROR(_xlfn.XLOOKUP($A56,'CONSOLIDATED CY Cash Flows'!$B:$B,'CONSOLIDATED CY Cash Flows'!O:O)/$S56,0)</f>
        <v>0.14297607407407409</v>
      </c>
      <c r="J56" s="344">
        <f>+IFERROR(_xlfn.XLOOKUP($A56,'CONSOLIDATED CY Cash Flows'!$B:$B,'CONSOLIDATED CY Cash Flows'!P:P)/$S56,0)</f>
        <v>0.3609006296296296</v>
      </c>
      <c r="K56" s="344">
        <f>+IFERROR(_xlfn.XLOOKUP($A56,'CONSOLIDATED CY Cash Flows'!$B:$B,'CONSOLIDATED CY Cash Flows'!Q:Q)/$S56,0)</f>
        <v>0.3609006296296296</v>
      </c>
      <c r="L56" s="344">
        <f>+IFERROR(_xlfn.XLOOKUP($A56,'CONSOLIDATED CY Cash Flows'!$B:$B,'CONSOLIDATED CY Cash Flows'!R:R)/$S56,0)</f>
        <v>0</v>
      </c>
      <c r="M56" s="344">
        <f>+IFERROR(_xlfn.XLOOKUP($A56,'CONSOLIDATED CY Cash Flows'!$B:$B,'CONSOLIDATED CY Cash Flows'!S:S)/$S56,0)</f>
        <v>0</v>
      </c>
      <c r="N56" s="344">
        <f>+IFERROR(_xlfn.XLOOKUP($A56,'CONSOLIDATED CY Cash Flows'!$B:$B,'CONSOLIDATED CY Cash Flows'!T:T)/$S56,0)</f>
        <v>0</v>
      </c>
      <c r="O56" s="344">
        <f>+IFERROR(_xlfn.XLOOKUP($A56,'CONSOLIDATED CY Cash Flows'!$B:$B,'CONSOLIDATED CY Cash Flows'!U:U)/$S56,0)</f>
        <v>0</v>
      </c>
      <c r="P56" s="344">
        <f>+IFERROR(_xlfn.XLOOKUP($A56,'CONSOLIDATED CY Cash Flows'!$B:$B,'CONSOLIDATED CY Cash Flows'!V:V)/$S56,0)</f>
        <v>0</v>
      </c>
      <c r="Q56" s="344">
        <f>+IFERROR(_xlfn.XLOOKUP($A56,'CONSOLIDATED CY Cash Flows'!$B:$B,'CONSOLIDATED CY Cash Flows'!W:W)/$S56,0)</f>
        <v>0</v>
      </c>
      <c r="R56" s="340">
        <f>SUM(C56:Q56)</f>
        <v>1</v>
      </c>
      <c r="S56" s="501">
        <f>+IFERROR(_xlfn.XLOOKUP($A56,'CONSOLIDATED CY Cash Flows'!$B:$B,'CONSOLIDATED CY Cash Flows'!$H:$H),0)</f>
        <v>135000</v>
      </c>
      <c r="T56" s="501">
        <f t="shared" si="1"/>
        <v>37556.83</v>
      </c>
      <c r="U56" s="501">
        <f t="shared" si="2"/>
        <v>97443.17</v>
      </c>
    </row>
    <row r="57" spans="1:21" ht="16.95" hidden="1" customHeight="1" x14ac:dyDescent="0.75">
      <c r="A57" s="349">
        <v>4215</v>
      </c>
      <c r="B57" s="350" t="s">
        <v>1644</v>
      </c>
      <c r="C57" s="344">
        <f>+IFERROR(_xlfn.XLOOKUP($A57,'CONSOLIDATED CY Cash Flows'!$B:$B,'CONSOLIDATED CY Cash Flows'!I:I)/$S57,0)</f>
        <v>0</v>
      </c>
      <c r="D57" s="344">
        <f>+IFERROR(_xlfn.XLOOKUP($A57,'CONSOLIDATED CY Cash Flows'!$B:$B,'CONSOLIDATED CY Cash Flows'!J:J)/$S57,0)</f>
        <v>0</v>
      </c>
      <c r="E57" s="344">
        <f>+IFERROR(_xlfn.XLOOKUP($A57,'CONSOLIDATED CY Cash Flows'!$B:$B,'CONSOLIDATED CY Cash Flows'!K:K)/$S57,0)</f>
        <v>0</v>
      </c>
      <c r="F57" s="344">
        <f>+IFERROR(_xlfn.XLOOKUP($A57,'CONSOLIDATED CY Cash Flows'!$B:$B,'CONSOLIDATED CY Cash Flows'!L:L)/$S57,0)</f>
        <v>0</v>
      </c>
      <c r="G57" s="344">
        <f>+IFERROR(_xlfn.XLOOKUP($A57,'CONSOLIDATED CY Cash Flows'!$B:$B,'CONSOLIDATED CY Cash Flows'!M:M)/$S57,0)</f>
        <v>0</v>
      </c>
      <c r="H57" s="344">
        <f>+IFERROR(_xlfn.XLOOKUP($A57,'CONSOLIDATED CY Cash Flows'!$B:$B,'CONSOLIDATED CY Cash Flows'!N:N)/$S57,0)</f>
        <v>0</v>
      </c>
      <c r="I57" s="344">
        <f>+IFERROR(_xlfn.XLOOKUP($A57,'CONSOLIDATED CY Cash Flows'!$B:$B,'CONSOLIDATED CY Cash Flows'!O:O)/$S57,0)</f>
        <v>0</v>
      </c>
      <c r="J57" s="344">
        <f>+IFERROR(_xlfn.XLOOKUP($A57,'CONSOLIDATED CY Cash Flows'!$B:$B,'CONSOLIDATED CY Cash Flows'!P:P)/$S57,0)</f>
        <v>0.19809069212410502</v>
      </c>
      <c r="K57" s="344">
        <f>+IFERROR(_xlfn.XLOOKUP($A57,'CONSOLIDATED CY Cash Flows'!$B:$B,'CONSOLIDATED CY Cash Flows'!Q:Q)/$S57,0)</f>
        <v>0.20047732696897375</v>
      </c>
      <c r="L57" s="344">
        <f>+IFERROR(_xlfn.XLOOKUP($A57,'CONSOLIDATED CY Cash Flows'!$B:$B,'CONSOLIDATED CY Cash Flows'!R:R)/$S57,0)</f>
        <v>0.20047732696897375</v>
      </c>
      <c r="M57" s="344">
        <f>+IFERROR(_xlfn.XLOOKUP($A57,'CONSOLIDATED CY Cash Flows'!$B:$B,'CONSOLIDATED CY Cash Flows'!S:S)/$S57,0)</f>
        <v>0.20047732696897375</v>
      </c>
      <c r="N57" s="344">
        <f>+IFERROR(_xlfn.XLOOKUP($A57,'CONSOLIDATED CY Cash Flows'!$B:$B,'CONSOLIDATED CY Cash Flows'!T:T)/$S57,0)</f>
        <v>0.20047732696897375</v>
      </c>
      <c r="O57" s="344">
        <f>+IFERROR(_xlfn.XLOOKUP($A57,'CONSOLIDATED CY Cash Flows'!$B:$B,'CONSOLIDATED CY Cash Flows'!U:U)/$S57,0)</f>
        <v>0</v>
      </c>
      <c r="P57" s="344">
        <f>+IFERROR(_xlfn.XLOOKUP($A57,'CONSOLIDATED CY Cash Flows'!$B:$B,'CONSOLIDATED CY Cash Flows'!V:V)/$S57,0)</f>
        <v>0</v>
      </c>
      <c r="Q57" s="344">
        <f>+IFERROR(_xlfn.XLOOKUP($A57,'CONSOLIDATED CY Cash Flows'!$B:$B,'CONSOLIDATED CY Cash Flows'!W:W)/$S57,0)</f>
        <v>0</v>
      </c>
      <c r="R57" s="340">
        <f>SUM(C57:Q57)</f>
        <v>1</v>
      </c>
      <c r="S57" s="501">
        <f>+IFERROR(_xlfn.XLOOKUP($A57,'CONSOLIDATED CY Cash Flows'!$B:$B,'CONSOLIDATED CY Cash Flows'!$H:$H),0)</f>
        <v>40000</v>
      </c>
      <c r="T57" s="501">
        <f t="shared" ref="T57" si="9">+SUMIF($C$1:$Q$1,"ACTUAL",$C57:$Q57)*S57</f>
        <v>0</v>
      </c>
      <c r="U57" s="501">
        <f t="shared" ref="U57" si="10">+S57-T57</f>
        <v>40000</v>
      </c>
    </row>
    <row r="58" spans="1:21" ht="13.5" customHeight="1" x14ac:dyDescent="0.75">
      <c r="A58" s="349">
        <v>4300</v>
      </c>
      <c r="B58" s="350" t="s">
        <v>595</v>
      </c>
      <c r="C58" s="344">
        <f>+IFERROR(_xlfn.XLOOKUP($A58,'CONSOLIDATED CY Cash Flows'!$B:$B,'CONSOLIDATED CY Cash Flows'!I:I)/$S58,0)</f>
        <v>3.3619047619047617E-3</v>
      </c>
      <c r="D58" s="344">
        <f>+IFERROR(_xlfn.XLOOKUP($A58,'CONSOLIDATED CY Cash Flows'!$B:$B,'CONSOLIDATED CY Cash Flows'!J:J)/$S58,0)</f>
        <v>2.2454285714285715E-2</v>
      </c>
      <c r="E58" s="344">
        <f>+IFERROR(_xlfn.XLOOKUP($A58,'CONSOLIDATED CY Cash Flows'!$B:$B,'CONSOLIDATED CY Cash Flows'!K:K)/$S58,0)</f>
        <v>0.16071619047619048</v>
      </c>
      <c r="F58" s="344">
        <f>+IFERROR(_xlfn.XLOOKUP($A58,'CONSOLIDATED CY Cash Flows'!$B:$B,'CONSOLIDATED CY Cash Flows'!L:L)/$S58,0)</f>
        <v>5.6266666666666661E-3</v>
      </c>
      <c r="G58" s="344">
        <f>+IFERROR(_xlfn.XLOOKUP($A58,'CONSOLIDATED CY Cash Flows'!$B:$B,'CONSOLIDATED CY Cash Flows'!M:M)/$S58,0)</f>
        <v>3.9212380952380957E-2</v>
      </c>
      <c r="H58" s="344">
        <f>+IFERROR(_xlfn.XLOOKUP($A58,'CONSOLIDATED CY Cash Flows'!$B:$B,'CONSOLIDATED CY Cash Flows'!N:N)/$S58,0)</f>
        <v>8.43E-3</v>
      </c>
      <c r="I58" s="344">
        <f>+IFERROR(_xlfn.XLOOKUP($A58,'CONSOLIDATED CY Cash Flows'!$B:$B,'CONSOLIDATED CY Cash Flows'!O:O)/$S58,0)</f>
        <v>7.7155714285714286E-2</v>
      </c>
      <c r="J58" s="344">
        <f>+IFERROR(_xlfn.XLOOKUP($A58,'CONSOLIDATED CY Cash Flows'!$B:$B,'CONSOLIDATED CY Cash Flows'!P:P)/$S58,0)</f>
        <v>0.13530443232185477</v>
      </c>
      <c r="K58" s="344">
        <f>+IFERROR(_xlfn.XLOOKUP($A58,'CONSOLIDATED CY Cash Flows'!$B:$B,'CONSOLIDATED CY Cash Flows'!Q:Q)/$S58,0)</f>
        <v>0.13693460620525061</v>
      </c>
      <c r="L58" s="344">
        <f>+IFERROR(_xlfn.XLOOKUP($A58,'CONSOLIDATED CY Cash Flows'!$B:$B,'CONSOLIDATED CY Cash Flows'!R:R)/$S58,0)</f>
        <v>0.13693460620525061</v>
      </c>
      <c r="M58" s="344">
        <f>+IFERROR(_xlfn.XLOOKUP($A58,'CONSOLIDATED CY Cash Flows'!$B:$B,'CONSOLIDATED CY Cash Flows'!S:S)/$S58,0)</f>
        <v>0.13693460620525061</v>
      </c>
      <c r="N58" s="344">
        <f>+IFERROR(_xlfn.XLOOKUP($A58,'CONSOLIDATED CY Cash Flows'!$B:$B,'CONSOLIDATED CY Cash Flows'!T:T)/$S58,0)</f>
        <v>0.13693460620525061</v>
      </c>
      <c r="O58" s="344">
        <f>+IFERROR(_xlfn.XLOOKUP($A58,'CONSOLIDATED CY Cash Flows'!$B:$B,'CONSOLIDATED CY Cash Flows'!U:U)/$S58,0)</f>
        <v>0</v>
      </c>
      <c r="P58" s="344">
        <f>+IFERROR(_xlfn.XLOOKUP($A58,'CONSOLIDATED CY Cash Flows'!$B:$B,'CONSOLIDATED CY Cash Flows'!V:V)/$S58,0)</f>
        <v>0</v>
      </c>
      <c r="Q58" s="344">
        <f>+IFERROR(_xlfn.XLOOKUP($A58,'CONSOLIDATED CY Cash Flows'!$B:$B,'CONSOLIDATED CY Cash Flows'!W:W)/$S58,0)</f>
        <v>0</v>
      </c>
      <c r="R58" s="340">
        <f t="shared" si="0"/>
        <v>0.99999999999999978</v>
      </c>
      <c r="S58" s="501">
        <f>+IFERROR(_xlfn.XLOOKUP($A58,'CONSOLIDATED CY Cash Flows'!$B:$B,'CONSOLIDATED CY Cash Flows'!$H:$H),0)</f>
        <v>21000</v>
      </c>
      <c r="T58" s="501">
        <f t="shared" si="1"/>
        <v>6656.0999999999995</v>
      </c>
      <c r="U58" s="501">
        <f t="shared" si="2"/>
        <v>14343.900000000001</v>
      </c>
    </row>
    <row r="59" spans="1:21" ht="13.5" customHeight="1" x14ac:dyDescent="0.75">
      <c r="A59" s="349">
        <v>4315</v>
      </c>
      <c r="B59" s="350" t="s">
        <v>594</v>
      </c>
      <c r="C59" s="344">
        <f>+IFERROR(_xlfn.XLOOKUP($A59,'CONSOLIDATED CY Cash Flows'!$B:$B,'CONSOLIDATED CY Cash Flows'!I:I)/$S59,0)</f>
        <v>9.7029999999999991E-2</v>
      </c>
      <c r="D59" s="344">
        <f>+IFERROR(_xlfn.XLOOKUP($A59,'CONSOLIDATED CY Cash Flows'!$B:$B,'CONSOLIDATED CY Cash Flows'!J:J)/$S59,0)</f>
        <v>0</v>
      </c>
      <c r="E59" s="344">
        <f>+IFERROR(_xlfn.XLOOKUP($A59,'CONSOLIDATED CY Cash Flows'!$B:$B,'CONSOLIDATED CY Cash Flows'!K:K)/$S59,0)</f>
        <v>0.20976333333333333</v>
      </c>
      <c r="F59" s="344">
        <f>+IFERROR(_xlfn.XLOOKUP($A59,'CONSOLIDATED CY Cash Flows'!$B:$B,'CONSOLIDATED CY Cash Flows'!L:L)/$S59,0)</f>
        <v>0.21793666666666664</v>
      </c>
      <c r="G59" s="344">
        <f>+IFERROR(_xlfn.XLOOKUP($A59,'CONSOLIDATED CY Cash Flows'!$B:$B,'CONSOLIDATED CY Cash Flows'!M:M)/$S59,0)</f>
        <v>3.944333333333333E-2</v>
      </c>
      <c r="H59" s="344">
        <f>+IFERROR(_xlfn.XLOOKUP($A59,'CONSOLIDATED CY Cash Flows'!$B:$B,'CONSOLIDATED CY Cash Flows'!N:N)/$S59,0)</f>
        <v>3.2989999999999998E-2</v>
      </c>
      <c r="I59" s="344">
        <f>+IFERROR(_xlfn.XLOOKUP($A59,'CONSOLIDATED CY Cash Flows'!$B:$B,'CONSOLIDATED CY Cash Flows'!O:O)/$S59,0)</f>
        <v>4.1483333333333337E-2</v>
      </c>
      <c r="J59" s="344">
        <f>+IFERROR(_xlfn.XLOOKUP($A59,'CONSOLIDATED CY Cash Flows'!$B:$B,'CONSOLIDATED CY Cash Flows'!P:P)/$S59,0)</f>
        <v>0.18067666666666671</v>
      </c>
      <c r="K59" s="344">
        <f>+IFERROR(_xlfn.XLOOKUP($A59,'CONSOLIDATED CY Cash Flows'!$B:$B,'CONSOLIDATED CY Cash Flows'!Q:Q)/$S59,0)</f>
        <v>0.18067666666666671</v>
      </c>
      <c r="L59" s="344">
        <f>+IFERROR(_xlfn.XLOOKUP($A59,'CONSOLIDATED CY Cash Flows'!$B:$B,'CONSOLIDATED CY Cash Flows'!R:R)/$S59,0)</f>
        <v>0</v>
      </c>
      <c r="M59" s="344">
        <f>+IFERROR(_xlfn.XLOOKUP($A59,'CONSOLIDATED CY Cash Flows'!$B:$B,'CONSOLIDATED CY Cash Flows'!S:S)/$S59,0)</f>
        <v>0</v>
      </c>
      <c r="N59" s="344">
        <f>+IFERROR(_xlfn.XLOOKUP($A59,'CONSOLIDATED CY Cash Flows'!$B:$B,'CONSOLIDATED CY Cash Flows'!T:T)/$S59,0)</f>
        <v>0</v>
      </c>
      <c r="O59" s="344">
        <f>+IFERROR(_xlfn.XLOOKUP($A59,'CONSOLIDATED CY Cash Flows'!$B:$B,'CONSOLIDATED CY Cash Flows'!U:U)/$S59,0)</f>
        <v>0</v>
      </c>
      <c r="P59" s="344">
        <f>+IFERROR(_xlfn.XLOOKUP($A59,'CONSOLIDATED CY Cash Flows'!$B:$B,'CONSOLIDATED CY Cash Flows'!V:V)/$S59,0)</f>
        <v>0</v>
      </c>
      <c r="Q59" s="344">
        <f>+IFERROR(_xlfn.XLOOKUP($A59,'CONSOLIDATED CY Cash Flows'!$B:$B,'CONSOLIDATED CY Cash Flows'!W:W)/$S59,0)</f>
        <v>0</v>
      </c>
      <c r="R59" s="340">
        <f t="shared" si="0"/>
        <v>0.99999999999999989</v>
      </c>
      <c r="S59" s="501">
        <f>+IFERROR(_xlfn.XLOOKUP($A59,'CONSOLIDATED CY Cash Flows'!$B:$B,'CONSOLIDATED CY Cash Flows'!$H:$H),0)</f>
        <v>3000</v>
      </c>
      <c r="T59" s="501">
        <f t="shared" si="1"/>
        <v>1915.9399999999994</v>
      </c>
      <c r="U59" s="501">
        <f t="shared" si="2"/>
        <v>1084.0600000000006</v>
      </c>
    </row>
    <row r="60" spans="1:21" ht="13.5" hidden="1" customHeight="1" x14ac:dyDescent="0.75">
      <c r="A60" s="349">
        <v>4325</v>
      </c>
      <c r="B60" s="350" t="s">
        <v>1417</v>
      </c>
      <c r="C60" s="344">
        <f>+IFERROR(_xlfn.XLOOKUP($A60,'CONSOLIDATED CY Cash Flows'!$B:$B,'CONSOLIDATED CY Cash Flows'!I:I)/$S60,0)</f>
        <v>0</v>
      </c>
      <c r="D60" s="344">
        <f>+IFERROR(_xlfn.XLOOKUP($A60,'CONSOLIDATED CY Cash Flows'!$B:$B,'CONSOLIDATED CY Cash Flows'!J:J)/$S60,0)</f>
        <v>0</v>
      </c>
      <c r="E60" s="344">
        <f>+IFERROR(_xlfn.XLOOKUP($A60,'CONSOLIDATED CY Cash Flows'!$B:$B,'CONSOLIDATED CY Cash Flows'!K:K)/$S60,0)</f>
        <v>0</v>
      </c>
      <c r="F60" s="344">
        <f>+IFERROR(_xlfn.XLOOKUP($A60,'CONSOLIDATED CY Cash Flows'!$B:$B,'CONSOLIDATED CY Cash Flows'!L:L)/$S60,0)</f>
        <v>0</v>
      </c>
      <c r="G60" s="344">
        <f>+IFERROR(_xlfn.XLOOKUP($A60,'CONSOLIDATED CY Cash Flows'!$B:$B,'CONSOLIDATED CY Cash Flows'!M:M)/$S60,0)</f>
        <v>0</v>
      </c>
      <c r="H60" s="344">
        <f>+IFERROR(_xlfn.XLOOKUP($A60,'CONSOLIDATED CY Cash Flows'!$B:$B,'CONSOLIDATED CY Cash Flows'!N:N)/$S60,0)</f>
        <v>0</v>
      </c>
      <c r="I60" s="344">
        <f>+IFERROR(_xlfn.XLOOKUP($A60,'CONSOLIDATED CY Cash Flows'!$B:$B,'CONSOLIDATED CY Cash Flows'!O:O)/$S60,0)</f>
        <v>0</v>
      </c>
      <c r="J60" s="344">
        <f>+IFERROR(_xlfn.XLOOKUP($A60,'CONSOLIDATED CY Cash Flows'!$B:$B,'CONSOLIDATED CY Cash Flows'!P:P)/$S60,0)</f>
        <v>0</v>
      </c>
      <c r="K60" s="344">
        <f>+IFERROR(_xlfn.XLOOKUP($A60,'CONSOLIDATED CY Cash Flows'!$B:$B,'CONSOLIDATED CY Cash Flows'!Q:Q)/$S60,0)</f>
        <v>0</v>
      </c>
      <c r="L60" s="344">
        <f>+IFERROR(_xlfn.XLOOKUP($A60,'CONSOLIDATED CY Cash Flows'!$B:$B,'CONSOLIDATED CY Cash Flows'!R:R)/$S60,0)</f>
        <v>0</v>
      </c>
      <c r="M60" s="344">
        <f>+IFERROR(_xlfn.XLOOKUP($A60,'CONSOLIDATED CY Cash Flows'!$B:$B,'CONSOLIDATED CY Cash Flows'!S:S)/$S60,0)</f>
        <v>0</v>
      </c>
      <c r="N60" s="344">
        <f>+IFERROR(_xlfn.XLOOKUP($A60,'CONSOLIDATED CY Cash Flows'!$B:$B,'CONSOLIDATED CY Cash Flows'!T:T)/$S60,0)</f>
        <v>0</v>
      </c>
      <c r="O60" s="344">
        <f>+IFERROR(_xlfn.XLOOKUP($A60,'CONSOLIDATED CY Cash Flows'!$B:$B,'CONSOLIDATED CY Cash Flows'!U:U)/$S60,0)</f>
        <v>0</v>
      </c>
      <c r="P60" s="344">
        <f>+IFERROR(_xlfn.XLOOKUP($A60,'CONSOLIDATED CY Cash Flows'!$B:$B,'CONSOLIDATED CY Cash Flows'!V:V)/$S60,0)</f>
        <v>0</v>
      </c>
      <c r="Q60" s="344">
        <f>+IFERROR(_xlfn.XLOOKUP($A60,'CONSOLIDATED CY Cash Flows'!$B:$B,'CONSOLIDATED CY Cash Flows'!W:W)/$S60,0)</f>
        <v>0</v>
      </c>
      <c r="R60" s="340">
        <f t="shared" si="0"/>
        <v>0</v>
      </c>
      <c r="S60" s="501">
        <f>+IFERROR(_xlfn.XLOOKUP($A60,'CONSOLIDATED CY Cash Flows'!$B:$B,'CONSOLIDATED CY Cash Flows'!$H:$H),0)</f>
        <v>0</v>
      </c>
      <c r="T60" s="501">
        <f t="shared" si="1"/>
        <v>0</v>
      </c>
      <c r="U60" s="501">
        <f t="shared" si="2"/>
        <v>0</v>
      </c>
    </row>
    <row r="61" spans="1:21" ht="13.5" hidden="1" customHeight="1" x14ac:dyDescent="0.75">
      <c r="A61" s="349">
        <v>4326</v>
      </c>
      <c r="B61" s="350" t="s">
        <v>1418</v>
      </c>
      <c r="C61" s="344">
        <f>+IFERROR(_xlfn.XLOOKUP($A61,'CONSOLIDATED CY Cash Flows'!$B:$B,'CONSOLIDATED CY Cash Flows'!I:I)/$S61,0)</f>
        <v>0</v>
      </c>
      <c r="D61" s="344">
        <f>+IFERROR(_xlfn.XLOOKUP($A61,'CONSOLIDATED CY Cash Flows'!$B:$B,'CONSOLIDATED CY Cash Flows'!J:J)/$S61,0)</f>
        <v>0</v>
      </c>
      <c r="E61" s="344">
        <f>+IFERROR(_xlfn.XLOOKUP($A61,'CONSOLIDATED CY Cash Flows'!$B:$B,'CONSOLIDATED CY Cash Flows'!K:K)/$S61,0)</f>
        <v>0</v>
      </c>
      <c r="F61" s="344">
        <f>+IFERROR(_xlfn.XLOOKUP($A61,'CONSOLIDATED CY Cash Flows'!$B:$B,'CONSOLIDATED CY Cash Flows'!L:L)/$S61,0)</f>
        <v>0</v>
      </c>
      <c r="G61" s="344">
        <f>+IFERROR(_xlfn.XLOOKUP($A61,'CONSOLIDATED CY Cash Flows'!$B:$B,'CONSOLIDATED CY Cash Flows'!M:M)/$S61,0)</f>
        <v>0</v>
      </c>
      <c r="H61" s="344">
        <f>+IFERROR(_xlfn.XLOOKUP($A61,'CONSOLIDATED CY Cash Flows'!$B:$B,'CONSOLIDATED CY Cash Flows'!N:N)/$S61,0)</f>
        <v>0</v>
      </c>
      <c r="I61" s="344">
        <f>+IFERROR(_xlfn.XLOOKUP($A61,'CONSOLIDATED CY Cash Flows'!$B:$B,'CONSOLIDATED CY Cash Flows'!O:O)/$S61,0)</f>
        <v>0</v>
      </c>
      <c r="J61" s="344">
        <f>+IFERROR(_xlfn.XLOOKUP($A61,'CONSOLIDATED CY Cash Flows'!$B:$B,'CONSOLIDATED CY Cash Flows'!P:P)/$S61,0)</f>
        <v>0</v>
      </c>
      <c r="K61" s="344">
        <f>+IFERROR(_xlfn.XLOOKUP($A61,'CONSOLIDATED CY Cash Flows'!$B:$B,'CONSOLIDATED CY Cash Flows'!Q:Q)/$S61,0)</f>
        <v>0</v>
      </c>
      <c r="L61" s="344">
        <f>+IFERROR(_xlfn.XLOOKUP($A61,'CONSOLIDATED CY Cash Flows'!$B:$B,'CONSOLIDATED CY Cash Flows'!R:R)/$S61,0)</f>
        <v>0</v>
      </c>
      <c r="M61" s="344">
        <f>+IFERROR(_xlfn.XLOOKUP($A61,'CONSOLIDATED CY Cash Flows'!$B:$B,'CONSOLIDATED CY Cash Flows'!S:S)/$S61,0)</f>
        <v>0</v>
      </c>
      <c r="N61" s="344">
        <f>+IFERROR(_xlfn.XLOOKUP($A61,'CONSOLIDATED CY Cash Flows'!$B:$B,'CONSOLIDATED CY Cash Flows'!T:T)/$S61,0)</f>
        <v>0</v>
      </c>
      <c r="O61" s="344">
        <f>+IFERROR(_xlfn.XLOOKUP($A61,'CONSOLIDATED CY Cash Flows'!$B:$B,'CONSOLIDATED CY Cash Flows'!U:U)/$S61,0)</f>
        <v>0</v>
      </c>
      <c r="P61" s="344">
        <f>+IFERROR(_xlfn.XLOOKUP($A61,'CONSOLIDATED CY Cash Flows'!$B:$B,'CONSOLIDATED CY Cash Flows'!V:V)/$S61,0)</f>
        <v>0</v>
      </c>
      <c r="Q61" s="344">
        <f>+IFERROR(_xlfn.XLOOKUP($A61,'CONSOLIDATED CY Cash Flows'!$B:$B,'CONSOLIDATED CY Cash Flows'!W:W)/$S61,0)</f>
        <v>0</v>
      </c>
      <c r="R61" s="340">
        <f t="shared" si="0"/>
        <v>0</v>
      </c>
      <c r="S61" s="501">
        <f>+IFERROR(_xlfn.XLOOKUP($A61,'CONSOLIDATED CY Cash Flows'!$B:$B,'CONSOLIDATED CY Cash Flows'!$H:$H),0)</f>
        <v>0</v>
      </c>
      <c r="T61" s="501">
        <f t="shared" si="1"/>
        <v>0</v>
      </c>
      <c r="U61" s="501">
        <f t="shared" si="2"/>
        <v>0</v>
      </c>
    </row>
    <row r="62" spans="1:21" ht="14.25" hidden="1" customHeight="1" x14ac:dyDescent="0.75">
      <c r="A62" s="349">
        <v>4330</v>
      </c>
      <c r="B62" s="350" t="s">
        <v>1419</v>
      </c>
      <c r="C62" s="344">
        <f>+IFERROR(_xlfn.XLOOKUP($A62,'CONSOLIDATED CY Cash Flows'!$B:$B,'CONSOLIDATED CY Cash Flows'!I:I)/$S62,0)</f>
        <v>0</v>
      </c>
      <c r="D62" s="344">
        <f>+IFERROR(_xlfn.XLOOKUP($A62,'CONSOLIDATED CY Cash Flows'!$B:$B,'CONSOLIDATED CY Cash Flows'!J:J)/$S62,0)</f>
        <v>0</v>
      </c>
      <c r="E62" s="344">
        <f>+IFERROR(_xlfn.XLOOKUP($A62,'CONSOLIDATED CY Cash Flows'!$B:$B,'CONSOLIDATED CY Cash Flows'!K:K)/$S62,0)</f>
        <v>0</v>
      </c>
      <c r="F62" s="344">
        <f>+IFERROR(_xlfn.XLOOKUP($A62,'CONSOLIDATED CY Cash Flows'!$B:$B,'CONSOLIDATED CY Cash Flows'!L:L)/$S62,0)</f>
        <v>0</v>
      </c>
      <c r="G62" s="344">
        <f>+IFERROR(_xlfn.XLOOKUP($A62,'CONSOLIDATED CY Cash Flows'!$B:$B,'CONSOLIDATED CY Cash Flows'!M:M)/$S62,0)</f>
        <v>0</v>
      </c>
      <c r="H62" s="344">
        <f>+IFERROR(_xlfn.XLOOKUP($A62,'CONSOLIDATED CY Cash Flows'!$B:$B,'CONSOLIDATED CY Cash Flows'!N:N)/$S62,0)</f>
        <v>0</v>
      </c>
      <c r="I62" s="344">
        <f>+IFERROR(_xlfn.XLOOKUP($A62,'CONSOLIDATED CY Cash Flows'!$B:$B,'CONSOLIDATED CY Cash Flows'!O:O)/$S62,0)</f>
        <v>0</v>
      </c>
      <c r="J62" s="344">
        <f>+IFERROR(_xlfn.XLOOKUP($A62,'CONSOLIDATED CY Cash Flows'!$B:$B,'CONSOLIDATED CY Cash Flows'!P:P)/$S62,0)</f>
        <v>0</v>
      </c>
      <c r="K62" s="344">
        <f>+IFERROR(_xlfn.XLOOKUP($A62,'CONSOLIDATED CY Cash Flows'!$B:$B,'CONSOLIDATED CY Cash Flows'!Q:Q)/$S62,0)</f>
        <v>0</v>
      </c>
      <c r="L62" s="344">
        <f>+IFERROR(_xlfn.XLOOKUP($A62,'CONSOLIDATED CY Cash Flows'!$B:$B,'CONSOLIDATED CY Cash Flows'!R:R)/$S62,0)</f>
        <v>0</v>
      </c>
      <c r="M62" s="344">
        <f>+IFERROR(_xlfn.XLOOKUP($A62,'CONSOLIDATED CY Cash Flows'!$B:$B,'CONSOLIDATED CY Cash Flows'!S:S)/$S62,0)</f>
        <v>0</v>
      </c>
      <c r="N62" s="344">
        <f>+IFERROR(_xlfn.XLOOKUP($A62,'CONSOLIDATED CY Cash Flows'!$B:$B,'CONSOLIDATED CY Cash Flows'!T:T)/$S62,0)</f>
        <v>0</v>
      </c>
      <c r="O62" s="344">
        <f>+IFERROR(_xlfn.XLOOKUP($A62,'CONSOLIDATED CY Cash Flows'!$B:$B,'CONSOLIDATED CY Cash Flows'!U:U)/$S62,0)</f>
        <v>0</v>
      </c>
      <c r="P62" s="344">
        <f>+IFERROR(_xlfn.XLOOKUP($A62,'CONSOLIDATED CY Cash Flows'!$B:$B,'CONSOLIDATED CY Cash Flows'!V:V)/$S62,0)</f>
        <v>0</v>
      </c>
      <c r="Q62" s="344">
        <f>+IFERROR(_xlfn.XLOOKUP($A62,'CONSOLIDATED CY Cash Flows'!$B:$B,'CONSOLIDATED CY Cash Flows'!W:W)/$S62,0)</f>
        <v>0</v>
      </c>
      <c r="R62" s="340">
        <f t="shared" si="0"/>
        <v>0</v>
      </c>
      <c r="S62" s="501">
        <f>+IFERROR(_xlfn.XLOOKUP($A62,'CONSOLIDATED CY Cash Flows'!$B:$B,'CONSOLIDATED CY Cash Flows'!$H:$H),0)</f>
        <v>0</v>
      </c>
      <c r="T62" s="501">
        <f t="shared" si="1"/>
        <v>0</v>
      </c>
      <c r="U62" s="501">
        <f t="shared" si="2"/>
        <v>0</v>
      </c>
    </row>
    <row r="63" spans="1:21" ht="13.5" hidden="1" customHeight="1" x14ac:dyDescent="0.75">
      <c r="A63" s="349">
        <v>4342</v>
      </c>
      <c r="B63" s="350" t="s">
        <v>1420</v>
      </c>
      <c r="C63" s="344">
        <f>+IFERROR(_xlfn.XLOOKUP($A63,'CONSOLIDATED CY Cash Flows'!$B:$B,'CONSOLIDATED CY Cash Flows'!I:I)/$S63,0)</f>
        <v>0</v>
      </c>
      <c r="D63" s="344">
        <f>+IFERROR(_xlfn.XLOOKUP($A63,'CONSOLIDATED CY Cash Flows'!$B:$B,'CONSOLIDATED CY Cash Flows'!J:J)/$S63,0)</f>
        <v>0</v>
      </c>
      <c r="E63" s="344">
        <f>+IFERROR(_xlfn.XLOOKUP($A63,'CONSOLIDATED CY Cash Flows'!$B:$B,'CONSOLIDATED CY Cash Flows'!K:K)/$S63,0)</f>
        <v>0</v>
      </c>
      <c r="F63" s="344">
        <f>+IFERROR(_xlfn.XLOOKUP($A63,'CONSOLIDATED CY Cash Flows'!$B:$B,'CONSOLIDATED CY Cash Flows'!L:L)/$S63,0)</f>
        <v>0</v>
      </c>
      <c r="G63" s="344">
        <f>+IFERROR(_xlfn.XLOOKUP($A63,'CONSOLIDATED CY Cash Flows'!$B:$B,'CONSOLIDATED CY Cash Flows'!M:M)/$S63,0)</f>
        <v>0</v>
      </c>
      <c r="H63" s="344">
        <f>+IFERROR(_xlfn.XLOOKUP($A63,'CONSOLIDATED CY Cash Flows'!$B:$B,'CONSOLIDATED CY Cash Flows'!N:N)/$S63,0)</f>
        <v>0</v>
      </c>
      <c r="I63" s="344">
        <f>+IFERROR(_xlfn.XLOOKUP($A63,'CONSOLIDATED CY Cash Flows'!$B:$B,'CONSOLIDATED CY Cash Flows'!O:O)/$S63,0)</f>
        <v>0</v>
      </c>
      <c r="J63" s="344">
        <f>+IFERROR(_xlfn.XLOOKUP($A63,'CONSOLIDATED CY Cash Flows'!$B:$B,'CONSOLIDATED CY Cash Flows'!P:P)/$S63,0)</f>
        <v>0</v>
      </c>
      <c r="K63" s="344">
        <f>+IFERROR(_xlfn.XLOOKUP($A63,'CONSOLIDATED CY Cash Flows'!$B:$B,'CONSOLIDATED CY Cash Flows'!Q:Q)/$S63,0)</f>
        <v>0</v>
      </c>
      <c r="L63" s="344">
        <f>+IFERROR(_xlfn.XLOOKUP($A63,'CONSOLIDATED CY Cash Flows'!$B:$B,'CONSOLIDATED CY Cash Flows'!R:R)/$S63,0)</f>
        <v>0</v>
      </c>
      <c r="M63" s="344">
        <f>+IFERROR(_xlfn.XLOOKUP($A63,'CONSOLIDATED CY Cash Flows'!$B:$B,'CONSOLIDATED CY Cash Flows'!S:S)/$S63,0)</f>
        <v>0</v>
      </c>
      <c r="N63" s="344">
        <f>+IFERROR(_xlfn.XLOOKUP($A63,'CONSOLIDATED CY Cash Flows'!$B:$B,'CONSOLIDATED CY Cash Flows'!T:T)/$S63,0)</f>
        <v>0</v>
      </c>
      <c r="O63" s="344">
        <f>+IFERROR(_xlfn.XLOOKUP($A63,'CONSOLIDATED CY Cash Flows'!$B:$B,'CONSOLIDATED CY Cash Flows'!U:U)/$S63,0)</f>
        <v>0</v>
      </c>
      <c r="P63" s="344">
        <f>+IFERROR(_xlfn.XLOOKUP($A63,'CONSOLIDATED CY Cash Flows'!$B:$B,'CONSOLIDATED CY Cash Flows'!V:V)/$S63,0)</f>
        <v>0</v>
      </c>
      <c r="Q63" s="344">
        <f>+IFERROR(_xlfn.XLOOKUP($A63,'CONSOLIDATED CY Cash Flows'!$B:$B,'CONSOLIDATED CY Cash Flows'!W:W)/$S63,0)</f>
        <v>0</v>
      </c>
      <c r="R63" s="340">
        <f t="shared" si="0"/>
        <v>0</v>
      </c>
      <c r="S63" s="501">
        <f>+IFERROR(_xlfn.XLOOKUP($A63,'CONSOLIDATED CY Cash Flows'!$B:$B,'CONSOLIDATED CY Cash Flows'!$H:$H),0)</f>
        <v>0</v>
      </c>
      <c r="T63" s="501">
        <f t="shared" si="1"/>
        <v>0</v>
      </c>
      <c r="U63" s="501">
        <f t="shared" si="2"/>
        <v>0</v>
      </c>
    </row>
    <row r="64" spans="1:21" ht="14.25" hidden="1" customHeight="1" x14ac:dyDescent="0.75">
      <c r="A64" s="349">
        <v>4350</v>
      </c>
      <c r="B64" s="350" t="s">
        <v>1421</v>
      </c>
      <c r="C64" s="344">
        <f>+IFERROR(_xlfn.XLOOKUP($A64,'CONSOLIDATED CY Cash Flows'!$B:$B,'CONSOLIDATED CY Cash Flows'!I:I)/$S64,0)</f>
        <v>0</v>
      </c>
      <c r="D64" s="344">
        <f>+IFERROR(_xlfn.XLOOKUP($A64,'CONSOLIDATED CY Cash Flows'!$B:$B,'CONSOLIDATED CY Cash Flows'!J:J)/$S64,0)</f>
        <v>0</v>
      </c>
      <c r="E64" s="344">
        <f>+IFERROR(_xlfn.XLOOKUP($A64,'CONSOLIDATED CY Cash Flows'!$B:$B,'CONSOLIDATED CY Cash Flows'!K:K)/$S64,0)</f>
        <v>0</v>
      </c>
      <c r="F64" s="344">
        <f>+IFERROR(_xlfn.XLOOKUP($A64,'CONSOLIDATED CY Cash Flows'!$B:$B,'CONSOLIDATED CY Cash Flows'!L:L)/$S64,0)</f>
        <v>0</v>
      </c>
      <c r="G64" s="344">
        <f>+IFERROR(_xlfn.XLOOKUP($A64,'CONSOLIDATED CY Cash Flows'!$B:$B,'CONSOLIDATED CY Cash Flows'!M:M)/$S64,0)</f>
        <v>0</v>
      </c>
      <c r="H64" s="344">
        <f>+IFERROR(_xlfn.XLOOKUP($A64,'CONSOLIDATED CY Cash Flows'!$B:$B,'CONSOLIDATED CY Cash Flows'!N:N)/$S64,0)</f>
        <v>0</v>
      </c>
      <c r="I64" s="344">
        <f>+IFERROR(_xlfn.XLOOKUP($A64,'CONSOLIDATED CY Cash Flows'!$B:$B,'CONSOLIDATED CY Cash Flows'!O:O)/$S64,0)</f>
        <v>0</v>
      </c>
      <c r="J64" s="344">
        <f>+IFERROR(_xlfn.XLOOKUP($A64,'CONSOLIDATED CY Cash Flows'!$B:$B,'CONSOLIDATED CY Cash Flows'!P:P)/$S64,0)</f>
        <v>0</v>
      </c>
      <c r="K64" s="344">
        <f>+IFERROR(_xlfn.XLOOKUP($A64,'CONSOLIDATED CY Cash Flows'!$B:$B,'CONSOLIDATED CY Cash Flows'!Q:Q)/$S64,0)</f>
        <v>0</v>
      </c>
      <c r="L64" s="344">
        <f>+IFERROR(_xlfn.XLOOKUP($A64,'CONSOLIDATED CY Cash Flows'!$B:$B,'CONSOLIDATED CY Cash Flows'!R:R)/$S64,0)</f>
        <v>0</v>
      </c>
      <c r="M64" s="344">
        <f>+IFERROR(_xlfn.XLOOKUP($A64,'CONSOLIDATED CY Cash Flows'!$B:$B,'CONSOLIDATED CY Cash Flows'!S:S)/$S64,0)</f>
        <v>0</v>
      </c>
      <c r="N64" s="344">
        <f>+IFERROR(_xlfn.XLOOKUP($A64,'CONSOLIDATED CY Cash Flows'!$B:$B,'CONSOLIDATED CY Cash Flows'!T:T)/$S64,0)</f>
        <v>0</v>
      </c>
      <c r="O64" s="344">
        <f>+IFERROR(_xlfn.XLOOKUP($A64,'CONSOLIDATED CY Cash Flows'!$B:$B,'CONSOLIDATED CY Cash Flows'!U:U)/$S64,0)</f>
        <v>0</v>
      </c>
      <c r="P64" s="344">
        <f>+IFERROR(_xlfn.XLOOKUP($A64,'CONSOLIDATED CY Cash Flows'!$B:$B,'CONSOLIDATED CY Cash Flows'!V:V)/$S64,0)</f>
        <v>0</v>
      </c>
      <c r="Q64" s="344">
        <f>+IFERROR(_xlfn.XLOOKUP($A64,'CONSOLIDATED CY Cash Flows'!$B:$B,'CONSOLIDATED CY Cash Flows'!W:W)/$S64,0)</f>
        <v>0</v>
      </c>
      <c r="R64" s="340">
        <f t="shared" si="0"/>
        <v>0</v>
      </c>
      <c r="S64" s="501">
        <f>+IFERROR(_xlfn.XLOOKUP($A64,'CONSOLIDATED CY Cash Flows'!$B:$B,'CONSOLIDATED CY Cash Flows'!$H:$H),0)</f>
        <v>0</v>
      </c>
      <c r="T64" s="501">
        <f t="shared" si="1"/>
        <v>0</v>
      </c>
      <c r="U64" s="501">
        <f t="shared" si="2"/>
        <v>0</v>
      </c>
    </row>
    <row r="65" spans="1:21" ht="16.5" hidden="1" customHeight="1" x14ac:dyDescent="0.75">
      <c r="A65" s="349">
        <v>4354</v>
      </c>
      <c r="B65" s="350" t="s">
        <v>1422</v>
      </c>
      <c r="C65" s="344">
        <f>+IFERROR(_xlfn.XLOOKUP($A65,'CONSOLIDATED CY Cash Flows'!$B:$B,'CONSOLIDATED CY Cash Flows'!I:I)/$S65,0)</f>
        <v>0</v>
      </c>
      <c r="D65" s="344">
        <f>+IFERROR(_xlfn.XLOOKUP($A65,'CONSOLIDATED CY Cash Flows'!$B:$B,'CONSOLIDATED CY Cash Flows'!J:J)/$S65,0)</f>
        <v>0</v>
      </c>
      <c r="E65" s="344">
        <f>+IFERROR(_xlfn.XLOOKUP($A65,'CONSOLIDATED CY Cash Flows'!$B:$B,'CONSOLIDATED CY Cash Flows'!K:K)/$S65,0)</f>
        <v>0</v>
      </c>
      <c r="F65" s="344">
        <f>+IFERROR(_xlfn.XLOOKUP($A65,'CONSOLIDATED CY Cash Flows'!$B:$B,'CONSOLIDATED CY Cash Flows'!L:L)/$S65,0)</f>
        <v>0</v>
      </c>
      <c r="G65" s="344">
        <f>+IFERROR(_xlfn.XLOOKUP($A65,'CONSOLIDATED CY Cash Flows'!$B:$B,'CONSOLIDATED CY Cash Flows'!M:M)/$S65,0)</f>
        <v>0</v>
      </c>
      <c r="H65" s="344">
        <f>+IFERROR(_xlfn.XLOOKUP($A65,'CONSOLIDATED CY Cash Flows'!$B:$B,'CONSOLIDATED CY Cash Flows'!N:N)/$S65,0)</f>
        <v>0</v>
      </c>
      <c r="I65" s="344">
        <f>+IFERROR(_xlfn.XLOOKUP($A65,'CONSOLIDATED CY Cash Flows'!$B:$B,'CONSOLIDATED CY Cash Flows'!O:O)/$S65,0)</f>
        <v>0</v>
      </c>
      <c r="J65" s="344">
        <f>+IFERROR(_xlfn.XLOOKUP($A65,'CONSOLIDATED CY Cash Flows'!$B:$B,'CONSOLIDATED CY Cash Flows'!P:P)/$S65,0)</f>
        <v>0</v>
      </c>
      <c r="K65" s="344">
        <f>+IFERROR(_xlfn.XLOOKUP($A65,'CONSOLIDATED CY Cash Flows'!$B:$B,'CONSOLIDATED CY Cash Flows'!Q:Q)/$S65,0)</f>
        <v>0</v>
      </c>
      <c r="L65" s="344">
        <f>+IFERROR(_xlfn.XLOOKUP($A65,'CONSOLIDATED CY Cash Flows'!$B:$B,'CONSOLIDATED CY Cash Flows'!R:R)/$S65,0)</f>
        <v>0</v>
      </c>
      <c r="M65" s="344">
        <f>+IFERROR(_xlfn.XLOOKUP($A65,'CONSOLIDATED CY Cash Flows'!$B:$B,'CONSOLIDATED CY Cash Flows'!S:S)/$S65,0)</f>
        <v>0</v>
      </c>
      <c r="N65" s="344">
        <f>+IFERROR(_xlfn.XLOOKUP($A65,'CONSOLIDATED CY Cash Flows'!$B:$B,'CONSOLIDATED CY Cash Flows'!T:T)/$S65,0)</f>
        <v>0</v>
      </c>
      <c r="O65" s="344">
        <f>+IFERROR(_xlfn.XLOOKUP($A65,'CONSOLIDATED CY Cash Flows'!$B:$B,'CONSOLIDATED CY Cash Flows'!U:U)/$S65,0)</f>
        <v>0</v>
      </c>
      <c r="P65" s="344">
        <f>+IFERROR(_xlfn.XLOOKUP($A65,'CONSOLIDATED CY Cash Flows'!$B:$B,'CONSOLIDATED CY Cash Flows'!V:V)/$S65,0)</f>
        <v>0</v>
      </c>
      <c r="Q65" s="344">
        <f>+IFERROR(_xlfn.XLOOKUP($A65,'CONSOLIDATED CY Cash Flows'!$B:$B,'CONSOLIDATED CY Cash Flows'!W:W)/$S65,0)</f>
        <v>0</v>
      </c>
      <c r="R65" s="340">
        <f t="shared" si="0"/>
        <v>0</v>
      </c>
      <c r="S65" s="501">
        <f>+IFERROR(_xlfn.XLOOKUP($A65,'CONSOLIDATED CY Cash Flows'!$B:$B,'CONSOLIDATED CY Cash Flows'!$H:$H),0)</f>
        <v>0</v>
      </c>
      <c r="T65" s="501">
        <f t="shared" si="1"/>
        <v>0</v>
      </c>
      <c r="U65" s="501">
        <f t="shared" si="2"/>
        <v>0</v>
      </c>
    </row>
    <row r="66" spans="1:21" ht="13.5" hidden="1" customHeight="1" x14ac:dyDescent="0.75">
      <c r="A66" s="349">
        <v>4381</v>
      </c>
      <c r="B66" s="350" t="s">
        <v>1423</v>
      </c>
      <c r="C66" s="344">
        <f>+IFERROR(_xlfn.XLOOKUP($A66,'CONSOLIDATED CY Cash Flows'!$B:$B,'CONSOLIDATED CY Cash Flows'!I:I)/$S66,0)</f>
        <v>0</v>
      </c>
      <c r="D66" s="344">
        <f>+IFERROR(_xlfn.XLOOKUP($A66,'CONSOLIDATED CY Cash Flows'!$B:$B,'CONSOLIDATED CY Cash Flows'!J:J)/$S66,0)</f>
        <v>0</v>
      </c>
      <c r="E66" s="344">
        <f>+IFERROR(_xlfn.XLOOKUP($A66,'CONSOLIDATED CY Cash Flows'!$B:$B,'CONSOLIDATED CY Cash Flows'!K:K)/$S66,0)</f>
        <v>0</v>
      </c>
      <c r="F66" s="344">
        <f>+IFERROR(_xlfn.XLOOKUP($A66,'CONSOLIDATED CY Cash Flows'!$B:$B,'CONSOLIDATED CY Cash Flows'!L:L)/$S66,0)</f>
        <v>0</v>
      </c>
      <c r="G66" s="344">
        <f>+IFERROR(_xlfn.XLOOKUP($A66,'CONSOLIDATED CY Cash Flows'!$B:$B,'CONSOLIDATED CY Cash Flows'!M:M)/$S66,0)</f>
        <v>0</v>
      </c>
      <c r="H66" s="344">
        <f>+IFERROR(_xlfn.XLOOKUP($A66,'CONSOLIDATED CY Cash Flows'!$B:$B,'CONSOLIDATED CY Cash Flows'!N:N)/$S66,0)</f>
        <v>0</v>
      </c>
      <c r="I66" s="344">
        <f>+IFERROR(_xlfn.XLOOKUP($A66,'CONSOLIDATED CY Cash Flows'!$B:$B,'CONSOLIDATED CY Cash Flows'!O:O)/$S66,0)</f>
        <v>0</v>
      </c>
      <c r="J66" s="344">
        <f>+IFERROR(_xlfn.XLOOKUP($A66,'CONSOLIDATED CY Cash Flows'!$B:$B,'CONSOLIDATED CY Cash Flows'!P:P)/$S66,0)</f>
        <v>0</v>
      </c>
      <c r="K66" s="344">
        <f>+IFERROR(_xlfn.XLOOKUP($A66,'CONSOLIDATED CY Cash Flows'!$B:$B,'CONSOLIDATED CY Cash Flows'!Q:Q)/$S66,0)</f>
        <v>0</v>
      </c>
      <c r="L66" s="344">
        <f>+IFERROR(_xlfn.XLOOKUP($A66,'CONSOLIDATED CY Cash Flows'!$B:$B,'CONSOLIDATED CY Cash Flows'!R:R)/$S66,0)</f>
        <v>0</v>
      </c>
      <c r="M66" s="344">
        <f>+IFERROR(_xlfn.XLOOKUP($A66,'CONSOLIDATED CY Cash Flows'!$B:$B,'CONSOLIDATED CY Cash Flows'!S:S)/$S66,0)</f>
        <v>0</v>
      </c>
      <c r="N66" s="344">
        <f>+IFERROR(_xlfn.XLOOKUP($A66,'CONSOLIDATED CY Cash Flows'!$B:$B,'CONSOLIDATED CY Cash Flows'!T:T)/$S66,0)</f>
        <v>0</v>
      </c>
      <c r="O66" s="344">
        <f>+IFERROR(_xlfn.XLOOKUP($A66,'CONSOLIDATED CY Cash Flows'!$B:$B,'CONSOLIDATED CY Cash Flows'!U:U)/$S66,0)</f>
        <v>0</v>
      </c>
      <c r="P66" s="344">
        <f>+IFERROR(_xlfn.XLOOKUP($A66,'CONSOLIDATED CY Cash Flows'!$B:$B,'CONSOLIDATED CY Cash Flows'!V:V)/$S66,0)</f>
        <v>0</v>
      </c>
      <c r="Q66" s="344">
        <f>+IFERROR(_xlfn.XLOOKUP($A66,'CONSOLIDATED CY Cash Flows'!$B:$B,'CONSOLIDATED CY Cash Flows'!W:W)/$S66,0)</f>
        <v>0</v>
      </c>
      <c r="R66" s="340">
        <f t="shared" si="0"/>
        <v>0</v>
      </c>
      <c r="S66" s="501">
        <f>+IFERROR(_xlfn.XLOOKUP($A66,'CONSOLIDATED CY Cash Flows'!$B:$B,'CONSOLIDATED CY Cash Flows'!$H:$H),0)</f>
        <v>0</v>
      </c>
      <c r="T66" s="501">
        <f t="shared" si="1"/>
        <v>0</v>
      </c>
      <c r="U66" s="501">
        <f t="shared" si="2"/>
        <v>0</v>
      </c>
    </row>
    <row r="67" spans="1:21" ht="13.5" customHeight="1" x14ac:dyDescent="0.75">
      <c r="A67" s="349">
        <v>4400</v>
      </c>
      <c r="B67" s="350" t="s">
        <v>596</v>
      </c>
      <c r="C67" s="344">
        <f>+IFERROR(_xlfn.XLOOKUP($A67,'CONSOLIDATED CY Cash Flows'!$B:$B,'CONSOLIDATED CY Cash Flows'!I:I)/$S67,0)</f>
        <v>8.0348153846153847E-2</v>
      </c>
      <c r="D67" s="344">
        <f>+IFERROR(_xlfn.XLOOKUP($A67,'CONSOLIDATED CY Cash Flows'!$B:$B,'CONSOLIDATED CY Cash Flows'!J:J)/$S67,0)</f>
        <v>0</v>
      </c>
      <c r="E67" s="344">
        <f>+IFERROR(_xlfn.XLOOKUP($A67,'CONSOLIDATED CY Cash Flows'!$B:$B,'CONSOLIDATED CY Cash Flows'!K:K)/$S67,0)</f>
        <v>8.5270256410256411E-3</v>
      </c>
      <c r="F67" s="344">
        <f>+IFERROR(_xlfn.XLOOKUP($A67,'CONSOLIDATED CY Cash Flows'!$B:$B,'CONSOLIDATED CY Cash Flows'!L:L)/$S67,0)</f>
        <v>1.6275384615384615E-3</v>
      </c>
      <c r="G67" s="344">
        <f>+IFERROR(_xlfn.XLOOKUP($A67,'CONSOLIDATED CY Cash Flows'!$B:$B,'CONSOLIDATED CY Cash Flows'!M:M)/$S67,0)</f>
        <v>1.3619999999999999E-3</v>
      </c>
      <c r="H67" s="344">
        <f>+IFERROR(_xlfn.XLOOKUP($A67,'CONSOLIDATED CY Cash Flows'!$B:$B,'CONSOLIDATED CY Cash Flows'!N:N)/$S67,0)</f>
        <v>0</v>
      </c>
      <c r="I67" s="344">
        <f>+IFERROR(_xlfn.XLOOKUP($A67,'CONSOLIDATED CY Cash Flows'!$B:$B,'CONSOLIDATED CY Cash Flows'!O:O)/$S67,0)</f>
        <v>5.6629641025641032E-2</v>
      </c>
      <c r="J67" s="344">
        <f>+IFERROR(_xlfn.XLOOKUP($A67,'CONSOLIDATED CY Cash Flows'!$B:$B,'CONSOLIDATED CY Cash Flows'!P:P)/$S67,0)</f>
        <v>0.17030112820512822</v>
      </c>
      <c r="K67" s="344">
        <f>+IFERROR(_xlfn.XLOOKUP($A67,'CONSOLIDATED CY Cash Flows'!$B:$B,'CONSOLIDATED CY Cash Flows'!Q:Q)/$S67,0)</f>
        <v>0.17030112820512822</v>
      </c>
      <c r="L67" s="344">
        <f>+IFERROR(_xlfn.XLOOKUP($A67,'CONSOLIDATED CY Cash Flows'!$B:$B,'CONSOLIDATED CY Cash Flows'!R:R)/$S67,0)</f>
        <v>0.17030112820512822</v>
      </c>
      <c r="M67" s="344">
        <f>+IFERROR(_xlfn.XLOOKUP($A67,'CONSOLIDATED CY Cash Flows'!$B:$B,'CONSOLIDATED CY Cash Flows'!S:S)/$S67,0)</f>
        <v>0.17030112820512822</v>
      </c>
      <c r="N67" s="344">
        <f>+IFERROR(_xlfn.XLOOKUP($A67,'CONSOLIDATED CY Cash Flows'!$B:$B,'CONSOLIDATED CY Cash Flows'!T:T)/$S67,0)</f>
        <v>0.17030112820512822</v>
      </c>
      <c r="O67" s="344">
        <f>+IFERROR(_xlfn.XLOOKUP($A67,'CONSOLIDATED CY Cash Flows'!$B:$B,'CONSOLIDATED CY Cash Flows'!U:U)/$S67,0)</f>
        <v>0</v>
      </c>
      <c r="P67" s="344">
        <f>+IFERROR(_xlfn.XLOOKUP($A67,'CONSOLIDATED CY Cash Flows'!$B:$B,'CONSOLIDATED CY Cash Flows'!V:V)/$S67,0)</f>
        <v>0</v>
      </c>
      <c r="Q67" s="344">
        <f>+IFERROR(_xlfn.XLOOKUP($A67,'CONSOLIDATED CY Cash Flows'!$B:$B,'CONSOLIDATED CY Cash Flows'!W:W)/$S67,0)</f>
        <v>0</v>
      </c>
      <c r="R67" s="340">
        <f t="shared" si="0"/>
        <v>1</v>
      </c>
      <c r="S67" s="501">
        <f>+IFERROR(_xlfn.XLOOKUP($A67,'CONSOLIDATED CY Cash Flows'!$B:$B,'CONSOLIDATED CY Cash Flows'!$H:$H),0)</f>
        <v>195000</v>
      </c>
      <c r="T67" s="501">
        <f t="shared" si="1"/>
        <v>28956.400000000001</v>
      </c>
      <c r="U67" s="501">
        <f t="shared" si="2"/>
        <v>166043.6</v>
      </c>
    </row>
    <row r="68" spans="1:21" ht="13.5" customHeight="1" x14ac:dyDescent="0.75">
      <c r="A68" s="349">
        <v>4410</v>
      </c>
      <c r="B68" s="350" t="s">
        <v>1424</v>
      </c>
      <c r="C68" s="344">
        <f>+IFERROR(_xlfn.XLOOKUP($A68,'CONSOLIDATED CY Cash Flows'!$B:$B,'CONSOLIDATED CY Cash Flows'!I:I)/$S68,0)</f>
        <v>0</v>
      </c>
      <c r="D68" s="344">
        <f>+IFERROR(_xlfn.XLOOKUP($A68,'CONSOLIDATED CY Cash Flows'!$B:$B,'CONSOLIDATED CY Cash Flows'!J:J)/$S68,0)</f>
        <v>5.4548079896907214E-2</v>
      </c>
      <c r="E68" s="344">
        <f>+IFERROR(_xlfn.XLOOKUP($A68,'CONSOLIDATED CY Cash Flows'!$B:$B,'CONSOLIDATED CY Cash Flows'!K:K)/$S68,0)</f>
        <v>0</v>
      </c>
      <c r="F68" s="344">
        <f>+IFERROR(_xlfn.XLOOKUP($A68,'CONSOLIDATED CY Cash Flows'!$B:$B,'CONSOLIDATED CY Cash Flows'!L:L)/$S68,0)</f>
        <v>0.26000548969072168</v>
      </c>
      <c r="G68" s="344">
        <f>+IFERROR(_xlfn.XLOOKUP($A68,'CONSOLIDATED CY Cash Flows'!$B:$B,'CONSOLIDATED CY Cash Flows'!M:M)/$S68,0)</f>
        <v>0</v>
      </c>
      <c r="H68" s="344">
        <f>+IFERROR(_xlfn.XLOOKUP($A68,'CONSOLIDATED CY Cash Flows'!$B:$B,'CONSOLIDATED CY Cash Flows'!N:N)/$S68,0)</f>
        <v>0</v>
      </c>
      <c r="I68" s="344">
        <f>+IFERROR(_xlfn.XLOOKUP($A68,'CONSOLIDATED CY Cash Flows'!$B:$B,'CONSOLIDATED CY Cash Flows'!O:O)/$S68,0)</f>
        <v>5.6457074742268042E-2</v>
      </c>
      <c r="J68" s="344">
        <f>+IFERROR(_xlfn.XLOOKUP($A68,'CONSOLIDATED CY Cash Flows'!$B:$B,'CONSOLIDATED CY Cash Flows'!P:P)/$S68,0)</f>
        <v>0.20966311855670103</v>
      </c>
      <c r="K68" s="344">
        <f>+IFERROR(_xlfn.XLOOKUP($A68,'CONSOLIDATED CY Cash Flows'!$B:$B,'CONSOLIDATED CY Cash Flows'!Q:Q)/$S68,0)</f>
        <v>0.20966311855670103</v>
      </c>
      <c r="L68" s="344">
        <f>+IFERROR(_xlfn.XLOOKUP($A68,'CONSOLIDATED CY Cash Flows'!$B:$B,'CONSOLIDATED CY Cash Flows'!R:R)/$S68,0)</f>
        <v>0.20966311855670103</v>
      </c>
      <c r="M68" s="344">
        <f>+IFERROR(_xlfn.XLOOKUP($A68,'CONSOLIDATED CY Cash Flows'!$B:$B,'CONSOLIDATED CY Cash Flows'!S:S)/$S68,0)</f>
        <v>0</v>
      </c>
      <c r="N68" s="344">
        <f>+IFERROR(_xlfn.XLOOKUP($A68,'CONSOLIDATED CY Cash Flows'!$B:$B,'CONSOLIDATED CY Cash Flows'!T:T)/$S68,0)</f>
        <v>0</v>
      </c>
      <c r="O68" s="344">
        <f>+IFERROR(_xlfn.XLOOKUP($A68,'CONSOLIDATED CY Cash Flows'!$B:$B,'CONSOLIDATED CY Cash Flows'!U:U)/$S68,0)</f>
        <v>0</v>
      </c>
      <c r="P68" s="344">
        <f>+IFERROR(_xlfn.XLOOKUP($A68,'CONSOLIDATED CY Cash Flows'!$B:$B,'CONSOLIDATED CY Cash Flows'!V:V)/$S68,0)</f>
        <v>0</v>
      </c>
      <c r="Q68" s="344">
        <f>+IFERROR(_xlfn.XLOOKUP($A68,'CONSOLIDATED CY Cash Flows'!$B:$B,'CONSOLIDATED CY Cash Flows'!W:W)/$S68,0)</f>
        <v>0</v>
      </c>
      <c r="R68" s="340">
        <f t="shared" si="0"/>
        <v>1</v>
      </c>
      <c r="S68" s="501">
        <f>+IFERROR(_xlfn.XLOOKUP($A68,'CONSOLIDATED CY Cash Flows'!$B:$B,'CONSOLIDATED CY Cash Flows'!$H:$H),0)</f>
        <v>776000</v>
      </c>
      <c r="T68" s="501">
        <f t="shared" si="1"/>
        <v>287904.26</v>
      </c>
      <c r="U68" s="501">
        <f t="shared" si="2"/>
        <v>488095.74</v>
      </c>
    </row>
    <row r="69" spans="1:21" ht="13.5" customHeight="1" x14ac:dyDescent="0.75">
      <c r="A69" s="349">
        <v>4430</v>
      </c>
      <c r="B69" s="350" t="s">
        <v>834</v>
      </c>
      <c r="C69" s="344">
        <f>+IFERROR(_xlfn.XLOOKUP($A69,'CONSOLIDATED CY Cash Flows'!$B:$B,'CONSOLIDATED CY Cash Flows'!I:I)/$S69,0)</f>
        <v>0</v>
      </c>
      <c r="D69" s="344">
        <f>+IFERROR(_xlfn.XLOOKUP($A69,'CONSOLIDATED CY Cash Flows'!$B:$B,'CONSOLIDATED CY Cash Flows'!J:J)/$S69,0)</f>
        <v>0</v>
      </c>
      <c r="E69" s="344">
        <f>+IFERROR(_xlfn.XLOOKUP($A69,'CONSOLIDATED CY Cash Flows'!$B:$B,'CONSOLIDATED CY Cash Flows'!K:K)/$S69,0)</f>
        <v>0.29196933333333336</v>
      </c>
      <c r="F69" s="344">
        <f>+IFERROR(_xlfn.XLOOKUP($A69,'CONSOLIDATED CY Cash Flows'!$B:$B,'CONSOLIDATED CY Cash Flows'!L:L)/$S69,0)</f>
        <v>9.7479999999999997E-3</v>
      </c>
      <c r="G69" s="344">
        <f>+IFERROR(_xlfn.XLOOKUP($A69,'CONSOLIDATED CY Cash Flows'!$B:$B,'CONSOLIDATED CY Cash Flows'!M:M)/$S69,0)</f>
        <v>1.1181333333333333E-2</v>
      </c>
      <c r="H69" s="344">
        <f>+IFERROR(_xlfn.XLOOKUP($A69,'CONSOLIDATED CY Cash Flows'!$B:$B,'CONSOLIDATED CY Cash Flows'!N:N)/$S69,0)</f>
        <v>0</v>
      </c>
      <c r="I69" s="344">
        <f>+IFERROR(_xlfn.XLOOKUP($A69,'CONSOLIDATED CY Cash Flows'!$B:$B,'CONSOLIDATED CY Cash Flows'!O:O)/$S69,0)</f>
        <v>0</v>
      </c>
      <c r="J69" s="344">
        <f>+IFERROR(_xlfn.XLOOKUP($A69,'CONSOLIDATED CY Cash Flows'!$B:$B,'CONSOLIDATED CY Cash Flows'!P:P)/$S69,0)</f>
        <v>0.13742026666666668</v>
      </c>
      <c r="K69" s="344">
        <f>+IFERROR(_xlfn.XLOOKUP($A69,'CONSOLIDATED CY Cash Flows'!$B:$B,'CONSOLIDATED CY Cash Flows'!Q:Q)/$S69,0)</f>
        <v>0.13742026666666668</v>
      </c>
      <c r="L69" s="344">
        <f>+IFERROR(_xlfn.XLOOKUP($A69,'CONSOLIDATED CY Cash Flows'!$B:$B,'CONSOLIDATED CY Cash Flows'!R:R)/$S69,0)</f>
        <v>0.13742026666666668</v>
      </c>
      <c r="M69" s="344">
        <f>+IFERROR(_xlfn.XLOOKUP($A69,'CONSOLIDATED CY Cash Flows'!$B:$B,'CONSOLIDATED CY Cash Flows'!S:S)/$S69,0)</f>
        <v>0.13742026666666668</v>
      </c>
      <c r="N69" s="344">
        <f>+IFERROR(_xlfn.XLOOKUP($A69,'CONSOLIDATED CY Cash Flows'!$B:$B,'CONSOLIDATED CY Cash Flows'!T:T)/$S69,0)</f>
        <v>0.13742026666666668</v>
      </c>
      <c r="O69" s="344">
        <f>+IFERROR(_xlfn.XLOOKUP($A69,'CONSOLIDATED CY Cash Flows'!$B:$B,'CONSOLIDATED CY Cash Flows'!U:U)/$S69,0)</f>
        <v>0</v>
      </c>
      <c r="P69" s="344">
        <f>+IFERROR(_xlfn.XLOOKUP($A69,'CONSOLIDATED CY Cash Flows'!$B:$B,'CONSOLIDATED CY Cash Flows'!V:V)/$S69,0)</f>
        <v>0</v>
      </c>
      <c r="Q69" s="344">
        <f>+IFERROR(_xlfn.XLOOKUP($A69,'CONSOLIDATED CY Cash Flows'!$B:$B,'CONSOLIDATED CY Cash Flows'!W:W)/$S69,0)</f>
        <v>0</v>
      </c>
      <c r="R69" s="340">
        <f t="shared" si="0"/>
        <v>1</v>
      </c>
      <c r="S69" s="501">
        <f>+IFERROR(_xlfn.XLOOKUP($A69,'CONSOLIDATED CY Cash Flows'!$B:$B,'CONSOLIDATED CY Cash Flows'!$H:$H),0)</f>
        <v>7500</v>
      </c>
      <c r="T69" s="501">
        <f t="shared" si="1"/>
        <v>2346.7399999999998</v>
      </c>
      <c r="U69" s="501">
        <f t="shared" si="2"/>
        <v>5153.26</v>
      </c>
    </row>
    <row r="70" spans="1:21" ht="13.5" customHeight="1" thickBot="1" x14ac:dyDescent="0.9">
      <c r="A70" s="349">
        <v>4700</v>
      </c>
      <c r="B70" s="350" t="s">
        <v>1078</v>
      </c>
      <c r="C70" s="344">
        <f>+IFERROR(_xlfn.XLOOKUP($A70,'CONSOLIDATED CY Cash Flows'!$B:$B,'CONSOLIDATED CY Cash Flows'!I:I)/$S70,0)</f>
        <v>0</v>
      </c>
      <c r="D70" s="344">
        <f>+IFERROR(_xlfn.XLOOKUP($A70,'CONSOLIDATED CY Cash Flows'!$B:$B,'CONSOLIDATED CY Cash Flows'!J:J)/$S70,0)</f>
        <v>0</v>
      </c>
      <c r="E70" s="344">
        <f>+IFERROR(_xlfn.XLOOKUP($A70,'CONSOLIDATED CY Cash Flows'!$B:$B,'CONSOLIDATED CY Cash Flows'!K:K)/$S70,0)</f>
        <v>0</v>
      </c>
      <c r="F70" s="344">
        <f>+IFERROR(_xlfn.XLOOKUP($A70,'CONSOLIDATED CY Cash Flows'!$B:$B,'CONSOLIDATED CY Cash Flows'!L:L)/$S70,0)</f>
        <v>0</v>
      </c>
      <c r="G70" s="344">
        <f>+IFERROR(_xlfn.XLOOKUP($A70,'CONSOLIDATED CY Cash Flows'!$B:$B,'CONSOLIDATED CY Cash Flows'!M:M)/$S70,0)</f>
        <v>0</v>
      </c>
      <c r="H70" s="344">
        <f>+IFERROR(_xlfn.XLOOKUP($A70,'CONSOLIDATED CY Cash Flows'!$B:$B,'CONSOLIDATED CY Cash Flows'!N:N)/$S70,0)</f>
        <v>0</v>
      </c>
      <c r="I70" s="344">
        <f>+IFERROR(_xlfn.XLOOKUP($A70,'CONSOLIDATED CY Cash Flows'!$B:$B,'CONSOLIDATED CY Cash Flows'!O:O)/$S70,0)</f>
        <v>0</v>
      </c>
      <c r="J70" s="344">
        <f>+IFERROR(_xlfn.XLOOKUP($A70,'CONSOLIDATED CY Cash Flows'!$B:$B,'CONSOLIDATED CY Cash Flows'!P:P)/$S70,0)</f>
        <v>0</v>
      </c>
      <c r="K70" s="344">
        <f>+IFERROR(_xlfn.XLOOKUP($A70,'CONSOLIDATED CY Cash Flows'!$B:$B,'CONSOLIDATED CY Cash Flows'!Q:Q)/$S70,0)</f>
        <v>0</v>
      </c>
      <c r="L70" s="344">
        <f>+IFERROR(_xlfn.XLOOKUP($A70,'CONSOLIDATED CY Cash Flows'!$B:$B,'CONSOLIDATED CY Cash Flows'!R:R)/$S70,0)</f>
        <v>0</v>
      </c>
      <c r="M70" s="344">
        <f>+IFERROR(_xlfn.XLOOKUP($A70,'CONSOLIDATED CY Cash Flows'!$B:$B,'CONSOLIDATED CY Cash Flows'!S:S)/$S70,0)</f>
        <v>0</v>
      </c>
      <c r="N70" s="344">
        <f>+IFERROR(_xlfn.XLOOKUP($A70,'CONSOLIDATED CY Cash Flows'!$B:$B,'CONSOLIDATED CY Cash Flows'!T:T)/$S70,0)</f>
        <v>0</v>
      </c>
      <c r="O70" s="344">
        <f>+IFERROR(_xlfn.XLOOKUP($A70,'CONSOLIDATED CY Cash Flows'!$B:$B,'CONSOLIDATED CY Cash Flows'!U:U)/$S70,0)</f>
        <v>0</v>
      </c>
      <c r="P70" s="344">
        <f>+IFERROR(_xlfn.XLOOKUP($A70,'CONSOLIDATED CY Cash Flows'!$B:$B,'CONSOLIDATED CY Cash Flows'!V:V)/$S70,0)</f>
        <v>0</v>
      </c>
      <c r="Q70" s="344">
        <f>+IFERROR(_xlfn.XLOOKUP($A70,'CONSOLIDATED CY Cash Flows'!$B:$B,'CONSOLIDATED CY Cash Flows'!W:W)/$S70,0)</f>
        <v>0</v>
      </c>
      <c r="R70" s="340">
        <f t="shared" si="0"/>
        <v>0</v>
      </c>
      <c r="S70" s="501">
        <f>+IFERROR(_xlfn.XLOOKUP($A70,'CONSOLIDATED CY Cash Flows'!$B:$B,'CONSOLIDATED CY Cash Flows'!$H:$H),0)</f>
        <v>0</v>
      </c>
      <c r="T70" s="501">
        <f t="shared" si="1"/>
        <v>0</v>
      </c>
      <c r="U70" s="501">
        <f t="shared" si="2"/>
        <v>0</v>
      </c>
    </row>
    <row r="71" spans="1:21" ht="13.5" hidden="1" customHeight="1" x14ac:dyDescent="0.75">
      <c r="A71" s="349">
        <v>4720</v>
      </c>
      <c r="B71" s="350" t="s">
        <v>1425</v>
      </c>
      <c r="C71" s="344">
        <f>+IFERROR(_xlfn.XLOOKUP($A71,'CONSOLIDATED CY Cash Flows'!$B:$B,'CONSOLIDATED CY Cash Flows'!I:I)/$S71,0)</f>
        <v>0</v>
      </c>
      <c r="D71" s="344">
        <f>+IFERROR(_xlfn.XLOOKUP($A71,'CONSOLIDATED CY Cash Flows'!$B:$B,'CONSOLIDATED CY Cash Flows'!J:J)/$S71,0)</f>
        <v>0</v>
      </c>
      <c r="E71" s="344">
        <f>+IFERROR(_xlfn.XLOOKUP($A71,'CONSOLIDATED CY Cash Flows'!$B:$B,'CONSOLIDATED CY Cash Flows'!K:K)/$S71,0)</f>
        <v>0</v>
      </c>
      <c r="F71" s="344">
        <f>+IFERROR(_xlfn.XLOOKUP($A71,'CONSOLIDATED CY Cash Flows'!$B:$B,'CONSOLIDATED CY Cash Flows'!L:L)/$S71,0)</f>
        <v>0</v>
      </c>
      <c r="G71" s="344">
        <f>+IFERROR(_xlfn.XLOOKUP($A71,'CONSOLIDATED CY Cash Flows'!$B:$B,'CONSOLIDATED CY Cash Flows'!M:M)/$S71,0)</f>
        <v>0</v>
      </c>
      <c r="H71" s="344">
        <f>+IFERROR(_xlfn.XLOOKUP($A71,'CONSOLIDATED CY Cash Flows'!$B:$B,'CONSOLIDATED CY Cash Flows'!N:N)/$S71,0)</f>
        <v>0</v>
      </c>
      <c r="I71" s="344">
        <f>+IFERROR(_xlfn.XLOOKUP($A71,'CONSOLIDATED CY Cash Flows'!$B:$B,'CONSOLIDATED CY Cash Flows'!O:O)/$S71,0)</f>
        <v>0</v>
      </c>
      <c r="J71" s="344">
        <f>+IFERROR(_xlfn.XLOOKUP($A71,'CONSOLIDATED CY Cash Flows'!$B:$B,'CONSOLIDATED CY Cash Flows'!P:P)/$S71,0)</f>
        <v>0</v>
      </c>
      <c r="K71" s="344">
        <f>+IFERROR(_xlfn.XLOOKUP($A71,'CONSOLIDATED CY Cash Flows'!$B:$B,'CONSOLIDATED CY Cash Flows'!Q:Q)/$S71,0)</f>
        <v>0</v>
      </c>
      <c r="L71" s="344">
        <f>+IFERROR(_xlfn.XLOOKUP($A71,'CONSOLIDATED CY Cash Flows'!$B:$B,'CONSOLIDATED CY Cash Flows'!R:R)/$S71,0)</f>
        <v>0</v>
      </c>
      <c r="M71" s="344">
        <f>+IFERROR(_xlfn.XLOOKUP($A71,'CONSOLIDATED CY Cash Flows'!$B:$B,'CONSOLIDATED CY Cash Flows'!S:S)/$S71,0)</f>
        <v>0</v>
      </c>
      <c r="N71" s="344">
        <f>+IFERROR(_xlfn.XLOOKUP($A71,'CONSOLIDATED CY Cash Flows'!$B:$B,'CONSOLIDATED CY Cash Flows'!T:T)/$S71,0)</f>
        <v>0</v>
      </c>
      <c r="O71" s="344">
        <f>+IFERROR(_xlfn.XLOOKUP($A71,'CONSOLIDATED CY Cash Flows'!$B:$B,'CONSOLIDATED CY Cash Flows'!U:U)/$S71,0)</f>
        <v>0</v>
      </c>
      <c r="P71" s="344">
        <f>+IFERROR(_xlfn.XLOOKUP($A71,'CONSOLIDATED CY Cash Flows'!$B:$B,'CONSOLIDATED CY Cash Flows'!V:V)/$S71,0)</f>
        <v>0</v>
      </c>
      <c r="Q71" s="344">
        <f>+IFERROR(_xlfn.XLOOKUP($A71,'CONSOLIDATED CY Cash Flows'!$B:$B,'CONSOLIDATED CY Cash Flows'!W:W)/$S71,0)</f>
        <v>0</v>
      </c>
      <c r="R71" s="340">
        <f t="shared" si="0"/>
        <v>0</v>
      </c>
      <c r="S71" s="501">
        <f>+IFERROR(_xlfn.XLOOKUP($A71,'CONSOLIDATED CY Cash Flows'!$B:$B,'CONSOLIDATED CY Cash Flows'!$H:$H),0)</f>
        <v>0</v>
      </c>
      <c r="T71" s="501">
        <f t="shared" si="1"/>
        <v>0</v>
      </c>
      <c r="U71" s="501">
        <f t="shared" si="2"/>
        <v>0</v>
      </c>
    </row>
    <row r="72" spans="1:21" ht="16.95" hidden="1" customHeight="1" x14ac:dyDescent="0.75">
      <c r="A72" s="349" t="s">
        <v>1398</v>
      </c>
      <c r="B72" s="350">
        <v>0</v>
      </c>
      <c r="C72" s="344">
        <f>+IFERROR(_xlfn.XLOOKUP($A72,'CONSOLIDATED CY Cash Flows'!$B:$B,'CONSOLIDATED CY Cash Flows'!I:I)/$S72,0)</f>
        <v>0</v>
      </c>
      <c r="D72" s="344">
        <f>+IFERROR(_xlfn.XLOOKUP($A72,'CONSOLIDATED CY Cash Flows'!$B:$B,'CONSOLIDATED CY Cash Flows'!J:J)/$S72,0)</f>
        <v>0</v>
      </c>
      <c r="E72" s="344">
        <f>+IFERROR(_xlfn.XLOOKUP($A72,'CONSOLIDATED CY Cash Flows'!$B:$B,'CONSOLIDATED CY Cash Flows'!K:K)/$S72,0)</f>
        <v>0</v>
      </c>
      <c r="F72" s="344">
        <f>+IFERROR(_xlfn.XLOOKUP($A72,'CONSOLIDATED CY Cash Flows'!$B:$B,'CONSOLIDATED CY Cash Flows'!L:L)/$S72,0)</f>
        <v>0</v>
      </c>
      <c r="G72" s="344">
        <f>+IFERROR(_xlfn.XLOOKUP($A72,'CONSOLIDATED CY Cash Flows'!$B:$B,'CONSOLIDATED CY Cash Flows'!M:M)/$S72,0)</f>
        <v>0</v>
      </c>
      <c r="H72" s="344">
        <f>+IFERROR(_xlfn.XLOOKUP($A72,'CONSOLIDATED CY Cash Flows'!$B:$B,'CONSOLIDATED CY Cash Flows'!N:N)/$S72,0)</f>
        <v>0</v>
      </c>
      <c r="I72" s="344">
        <f>+IFERROR(_xlfn.XLOOKUP($A72,'CONSOLIDATED CY Cash Flows'!$B:$B,'CONSOLIDATED CY Cash Flows'!O:O)/$S72,0)</f>
        <v>0</v>
      </c>
      <c r="J72" s="344">
        <f>+IFERROR(_xlfn.XLOOKUP($A72,'CONSOLIDATED CY Cash Flows'!$B:$B,'CONSOLIDATED CY Cash Flows'!P:P)/$S72,0)</f>
        <v>0</v>
      </c>
      <c r="K72" s="344">
        <f>+IFERROR(_xlfn.XLOOKUP($A72,'CONSOLIDATED CY Cash Flows'!$B:$B,'CONSOLIDATED CY Cash Flows'!Q:Q)/$S72,0)</f>
        <v>0</v>
      </c>
      <c r="L72" s="344">
        <f>+IFERROR(_xlfn.XLOOKUP($A72,'CONSOLIDATED CY Cash Flows'!$B:$B,'CONSOLIDATED CY Cash Flows'!R:R)/$S72,0)</f>
        <v>0</v>
      </c>
      <c r="M72" s="344">
        <f>+IFERROR(_xlfn.XLOOKUP($A72,'CONSOLIDATED CY Cash Flows'!$B:$B,'CONSOLIDATED CY Cash Flows'!S:S)/$S72,0)</f>
        <v>0</v>
      </c>
      <c r="N72" s="344">
        <f>+IFERROR(_xlfn.XLOOKUP($A72,'CONSOLIDATED CY Cash Flows'!$B:$B,'CONSOLIDATED CY Cash Flows'!T:T)/$S72,0)</f>
        <v>0</v>
      </c>
      <c r="O72" s="344">
        <f>+IFERROR(_xlfn.XLOOKUP($A72,'CONSOLIDATED CY Cash Flows'!$B:$B,'CONSOLIDATED CY Cash Flows'!U:U)/$S72,0)</f>
        <v>0</v>
      </c>
      <c r="P72" s="344">
        <f>+IFERROR(_xlfn.XLOOKUP($A72,'CONSOLIDATED CY Cash Flows'!$B:$B,'CONSOLIDATED CY Cash Flows'!V:V)/$S72,0)</f>
        <v>0</v>
      </c>
      <c r="Q72" s="344">
        <f>+IFERROR(_xlfn.XLOOKUP($A72,'CONSOLIDATED CY Cash Flows'!$B:$B,'CONSOLIDATED CY Cash Flows'!W:W)/$S72,0)</f>
        <v>0</v>
      </c>
      <c r="R72" s="340">
        <f t="shared" si="0"/>
        <v>0</v>
      </c>
      <c r="S72" s="501">
        <f>+IFERROR(_xlfn.XLOOKUP($A72,'CONSOLIDATED CY Cash Flows'!$B:$B,'CONSOLIDATED CY Cash Flows'!$H:$H),0)</f>
        <v>0</v>
      </c>
      <c r="T72" s="501">
        <f t="shared" si="1"/>
        <v>0</v>
      </c>
      <c r="U72" s="501">
        <f t="shared" si="2"/>
        <v>0</v>
      </c>
    </row>
    <row r="73" spans="1:21" ht="16.95" hidden="1" customHeight="1" x14ac:dyDescent="0.75">
      <c r="A73" s="349" t="s">
        <v>1398</v>
      </c>
      <c r="B73" s="350">
        <v>0</v>
      </c>
      <c r="C73" s="344">
        <f>+IFERROR(_xlfn.XLOOKUP($A73,'CONSOLIDATED CY Cash Flows'!$B:$B,'CONSOLIDATED CY Cash Flows'!I:I)/$S73,0)</f>
        <v>0</v>
      </c>
      <c r="D73" s="344">
        <f>+IFERROR(_xlfn.XLOOKUP($A73,'CONSOLIDATED CY Cash Flows'!$B:$B,'CONSOLIDATED CY Cash Flows'!J:J)/$S73,0)</f>
        <v>0</v>
      </c>
      <c r="E73" s="344">
        <f>+IFERROR(_xlfn.XLOOKUP($A73,'CONSOLIDATED CY Cash Flows'!$B:$B,'CONSOLIDATED CY Cash Flows'!K:K)/$S73,0)</f>
        <v>0</v>
      </c>
      <c r="F73" s="344">
        <f>+IFERROR(_xlfn.XLOOKUP($A73,'CONSOLIDATED CY Cash Flows'!$B:$B,'CONSOLIDATED CY Cash Flows'!L:L)/$S73,0)</f>
        <v>0</v>
      </c>
      <c r="G73" s="344">
        <f>+IFERROR(_xlfn.XLOOKUP($A73,'CONSOLIDATED CY Cash Flows'!$B:$B,'CONSOLIDATED CY Cash Flows'!M:M)/$S73,0)</f>
        <v>0</v>
      </c>
      <c r="H73" s="344">
        <f>+IFERROR(_xlfn.XLOOKUP($A73,'CONSOLIDATED CY Cash Flows'!$B:$B,'CONSOLIDATED CY Cash Flows'!N:N)/$S73,0)</f>
        <v>0</v>
      </c>
      <c r="I73" s="344">
        <f>+IFERROR(_xlfn.XLOOKUP($A73,'CONSOLIDATED CY Cash Flows'!$B:$B,'CONSOLIDATED CY Cash Flows'!O:O)/$S73,0)</f>
        <v>0</v>
      </c>
      <c r="J73" s="344">
        <f>+IFERROR(_xlfn.XLOOKUP($A73,'CONSOLIDATED CY Cash Flows'!$B:$B,'CONSOLIDATED CY Cash Flows'!P:P)/$S73,0)</f>
        <v>0</v>
      </c>
      <c r="K73" s="344">
        <f>+IFERROR(_xlfn.XLOOKUP($A73,'CONSOLIDATED CY Cash Flows'!$B:$B,'CONSOLIDATED CY Cash Flows'!Q:Q)/$S73,0)</f>
        <v>0</v>
      </c>
      <c r="L73" s="344">
        <f>+IFERROR(_xlfn.XLOOKUP($A73,'CONSOLIDATED CY Cash Flows'!$B:$B,'CONSOLIDATED CY Cash Flows'!R:R)/$S73,0)</f>
        <v>0</v>
      </c>
      <c r="M73" s="344">
        <f>+IFERROR(_xlfn.XLOOKUP($A73,'CONSOLIDATED CY Cash Flows'!$B:$B,'CONSOLIDATED CY Cash Flows'!S:S)/$S73,0)</f>
        <v>0</v>
      </c>
      <c r="N73" s="344">
        <f>+IFERROR(_xlfn.XLOOKUP($A73,'CONSOLIDATED CY Cash Flows'!$B:$B,'CONSOLIDATED CY Cash Flows'!T:T)/$S73,0)</f>
        <v>0</v>
      </c>
      <c r="O73" s="344">
        <f>+IFERROR(_xlfn.XLOOKUP($A73,'CONSOLIDATED CY Cash Flows'!$B:$B,'CONSOLIDATED CY Cash Flows'!U:U)/$S73,0)</f>
        <v>0</v>
      </c>
      <c r="P73" s="344">
        <f>+IFERROR(_xlfn.XLOOKUP($A73,'CONSOLIDATED CY Cash Flows'!$B:$B,'CONSOLIDATED CY Cash Flows'!V:V)/$S73,0)</f>
        <v>0</v>
      </c>
      <c r="Q73" s="344">
        <f>+IFERROR(_xlfn.XLOOKUP($A73,'CONSOLIDATED CY Cash Flows'!$B:$B,'CONSOLIDATED CY Cash Flows'!W:W)/$S73,0)</f>
        <v>0</v>
      </c>
      <c r="R73" s="340">
        <f t="shared" si="0"/>
        <v>0</v>
      </c>
      <c r="S73" s="501">
        <f>+IFERROR(_xlfn.XLOOKUP($A73,'CONSOLIDATED CY Cash Flows'!$B:$B,'CONSOLIDATED CY Cash Flows'!$H:$H),0)</f>
        <v>0</v>
      </c>
      <c r="T73" s="501">
        <f t="shared" si="1"/>
        <v>0</v>
      </c>
      <c r="U73" s="501">
        <f t="shared" si="2"/>
        <v>0</v>
      </c>
    </row>
    <row r="74" spans="1:21" ht="16.95" hidden="1" customHeight="1" x14ac:dyDescent="0.75">
      <c r="A74" s="349" t="s">
        <v>1398</v>
      </c>
      <c r="B74" s="350">
        <v>0</v>
      </c>
      <c r="C74" s="344">
        <f>+IFERROR(_xlfn.XLOOKUP($A74,'CONSOLIDATED CY Cash Flows'!$B:$B,'CONSOLIDATED CY Cash Flows'!I:I)/$S74,0)</f>
        <v>0</v>
      </c>
      <c r="D74" s="344">
        <f>+IFERROR(_xlfn.XLOOKUP($A74,'CONSOLIDATED CY Cash Flows'!$B:$B,'CONSOLIDATED CY Cash Flows'!J:J)/$S74,0)</f>
        <v>0</v>
      </c>
      <c r="E74" s="344">
        <f>+IFERROR(_xlfn.XLOOKUP($A74,'CONSOLIDATED CY Cash Flows'!$B:$B,'CONSOLIDATED CY Cash Flows'!K:K)/$S74,0)</f>
        <v>0</v>
      </c>
      <c r="F74" s="344">
        <f>+IFERROR(_xlfn.XLOOKUP($A74,'CONSOLIDATED CY Cash Flows'!$B:$B,'CONSOLIDATED CY Cash Flows'!L:L)/$S74,0)</f>
        <v>0</v>
      </c>
      <c r="G74" s="344">
        <f>+IFERROR(_xlfn.XLOOKUP($A74,'CONSOLIDATED CY Cash Flows'!$B:$B,'CONSOLIDATED CY Cash Flows'!M:M)/$S74,0)</f>
        <v>0</v>
      </c>
      <c r="H74" s="344">
        <f>+IFERROR(_xlfn.XLOOKUP($A74,'CONSOLIDATED CY Cash Flows'!$B:$B,'CONSOLIDATED CY Cash Flows'!N:N)/$S74,0)</f>
        <v>0</v>
      </c>
      <c r="I74" s="344">
        <f>+IFERROR(_xlfn.XLOOKUP($A74,'CONSOLIDATED CY Cash Flows'!$B:$B,'CONSOLIDATED CY Cash Flows'!O:O)/$S74,0)</f>
        <v>0</v>
      </c>
      <c r="J74" s="344">
        <f>+IFERROR(_xlfn.XLOOKUP($A74,'CONSOLIDATED CY Cash Flows'!$B:$B,'CONSOLIDATED CY Cash Flows'!P:P)/$S74,0)</f>
        <v>0</v>
      </c>
      <c r="K74" s="344">
        <f>+IFERROR(_xlfn.XLOOKUP($A74,'CONSOLIDATED CY Cash Flows'!$B:$B,'CONSOLIDATED CY Cash Flows'!Q:Q)/$S74,0)</f>
        <v>0</v>
      </c>
      <c r="L74" s="344">
        <f>+IFERROR(_xlfn.XLOOKUP($A74,'CONSOLIDATED CY Cash Flows'!$B:$B,'CONSOLIDATED CY Cash Flows'!R:R)/$S74,0)</f>
        <v>0</v>
      </c>
      <c r="M74" s="344">
        <f>+IFERROR(_xlfn.XLOOKUP($A74,'CONSOLIDATED CY Cash Flows'!$B:$B,'CONSOLIDATED CY Cash Flows'!S:S)/$S74,0)</f>
        <v>0</v>
      </c>
      <c r="N74" s="344">
        <f>+IFERROR(_xlfn.XLOOKUP($A74,'CONSOLIDATED CY Cash Flows'!$B:$B,'CONSOLIDATED CY Cash Flows'!T:T)/$S74,0)</f>
        <v>0</v>
      </c>
      <c r="O74" s="344">
        <f>+IFERROR(_xlfn.XLOOKUP($A74,'CONSOLIDATED CY Cash Flows'!$B:$B,'CONSOLIDATED CY Cash Flows'!U:U)/$S74,0)</f>
        <v>0</v>
      </c>
      <c r="P74" s="344">
        <f>+IFERROR(_xlfn.XLOOKUP($A74,'CONSOLIDATED CY Cash Flows'!$B:$B,'CONSOLIDATED CY Cash Flows'!V:V)/$S74,0)</f>
        <v>0</v>
      </c>
      <c r="Q74" s="344">
        <f>+IFERROR(_xlfn.XLOOKUP($A74,'CONSOLIDATED CY Cash Flows'!$B:$B,'CONSOLIDATED CY Cash Flows'!W:W)/$S74,0)</f>
        <v>0</v>
      </c>
      <c r="R74" s="340">
        <f t="shared" si="0"/>
        <v>0</v>
      </c>
      <c r="S74" s="501">
        <f>+IFERROR(_xlfn.XLOOKUP($A74,'CONSOLIDATED CY Cash Flows'!$B:$B,'CONSOLIDATED CY Cash Flows'!$H:$H),0)</f>
        <v>0</v>
      </c>
      <c r="T74" s="501">
        <f t="shared" si="1"/>
        <v>0</v>
      </c>
      <c r="U74" s="501">
        <f t="shared" si="2"/>
        <v>0</v>
      </c>
    </row>
    <row r="75" spans="1:21" ht="13.5" hidden="1" customHeight="1" x14ac:dyDescent="0.75">
      <c r="A75" s="349" t="s">
        <v>1398</v>
      </c>
      <c r="B75" s="350">
        <v>0</v>
      </c>
      <c r="C75" s="344">
        <f>+IFERROR(_xlfn.XLOOKUP($A75,'CONSOLIDATED CY Cash Flows'!$B:$B,'CONSOLIDATED CY Cash Flows'!I:I)/$S75,0)</f>
        <v>0</v>
      </c>
      <c r="D75" s="344">
        <f>+IFERROR(_xlfn.XLOOKUP($A75,'CONSOLIDATED CY Cash Flows'!$B:$B,'CONSOLIDATED CY Cash Flows'!J:J)/$S75,0)</f>
        <v>0</v>
      </c>
      <c r="E75" s="344">
        <f>+IFERROR(_xlfn.XLOOKUP($A75,'CONSOLIDATED CY Cash Flows'!$B:$B,'CONSOLIDATED CY Cash Flows'!K:K)/$S75,0)</f>
        <v>0</v>
      </c>
      <c r="F75" s="344">
        <f>+IFERROR(_xlfn.XLOOKUP($A75,'CONSOLIDATED CY Cash Flows'!$B:$B,'CONSOLIDATED CY Cash Flows'!L:L)/$S75,0)</f>
        <v>0</v>
      </c>
      <c r="G75" s="344">
        <f>+IFERROR(_xlfn.XLOOKUP($A75,'CONSOLIDATED CY Cash Flows'!$B:$B,'CONSOLIDATED CY Cash Flows'!M:M)/$S75,0)</f>
        <v>0</v>
      </c>
      <c r="H75" s="344">
        <f>+IFERROR(_xlfn.XLOOKUP($A75,'CONSOLIDATED CY Cash Flows'!$B:$B,'CONSOLIDATED CY Cash Flows'!N:N)/$S75,0)</f>
        <v>0</v>
      </c>
      <c r="I75" s="344">
        <f>+IFERROR(_xlfn.XLOOKUP($A75,'CONSOLIDATED CY Cash Flows'!$B:$B,'CONSOLIDATED CY Cash Flows'!O:O)/$S75,0)</f>
        <v>0</v>
      </c>
      <c r="J75" s="344">
        <f>+IFERROR(_xlfn.XLOOKUP($A75,'CONSOLIDATED CY Cash Flows'!$B:$B,'CONSOLIDATED CY Cash Flows'!P:P)/$S75,0)</f>
        <v>0</v>
      </c>
      <c r="K75" s="344">
        <f>+IFERROR(_xlfn.XLOOKUP($A75,'CONSOLIDATED CY Cash Flows'!$B:$B,'CONSOLIDATED CY Cash Flows'!Q:Q)/$S75,0)</f>
        <v>0</v>
      </c>
      <c r="L75" s="344">
        <f>+IFERROR(_xlfn.XLOOKUP($A75,'CONSOLIDATED CY Cash Flows'!$B:$B,'CONSOLIDATED CY Cash Flows'!R:R)/$S75,0)</f>
        <v>0</v>
      </c>
      <c r="M75" s="344">
        <f>+IFERROR(_xlfn.XLOOKUP($A75,'CONSOLIDATED CY Cash Flows'!$B:$B,'CONSOLIDATED CY Cash Flows'!S:S)/$S75,0)</f>
        <v>0</v>
      </c>
      <c r="N75" s="344">
        <f>+IFERROR(_xlfn.XLOOKUP($A75,'CONSOLIDATED CY Cash Flows'!$B:$B,'CONSOLIDATED CY Cash Flows'!T:T)/$S75,0)</f>
        <v>0</v>
      </c>
      <c r="O75" s="344">
        <f>+IFERROR(_xlfn.XLOOKUP($A75,'CONSOLIDATED CY Cash Flows'!$B:$B,'CONSOLIDATED CY Cash Flows'!U:U)/$S75,0)</f>
        <v>0</v>
      </c>
      <c r="P75" s="344">
        <f>+IFERROR(_xlfn.XLOOKUP($A75,'CONSOLIDATED CY Cash Flows'!$B:$B,'CONSOLIDATED CY Cash Flows'!V:V)/$S75,0)</f>
        <v>0</v>
      </c>
      <c r="Q75" s="344">
        <f>+IFERROR(_xlfn.XLOOKUP($A75,'CONSOLIDATED CY Cash Flows'!$B:$B,'CONSOLIDATED CY Cash Flows'!W:W)/$S75,0)</f>
        <v>0</v>
      </c>
      <c r="R75" s="340">
        <f t="shared" si="0"/>
        <v>0</v>
      </c>
      <c r="S75" s="501">
        <f>+IFERROR(_xlfn.XLOOKUP($A75,'CONSOLIDATED CY Cash Flows'!$B:$B,'CONSOLIDATED CY Cash Flows'!$H:$H),0)</f>
        <v>0</v>
      </c>
      <c r="T75" s="501">
        <f t="shared" si="1"/>
        <v>0</v>
      </c>
      <c r="U75" s="501">
        <f t="shared" si="2"/>
        <v>0</v>
      </c>
    </row>
    <row r="76" spans="1:21" ht="13.5" hidden="1" customHeight="1" x14ac:dyDescent="0.75">
      <c r="A76" s="349" t="s">
        <v>1398</v>
      </c>
      <c r="B76" s="350">
        <v>0</v>
      </c>
      <c r="C76" s="344">
        <f>+IFERROR(_xlfn.XLOOKUP($A76,'CONSOLIDATED CY Cash Flows'!$B:$B,'CONSOLIDATED CY Cash Flows'!I:I)/$S76,0)</f>
        <v>0</v>
      </c>
      <c r="D76" s="344">
        <f>+IFERROR(_xlfn.XLOOKUP($A76,'CONSOLIDATED CY Cash Flows'!$B:$B,'CONSOLIDATED CY Cash Flows'!J:J)/$S76,0)</f>
        <v>0</v>
      </c>
      <c r="E76" s="344">
        <f>+IFERROR(_xlfn.XLOOKUP($A76,'CONSOLIDATED CY Cash Flows'!$B:$B,'CONSOLIDATED CY Cash Flows'!K:K)/$S76,0)</f>
        <v>0</v>
      </c>
      <c r="F76" s="344">
        <f>+IFERROR(_xlfn.XLOOKUP($A76,'CONSOLIDATED CY Cash Flows'!$B:$B,'CONSOLIDATED CY Cash Flows'!L:L)/$S76,0)</f>
        <v>0</v>
      </c>
      <c r="G76" s="344">
        <f>+IFERROR(_xlfn.XLOOKUP($A76,'CONSOLIDATED CY Cash Flows'!$B:$B,'CONSOLIDATED CY Cash Flows'!M:M)/$S76,0)</f>
        <v>0</v>
      </c>
      <c r="H76" s="344">
        <f>+IFERROR(_xlfn.XLOOKUP($A76,'CONSOLIDATED CY Cash Flows'!$B:$B,'CONSOLIDATED CY Cash Flows'!N:N)/$S76,0)</f>
        <v>0</v>
      </c>
      <c r="I76" s="344">
        <f>+IFERROR(_xlfn.XLOOKUP($A76,'CONSOLIDATED CY Cash Flows'!$B:$B,'CONSOLIDATED CY Cash Flows'!O:O)/$S76,0)</f>
        <v>0</v>
      </c>
      <c r="J76" s="344">
        <f>+IFERROR(_xlfn.XLOOKUP($A76,'CONSOLIDATED CY Cash Flows'!$B:$B,'CONSOLIDATED CY Cash Flows'!P:P)/$S76,0)</f>
        <v>0</v>
      </c>
      <c r="K76" s="344">
        <f>+IFERROR(_xlfn.XLOOKUP($A76,'CONSOLIDATED CY Cash Flows'!$B:$B,'CONSOLIDATED CY Cash Flows'!Q:Q)/$S76,0)</f>
        <v>0</v>
      </c>
      <c r="L76" s="344">
        <f>+IFERROR(_xlfn.XLOOKUP($A76,'CONSOLIDATED CY Cash Flows'!$B:$B,'CONSOLIDATED CY Cash Flows'!R:R)/$S76,0)</f>
        <v>0</v>
      </c>
      <c r="M76" s="344">
        <f>+IFERROR(_xlfn.XLOOKUP($A76,'CONSOLIDATED CY Cash Flows'!$B:$B,'CONSOLIDATED CY Cash Flows'!S:S)/$S76,0)</f>
        <v>0</v>
      </c>
      <c r="N76" s="344">
        <f>+IFERROR(_xlfn.XLOOKUP($A76,'CONSOLIDATED CY Cash Flows'!$B:$B,'CONSOLIDATED CY Cash Flows'!T:T)/$S76,0)</f>
        <v>0</v>
      </c>
      <c r="O76" s="344">
        <f>+IFERROR(_xlfn.XLOOKUP($A76,'CONSOLIDATED CY Cash Flows'!$B:$B,'CONSOLIDATED CY Cash Flows'!U:U)/$S76,0)</f>
        <v>0</v>
      </c>
      <c r="P76" s="344">
        <f>+IFERROR(_xlfn.XLOOKUP($A76,'CONSOLIDATED CY Cash Flows'!$B:$B,'CONSOLIDATED CY Cash Flows'!V:V)/$S76,0)</f>
        <v>0</v>
      </c>
      <c r="Q76" s="344">
        <f>+IFERROR(_xlfn.XLOOKUP($A76,'CONSOLIDATED CY Cash Flows'!$B:$B,'CONSOLIDATED CY Cash Flows'!W:W)/$S76,0)</f>
        <v>0</v>
      </c>
      <c r="R76" s="340">
        <f t="shared" si="0"/>
        <v>0</v>
      </c>
      <c r="S76" s="501">
        <f>+IFERROR(_xlfn.XLOOKUP($A76,'CONSOLIDATED CY Cash Flows'!$B:$B,'CONSOLIDATED CY Cash Flows'!$H:$H),0)</f>
        <v>0</v>
      </c>
      <c r="T76" s="501">
        <f t="shared" si="1"/>
        <v>0</v>
      </c>
      <c r="U76" s="501">
        <f t="shared" si="2"/>
        <v>0</v>
      </c>
    </row>
    <row r="77" spans="1:21" ht="16.95" hidden="1" customHeight="1" x14ac:dyDescent="0.75">
      <c r="A77" s="349" t="s">
        <v>1398</v>
      </c>
      <c r="B77" s="350">
        <v>0</v>
      </c>
      <c r="C77" s="344">
        <f>+IFERROR(_xlfn.XLOOKUP($A77,'CONSOLIDATED CY Cash Flows'!$B:$B,'CONSOLIDATED CY Cash Flows'!I:I)/$S77,0)</f>
        <v>0</v>
      </c>
      <c r="D77" s="344">
        <f>+IFERROR(_xlfn.XLOOKUP($A77,'CONSOLIDATED CY Cash Flows'!$B:$B,'CONSOLIDATED CY Cash Flows'!J:J)/$S77,0)</f>
        <v>0</v>
      </c>
      <c r="E77" s="344">
        <f>+IFERROR(_xlfn.XLOOKUP($A77,'CONSOLIDATED CY Cash Flows'!$B:$B,'CONSOLIDATED CY Cash Flows'!K:K)/$S77,0)</f>
        <v>0</v>
      </c>
      <c r="F77" s="344">
        <f>+IFERROR(_xlfn.XLOOKUP($A77,'CONSOLIDATED CY Cash Flows'!$B:$B,'CONSOLIDATED CY Cash Flows'!L:L)/$S77,0)</f>
        <v>0</v>
      </c>
      <c r="G77" s="344">
        <f>+IFERROR(_xlfn.XLOOKUP($A77,'CONSOLIDATED CY Cash Flows'!$B:$B,'CONSOLIDATED CY Cash Flows'!M:M)/$S77,0)</f>
        <v>0</v>
      </c>
      <c r="H77" s="344">
        <f>+IFERROR(_xlfn.XLOOKUP($A77,'CONSOLIDATED CY Cash Flows'!$B:$B,'CONSOLIDATED CY Cash Flows'!N:N)/$S77,0)</f>
        <v>0</v>
      </c>
      <c r="I77" s="344">
        <f>+IFERROR(_xlfn.XLOOKUP($A77,'CONSOLIDATED CY Cash Flows'!$B:$B,'CONSOLIDATED CY Cash Flows'!O:O)/$S77,0)</f>
        <v>0</v>
      </c>
      <c r="J77" s="344">
        <f>+IFERROR(_xlfn.XLOOKUP($A77,'CONSOLIDATED CY Cash Flows'!$B:$B,'CONSOLIDATED CY Cash Flows'!P:P)/$S77,0)</f>
        <v>0</v>
      </c>
      <c r="K77" s="344">
        <f>+IFERROR(_xlfn.XLOOKUP($A77,'CONSOLIDATED CY Cash Flows'!$B:$B,'CONSOLIDATED CY Cash Flows'!Q:Q)/$S77,0)</f>
        <v>0</v>
      </c>
      <c r="L77" s="344">
        <f>+IFERROR(_xlfn.XLOOKUP($A77,'CONSOLIDATED CY Cash Flows'!$B:$B,'CONSOLIDATED CY Cash Flows'!R:R)/$S77,0)</f>
        <v>0</v>
      </c>
      <c r="M77" s="344">
        <f>+IFERROR(_xlfn.XLOOKUP($A77,'CONSOLIDATED CY Cash Flows'!$B:$B,'CONSOLIDATED CY Cash Flows'!S:S)/$S77,0)</f>
        <v>0</v>
      </c>
      <c r="N77" s="344">
        <f>+IFERROR(_xlfn.XLOOKUP($A77,'CONSOLIDATED CY Cash Flows'!$B:$B,'CONSOLIDATED CY Cash Flows'!T:T)/$S77,0)</f>
        <v>0</v>
      </c>
      <c r="O77" s="344">
        <f>+IFERROR(_xlfn.XLOOKUP($A77,'CONSOLIDATED CY Cash Flows'!$B:$B,'CONSOLIDATED CY Cash Flows'!U:U)/$S77,0)</f>
        <v>0</v>
      </c>
      <c r="P77" s="344">
        <f>+IFERROR(_xlfn.XLOOKUP($A77,'CONSOLIDATED CY Cash Flows'!$B:$B,'CONSOLIDATED CY Cash Flows'!V:V)/$S77,0)</f>
        <v>0</v>
      </c>
      <c r="Q77" s="344">
        <f>+IFERROR(_xlfn.XLOOKUP($A77,'CONSOLIDATED CY Cash Flows'!$B:$B,'CONSOLIDATED CY Cash Flows'!W:W)/$S77,0)</f>
        <v>0</v>
      </c>
      <c r="R77" s="340">
        <f t="shared" si="0"/>
        <v>0</v>
      </c>
      <c r="S77" s="501">
        <f>+IFERROR(_xlfn.XLOOKUP($A77,'CONSOLIDATED CY Cash Flows'!$B:$B,'CONSOLIDATED CY Cash Flows'!$H:$H),0)</f>
        <v>0</v>
      </c>
      <c r="T77" s="501">
        <f t="shared" si="1"/>
        <v>0</v>
      </c>
      <c r="U77" s="501">
        <f t="shared" si="2"/>
        <v>0</v>
      </c>
    </row>
    <row r="78" spans="1:21" ht="13.5" hidden="1" customHeight="1" x14ac:dyDescent="0.75">
      <c r="A78" s="349" t="s">
        <v>1398</v>
      </c>
      <c r="B78" s="350">
        <v>0</v>
      </c>
      <c r="C78" s="344">
        <f>+IFERROR(_xlfn.XLOOKUP($A78,'CONSOLIDATED CY Cash Flows'!$B:$B,'CONSOLIDATED CY Cash Flows'!I:I)/$S78,0)</f>
        <v>0</v>
      </c>
      <c r="D78" s="344">
        <f>+IFERROR(_xlfn.XLOOKUP($A78,'CONSOLIDATED CY Cash Flows'!$B:$B,'CONSOLIDATED CY Cash Flows'!J:J)/$S78,0)</f>
        <v>0</v>
      </c>
      <c r="E78" s="344">
        <f>+IFERROR(_xlfn.XLOOKUP($A78,'CONSOLIDATED CY Cash Flows'!$B:$B,'CONSOLIDATED CY Cash Flows'!K:K)/$S78,0)</f>
        <v>0</v>
      </c>
      <c r="F78" s="344">
        <f>+IFERROR(_xlfn.XLOOKUP($A78,'CONSOLIDATED CY Cash Flows'!$B:$B,'CONSOLIDATED CY Cash Flows'!L:L)/$S78,0)</f>
        <v>0</v>
      </c>
      <c r="G78" s="344">
        <f>+IFERROR(_xlfn.XLOOKUP($A78,'CONSOLIDATED CY Cash Flows'!$B:$B,'CONSOLIDATED CY Cash Flows'!M:M)/$S78,0)</f>
        <v>0</v>
      </c>
      <c r="H78" s="344">
        <f>+IFERROR(_xlfn.XLOOKUP($A78,'CONSOLIDATED CY Cash Flows'!$B:$B,'CONSOLIDATED CY Cash Flows'!N:N)/$S78,0)</f>
        <v>0</v>
      </c>
      <c r="I78" s="344">
        <f>+IFERROR(_xlfn.XLOOKUP($A78,'CONSOLIDATED CY Cash Flows'!$B:$B,'CONSOLIDATED CY Cash Flows'!O:O)/$S78,0)</f>
        <v>0</v>
      </c>
      <c r="J78" s="344">
        <f>+IFERROR(_xlfn.XLOOKUP($A78,'CONSOLIDATED CY Cash Flows'!$B:$B,'CONSOLIDATED CY Cash Flows'!P:P)/$S78,0)</f>
        <v>0</v>
      </c>
      <c r="K78" s="344">
        <f>+IFERROR(_xlfn.XLOOKUP($A78,'CONSOLIDATED CY Cash Flows'!$B:$B,'CONSOLIDATED CY Cash Flows'!Q:Q)/$S78,0)</f>
        <v>0</v>
      </c>
      <c r="L78" s="344">
        <f>+IFERROR(_xlfn.XLOOKUP($A78,'CONSOLIDATED CY Cash Flows'!$B:$B,'CONSOLIDATED CY Cash Flows'!R:R)/$S78,0)</f>
        <v>0</v>
      </c>
      <c r="M78" s="344">
        <f>+IFERROR(_xlfn.XLOOKUP($A78,'CONSOLIDATED CY Cash Flows'!$B:$B,'CONSOLIDATED CY Cash Flows'!S:S)/$S78,0)</f>
        <v>0</v>
      </c>
      <c r="N78" s="344">
        <f>+IFERROR(_xlfn.XLOOKUP($A78,'CONSOLIDATED CY Cash Flows'!$B:$B,'CONSOLIDATED CY Cash Flows'!T:T)/$S78,0)</f>
        <v>0</v>
      </c>
      <c r="O78" s="344">
        <f>+IFERROR(_xlfn.XLOOKUP($A78,'CONSOLIDATED CY Cash Flows'!$B:$B,'CONSOLIDATED CY Cash Flows'!U:U)/$S78,0)</f>
        <v>0</v>
      </c>
      <c r="P78" s="344">
        <f>+IFERROR(_xlfn.XLOOKUP($A78,'CONSOLIDATED CY Cash Flows'!$B:$B,'CONSOLIDATED CY Cash Flows'!V:V)/$S78,0)</f>
        <v>0</v>
      </c>
      <c r="Q78" s="344">
        <f>+IFERROR(_xlfn.XLOOKUP($A78,'CONSOLIDATED CY Cash Flows'!$B:$B,'CONSOLIDATED CY Cash Flows'!W:W)/$S78,0)</f>
        <v>0</v>
      </c>
      <c r="R78" s="340">
        <f t="shared" si="0"/>
        <v>0</v>
      </c>
      <c r="S78" s="501">
        <f>+IFERROR(_xlfn.XLOOKUP($A78,'CONSOLIDATED CY Cash Flows'!$B:$B,'CONSOLIDATED CY Cash Flows'!$H:$H),0)</f>
        <v>0</v>
      </c>
      <c r="T78" s="501">
        <f t="shared" si="1"/>
        <v>0</v>
      </c>
      <c r="U78" s="501">
        <f t="shared" si="2"/>
        <v>0</v>
      </c>
    </row>
    <row r="79" spans="1:21" ht="13.5" hidden="1" customHeight="1" x14ac:dyDescent="0.75">
      <c r="A79" s="349" t="s">
        <v>1398</v>
      </c>
      <c r="B79" s="350">
        <v>0</v>
      </c>
      <c r="C79" s="344">
        <f>+IFERROR(_xlfn.XLOOKUP($A79,'CONSOLIDATED CY Cash Flows'!$B:$B,'CONSOLIDATED CY Cash Flows'!I:I)/$S79,0)</f>
        <v>0</v>
      </c>
      <c r="D79" s="344">
        <f>+IFERROR(_xlfn.XLOOKUP($A79,'CONSOLIDATED CY Cash Flows'!$B:$B,'CONSOLIDATED CY Cash Flows'!J:J)/$S79,0)</f>
        <v>0</v>
      </c>
      <c r="E79" s="344">
        <f>+IFERROR(_xlfn.XLOOKUP($A79,'CONSOLIDATED CY Cash Flows'!$B:$B,'CONSOLIDATED CY Cash Flows'!K:K)/$S79,0)</f>
        <v>0</v>
      </c>
      <c r="F79" s="344">
        <f>+IFERROR(_xlfn.XLOOKUP($A79,'CONSOLIDATED CY Cash Flows'!$B:$B,'CONSOLIDATED CY Cash Flows'!L:L)/$S79,0)</f>
        <v>0</v>
      </c>
      <c r="G79" s="344">
        <f>+IFERROR(_xlfn.XLOOKUP($A79,'CONSOLIDATED CY Cash Flows'!$B:$B,'CONSOLIDATED CY Cash Flows'!M:M)/$S79,0)</f>
        <v>0</v>
      </c>
      <c r="H79" s="344">
        <f>+IFERROR(_xlfn.XLOOKUP($A79,'CONSOLIDATED CY Cash Flows'!$B:$B,'CONSOLIDATED CY Cash Flows'!N:N)/$S79,0)</f>
        <v>0</v>
      </c>
      <c r="I79" s="344">
        <f>+IFERROR(_xlfn.XLOOKUP($A79,'CONSOLIDATED CY Cash Flows'!$B:$B,'CONSOLIDATED CY Cash Flows'!O:O)/$S79,0)</f>
        <v>0</v>
      </c>
      <c r="J79" s="344">
        <f>+IFERROR(_xlfn.XLOOKUP($A79,'CONSOLIDATED CY Cash Flows'!$B:$B,'CONSOLIDATED CY Cash Flows'!P:P)/$S79,0)</f>
        <v>0</v>
      </c>
      <c r="K79" s="344">
        <f>+IFERROR(_xlfn.XLOOKUP($A79,'CONSOLIDATED CY Cash Flows'!$B:$B,'CONSOLIDATED CY Cash Flows'!Q:Q)/$S79,0)</f>
        <v>0</v>
      </c>
      <c r="L79" s="344">
        <f>+IFERROR(_xlfn.XLOOKUP($A79,'CONSOLIDATED CY Cash Flows'!$B:$B,'CONSOLIDATED CY Cash Flows'!R:R)/$S79,0)</f>
        <v>0</v>
      </c>
      <c r="M79" s="344">
        <f>+IFERROR(_xlfn.XLOOKUP($A79,'CONSOLIDATED CY Cash Flows'!$B:$B,'CONSOLIDATED CY Cash Flows'!S:S)/$S79,0)</f>
        <v>0</v>
      </c>
      <c r="N79" s="344">
        <f>+IFERROR(_xlfn.XLOOKUP($A79,'CONSOLIDATED CY Cash Flows'!$B:$B,'CONSOLIDATED CY Cash Flows'!T:T)/$S79,0)</f>
        <v>0</v>
      </c>
      <c r="O79" s="344">
        <f>+IFERROR(_xlfn.XLOOKUP($A79,'CONSOLIDATED CY Cash Flows'!$B:$B,'CONSOLIDATED CY Cash Flows'!U:U)/$S79,0)</f>
        <v>0</v>
      </c>
      <c r="P79" s="344">
        <f>+IFERROR(_xlfn.XLOOKUP($A79,'CONSOLIDATED CY Cash Flows'!$B:$B,'CONSOLIDATED CY Cash Flows'!V:V)/$S79,0)</f>
        <v>0</v>
      </c>
      <c r="Q79" s="344">
        <f>+IFERROR(_xlfn.XLOOKUP($A79,'CONSOLIDATED CY Cash Flows'!$B:$B,'CONSOLIDATED CY Cash Flows'!W:W)/$S79,0)</f>
        <v>0</v>
      </c>
      <c r="R79" s="340">
        <f t="shared" si="0"/>
        <v>0</v>
      </c>
      <c r="S79" s="501">
        <f>+IFERROR(_xlfn.XLOOKUP($A79,'CONSOLIDATED CY Cash Flows'!$B:$B,'CONSOLIDATED CY Cash Flows'!$H:$H),0)</f>
        <v>0</v>
      </c>
      <c r="T79" s="501">
        <f t="shared" si="1"/>
        <v>0</v>
      </c>
      <c r="U79" s="501">
        <f t="shared" si="2"/>
        <v>0</v>
      </c>
    </row>
    <row r="80" spans="1:21" ht="13.5" hidden="1" customHeight="1" thickBot="1" x14ac:dyDescent="0.9">
      <c r="A80" s="351" t="s">
        <v>1398</v>
      </c>
      <c r="B80" s="352">
        <v>0</v>
      </c>
      <c r="C80" s="348">
        <f>+IFERROR(_xlfn.XLOOKUP($A80,'CONSOLIDATED CY Cash Flows'!$B:$B,'CONSOLIDATED CY Cash Flows'!I:I)/$S80,0)</f>
        <v>0</v>
      </c>
      <c r="D80" s="348">
        <f>+IFERROR(_xlfn.XLOOKUP($A80,'CONSOLIDATED CY Cash Flows'!$B:$B,'CONSOLIDATED CY Cash Flows'!J:J)/$S80,0)</f>
        <v>0</v>
      </c>
      <c r="E80" s="348">
        <f>+IFERROR(_xlfn.XLOOKUP($A80,'CONSOLIDATED CY Cash Flows'!$B:$B,'CONSOLIDATED CY Cash Flows'!K:K)/$S80,0)</f>
        <v>0</v>
      </c>
      <c r="F80" s="348">
        <f>+IFERROR(_xlfn.XLOOKUP($A80,'CONSOLIDATED CY Cash Flows'!$B:$B,'CONSOLIDATED CY Cash Flows'!L:L)/$S80,0)</f>
        <v>0</v>
      </c>
      <c r="G80" s="348">
        <f>+IFERROR(_xlfn.XLOOKUP($A80,'CONSOLIDATED CY Cash Flows'!$B:$B,'CONSOLIDATED CY Cash Flows'!M:M)/$S80,0)</f>
        <v>0</v>
      </c>
      <c r="H80" s="348">
        <f>+IFERROR(_xlfn.XLOOKUP($A80,'CONSOLIDATED CY Cash Flows'!$B:$B,'CONSOLIDATED CY Cash Flows'!N:N)/$S80,0)</f>
        <v>0</v>
      </c>
      <c r="I80" s="348">
        <f>+IFERROR(_xlfn.XLOOKUP($A80,'CONSOLIDATED CY Cash Flows'!$B:$B,'CONSOLIDATED CY Cash Flows'!O:O)/$S80,0)</f>
        <v>0</v>
      </c>
      <c r="J80" s="348">
        <f>+IFERROR(_xlfn.XLOOKUP($A80,'CONSOLIDATED CY Cash Flows'!$B:$B,'CONSOLIDATED CY Cash Flows'!P:P)/$S80,0)</f>
        <v>0</v>
      </c>
      <c r="K80" s="348">
        <f>+IFERROR(_xlfn.XLOOKUP($A80,'CONSOLIDATED CY Cash Flows'!$B:$B,'CONSOLIDATED CY Cash Flows'!Q:Q)/$S80,0)</f>
        <v>0</v>
      </c>
      <c r="L80" s="348">
        <f>+IFERROR(_xlfn.XLOOKUP($A80,'CONSOLIDATED CY Cash Flows'!$B:$B,'CONSOLIDATED CY Cash Flows'!R:R)/$S80,0)</f>
        <v>0</v>
      </c>
      <c r="M80" s="348">
        <f>+IFERROR(_xlfn.XLOOKUP($A80,'CONSOLIDATED CY Cash Flows'!$B:$B,'CONSOLIDATED CY Cash Flows'!S:S)/$S80,0)</f>
        <v>0</v>
      </c>
      <c r="N80" s="348">
        <f>+IFERROR(_xlfn.XLOOKUP($A80,'CONSOLIDATED CY Cash Flows'!$B:$B,'CONSOLIDATED CY Cash Flows'!T:T)/$S80,0)</f>
        <v>0</v>
      </c>
      <c r="O80" s="348">
        <f>+IFERROR(_xlfn.XLOOKUP($A80,'CONSOLIDATED CY Cash Flows'!$B:$B,'CONSOLIDATED CY Cash Flows'!U:U)/$S80,0)</f>
        <v>0</v>
      </c>
      <c r="P80" s="348">
        <f>+IFERROR(_xlfn.XLOOKUP($A80,'CONSOLIDATED CY Cash Flows'!$B:$B,'CONSOLIDATED CY Cash Flows'!V:V)/$S80,0)</f>
        <v>0</v>
      </c>
      <c r="Q80" s="348">
        <f>+IFERROR(_xlfn.XLOOKUP($A80,'CONSOLIDATED CY Cash Flows'!$B:$B,'CONSOLIDATED CY Cash Flows'!W:W)/$S80,0)</f>
        <v>0</v>
      </c>
      <c r="R80" s="340">
        <f t="shared" si="0"/>
        <v>0</v>
      </c>
      <c r="S80" s="501">
        <f>+IFERROR(_xlfn.XLOOKUP($A80,'CONSOLIDATED CY Cash Flows'!$B:$B,'CONSOLIDATED CY Cash Flows'!$H:$H),0)</f>
        <v>0</v>
      </c>
      <c r="T80" s="501">
        <f t="shared" si="1"/>
        <v>0</v>
      </c>
      <c r="U80" s="501">
        <f t="shared" si="2"/>
        <v>0</v>
      </c>
    </row>
    <row r="81" spans="1:21" ht="13.5" customHeight="1" x14ac:dyDescent="0.75">
      <c r="A81" s="353">
        <v>5200</v>
      </c>
      <c r="B81" s="354" t="s">
        <v>1426</v>
      </c>
      <c r="C81" s="339">
        <f>+IFERROR(_xlfn.XLOOKUP($A81,'CONSOLIDATED CY Cash Flows'!$B:$B,'CONSOLIDATED CY Cash Flows'!I:I)/$S81,0)</f>
        <v>9.3097000000000013E-2</v>
      </c>
      <c r="D81" s="339">
        <f>+IFERROR(_xlfn.XLOOKUP($A81,'CONSOLIDATED CY Cash Flows'!$B:$B,'CONSOLIDATED CY Cash Flows'!J:J)/$S81,0)</f>
        <v>7.6682500000000001E-2</v>
      </c>
      <c r="E81" s="339">
        <f>+IFERROR(_xlfn.XLOOKUP($A81,'CONSOLIDATED CY Cash Flows'!$B:$B,'CONSOLIDATED CY Cash Flows'!K:K)/$S81,0)</f>
        <v>5.6552700000000004E-2</v>
      </c>
      <c r="F81" s="339">
        <f>+IFERROR(_xlfn.XLOOKUP($A81,'CONSOLIDATED CY Cash Flows'!$B:$B,'CONSOLIDATED CY Cash Flows'!L:L)/$S81,0)</f>
        <v>0.21007299999999998</v>
      </c>
      <c r="G81" s="339">
        <f>+IFERROR(_xlfn.XLOOKUP($A81,'CONSOLIDATED CY Cash Flows'!$B:$B,'CONSOLIDATED CY Cash Flows'!M:M)/$S81,0)</f>
        <v>0.1063027</v>
      </c>
      <c r="H81" s="339">
        <f>+IFERROR(_xlfn.XLOOKUP($A81,'CONSOLIDATED CY Cash Flows'!$B:$B,'CONSOLIDATED CY Cash Flows'!N:N)/$S81,0)</f>
        <v>7.3358199999999998E-2</v>
      </c>
      <c r="I81" s="339">
        <f>+IFERROR(_xlfn.XLOOKUP($A81,'CONSOLIDATED CY Cash Flows'!$B:$B,'CONSOLIDATED CY Cash Flows'!O:O)/$S81,0)</f>
        <v>0.1829894</v>
      </c>
      <c r="J81" s="339">
        <f>+IFERROR(_xlfn.XLOOKUP($A81,'CONSOLIDATED CY Cash Flows'!$B:$B,'CONSOLIDATED CY Cash Flows'!P:P)/$S81,0)</f>
        <v>6.6981499999999985E-2</v>
      </c>
      <c r="K81" s="339">
        <f>+IFERROR(_xlfn.XLOOKUP($A81,'CONSOLIDATED CY Cash Flows'!$B:$B,'CONSOLIDATED CY Cash Flows'!Q:Q)/$S81,0)</f>
        <v>6.6981499999999985E-2</v>
      </c>
      <c r="L81" s="339">
        <f>+IFERROR(_xlfn.XLOOKUP($A81,'CONSOLIDATED CY Cash Flows'!$B:$B,'CONSOLIDATED CY Cash Flows'!R:R)/$S81,0)</f>
        <v>6.6981499999999985E-2</v>
      </c>
      <c r="M81" s="339">
        <f>+IFERROR(_xlfn.XLOOKUP($A81,'CONSOLIDATED CY Cash Flows'!$B:$B,'CONSOLIDATED CY Cash Flows'!S:S)/$S81,0)</f>
        <v>0</v>
      </c>
      <c r="N81" s="339">
        <f>+IFERROR(_xlfn.XLOOKUP($A81,'CONSOLIDATED CY Cash Flows'!$B:$B,'CONSOLIDATED CY Cash Flows'!T:T)/$S81,0)</f>
        <v>0</v>
      </c>
      <c r="O81" s="339">
        <f>+IFERROR(_xlfn.XLOOKUP($A81,'CONSOLIDATED CY Cash Flows'!$B:$B,'CONSOLIDATED CY Cash Flows'!U:U)/$S81,0)</f>
        <v>0</v>
      </c>
      <c r="P81" s="339">
        <f>+IFERROR(_xlfn.XLOOKUP($A81,'CONSOLIDATED CY Cash Flows'!$B:$B,'CONSOLIDATED CY Cash Flows'!V:V)/$S81,0)</f>
        <v>0</v>
      </c>
      <c r="Q81" s="339">
        <f>+IFERROR(_xlfn.XLOOKUP($A81,'CONSOLIDATED CY Cash Flows'!$B:$B,'CONSOLIDATED CY Cash Flows'!W:W)/$S81,0)</f>
        <v>0</v>
      </c>
      <c r="R81" s="340">
        <f t="shared" si="0"/>
        <v>1</v>
      </c>
      <c r="S81" s="501">
        <f>+IFERROR(_xlfn.XLOOKUP($A81,'CONSOLIDATED CY Cash Flows'!$B:$B,'CONSOLIDATED CY Cash Flows'!$H:$H),0)</f>
        <v>100000</v>
      </c>
      <c r="T81" s="501">
        <f t="shared" si="1"/>
        <v>79905.55</v>
      </c>
      <c r="U81" s="501">
        <f t="shared" si="2"/>
        <v>20094.449999999997</v>
      </c>
    </row>
    <row r="82" spans="1:21" ht="16.95" customHeight="1" x14ac:dyDescent="0.75">
      <c r="A82" s="349">
        <v>5210</v>
      </c>
      <c r="B82" s="350" t="s">
        <v>1427</v>
      </c>
      <c r="C82" s="344">
        <f>+IFERROR(_xlfn.XLOOKUP($A82,'CONSOLIDATED CY Cash Flows'!$B:$B,'CONSOLIDATED CY Cash Flows'!I:I)/$S82,0)</f>
        <v>0.2274409</v>
      </c>
      <c r="D82" s="344">
        <f>+IFERROR(_xlfn.XLOOKUP($A82,'CONSOLIDATED CY Cash Flows'!$B:$B,'CONSOLIDATED CY Cash Flows'!J:J)/$S82,0)</f>
        <v>8.8990249999999996E-3</v>
      </c>
      <c r="E82" s="344">
        <f>+IFERROR(_xlfn.XLOOKUP($A82,'CONSOLIDATED CY Cash Flows'!$B:$B,'CONSOLIDATED CY Cash Flows'!K:K)/$S82,0)</f>
        <v>0.59942699999999993</v>
      </c>
      <c r="F82" s="344">
        <f>+IFERROR(_xlfn.XLOOKUP($A82,'CONSOLIDATED CY Cash Flows'!$B:$B,'CONSOLIDATED CY Cash Flows'!L:L)/$S82,0)</f>
        <v>3.724885E-2</v>
      </c>
      <c r="G82" s="344">
        <f>+IFERROR(_xlfn.XLOOKUP($A82,'CONSOLIDATED CY Cash Flows'!$B:$B,'CONSOLIDATED CY Cash Flows'!M:M)/$S82,0)</f>
        <v>3.1897175E-2</v>
      </c>
      <c r="H82" s="344">
        <f>+IFERROR(_xlfn.XLOOKUP($A82,'CONSOLIDATED CY Cash Flows'!$B:$B,'CONSOLIDATED CY Cash Flows'!N:N)/$S82,0)</f>
        <v>2.5000000000000001E-2</v>
      </c>
      <c r="I82" s="344">
        <f>+IFERROR(_xlfn.XLOOKUP($A82,'CONSOLIDATED CY Cash Flows'!$B:$B,'CONSOLIDATED CY Cash Flows'!O:O)/$S82,0)</f>
        <v>5.1697499999999999E-3</v>
      </c>
      <c r="J82" s="344">
        <f>+IFERROR(_xlfn.XLOOKUP($A82,'CONSOLIDATED CY Cash Flows'!$B:$B,'CONSOLIDATED CY Cash Flows'!P:P)/$S82,0)</f>
        <v>1.2983459999999994E-2</v>
      </c>
      <c r="K82" s="344">
        <f>+IFERROR(_xlfn.XLOOKUP($A82,'CONSOLIDATED CY Cash Flows'!$B:$B,'CONSOLIDATED CY Cash Flows'!Q:Q)/$S82,0)</f>
        <v>1.2983459999999994E-2</v>
      </c>
      <c r="L82" s="344">
        <f>+IFERROR(_xlfn.XLOOKUP($A82,'CONSOLIDATED CY Cash Flows'!$B:$B,'CONSOLIDATED CY Cash Flows'!R:R)/$S82,0)</f>
        <v>1.2983459999999994E-2</v>
      </c>
      <c r="M82" s="344">
        <f>+IFERROR(_xlfn.XLOOKUP($A82,'CONSOLIDATED CY Cash Flows'!$B:$B,'CONSOLIDATED CY Cash Flows'!S:S)/$S82,0)</f>
        <v>1.2983459999999994E-2</v>
      </c>
      <c r="N82" s="344">
        <f>+IFERROR(_xlfn.XLOOKUP($A82,'CONSOLIDATED CY Cash Flows'!$B:$B,'CONSOLIDATED CY Cash Flows'!T:T)/$S82,0)</f>
        <v>1.2983459999999994E-2</v>
      </c>
      <c r="O82" s="344">
        <f>+IFERROR(_xlfn.XLOOKUP($A82,'CONSOLIDATED CY Cash Flows'!$B:$B,'CONSOLIDATED CY Cash Flows'!U:U)/$S82,0)</f>
        <v>0</v>
      </c>
      <c r="P82" s="344">
        <f>+IFERROR(_xlfn.XLOOKUP($A82,'CONSOLIDATED CY Cash Flows'!$B:$B,'CONSOLIDATED CY Cash Flows'!V:V)/$S82,0)</f>
        <v>0</v>
      </c>
      <c r="Q82" s="344">
        <f>+IFERROR(_xlfn.XLOOKUP($A82,'CONSOLIDATED CY Cash Flows'!$B:$B,'CONSOLIDATED CY Cash Flows'!W:W)/$S82,0)</f>
        <v>0</v>
      </c>
      <c r="R82" s="340">
        <f t="shared" ref="R82:R146" si="11">SUM(C82:Q82)</f>
        <v>0.99999999999999967</v>
      </c>
      <c r="S82" s="501">
        <f>+IFERROR(_xlfn.XLOOKUP($A82,'CONSOLIDATED CY Cash Flows'!$B:$B,'CONSOLIDATED CY Cash Flows'!$H:$H),0)</f>
        <v>400000</v>
      </c>
      <c r="T82" s="501">
        <f t="shared" ref="T82:T145" si="12">+SUMIF($C$1:$Q$1,"ACTUAL",$C82:$Q82)*S82</f>
        <v>374033.07999999996</v>
      </c>
      <c r="U82" s="501">
        <f t="shared" ref="U82:U145" si="13">+S82-T82</f>
        <v>25966.920000000042</v>
      </c>
    </row>
    <row r="83" spans="1:21" ht="13.5" hidden="1" customHeight="1" x14ac:dyDescent="0.75">
      <c r="A83" s="349">
        <v>5223</v>
      </c>
      <c r="B83" s="350" t="s">
        <v>1428</v>
      </c>
      <c r="C83" s="344">
        <f>+IFERROR(_xlfn.XLOOKUP($A83,'CONSOLIDATED CY Cash Flows'!$B:$B,'CONSOLIDATED CY Cash Flows'!I:I)/$S83,0)</f>
        <v>0</v>
      </c>
      <c r="D83" s="344">
        <f>+IFERROR(_xlfn.XLOOKUP($A83,'CONSOLIDATED CY Cash Flows'!$B:$B,'CONSOLIDATED CY Cash Flows'!J:J)/$S83,0)</f>
        <v>0</v>
      </c>
      <c r="E83" s="344">
        <f>+IFERROR(_xlfn.XLOOKUP($A83,'CONSOLIDATED CY Cash Flows'!$B:$B,'CONSOLIDATED CY Cash Flows'!K:K)/$S83,0)</f>
        <v>0</v>
      </c>
      <c r="F83" s="344">
        <f>+IFERROR(_xlfn.XLOOKUP($A83,'CONSOLIDATED CY Cash Flows'!$B:$B,'CONSOLIDATED CY Cash Flows'!L:L)/$S83,0)</f>
        <v>0</v>
      </c>
      <c r="G83" s="344">
        <f>+IFERROR(_xlfn.XLOOKUP($A83,'CONSOLIDATED CY Cash Flows'!$B:$B,'CONSOLIDATED CY Cash Flows'!M:M)/$S83,0)</f>
        <v>0</v>
      </c>
      <c r="H83" s="344">
        <f>+IFERROR(_xlfn.XLOOKUP($A83,'CONSOLIDATED CY Cash Flows'!$B:$B,'CONSOLIDATED CY Cash Flows'!N:N)/$S83,0)</f>
        <v>0</v>
      </c>
      <c r="I83" s="344">
        <f>+IFERROR(_xlfn.XLOOKUP($A83,'CONSOLIDATED CY Cash Flows'!$B:$B,'CONSOLIDATED CY Cash Flows'!O:O)/$S83,0)</f>
        <v>0</v>
      </c>
      <c r="J83" s="344">
        <f>+IFERROR(_xlfn.XLOOKUP($A83,'CONSOLIDATED CY Cash Flows'!$B:$B,'CONSOLIDATED CY Cash Flows'!P:P)/$S83,0)</f>
        <v>0</v>
      </c>
      <c r="K83" s="344">
        <f>+IFERROR(_xlfn.XLOOKUP($A83,'CONSOLIDATED CY Cash Flows'!$B:$B,'CONSOLIDATED CY Cash Flows'!Q:Q)/$S83,0)</f>
        <v>0</v>
      </c>
      <c r="L83" s="344">
        <f>+IFERROR(_xlfn.XLOOKUP($A83,'CONSOLIDATED CY Cash Flows'!$B:$B,'CONSOLIDATED CY Cash Flows'!R:R)/$S83,0)</f>
        <v>0</v>
      </c>
      <c r="M83" s="344">
        <f>+IFERROR(_xlfn.XLOOKUP($A83,'CONSOLIDATED CY Cash Flows'!$B:$B,'CONSOLIDATED CY Cash Flows'!S:S)/$S83,0)</f>
        <v>0</v>
      </c>
      <c r="N83" s="344">
        <f>+IFERROR(_xlfn.XLOOKUP($A83,'CONSOLIDATED CY Cash Flows'!$B:$B,'CONSOLIDATED CY Cash Flows'!T:T)/$S83,0)</f>
        <v>0</v>
      </c>
      <c r="O83" s="344">
        <f>+IFERROR(_xlfn.XLOOKUP($A83,'CONSOLIDATED CY Cash Flows'!$B:$B,'CONSOLIDATED CY Cash Flows'!U:U)/$S83,0)</f>
        <v>0</v>
      </c>
      <c r="P83" s="344">
        <f>+IFERROR(_xlfn.XLOOKUP($A83,'CONSOLIDATED CY Cash Flows'!$B:$B,'CONSOLIDATED CY Cash Flows'!V:V)/$S83,0)</f>
        <v>0</v>
      </c>
      <c r="Q83" s="344">
        <f>+IFERROR(_xlfn.XLOOKUP($A83,'CONSOLIDATED CY Cash Flows'!$B:$B,'CONSOLIDATED CY Cash Flows'!W:W)/$S83,0)</f>
        <v>0</v>
      </c>
      <c r="R83" s="340">
        <f t="shared" si="11"/>
        <v>0</v>
      </c>
      <c r="S83" s="501">
        <f>+IFERROR(_xlfn.XLOOKUP($A83,'CONSOLIDATED CY Cash Flows'!$B:$B,'CONSOLIDATED CY Cash Flows'!$H:$H),0)</f>
        <v>0</v>
      </c>
      <c r="T83" s="501">
        <f t="shared" si="12"/>
        <v>0</v>
      </c>
      <c r="U83" s="501">
        <f t="shared" si="13"/>
        <v>0</v>
      </c>
    </row>
    <row r="84" spans="1:21" ht="13.5" customHeight="1" x14ac:dyDescent="0.75">
      <c r="A84" s="349">
        <v>5300</v>
      </c>
      <c r="B84" s="350" t="s">
        <v>599</v>
      </c>
      <c r="C84" s="344">
        <f>+IFERROR(_xlfn.XLOOKUP($A84,'CONSOLIDATED CY Cash Flows'!$B:$B,'CONSOLIDATED CY Cash Flows'!I:I)/$S84,0)</f>
        <v>0.5016882857142857</v>
      </c>
      <c r="D84" s="344">
        <f>+IFERROR(_xlfn.XLOOKUP($A84,'CONSOLIDATED CY Cash Flows'!$B:$B,'CONSOLIDATED CY Cash Flows'!J:J)/$S84,0)</f>
        <v>1.4285714285714286E-3</v>
      </c>
      <c r="E84" s="344">
        <f>+IFERROR(_xlfn.XLOOKUP($A84,'CONSOLIDATED CY Cash Flows'!$B:$B,'CONSOLIDATED CY Cash Flows'!K:K)/$S84,0)</f>
        <v>3.357157142857143E-2</v>
      </c>
      <c r="F84" s="344">
        <f>+IFERROR(_xlfn.XLOOKUP($A84,'CONSOLIDATED CY Cash Flows'!$B:$B,'CONSOLIDATED CY Cash Flows'!L:L)/$S84,0)</f>
        <v>0</v>
      </c>
      <c r="G84" s="344">
        <f>+IFERROR(_xlfn.XLOOKUP($A84,'CONSOLIDATED CY Cash Flows'!$B:$B,'CONSOLIDATED CY Cash Flows'!M:M)/$S84,0)</f>
        <v>0.34077142857142856</v>
      </c>
      <c r="H84" s="344">
        <f>+IFERROR(_xlfn.XLOOKUP($A84,'CONSOLIDATED CY Cash Flows'!$B:$B,'CONSOLIDATED CY Cash Flows'!N:N)/$S84,0)</f>
        <v>0</v>
      </c>
      <c r="I84" s="344">
        <f>+IFERROR(_xlfn.XLOOKUP($A84,'CONSOLIDATED CY Cash Flows'!$B:$B,'CONSOLIDATED CY Cash Flows'!O:O)/$S84,0)</f>
        <v>3.9285714285714288E-3</v>
      </c>
      <c r="J84" s="344">
        <f>+IFERROR(_xlfn.XLOOKUP($A84,'CONSOLIDATED CY Cash Flows'!$B:$B,'CONSOLIDATED CY Cash Flows'!P:P)/$S84,0)</f>
        <v>3.9537190476190462E-2</v>
      </c>
      <c r="K84" s="344">
        <f>+IFERROR(_xlfn.XLOOKUP($A84,'CONSOLIDATED CY Cash Flows'!$B:$B,'CONSOLIDATED CY Cash Flows'!Q:Q)/$S84,0)</f>
        <v>3.9537190476190462E-2</v>
      </c>
      <c r="L84" s="344">
        <f>+IFERROR(_xlfn.XLOOKUP($A84,'CONSOLIDATED CY Cash Flows'!$B:$B,'CONSOLIDATED CY Cash Flows'!R:R)/$S84,0)</f>
        <v>3.9537190476190462E-2</v>
      </c>
      <c r="M84" s="344">
        <f>+IFERROR(_xlfn.XLOOKUP($A84,'CONSOLIDATED CY Cash Flows'!$B:$B,'CONSOLIDATED CY Cash Flows'!S:S)/$S84,0)</f>
        <v>0</v>
      </c>
      <c r="N84" s="344">
        <f>+IFERROR(_xlfn.XLOOKUP($A84,'CONSOLIDATED CY Cash Flows'!$B:$B,'CONSOLIDATED CY Cash Flows'!T:T)/$S84,0)</f>
        <v>0</v>
      </c>
      <c r="O84" s="344">
        <f>+IFERROR(_xlfn.XLOOKUP($A84,'CONSOLIDATED CY Cash Flows'!$B:$B,'CONSOLIDATED CY Cash Flows'!U:U)/$S84,0)</f>
        <v>0</v>
      </c>
      <c r="P84" s="344">
        <f>+IFERROR(_xlfn.XLOOKUP($A84,'CONSOLIDATED CY Cash Flows'!$B:$B,'CONSOLIDATED CY Cash Flows'!V:V)/$S84,0)</f>
        <v>0</v>
      </c>
      <c r="Q84" s="344">
        <f>+IFERROR(_xlfn.XLOOKUP($A84,'CONSOLIDATED CY Cash Flows'!$B:$B,'CONSOLIDATED CY Cash Flows'!W:W)/$S84,0)</f>
        <v>0</v>
      </c>
      <c r="R84" s="340">
        <f t="shared" si="11"/>
        <v>0.99999999999999978</v>
      </c>
      <c r="S84" s="501">
        <f>+IFERROR(_xlfn.XLOOKUP($A84,'CONSOLIDATED CY Cash Flows'!$B:$B,'CONSOLIDATED CY Cash Flows'!$H:$H),0)</f>
        <v>70000</v>
      </c>
      <c r="T84" s="501">
        <f t="shared" si="12"/>
        <v>61697.189999999995</v>
      </c>
      <c r="U84" s="501">
        <f t="shared" si="13"/>
        <v>8302.8100000000049</v>
      </c>
    </row>
    <row r="85" spans="1:21" ht="13.5" customHeight="1" x14ac:dyDescent="0.75">
      <c r="A85" s="349">
        <v>5400</v>
      </c>
      <c r="B85" s="350" t="s">
        <v>1429</v>
      </c>
      <c r="C85" s="344">
        <f>+IFERROR(_xlfn.XLOOKUP($A85,'CONSOLIDATED CY Cash Flows'!$B:$B,'CONSOLIDATED CY Cash Flows'!I:I)/$S85,0)</f>
        <v>0</v>
      </c>
      <c r="D85" s="344">
        <f>+IFERROR(_xlfn.XLOOKUP($A85,'CONSOLIDATED CY Cash Flows'!$B:$B,'CONSOLIDATED CY Cash Flows'!J:J)/$S85,0)</f>
        <v>0</v>
      </c>
      <c r="E85" s="344">
        <f>+IFERROR(_xlfn.XLOOKUP($A85,'CONSOLIDATED CY Cash Flows'!$B:$B,'CONSOLIDATED CY Cash Flows'!K:K)/$S85,0)</f>
        <v>0.26489715789473683</v>
      </c>
      <c r="F85" s="344">
        <f>+IFERROR(_xlfn.XLOOKUP($A85,'CONSOLIDATED CY Cash Flows'!$B:$B,'CONSOLIDATED CY Cash Flows'!L:L)/$S85,0)</f>
        <v>0.36821052631578949</v>
      </c>
      <c r="G85" s="344">
        <f>+IFERROR(_xlfn.XLOOKUP($A85,'CONSOLIDATED CY Cash Flows'!$B:$B,'CONSOLIDATED CY Cash Flows'!M:M)/$S85,0)</f>
        <v>0</v>
      </c>
      <c r="H85" s="344">
        <f>+IFERROR(_xlfn.XLOOKUP($A85,'CONSOLIDATED CY Cash Flows'!$B:$B,'CONSOLIDATED CY Cash Flows'!N:N)/$S85,0)</f>
        <v>0</v>
      </c>
      <c r="I85" s="344">
        <f>+IFERROR(_xlfn.XLOOKUP($A85,'CONSOLIDATED CY Cash Flows'!$B:$B,'CONSOLIDATED CY Cash Flows'!O:O)/$S85,0)</f>
        <v>0</v>
      </c>
      <c r="J85" s="344">
        <f>+IFERROR(_xlfn.XLOOKUP($A85,'CONSOLIDATED CY Cash Flows'!$B:$B,'CONSOLIDATED CY Cash Flows'!P:P)/$S85,0)</f>
        <v>0.12229743859649124</v>
      </c>
      <c r="K85" s="344">
        <f>+IFERROR(_xlfn.XLOOKUP($A85,'CONSOLIDATED CY Cash Flows'!$B:$B,'CONSOLIDATED CY Cash Flows'!Q:Q)/$S85,0)</f>
        <v>0.12229743859649124</v>
      </c>
      <c r="L85" s="344">
        <f>+IFERROR(_xlfn.XLOOKUP($A85,'CONSOLIDATED CY Cash Flows'!$B:$B,'CONSOLIDATED CY Cash Flows'!R:R)/$S85,0)</f>
        <v>0.12229743859649124</v>
      </c>
      <c r="M85" s="344">
        <f>+IFERROR(_xlfn.XLOOKUP($A85,'CONSOLIDATED CY Cash Flows'!$B:$B,'CONSOLIDATED CY Cash Flows'!S:S)/$S85,0)</f>
        <v>0</v>
      </c>
      <c r="N85" s="344">
        <f>+IFERROR(_xlfn.XLOOKUP($A85,'CONSOLIDATED CY Cash Flows'!$B:$B,'CONSOLIDATED CY Cash Flows'!T:T)/$S85,0)</f>
        <v>0</v>
      </c>
      <c r="O85" s="344">
        <f>+IFERROR(_xlfn.XLOOKUP($A85,'CONSOLIDATED CY Cash Flows'!$B:$B,'CONSOLIDATED CY Cash Flows'!U:U)/$S85,0)</f>
        <v>0</v>
      </c>
      <c r="P85" s="344">
        <f>+IFERROR(_xlfn.XLOOKUP($A85,'CONSOLIDATED CY Cash Flows'!$B:$B,'CONSOLIDATED CY Cash Flows'!V:V)/$S85,0)</f>
        <v>0</v>
      </c>
      <c r="Q85" s="344">
        <f>+IFERROR(_xlfn.XLOOKUP($A85,'CONSOLIDATED CY Cash Flows'!$B:$B,'CONSOLIDATED CY Cash Flows'!W:W)/$S85,0)</f>
        <v>0</v>
      </c>
      <c r="R85" s="340">
        <f t="shared" si="11"/>
        <v>1</v>
      </c>
      <c r="S85" s="501">
        <f>+IFERROR(_xlfn.XLOOKUP($A85,'CONSOLIDATED CY Cash Flows'!$B:$B,'CONSOLIDATED CY Cash Flows'!$H:$H),0)</f>
        <v>95000</v>
      </c>
      <c r="T85" s="501">
        <f t="shared" si="12"/>
        <v>60145.23</v>
      </c>
      <c r="U85" s="501">
        <f t="shared" si="13"/>
        <v>34854.769999999997</v>
      </c>
    </row>
    <row r="86" spans="1:21" ht="14.25" hidden="1" customHeight="1" x14ac:dyDescent="0.75">
      <c r="A86" s="349">
        <v>5450</v>
      </c>
      <c r="B86" s="350" t="s">
        <v>1430</v>
      </c>
      <c r="C86" s="344">
        <f>+IFERROR(_xlfn.XLOOKUP($A86,'CONSOLIDATED CY Cash Flows'!$B:$B,'CONSOLIDATED CY Cash Flows'!I:I)/$S86,0)</f>
        <v>0</v>
      </c>
      <c r="D86" s="344">
        <f>+IFERROR(_xlfn.XLOOKUP($A86,'CONSOLIDATED CY Cash Flows'!$B:$B,'CONSOLIDATED CY Cash Flows'!J:J)/$S86,0)</f>
        <v>0</v>
      </c>
      <c r="E86" s="344">
        <f>+IFERROR(_xlfn.XLOOKUP($A86,'CONSOLIDATED CY Cash Flows'!$B:$B,'CONSOLIDATED CY Cash Flows'!K:K)/$S86,0)</f>
        <v>0</v>
      </c>
      <c r="F86" s="344">
        <f>+IFERROR(_xlfn.XLOOKUP($A86,'CONSOLIDATED CY Cash Flows'!$B:$B,'CONSOLIDATED CY Cash Flows'!L:L)/$S86,0)</f>
        <v>0</v>
      </c>
      <c r="G86" s="344">
        <f>+IFERROR(_xlfn.XLOOKUP($A86,'CONSOLIDATED CY Cash Flows'!$B:$B,'CONSOLIDATED CY Cash Flows'!M:M)/$S86,0)</f>
        <v>0</v>
      </c>
      <c r="H86" s="344">
        <f>+IFERROR(_xlfn.XLOOKUP($A86,'CONSOLIDATED CY Cash Flows'!$B:$B,'CONSOLIDATED CY Cash Flows'!N:N)/$S86,0)</f>
        <v>0</v>
      </c>
      <c r="I86" s="344">
        <f>+IFERROR(_xlfn.XLOOKUP($A86,'CONSOLIDATED CY Cash Flows'!$B:$B,'CONSOLIDATED CY Cash Flows'!O:O)/$S86,0)</f>
        <v>0</v>
      </c>
      <c r="J86" s="344">
        <f>+IFERROR(_xlfn.XLOOKUP($A86,'CONSOLIDATED CY Cash Flows'!$B:$B,'CONSOLIDATED CY Cash Flows'!P:P)/$S86,0)</f>
        <v>0</v>
      </c>
      <c r="K86" s="344">
        <f>+IFERROR(_xlfn.XLOOKUP($A86,'CONSOLIDATED CY Cash Flows'!$B:$B,'CONSOLIDATED CY Cash Flows'!Q:Q)/$S86,0)</f>
        <v>0</v>
      </c>
      <c r="L86" s="344">
        <f>+IFERROR(_xlfn.XLOOKUP($A86,'CONSOLIDATED CY Cash Flows'!$B:$B,'CONSOLIDATED CY Cash Flows'!R:R)/$S86,0)</f>
        <v>0</v>
      </c>
      <c r="M86" s="344">
        <f>+IFERROR(_xlfn.XLOOKUP($A86,'CONSOLIDATED CY Cash Flows'!$B:$B,'CONSOLIDATED CY Cash Flows'!S:S)/$S86,0)</f>
        <v>0</v>
      </c>
      <c r="N86" s="344">
        <f>+IFERROR(_xlfn.XLOOKUP($A86,'CONSOLIDATED CY Cash Flows'!$B:$B,'CONSOLIDATED CY Cash Flows'!T:T)/$S86,0)</f>
        <v>0</v>
      </c>
      <c r="O86" s="344">
        <f>+IFERROR(_xlfn.XLOOKUP($A86,'CONSOLIDATED CY Cash Flows'!$B:$B,'CONSOLIDATED CY Cash Flows'!U:U)/$S86,0)</f>
        <v>0</v>
      </c>
      <c r="P86" s="344">
        <f>+IFERROR(_xlfn.XLOOKUP($A86,'CONSOLIDATED CY Cash Flows'!$B:$B,'CONSOLIDATED CY Cash Flows'!V:V)/$S86,0)</f>
        <v>0</v>
      </c>
      <c r="Q86" s="344">
        <f>+IFERROR(_xlfn.XLOOKUP($A86,'CONSOLIDATED CY Cash Flows'!$B:$B,'CONSOLIDATED CY Cash Flows'!W:W)/$S86,0)</f>
        <v>0</v>
      </c>
      <c r="R86" s="340">
        <f t="shared" si="11"/>
        <v>0</v>
      </c>
      <c r="S86" s="501">
        <f>+IFERROR(_xlfn.XLOOKUP($A86,'CONSOLIDATED CY Cash Flows'!$B:$B,'CONSOLIDATED CY Cash Flows'!$H:$H),0)</f>
        <v>0</v>
      </c>
      <c r="T86" s="501">
        <f t="shared" si="12"/>
        <v>0</v>
      </c>
      <c r="U86" s="501">
        <f t="shared" si="13"/>
        <v>0</v>
      </c>
    </row>
    <row r="87" spans="1:21" ht="13.5" customHeight="1" x14ac:dyDescent="0.75">
      <c r="A87" s="349">
        <v>5500</v>
      </c>
      <c r="B87" s="350" t="s">
        <v>601</v>
      </c>
      <c r="C87" s="344">
        <f>+IFERROR(_xlfn.XLOOKUP($A87,'CONSOLIDATED CY Cash Flows'!$B:$B,'CONSOLIDATED CY Cash Flows'!I:I)/$S87,0)</f>
        <v>0</v>
      </c>
      <c r="D87" s="344">
        <f>+IFERROR(_xlfn.XLOOKUP($A87,'CONSOLIDATED CY Cash Flows'!$B:$B,'CONSOLIDATED CY Cash Flows'!J:J)/$S87,0)</f>
        <v>0.12666666666666668</v>
      </c>
      <c r="E87" s="344">
        <f>+IFERROR(_xlfn.XLOOKUP($A87,'CONSOLIDATED CY Cash Flows'!$B:$B,'CONSOLIDATED CY Cash Flows'!K:K)/$S87,0)</f>
        <v>6.3335000000000002E-2</v>
      </c>
      <c r="F87" s="344">
        <f>+IFERROR(_xlfn.XLOOKUP($A87,'CONSOLIDATED CY Cash Flows'!$B:$B,'CONSOLIDATED CY Cash Flows'!L:L)/$S87,0)</f>
        <v>0</v>
      </c>
      <c r="G87" s="344">
        <f>+IFERROR(_xlfn.XLOOKUP($A87,'CONSOLIDATED CY Cash Flows'!$B:$B,'CONSOLIDATED CY Cash Flows'!M:M)/$S87,0)</f>
        <v>6.3331666666666675E-2</v>
      </c>
      <c r="H87" s="344">
        <f>+IFERROR(_xlfn.XLOOKUP($A87,'CONSOLIDATED CY Cash Flows'!$B:$B,'CONSOLIDATED CY Cash Flows'!N:N)/$S87,0)</f>
        <v>7.9166666666666663E-2</v>
      </c>
      <c r="I87" s="344">
        <f>+IFERROR(_xlfn.XLOOKUP($A87,'CONSOLIDATED CY Cash Flows'!$B:$B,'CONSOLIDATED CY Cash Flows'!O:O)/$S87,0)</f>
        <v>6.3335000000000002E-2</v>
      </c>
      <c r="J87" s="344">
        <f>+IFERROR(_xlfn.XLOOKUP($A87,'CONSOLIDATED CY Cash Flows'!$B:$B,'CONSOLIDATED CY Cash Flows'!P:P)/$S87,0)</f>
        <v>0.1196794630071599</v>
      </c>
      <c r="K87" s="344">
        <f>+IFERROR(_xlfn.XLOOKUP($A87,'CONSOLIDATED CY Cash Flows'!$B:$B,'CONSOLIDATED CY Cash Flows'!Q:Q)/$S87,0)</f>
        <v>0.12112138424821002</v>
      </c>
      <c r="L87" s="344">
        <f>+IFERROR(_xlfn.XLOOKUP($A87,'CONSOLIDATED CY Cash Flows'!$B:$B,'CONSOLIDATED CY Cash Flows'!R:R)/$S87,0)</f>
        <v>0.12112138424821002</v>
      </c>
      <c r="M87" s="344">
        <f>+IFERROR(_xlfn.XLOOKUP($A87,'CONSOLIDATED CY Cash Flows'!$B:$B,'CONSOLIDATED CY Cash Flows'!S:S)/$S87,0)</f>
        <v>0.12112138424821002</v>
      </c>
      <c r="N87" s="344">
        <f>+IFERROR(_xlfn.XLOOKUP($A87,'CONSOLIDATED CY Cash Flows'!$B:$B,'CONSOLIDATED CY Cash Flows'!T:T)/$S87,0)</f>
        <v>0.12112138424821002</v>
      </c>
      <c r="O87" s="344">
        <f>+IFERROR(_xlfn.XLOOKUP($A87,'CONSOLIDATED CY Cash Flows'!$B:$B,'CONSOLIDATED CY Cash Flows'!U:U)/$S87,0)</f>
        <v>0</v>
      </c>
      <c r="P87" s="344">
        <f>+IFERROR(_xlfn.XLOOKUP($A87,'CONSOLIDATED CY Cash Flows'!$B:$B,'CONSOLIDATED CY Cash Flows'!V:V)/$S87,0)</f>
        <v>0</v>
      </c>
      <c r="Q87" s="344">
        <f>+IFERROR(_xlfn.XLOOKUP($A87,'CONSOLIDATED CY Cash Flows'!$B:$B,'CONSOLIDATED CY Cash Flows'!W:W)/$S87,0)</f>
        <v>0</v>
      </c>
      <c r="R87" s="340">
        <f t="shared" si="11"/>
        <v>1.0000000000000002</v>
      </c>
      <c r="S87" s="501">
        <f>+IFERROR(_xlfn.XLOOKUP($A87,'CONSOLIDATED CY Cash Flows'!$B:$B,'CONSOLIDATED CY Cash Flows'!$H:$H),0)</f>
        <v>6000</v>
      </c>
      <c r="T87" s="501">
        <f t="shared" si="12"/>
        <v>2375.0100000000002</v>
      </c>
      <c r="U87" s="501">
        <f t="shared" si="13"/>
        <v>3624.99</v>
      </c>
    </row>
    <row r="88" spans="1:21" ht="13.5" customHeight="1" x14ac:dyDescent="0.75">
      <c r="A88" s="349">
        <v>5501</v>
      </c>
      <c r="B88" s="350" t="s">
        <v>602</v>
      </c>
      <c r="C88" s="344">
        <f>+IFERROR(_xlfn.XLOOKUP($A88,'CONSOLIDATED CY Cash Flows'!$B:$B,'CONSOLIDATED CY Cash Flows'!I:I)/$S88,0)</f>
        <v>8.1731999999999999E-2</v>
      </c>
      <c r="D88" s="344">
        <f>+IFERROR(_xlfn.XLOOKUP($A88,'CONSOLIDATED CY Cash Flows'!$B:$B,'CONSOLIDATED CY Cash Flows'!J:J)/$S88,0)</f>
        <v>8.4699999999999998E-2</v>
      </c>
      <c r="E88" s="344">
        <f>+IFERROR(_xlfn.XLOOKUP($A88,'CONSOLIDATED CY Cash Flows'!$B:$B,'CONSOLIDATED CY Cash Flows'!K:K)/$S88,0)</f>
        <v>0</v>
      </c>
      <c r="F88" s="344">
        <f>+IFERROR(_xlfn.XLOOKUP($A88,'CONSOLIDATED CY Cash Flows'!$B:$B,'CONSOLIDATED CY Cash Flows'!L:L)/$S88,0)</f>
        <v>8.0196000000000003E-2</v>
      </c>
      <c r="G88" s="344">
        <f>+IFERROR(_xlfn.XLOOKUP($A88,'CONSOLIDATED CY Cash Flows'!$B:$B,'CONSOLIDATED CY Cash Flows'!M:M)/$S88,0)</f>
        <v>6.7804000000000003E-2</v>
      </c>
      <c r="H88" s="344">
        <f>+IFERROR(_xlfn.XLOOKUP($A88,'CONSOLIDATED CY Cash Flows'!$B:$B,'CONSOLIDATED CY Cash Flows'!N:N)/$S88,0)</f>
        <v>5.8936000000000002E-2</v>
      </c>
      <c r="I88" s="344">
        <f>+IFERROR(_xlfn.XLOOKUP($A88,'CONSOLIDATED CY Cash Flows'!$B:$B,'CONSOLIDATED CY Cash Flows'!O:O)/$S88,0)</f>
        <v>4.7863999999999997E-2</v>
      </c>
      <c r="J88" s="344">
        <f>+IFERROR(_xlfn.XLOOKUP($A88,'CONSOLIDATED CY Cash Flows'!$B:$B,'CONSOLIDATED CY Cash Flows'!P:P)/$S88,0)</f>
        <v>0.11464855369928401</v>
      </c>
      <c r="K88" s="344">
        <f>+IFERROR(_xlfn.XLOOKUP($A88,'CONSOLIDATED CY Cash Flows'!$B:$B,'CONSOLIDATED CY Cash Flows'!Q:Q)/$S88,0)</f>
        <v>0.11602986157517899</v>
      </c>
      <c r="L88" s="344">
        <f>+IFERROR(_xlfn.XLOOKUP($A88,'CONSOLIDATED CY Cash Flows'!$B:$B,'CONSOLIDATED CY Cash Flows'!R:R)/$S88,0)</f>
        <v>0.11602986157517899</v>
      </c>
      <c r="M88" s="344">
        <f>+IFERROR(_xlfn.XLOOKUP($A88,'CONSOLIDATED CY Cash Flows'!$B:$B,'CONSOLIDATED CY Cash Flows'!S:S)/$S88,0)</f>
        <v>0.11602986157517899</v>
      </c>
      <c r="N88" s="344">
        <f>+IFERROR(_xlfn.XLOOKUP($A88,'CONSOLIDATED CY Cash Flows'!$B:$B,'CONSOLIDATED CY Cash Flows'!T:T)/$S88,0)</f>
        <v>0.11602986157517899</v>
      </c>
      <c r="O88" s="344">
        <f>+IFERROR(_xlfn.XLOOKUP($A88,'CONSOLIDATED CY Cash Flows'!$B:$B,'CONSOLIDATED CY Cash Flows'!U:U)/$S88,0)</f>
        <v>0</v>
      </c>
      <c r="P88" s="344">
        <f>+IFERROR(_xlfn.XLOOKUP($A88,'CONSOLIDATED CY Cash Flows'!$B:$B,'CONSOLIDATED CY Cash Flows'!V:V)/$S88,0)</f>
        <v>0</v>
      </c>
      <c r="Q88" s="344">
        <f>+IFERROR(_xlfn.XLOOKUP($A88,'CONSOLIDATED CY Cash Flows'!$B:$B,'CONSOLIDATED CY Cash Flows'!W:W)/$S88,0)</f>
        <v>0</v>
      </c>
      <c r="R88" s="340">
        <f t="shared" si="11"/>
        <v>1.0000000000000002</v>
      </c>
      <c r="S88" s="501">
        <f>+IFERROR(_xlfn.XLOOKUP($A88,'CONSOLIDATED CY Cash Flows'!$B:$B,'CONSOLIDATED CY Cash Flows'!$H:$H),0)</f>
        <v>2500</v>
      </c>
      <c r="T88" s="501">
        <f t="shared" si="12"/>
        <v>1053.0800000000002</v>
      </c>
      <c r="U88" s="501">
        <f t="shared" si="13"/>
        <v>1446.9199999999998</v>
      </c>
    </row>
    <row r="89" spans="1:21" ht="13.5" hidden="1" customHeight="1" x14ac:dyDescent="0.75">
      <c r="A89" s="349">
        <v>5505</v>
      </c>
      <c r="B89" s="350" t="s">
        <v>1079</v>
      </c>
      <c r="C89" s="344">
        <f>+IFERROR(_xlfn.XLOOKUP($A89,'CONSOLIDATED CY Cash Flows'!$B:$B,'CONSOLIDATED CY Cash Flows'!I:I)/$S89,0)</f>
        <v>0</v>
      </c>
      <c r="D89" s="344">
        <f>+IFERROR(_xlfn.XLOOKUP($A89,'CONSOLIDATED CY Cash Flows'!$B:$B,'CONSOLIDATED CY Cash Flows'!J:J)/$S89,0)</f>
        <v>0</v>
      </c>
      <c r="E89" s="344">
        <f>+IFERROR(_xlfn.XLOOKUP($A89,'CONSOLIDATED CY Cash Flows'!$B:$B,'CONSOLIDATED CY Cash Flows'!K:K)/$S89,0)</f>
        <v>0</v>
      </c>
      <c r="F89" s="344">
        <f>+IFERROR(_xlfn.XLOOKUP($A89,'CONSOLIDATED CY Cash Flows'!$B:$B,'CONSOLIDATED CY Cash Flows'!L:L)/$S89,0)</f>
        <v>0</v>
      </c>
      <c r="G89" s="344">
        <f>+IFERROR(_xlfn.XLOOKUP($A89,'CONSOLIDATED CY Cash Flows'!$B:$B,'CONSOLIDATED CY Cash Flows'!M:M)/$S89,0)</f>
        <v>0</v>
      </c>
      <c r="H89" s="344">
        <f>+IFERROR(_xlfn.XLOOKUP($A89,'CONSOLIDATED CY Cash Flows'!$B:$B,'CONSOLIDATED CY Cash Flows'!N:N)/$S89,0)</f>
        <v>0</v>
      </c>
      <c r="I89" s="344">
        <f>+IFERROR(_xlfn.XLOOKUP($A89,'CONSOLIDATED CY Cash Flows'!$B:$B,'CONSOLIDATED CY Cash Flows'!O:O)/$S89,0)</f>
        <v>0</v>
      </c>
      <c r="J89" s="344">
        <f>+IFERROR(_xlfn.XLOOKUP($A89,'CONSOLIDATED CY Cash Flows'!$B:$B,'CONSOLIDATED CY Cash Flows'!P:P)/$S89,0)</f>
        <v>0</v>
      </c>
      <c r="K89" s="344">
        <f>+IFERROR(_xlfn.XLOOKUP($A89,'CONSOLIDATED CY Cash Flows'!$B:$B,'CONSOLIDATED CY Cash Flows'!Q:Q)/$S89,0)</f>
        <v>0</v>
      </c>
      <c r="L89" s="344">
        <f>+IFERROR(_xlfn.XLOOKUP($A89,'CONSOLIDATED CY Cash Flows'!$B:$B,'CONSOLIDATED CY Cash Flows'!R:R)/$S89,0)</f>
        <v>0</v>
      </c>
      <c r="M89" s="344">
        <f>+IFERROR(_xlfn.XLOOKUP($A89,'CONSOLIDATED CY Cash Flows'!$B:$B,'CONSOLIDATED CY Cash Flows'!S:S)/$S89,0)</f>
        <v>0</v>
      </c>
      <c r="N89" s="344">
        <f>+IFERROR(_xlfn.XLOOKUP($A89,'CONSOLIDATED CY Cash Flows'!$B:$B,'CONSOLIDATED CY Cash Flows'!T:T)/$S89,0)</f>
        <v>0</v>
      </c>
      <c r="O89" s="344">
        <f>+IFERROR(_xlfn.XLOOKUP($A89,'CONSOLIDATED CY Cash Flows'!$B:$B,'CONSOLIDATED CY Cash Flows'!U:U)/$S89,0)</f>
        <v>0</v>
      </c>
      <c r="P89" s="344">
        <f>+IFERROR(_xlfn.XLOOKUP($A89,'CONSOLIDATED CY Cash Flows'!$B:$B,'CONSOLIDATED CY Cash Flows'!V:V)/$S89,0)</f>
        <v>0</v>
      </c>
      <c r="Q89" s="344">
        <f>+IFERROR(_xlfn.XLOOKUP($A89,'CONSOLIDATED CY Cash Flows'!$B:$B,'CONSOLIDATED CY Cash Flows'!W:W)/$S89,0)</f>
        <v>0</v>
      </c>
      <c r="R89" s="340">
        <f t="shared" si="11"/>
        <v>0</v>
      </c>
      <c r="S89" s="501">
        <f>+IFERROR(_xlfn.XLOOKUP($A89,'CONSOLIDATED CY Cash Flows'!$B:$B,'CONSOLIDATED CY Cash Flows'!$H:$H),0)</f>
        <v>0</v>
      </c>
      <c r="T89" s="501">
        <f t="shared" si="12"/>
        <v>0</v>
      </c>
      <c r="U89" s="501">
        <f t="shared" si="13"/>
        <v>0</v>
      </c>
    </row>
    <row r="90" spans="1:21" ht="13.5" customHeight="1" x14ac:dyDescent="0.75">
      <c r="A90" s="349">
        <v>5600</v>
      </c>
      <c r="B90" s="350" t="s">
        <v>1431</v>
      </c>
      <c r="C90" s="344">
        <f>+IFERROR(_xlfn.XLOOKUP($A90,'CONSOLIDATED CY Cash Flows'!$B:$B,'CONSOLIDATED CY Cash Flows'!I:I)/$S90,0)</f>
        <v>0.10708967120057759</v>
      </c>
      <c r="D90" s="344">
        <f>+IFERROR(_xlfn.XLOOKUP($A90,'CONSOLIDATED CY Cash Flows'!$B:$B,'CONSOLIDATED CY Cash Flows'!J:J)/$S90,0)</f>
        <v>7.5963679114583599E-2</v>
      </c>
      <c r="E90" s="344">
        <f>+IFERROR(_xlfn.XLOOKUP($A90,'CONSOLIDATED CY Cash Flows'!$B:$B,'CONSOLIDATED CY Cash Flows'!K:K)/$S90,0)</f>
        <v>8.6170558496850555E-2</v>
      </c>
      <c r="F90" s="344">
        <f>+IFERROR(_xlfn.XLOOKUP($A90,'CONSOLIDATED CY Cash Flows'!$B:$B,'CONSOLIDATED CY Cash Flows'!L:L)/$S90,0)</f>
        <v>8.6170558496850555E-2</v>
      </c>
      <c r="G90" s="344">
        <f>+IFERROR(_xlfn.XLOOKUP($A90,'CONSOLIDATED CY Cash Flows'!$B:$B,'CONSOLIDATED CY Cash Flows'!M:M)/$S90,0)</f>
        <v>8.6170558496850555E-2</v>
      </c>
      <c r="H90" s="344">
        <f>+IFERROR(_xlfn.XLOOKUP($A90,'CONSOLIDATED CY Cash Flows'!$B:$B,'CONSOLIDATED CY Cash Flows'!N:N)/$S90,0)</f>
        <v>8.747068811060954E-2</v>
      </c>
      <c r="I90" s="344">
        <f>+IFERROR(_xlfn.XLOOKUP($A90,'CONSOLIDATED CY Cash Flows'!$B:$B,'CONSOLIDATED CY Cash Flows'!O:O)/$S90,0)</f>
        <v>8.747068811060954E-2</v>
      </c>
      <c r="J90" s="344">
        <f>+IFERROR(_xlfn.XLOOKUP($A90,'CONSOLIDATED CY Cash Flows'!$B:$B,'CONSOLIDATED CY Cash Flows'!P:P)/$S90,0)</f>
        <v>7.5966512247648332E-2</v>
      </c>
      <c r="K90" s="344">
        <f>+IFERROR(_xlfn.XLOOKUP($A90,'CONSOLIDATED CY Cash Flows'!$B:$B,'CONSOLIDATED CY Cash Flows'!Q:Q)/$S90,0)</f>
        <v>7.6881771431354939E-2</v>
      </c>
      <c r="L90" s="344">
        <f>+IFERROR(_xlfn.XLOOKUP($A90,'CONSOLIDATED CY Cash Flows'!$B:$B,'CONSOLIDATED CY Cash Flows'!R:R)/$S90,0)</f>
        <v>7.6881771431354939E-2</v>
      </c>
      <c r="M90" s="344">
        <f>+IFERROR(_xlfn.XLOOKUP($A90,'CONSOLIDATED CY Cash Flows'!$B:$B,'CONSOLIDATED CY Cash Flows'!S:S)/$S90,0)</f>
        <v>7.6881771431354939E-2</v>
      </c>
      <c r="N90" s="344">
        <f>+IFERROR(_xlfn.XLOOKUP($A90,'CONSOLIDATED CY Cash Flows'!$B:$B,'CONSOLIDATED CY Cash Flows'!T:T)/$S90,0)</f>
        <v>7.6881771431354939E-2</v>
      </c>
      <c r="O90" s="344">
        <f>+IFERROR(_xlfn.XLOOKUP($A90,'CONSOLIDATED CY Cash Flows'!$B:$B,'CONSOLIDATED CY Cash Flows'!U:U)/$S90,0)</f>
        <v>0</v>
      </c>
      <c r="P90" s="344">
        <f>+IFERROR(_xlfn.XLOOKUP($A90,'CONSOLIDATED CY Cash Flows'!$B:$B,'CONSOLIDATED CY Cash Flows'!V:V)/$S90,0)</f>
        <v>0</v>
      </c>
      <c r="Q90" s="344">
        <f>+IFERROR(_xlfn.XLOOKUP($A90,'CONSOLIDATED CY Cash Flows'!$B:$B,'CONSOLIDATED CY Cash Flows'!W:W)/$S90,0)</f>
        <v>0</v>
      </c>
      <c r="R90" s="340">
        <f t="shared" si="11"/>
        <v>1.0000000000000002</v>
      </c>
      <c r="S90" s="501">
        <f>+IFERROR(_xlfn.XLOOKUP($A90,'CONSOLIDATED CY Cash Flows'!$B:$B,'CONSOLIDATED CY Cash Flows'!$H:$H),0)</f>
        <v>110219.78000000001</v>
      </c>
      <c r="T90" s="501">
        <f t="shared" si="12"/>
        <v>67951.199999999997</v>
      </c>
      <c r="U90" s="501">
        <f t="shared" si="13"/>
        <v>42268.580000000016</v>
      </c>
    </row>
    <row r="91" spans="1:21" ht="13.5" hidden="1" customHeight="1" x14ac:dyDescent="0.75">
      <c r="A91" s="349">
        <v>5601</v>
      </c>
      <c r="B91" s="350" t="s">
        <v>1432</v>
      </c>
      <c r="C91" s="344">
        <f>+IFERROR(_xlfn.XLOOKUP($A91,'CONSOLIDATED CY Cash Flows'!$B:$B,'CONSOLIDATED CY Cash Flows'!I:I)/$S91,0)</f>
        <v>0</v>
      </c>
      <c r="D91" s="344">
        <f>+IFERROR(_xlfn.XLOOKUP($A91,'CONSOLIDATED CY Cash Flows'!$B:$B,'CONSOLIDATED CY Cash Flows'!J:J)/$S91,0)</f>
        <v>0</v>
      </c>
      <c r="E91" s="344">
        <f>+IFERROR(_xlfn.XLOOKUP($A91,'CONSOLIDATED CY Cash Flows'!$B:$B,'CONSOLIDATED CY Cash Flows'!K:K)/$S91,0)</f>
        <v>0</v>
      </c>
      <c r="F91" s="344">
        <f>+IFERROR(_xlfn.XLOOKUP($A91,'CONSOLIDATED CY Cash Flows'!$B:$B,'CONSOLIDATED CY Cash Flows'!L:L)/$S91,0)</f>
        <v>0</v>
      </c>
      <c r="G91" s="344">
        <f>+IFERROR(_xlfn.XLOOKUP($A91,'CONSOLIDATED CY Cash Flows'!$B:$B,'CONSOLIDATED CY Cash Flows'!M:M)/$S91,0)</f>
        <v>0</v>
      </c>
      <c r="H91" s="344">
        <f>+IFERROR(_xlfn.XLOOKUP($A91,'CONSOLIDATED CY Cash Flows'!$B:$B,'CONSOLIDATED CY Cash Flows'!N:N)/$S91,0)</f>
        <v>0</v>
      </c>
      <c r="I91" s="344">
        <f>+IFERROR(_xlfn.XLOOKUP($A91,'CONSOLIDATED CY Cash Flows'!$B:$B,'CONSOLIDATED CY Cash Flows'!O:O)/$S91,0)</f>
        <v>0</v>
      </c>
      <c r="J91" s="344">
        <f>+IFERROR(_xlfn.XLOOKUP($A91,'CONSOLIDATED CY Cash Flows'!$B:$B,'CONSOLIDATED CY Cash Flows'!P:P)/$S91,0)</f>
        <v>0</v>
      </c>
      <c r="K91" s="344">
        <f>+IFERROR(_xlfn.XLOOKUP($A91,'CONSOLIDATED CY Cash Flows'!$B:$B,'CONSOLIDATED CY Cash Flows'!Q:Q)/$S91,0)</f>
        <v>0</v>
      </c>
      <c r="L91" s="344">
        <f>+IFERROR(_xlfn.XLOOKUP($A91,'CONSOLIDATED CY Cash Flows'!$B:$B,'CONSOLIDATED CY Cash Flows'!R:R)/$S91,0)</f>
        <v>0</v>
      </c>
      <c r="M91" s="344">
        <f>+IFERROR(_xlfn.XLOOKUP($A91,'CONSOLIDATED CY Cash Flows'!$B:$B,'CONSOLIDATED CY Cash Flows'!S:S)/$S91,0)</f>
        <v>0</v>
      </c>
      <c r="N91" s="344">
        <f>+IFERROR(_xlfn.XLOOKUP($A91,'CONSOLIDATED CY Cash Flows'!$B:$B,'CONSOLIDATED CY Cash Flows'!T:T)/$S91,0)</f>
        <v>0</v>
      </c>
      <c r="O91" s="344">
        <f>+IFERROR(_xlfn.XLOOKUP($A91,'CONSOLIDATED CY Cash Flows'!$B:$B,'CONSOLIDATED CY Cash Flows'!U:U)/$S91,0)</f>
        <v>0</v>
      </c>
      <c r="P91" s="344">
        <f>+IFERROR(_xlfn.XLOOKUP($A91,'CONSOLIDATED CY Cash Flows'!$B:$B,'CONSOLIDATED CY Cash Flows'!V:V)/$S91,0)</f>
        <v>0</v>
      </c>
      <c r="Q91" s="344">
        <f>+IFERROR(_xlfn.XLOOKUP($A91,'CONSOLIDATED CY Cash Flows'!$B:$B,'CONSOLIDATED CY Cash Flows'!W:W)/$S91,0)</f>
        <v>0</v>
      </c>
      <c r="R91" s="340">
        <f t="shared" si="11"/>
        <v>0</v>
      </c>
      <c r="S91" s="501">
        <f>+IFERROR(_xlfn.XLOOKUP($A91,'CONSOLIDATED CY Cash Flows'!$B:$B,'CONSOLIDATED CY Cash Flows'!$H:$H),0)</f>
        <v>0</v>
      </c>
      <c r="T91" s="501">
        <f t="shared" si="12"/>
        <v>0</v>
      </c>
      <c r="U91" s="501">
        <f t="shared" si="13"/>
        <v>0</v>
      </c>
    </row>
    <row r="92" spans="1:21" ht="13.5" customHeight="1" x14ac:dyDescent="0.75">
      <c r="A92" s="349">
        <v>5602</v>
      </c>
      <c r="B92" s="350" t="s">
        <v>1433</v>
      </c>
      <c r="C92" s="344">
        <f>+IFERROR(_xlfn.XLOOKUP($A92,'CONSOLIDATED CY Cash Flows'!$B:$B,'CONSOLIDATED CY Cash Flows'!I:I)/$S92,0)</f>
        <v>0</v>
      </c>
      <c r="D92" s="344">
        <f>+IFERROR(_xlfn.XLOOKUP($A92,'CONSOLIDATED CY Cash Flows'!$B:$B,'CONSOLIDATED CY Cash Flows'!J:J)/$S92,0)</f>
        <v>0</v>
      </c>
      <c r="E92" s="344">
        <f>+IFERROR(_xlfn.XLOOKUP($A92,'CONSOLIDATED CY Cash Flows'!$B:$B,'CONSOLIDATED CY Cash Flows'!K:K)/$S92,0)</f>
        <v>0</v>
      </c>
      <c r="F92" s="344">
        <f>+IFERROR(_xlfn.XLOOKUP($A92,'CONSOLIDATED CY Cash Flows'!$B:$B,'CONSOLIDATED CY Cash Flows'!L:L)/$S92,0)</f>
        <v>0</v>
      </c>
      <c r="G92" s="344">
        <f>+IFERROR(_xlfn.XLOOKUP($A92,'CONSOLIDATED CY Cash Flows'!$B:$B,'CONSOLIDATED CY Cash Flows'!M:M)/$S92,0)</f>
        <v>0</v>
      </c>
      <c r="H92" s="344">
        <f>+IFERROR(_xlfn.XLOOKUP($A92,'CONSOLIDATED CY Cash Flows'!$B:$B,'CONSOLIDATED CY Cash Flows'!N:N)/$S92,0)</f>
        <v>0</v>
      </c>
      <c r="I92" s="344">
        <f>+IFERROR(_xlfn.XLOOKUP($A92,'CONSOLIDATED CY Cash Flows'!$B:$B,'CONSOLIDATED CY Cash Flows'!O:O)/$S92,0)</f>
        <v>0</v>
      </c>
      <c r="J92" s="344">
        <f>+IFERROR(_xlfn.XLOOKUP($A92,'CONSOLIDATED CY Cash Flows'!$B:$B,'CONSOLIDATED CY Cash Flows'!P:P)/$S92,0)</f>
        <v>0.19809069212410502</v>
      </c>
      <c r="K92" s="344">
        <f>+IFERROR(_xlfn.XLOOKUP($A92,'CONSOLIDATED CY Cash Flows'!$B:$B,'CONSOLIDATED CY Cash Flows'!Q:Q)/$S92,0)</f>
        <v>0.20047732696897375</v>
      </c>
      <c r="L92" s="344">
        <f>+IFERROR(_xlfn.XLOOKUP($A92,'CONSOLIDATED CY Cash Flows'!$B:$B,'CONSOLIDATED CY Cash Flows'!R:R)/$S92,0)</f>
        <v>0.20047732696897375</v>
      </c>
      <c r="M92" s="344">
        <f>+IFERROR(_xlfn.XLOOKUP($A92,'CONSOLIDATED CY Cash Flows'!$B:$B,'CONSOLIDATED CY Cash Flows'!S:S)/$S92,0)</f>
        <v>0.20047732696897375</v>
      </c>
      <c r="N92" s="344">
        <f>+IFERROR(_xlfn.XLOOKUP($A92,'CONSOLIDATED CY Cash Flows'!$B:$B,'CONSOLIDATED CY Cash Flows'!T:T)/$S92,0)</f>
        <v>0.20047732696897375</v>
      </c>
      <c r="O92" s="344">
        <f>+IFERROR(_xlfn.XLOOKUP($A92,'CONSOLIDATED CY Cash Flows'!$B:$B,'CONSOLIDATED CY Cash Flows'!U:U)/$S92,0)</f>
        <v>0</v>
      </c>
      <c r="P92" s="344">
        <f>+IFERROR(_xlfn.XLOOKUP($A92,'CONSOLIDATED CY Cash Flows'!$B:$B,'CONSOLIDATED CY Cash Flows'!V:V)/$S92,0)</f>
        <v>0</v>
      </c>
      <c r="Q92" s="344">
        <f>+IFERROR(_xlfn.XLOOKUP($A92,'CONSOLIDATED CY Cash Flows'!$B:$B,'CONSOLIDATED CY Cash Flows'!W:W)/$S92,0)</f>
        <v>0</v>
      </c>
      <c r="R92" s="340">
        <f t="shared" si="11"/>
        <v>1</v>
      </c>
      <c r="S92" s="501">
        <f>+IFERROR(_xlfn.XLOOKUP($A92,'CONSOLIDATED CY Cash Flows'!$B:$B,'CONSOLIDATED CY Cash Flows'!$H:$H),0)</f>
        <v>80000</v>
      </c>
      <c r="T92" s="501">
        <f t="shared" si="12"/>
        <v>0</v>
      </c>
      <c r="U92" s="501">
        <f t="shared" si="13"/>
        <v>80000</v>
      </c>
    </row>
    <row r="93" spans="1:21" ht="13.5" customHeight="1" x14ac:dyDescent="0.75">
      <c r="A93" s="349">
        <v>5603</v>
      </c>
      <c r="B93" s="350" t="s">
        <v>1434</v>
      </c>
      <c r="C93" s="344">
        <f>+IFERROR(_xlfn.XLOOKUP($A93,'CONSOLIDATED CY Cash Flows'!$B:$B,'CONSOLIDATED CY Cash Flows'!I:I)/$S93,0)</f>
        <v>0</v>
      </c>
      <c r="D93" s="344">
        <f>+IFERROR(_xlfn.XLOOKUP($A93,'CONSOLIDATED CY Cash Flows'!$B:$B,'CONSOLIDATED CY Cash Flows'!J:J)/$S93,0)</f>
        <v>0</v>
      </c>
      <c r="E93" s="344">
        <f>+IFERROR(_xlfn.XLOOKUP($A93,'CONSOLIDATED CY Cash Flows'!$B:$B,'CONSOLIDATED CY Cash Flows'!K:K)/$S93,0)</f>
        <v>0</v>
      </c>
      <c r="F93" s="344">
        <f>+IFERROR(_xlfn.XLOOKUP($A93,'CONSOLIDATED CY Cash Flows'!$B:$B,'CONSOLIDATED CY Cash Flows'!L:L)/$S93,0)</f>
        <v>0</v>
      </c>
      <c r="G93" s="344">
        <f>+IFERROR(_xlfn.XLOOKUP($A93,'CONSOLIDATED CY Cash Flows'!$B:$B,'CONSOLIDATED CY Cash Flows'!M:M)/$S93,0)</f>
        <v>0</v>
      </c>
      <c r="H93" s="344">
        <f>+IFERROR(_xlfn.XLOOKUP($A93,'CONSOLIDATED CY Cash Flows'!$B:$B,'CONSOLIDATED CY Cash Flows'!N:N)/$S93,0)</f>
        <v>0</v>
      </c>
      <c r="I93" s="344">
        <f>+IFERROR(_xlfn.XLOOKUP($A93,'CONSOLIDATED CY Cash Flows'!$B:$B,'CONSOLIDATED CY Cash Flows'!O:O)/$S93,0)</f>
        <v>0</v>
      </c>
      <c r="J93" s="344">
        <f>+IFERROR(_xlfn.XLOOKUP($A93,'CONSOLIDATED CY Cash Flows'!$B:$B,'CONSOLIDATED CY Cash Flows'!P:P)/$S93,0)</f>
        <v>0</v>
      </c>
      <c r="K93" s="344">
        <f>+IFERROR(_xlfn.XLOOKUP($A93,'CONSOLIDATED CY Cash Flows'!$B:$B,'CONSOLIDATED CY Cash Flows'!Q:Q)/$S93,0)</f>
        <v>0</v>
      </c>
      <c r="L93" s="344">
        <f>+IFERROR(_xlfn.XLOOKUP($A93,'CONSOLIDATED CY Cash Flows'!$B:$B,'CONSOLIDATED CY Cash Flows'!R:R)/$S93,0)</f>
        <v>0</v>
      </c>
      <c r="M93" s="344">
        <f>+IFERROR(_xlfn.XLOOKUP($A93,'CONSOLIDATED CY Cash Flows'!$B:$B,'CONSOLIDATED CY Cash Flows'!S:S)/$S93,0)</f>
        <v>0</v>
      </c>
      <c r="N93" s="344">
        <f>+IFERROR(_xlfn.XLOOKUP($A93,'CONSOLIDATED CY Cash Flows'!$B:$B,'CONSOLIDATED CY Cash Flows'!T:T)/$S93,0)</f>
        <v>0</v>
      </c>
      <c r="O93" s="344">
        <f>+IFERROR(_xlfn.XLOOKUP($A93,'CONSOLIDATED CY Cash Flows'!$B:$B,'CONSOLIDATED CY Cash Flows'!U:U)/$S93,0)</f>
        <v>0</v>
      </c>
      <c r="P93" s="344">
        <f>+IFERROR(_xlfn.XLOOKUP($A93,'CONSOLIDATED CY Cash Flows'!$B:$B,'CONSOLIDATED CY Cash Flows'!V:V)/$S93,0)</f>
        <v>0</v>
      </c>
      <c r="Q93" s="344">
        <f>+IFERROR(_xlfn.XLOOKUP($A93,'CONSOLIDATED CY Cash Flows'!$B:$B,'CONSOLIDATED CY Cash Flows'!W:W)/$S93,0)</f>
        <v>0</v>
      </c>
      <c r="R93" s="340">
        <f t="shared" si="11"/>
        <v>0</v>
      </c>
      <c r="S93" s="501">
        <f>+IFERROR(_xlfn.XLOOKUP($A93,'CONSOLIDATED CY Cash Flows'!$B:$B,'CONSOLIDATED CY Cash Flows'!$H:$H),0)</f>
        <v>0</v>
      </c>
      <c r="T93" s="501">
        <f t="shared" si="12"/>
        <v>0</v>
      </c>
      <c r="U93" s="501">
        <f t="shared" si="13"/>
        <v>0</v>
      </c>
    </row>
    <row r="94" spans="1:21" ht="13.5" hidden="1" customHeight="1" x14ac:dyDescent="0.75">
      <c r="A94" s="349">
        <v>5605</v>
      </c>
      <c r="B94" s="350" t="s">
        <v>605</v>
      </c>
      <c r="C94" s="344">
        <f>+IFERROR(_xlfn.XLOOKUP($A94,'CONSOLIDATED CY Cash Flows'!$B:$B,'CONSOLIDATED CY Cash Flows'!I:I)/$S94,0)</f>
        <v>0</v>
      </c>
      <c r="D94" s="344">
        <f>+IFERROR(_xlfn.XLOOKUP($A94,'CONSOLIDATED CY Cash Flows'!$B:$B,'CONSOLIDATED CY Cash Flows'!J:J)/$S94,0)</f>
        <v>0</v>
      </c>
      <c r="E94" s="344">
        <f>+IFERROR(_xlfn.XLOOKUP($A94,'CONSOLIDATED CY Cash Flows'!$B:$B,'CONSOLIDATED CY Cash Flows'!K:K)/$S94,0)</f>
        <v>0</v>
      </c>
      <c r="F94" s="344">
        <f>+IFERROR(_xlfn.XLOOKUP($A94,'CONSOLIDATED CY Cash Flows'!$B:$B,'CONSOLIDATED CY Cash Flows'!L:L)/$S94,0)</f>
        <v>0</v>
      </c>
      <c r="G94" s="344">
        <f>+IFERROR(_xlfn.XLOOKUP($A94,'CONSOLIDATED CY Cash Flows'!$B:$B,'CONSOLIDATED CY Cash Flows'!M:M)/$S94,0)</f>
        <v>0</v>
      </c>
      <c r="H94" s="344">
        <f>+IFERROR(_xlfn.XLOOKUP($A94,'CONSOLIDATED CY Cash Flows'!$B:$B,'CONSOLIDATED CY Cash Flows'!N:N)/$S94,0)</f>
        <v>0</v>
      </c>
      <c r="I94" s="344">
        <f>+IFERROR(_xlfn.XLOOKUP($A94,'CONSOLIDATED CY Cash Flows'!$B:$B,'CONSOLIDATED CY Cash Flows'!O:O)/$S94,0)</f>
        <v>0</v>
      </c>
      <c r="J94" s="344">
        <f>+IFERROR(_xlfn.XLOOKUP($A94,'CONSOLIDATED CY Cash Flows'!$B:$B,'CONSOLIDATED CY Cash Flows'!P:P)/$S94,0)</f>
        <v>0</v>
      </c>
      <c r="K94" s="344">
        <f>+IFERROR(_xlfn.XLOOKUP($A94,'CONSOLIDATED CY Cash Flows'!$B:$B,'CONSOLIDATED CY Cash Flows'!Q:Q)/$S94,0)</f>
        <v>0</v>
      </c>
      <c r="L94" s="344">
        <f>+IFERROR(_xlfn.XLOOKUP($A94,'CONSOLIDATED CY Cash Flows'!$B:$B,'CONSOLIDATED CY Cash Flows'!R:R)/$S94,0)</f>
        <v>0</v>
      </c>
      <c r="M94" s="344">
        <f>+IFERROR(_xlfn.XLOOKUP($A94,'CONSOLIDATED CY Cash Flows'!$B:$B,'CONSOLIDATED CY Cash Flows'!S:S)/$S94,0)</f>
        <v>0</v>
      </c>
      <c r="N94" s="344">
        <f>+IFERROR(_xlfn.XLOOKUP($A94,'CONSOLIDATED CY Cash Flows'!$B:$B,'CONSOLIDATED CY Cash Flows'!T:T)/$S94,0)</f>
        <v>0</v>
      </c>
      <c r="O94" s="344">
        <f>+IFERROR(_xlfn.XLOOKUP($A94,'CONSOLIDATED CY Cash Flows'!$B:$B,'CONSOLIDATED CY Cash Flows'!U:U)/$S94,0)</f>
        <v>0</v>
      </c>
      <c r="P94" s="344">
        <f>+IFERROR(_xlfn.XLOOKUP($A94,'CONSOLIDATED CY Cash Flows'!$B:$B,'CONSOLIDATED CY Cash Flows'!V:V)/$S94,0)</f>
        <v>0</v>
      </c>
      <c r="Q94" s="344">
        <f>+IFERROR(_xlfn.XLOOKUP($A94,'CONSOLIDATED CY Cash Flows'!$B:$B,'CONSOLIDATED CY Cash Flows'!W:W)/$S94,0)</f>
        <v>0</v>
      </c>
      <c r="R94" s="340">
        <f t="shared" si="11"/>
        <v>0</v>
      </c>
      <c r="S94" s="501">
        <f>+IFERROR(_xlfn.XLOOKUP($A94,'CONSOLIDATED CY Cash Flows'!$B:$B,'CONSOLIDATED CY Cash Flows'!$H:$H),0)</f>
        <v>0</v>
      </c>
      <c r="T94" s="501">
        <f t="shared" si="12"/>
        <v>0</v>
      </c>
      <c r="U94" s="501">
        <f t="shared" si="13"/>
        <v>0</v>
      </c>
    </row>
    <row r="95" spans="1:21" ht="13.5" hidden="1" customHeight="1" x14ac:dyDescent="0.75">
      <c r="A95" s="349">
        <v>5610</v>
      </c>
      <c r="B95" s="350" t="s">
        <v>606</v>
      </c>
      <c r="C95" s="344">
        <f>+IFERROR(_xlfn.XLOOKUP($A95,'CONSOLIDATED CY Cash Flows'!$B:$B,'CONSOLIDATED CY Cash Flows'!I:I)/$S95,0)</f>
        <v>0</v>
      </c>
      <c r="D95" s="344">
        <f>+IFERROR(_xlfn.XLOOKUP($A95,'CONSOLIDATED CY Cash Flows'!$B:$B,'CONSOLIDATED CY Cash Flows'!J:J)/$S95,0)</f>
        <v>0</v>
      </c>
      <c r="E95" s="344">
        <f>+IFERROR(_xlfn.XLOOKUP($A95,'CONSOLIDATED CY Cash Flows'!$B:$B,'CONSOLIDATED CY Cash Flows'!K:K)/$S95,0)</f>
        <v>0</v>
      </c>
      <c r="F95" s="344">
        <f>+IFERROR(_xlfn.XLOOKUP($A95,'CONSOLIDATED CY Cash Flows'!$B:$B,'CONSOLIDATED CY Cash Flows'!L:L)/$S95,0)</f>
        <v>0</v>
      </c>
      <c r="G95" s="344">
        <f>+IFERROR(_xlfn.XLOOKUP($A95,'CONSOLIDATED CY Cash Flows'!$B:$B,'CONSOLIDATED CY Cash Flows'!M:M)/$S95,0)</f>
        <v>0</v>
      </c>
      <c r="H95" s="344">
        <f>+IFERROR(_xlfn.XLOOKUP($A95,'CONSOLIDATED CY Cash Flows'!$B:$B,'CONSOLIDATED CY Cash Flows'!N:N)/$S95,0)</f>
        <v>0</v>
      </c>
      <c r="I95" s="344">
        <f>+IFERROR(_xlfn.XLOOKUP($A95,'CONSOLIDATED CY Cash Flows'!$B:$B,'CONSOLIDATED CY Cash Flows'!O:O)/$S95,0)</f>
        <v>0</v>
      </c>
      <c r="J95" s="344">
        <f>+IFERROR(_xlfn.XLOOKUP($A95,'CONSOLIDATED CY Cash Flows'!$B:$B,'CONSOLIDATED CY Cash Flows'!P:P)/$S95,0)</f>
        <v>0</v>
      </c>
      <c r="K95" s="344">
        <f>+IFERROR(_xlfn.XLOOKUP($A95,'CONSOLIDATED CY Cash Flows'!$B:$B,'CONSOLIDATED CY Cash Flows'!Q:Q)/$S95,0)</f>
        <v>0</v>
      </c>
      <c r="L95" s="344">
        <f>+IFERROR(_xlfn.XLOOKUP($A95,'CONSOLIDATED CY Cash Flows'!$B:$B,'CONSOLIDATED CY Cash Flows'!R:R)/$S95,0)</f>
        <v>0</v>
      </c>
      <c r="M95" s="344">
        <f>+IFERROR(_xlfn.XLOOKUP($A95,'CONSOLIDATED CY Cash Flows'!$B:$B,'CONSOLIDATED CY Cash Flows'!S:S)/$S95,0)</f>
        <v>0</v>
      </c>
      <c r="N95" s="344">
        <f>+IFERROR(_xlfn.XLOOKUP($A95,'CONSOLIDATED CY Cash Flows'!$B:$B,'CONSOLIDATED CY Cash Flows'!T:T)/$S95,0)</f>
        <v>0</v>
      </c>
      <c r="O95" s="344">
        <f>+IFERROR(_xlfn.XLOOKUP($A95,'CONSOLIDATED CY Cash Flows'!$B:$B,'CONSOLIDATED CY Cash Flows'!U:U)/$S95,0)</f>
        <v>0</v>
      </c>
      <c r="P95" s="344">
        <f>+IFERROR(_xlfn.XLOOKUP($A95,'CONSOLIDATED CY Cash Flows'!$B:$B,'CONSOLIDATED CY Cash Flows'!V:V)/$S95,0)</f>
        <v>0</v>
      </c>
      <c r="Q95" s="344">
        <f>+IFERROR(_xlfn.XLOOKUP($A95,'CONSOLIDATED CY Cash Flows'!$B:$B,'CONSOLIDATED CY Cash Flows'!W:W)/$S95,0)</f>
        <v>0</v>
      </c>
      <c r="R95" s="340">
        <f t="shared" si="11"/>
        <v>0</v>
      </c>
      <c r="S95" s="501">
        <f>+IFERROR(_xlfn.XLOOKUP($A95,'CONSOLIDATED CY Cash Flows'!$B:$B,'CONSOLIDATED CY Cash Flows'!$H:$H),0)</f>
        <v>0</v>
      </c>
      <c r="T95" s="501">
        <f t="shared" si="12"/>
        <v>0</v>
      </c>
      <c r="U95" s="501">
        <f t="shared" si="13"/>
        <v>0</v>
      </c>
    </row>
    <row r="96" spans="1:21" ht="13.5" customHeight="1" x14ac:dyDescent="0.75">
      <c r="A96" s="349">
        <v>5800</v>
      </c>
      <c r="B96" s="350" t="s">
        <v>1435</v>
      </c>
      <c r="C96" s="344">
        <f>+IFERROR(_xlfn.XLOOKUP($A96,'CONSOLIDATED CY Cash Flows'!$B:$B,'CONSOLIDATED CY Cash Flows'!I:I)/$S96,0)</f>
        <v>0.13953488372093023</v>
      </c>
      <c r="D96" s="344">
        <f>+IFERROR(_xlfn.XLOOKUP($A96,'CONSOLIDATED CY Cash Flows'!$B:$B,'CONSOLIDATED CY Cash Flows'!J:J)/$S96,0)</f>
        <v>5.7000930232558145E-2</v>
      </c>
      <c r="E96" s="344">
        <f>+IFERROR(_xlfn.XLOOKUP($A96,'CONSOLIDATED CY Cash Flows'!$B:$B,'CONSOLIDATED CY Cash Flows'!K:K)/$S96,0)</f>
        <v>5.1000697674418605E-3</v>
      </c>
      <c r="F96" s="344">
        <f>+IFERROR(_xlfn.XLOOKUP($A96,'CONSOLIDATED CY Cash Flows'!$B:$B,'CONSOLIDATED CY Cash Flows'!L:L)/$S96,0)</f>
        <v>0.26744186046511625</v>
      </c>
      <c r="G96" s="344">
        <f>+IFERROR(_xlfn.XLOOKUP($A96,'CONSOLIDATED CY Cash Flows'!$B:$B,'CONSOLIDATED CY Cash Flows'!M:M)/$S96,0)</f>
        <v>6.5038372093023253E-2</v>
      </c>
      <c r="H96" s="344">
        <f>+IFERROR(_xlfn.XLOOKUP($A96,'CONSOLIDATED CY Cash Flows'!$B:$B,'CONSOLIDATED CY Cash Flows'!N:N)/$S96,0)</f>
        <v>2.6744418604651163E-3</v>
      </c>
      <c r="I96" s="344">
        <f>+IFERROR(_xlfn.XLOOKUP($A96,'CONSOLIDATED CY Cash Flows'!$B:$B,'CONSOLIDATED CY Cash Flows'!O:O)/$S96,0)</f>
        <v>0.3667442093023256</v>
      </c>
      <c r="J96" s="344">
        <f>+IFERROR(_xlfn.XLOOKUP($A96,'CONSOLIDATED CY Cash Flows'!$B:$B,'CONSOLIDATED CY Cash Flows'!P:P)/$S96,0)</f>
        <v>1.9108864683354605E-2</v>
      </c>
      <c r="K96" s="344">
        <f>+IFERROR(_xlfn.XLOOKUP($A96,'CONSOLIDATED CY Cash Flows'!$B:$B,'CONSOLIDATED CY Cash Flows'!Q:Q)/$S96,0)</f>
        <v>1.9339091968696223E-2</v>
      </c>
      <c r="L96" s="344">
        <f>+IFERROR(_xlfn.XLOOKUP($A96,'CONSOLIDATED CY Cash Flows'!$B:$B,'CONSOLIDATED CY Cash Flows'!R:R)/$S96,0)</f>
        <v>1.9339091968696223E-2</v>
      </c>
      <c r="M96" s="344">
        <f>+IFERROR(_xlfn.XLOOKUP($A96,'CONSOLIDATED CY Cash Flows'!$B:$B,'CONSOLIDATED CY Cash Flows'!S:S)/$S96,0)</f>
        <v>1.9339091968696223E-2</v>
      </c>
      <c r="N96" s="344">
        <f>+IFERROR(_xlfn.XLOOKUP($A96,'CONSOLIDATED CY Cash Flows'!$B:$B,'CONSOLIDATED CY Cash Flows'!T:T)/$S96,0)</f>
        <v>1.9339091968696223E-2</v>
      </c>
      <c r="O96" s="344">
        <f>+IFERROR(_xlfn.XLOOKUP($A96,'CONSOLIDATED CY Cash Flows'!$B:$B,'CONSOLIDATED CY Cash Flows'!U:U)/$S96,0)</f>
        <v>0</v>
      </c>
      <c r="P96" s="344">
        <f>+IFERROR(_xlfn.XLOOKUP($A96,'CONSOLIDATED CY Cash Flows'!$B:$B,'CONSOLIDATED CY Cash Flows'!V:V)/$S96,0)</f>
        <v>0</v>
      </c>
      <c r="Q96" s="344">
        <f>+IFERROR(_xlfn.XLOOKUP($A96,'CONSOLIDATED CY Cash Flows'!$B:$B,'CONSOLIDATED CY Cash Flows'!W:W)/$S96,0)</f>
        <v>0</v>
      </c>
      <c r="R96" s="340">
        <f t="shared" si="11"/>
        <v>1</v>
      </c>
      <c r="S96" s="501">
        <f>+IFERROR(_xlfn.XLOOKUP($A96,'CONSOLIDATED CY Cash Flows'!$B:$B,'CONSOLIDATED CY Cash Flows'!$H:$H),0)</f>
        <v>430000</v>
      </c>
      <c r="T96" s="501">
        <f t="shared" si="12"/>
        <v>388519.95000000007</v>
      </c>
      <c r="U96" s="501">
        <f t="shared" si="13"/>
        <v>41480.04999999993</v>
      </c>
    </row>
    <row r="97" spans="1:21" ht="13.5" customHeight="1" x14ac:dyDescent="0.75">
      <c r="A97" s="349">
        <v>5803</v>
      </c>
      <c r="B97" s="350" t="s">
        <v>1436</v>
      </c>
      <c r="C97" s="344">
        <f>+IFERROR(_xlfn.XLOOKUP($A97,'CONSOLIDATED CY Cash Flows'!$B:$B,'CONSOLIDATED CY Cash Flows'!I:I)/$S97,0)</f>
        <v>1.7626666666666665E-2</v>
      </c>
      <c r="D97" s="344">
        <f>+IFERROR(_xlfn.XLOOKUP($A97,'CONSOLIDATED CY Cash Flows'!$B:$B,'CONSOLIDATED CY Cash Flows'!J:J)/$S97,0)</f>
        <v>5.1084999999999998E-2</v>
      </c>
      <c r="E97" s="344">
        <f>+IFERROR(_xlfn.XLOOKUP($A97,'CONSOLIDATED CY Cash Flows'!$B:$B,'CONSOLIDATED CY Cash Flows'!K:K)/$S97,0)</f>
        <v>2.3890000000000002E-2</v>
      </c>
      <c r="F97" s="344">
        <f>+IFERROR(_xlfn.XLOOKUP($A97,'CONSOLIDATED CY Cash Flows'!$B:$B,'CONSOLIDATED CY Cash Flows'!L:L)/$S97,0)</f>
        <v>2.2665000000000001E-2</v>
      </c>
      <c r="G97" s="344">
        <f>+IFERROR(_xlfn.XLOOKUP($A97,'CONSOLIDATED CY Cash Flows'!$B:$B,'CONSOLIDATED CY Cash Flows'!M:M)/$S97,0)</f>
        <v>2.5071666666666666E-2</v>
      </c>
      <c r="H97" s="344">
        <f>+IFERROR(_xlfn.XLOOKUP($A97,'CONSOLIDATED CY Cash Flows'!$B:$B,'CONSOLIDATED CY Cash Flows'!N:N)/$S97,0)</f>
        <v>1.84E-2</v>
      </c>
      <c r="I97" s="344">
        <f>+IFERROR(_xlfn.XLOOKUP($A97,'CONSOLIDATED CY Cash Flows'!$B:$B,'CONSOLIDATED CY Cash Flows'!O:O)/$S97,0)</f>
        <v>7.5035333333333329E-2</v>
      </c>
      <c r="J97" s="344">
        <f>+IFERROR(_xlfn.XLOOKUP($A97,'CONSOLIDATED CY Cash Flows'!$B:$B,'CONSOLIDATED CY Cash Flows'!P:P)/$S97,0)</f>
        <v>0.1517823046937152</v>
      </c>
      <c r="K97" s="344">
        <f>+IFERROR(_xlfn.XLOOKUP($A97,'CONSOLIDATED CY Cash Flows'!$B:$B,'CONSOLIDATED CY Cash Flows'!Q:Q)/$S97,0)</f>
        <v>0.15361100715990453</v>
      </c>
      <c r="L97" s="344">
        <f>+IFERROR(_xlfn.XLOOKUP($A97,'CONSOLIDATED CY Cash Flows'!$B:$B,'CONSOLIDATED CY Cash Flows'!R:R)/$S97,0)</f>
        <v>0.15361100715990453</v>
      </c>
      <c r="M97" s="344">
        <f>+IFERROR(_xlfn.XLOOKUP($A97,'CONSOLIDATED CY Cash Flows'!$B:$B,'CONSOLIDATED CY Cash Flows'!S:S)/$S97,0)</f>
        <v>0.15361100715990453</v>
      </c>
      <c r="N97" s="344">
        <f>+IFERROR(_xlfn.XLOOKUP($A97,'CONSOLIDATED CY Cash Flows'!$B:$B,'CONSOLIDATED CY Cash Flows'!T:T)/$S97,0)</f>
        <v>0.15361100715990453</v>
      </c>
      <c r="O97" s="344">
        <f>+IFERROR(_xlfn.XLOOKUP($A97,'CONSOLIDATED CY Cash Flows'!$B:$B,'CONSOLIDATED CY Cash Flows'!U:U)/$S97,0)</f>
        <v>0</v>
      </c>
      <c r="P97" s="344">
        <f>+IFERROR(_xlfn.XLOOKUP($A97,'CONSOLIDATED CY Cash Flows'!$B:$B,'CONSOLIDATED CY Cash Flows'!V:V)/$S97,0)</f>
        <v>0</v>
      </c>
      <c r="Q97" s="344">
        <f>+IFERROR(_xlfn.XLOOKUP($A97,'CONSOLIDATED CY Cash Flows'!$B:$B,'CONSOLIDATED CY Cash Flows'!W:W)/$S97,0)</f>
        <v>0</v>
      </c>
      <c r="R97" s="340">
        <f t="shared" si="11"/>
        <v>0.99999999999999989</v>
      </c>
      <c r="S97" s="501">
        <f>+IFERROR(_xlfn.XLOOKUP($A97,'CONSOLIDATED CY Cash Flows'!$B:$B,'CONSOLIDATED CY Cash Flows'!$H:$H),0)</f>
        <v>30000</v>
      </c>
      <c r="T97" s="501">
        <f t="shared" si="12"/>
        <v>7013.21</v>
      </c>
      <c r="U97" s="501">
        <f t="shared" si="13"/>
        <v>22986.79</v>
      </c>
    </row>
    <row r="98" spans="1:21" ht="13.5" customHeight="1" x14ac:dyDescent="0.75">
      <c r="A98" s="349">
        <v>5805</v>
      </c>
      <c r="B98" s="350" t="s">
        <v>1437</v>
      </c>
      <c r="C98" s="344">
        <f>+IFERROR(_xlfn.XLOOKUP($A98,'CONSOLIDATED CY Cash Flows'!$B:$B,'CONSOLIDATED CY Cash Flows'!I:I)/$S98,0)</f>
        <v>0</v>
      </c>
      <c r="D98" s="344">
        <f>+IFERROR(_xlfn.XLOOKUP($A98,'CONSOLIDATED CY Cash Flows'!$B:$B,'CONSOLIDATED CY Cash Flows'!J:J)/$S98,0)</f>
        <v>0.16948946666666664</v>
      </c>
      <c r="E98" s="344">
        <f>+IFERROR(_xlfn.XLOOKUP($A98,'CONSOLIDATED CY Cash Flows'!$B:$B,'CONSOLIDATED CY Cash Flows'!K:K)/$S98,0)</f>
        <v>0.10117186666666667</v>
      </c>
      <c r="F98" s="344">
        <f>+IFERROR(_xlfn.XLOOKUP($A98,'CONSOLIDATED CY Cash Flows'!$B:$B,'CONSOLIDATED CY Cash Flows'!L:L)/$S98,0)</f>
        <v>0.12721600000000002</v>
      </c>
      <c r="G98" s="344">
        <f>+IFERROR(_xlfn.XLOOKUP($A98,'CONSOLIDATED CY Cash Flows'!$B:$B,'CONSOLIDATED CY Cash Flows'!M:M)/$S98,0)</f>
        <v>0.14191139999999999</v>
      </c>
      <c r="H98" s="344">
        <f>+IFERROR(_xlfn.XLOOKUP($A98,'CONSOLIDATED CY Cash Flows'!$B:$B,'CONSOLIDATED CY Cash Flows'!N:N)/$S98,0)</f>
        <v>6.6666666666666666E-2</v>
      </c>
      <c r="I98" s="344">
        <f>+IFERROR(_xlfn.XLOOKUP($A98,'CONSOLIDATED CY Cash Flows'!$B:$B,'CONSOLIDATED CY Cash Flows'!O:O)/$S98,0)</f>
        <v>0.10587753333333333</v>
      </c>
      <c r="J98" s="344">
        <f>+IFERROR(_xlfn.XLOOKUP($A98,'CONSOLIDATED CY Cash Flows'!$B:$B,'CONSOLIDATED CY Cash Flows'!P:P)/$S98,0)</f>
        <v>5.6984168337311056E-2</v>
      </c>
      <c r="K98" s="344">
        <f>+IFERROR(_xlfn.XLOOKUP($A98,'CONSOLIDATED CY Cash Flows'!$B:$B,'CONSOLIDATED CY Cash Flows'!Q:Q)/$S98,0)</f>
        <v>5.7670724582338906E-2</v>
      </c>
      <c r="L98" s="344">
        <f>+IFERROR(_xlfn.XLOOKUP($A98,'CONSOLIDATED CY Cash Flows'!$B:$B,'CONSOLIDATED CY Cash Flows'!R:R)/$S98,0)</f>
        <v>5.7670724582338906E-2</v>
      </c>
      <c r="M98" s="344">
        <f>+IFERROR(_xlfn.XLOOKUP($A98,'CONSOLIDATED CY Cash Flows'!$B:$B,'CONSOLIDATED CY Cash Flows'!S:S)/$S98,0)</f>
        <v>5.7670724582338906E-2</v>
      </c>
      <c r="N98" s="344">
        <f>+IFERROR(_xlfn.XLOOKUP($A98,'CONSOLIDATED CY Cash Flows'!$B:$B,'CONSOLIDATED CY Cash Flows'!T:T)/$S98,0)</f>
        <v>5.7670724582338906E-2</v>
      </c>
      <c r="O98" s="344">
        <f>+IFERROR(_xlfn.XLOOKUP($A98,'CONSOLIDATED CY Cash Flows'!$B:$B,'CONSOLIDATED CY Cash Flows'!U:U)/$S98,0)</f>
        <v>0</v>
      </c>
      <c r="P98" s="344">
        <f>+IFERROR(_xlfn.XLOOKUP($A98,'CONSOLIDATED CY Cash Flows'!$B:$B,'CONSOLIDATED CY Cash Flows'!V:V)/$S98,0)</f>
        <v>0</v>
      </c>
      <c r="Q98" s="344">
        <f>+IFERROR(_xlfn.XLOOKUP($A98,'CONSOLIDATED CY Cash Flows'!$B:$B,'CONSOLIDATED CY Cash Flows'!W:W)/$S98,0)</f>
        <v>0</v>
      </c>
      <c r="R98" s="340">
        <f t="shared" si="11"/>
        <v>0.99999999999999989</v>
      </c>
      <c r="S98" s="501">
        <f>+IFERROR(_xlfn.XLOOKUP($A98,'CONSOLIDATED CY Cash Flows'!$B:$B,'CONSOLIDATED CY Cash Flows'!$H:$H),0)</f>
        <v>150000</v>
      </c>
      <c r="T98" s="501">
        <f t="shared" si="12"/>
        <v>106849.93999999999</v>
      </c>
      <c r="U98" s="501">
        <f t="shared" si="13"/>
        <v>43150.060000000012</v>
      </c>
    </row>
    <row r="99" spans="1:21" ht="13.5" customHeight="1" x14ac:dyDescent="0.75">
      <c r="A99" s="349">
        <v>5806</v>
      </c>
      <c r="B99" s="350" t="s">
        <v>1438</v>
      </c>
      <c r="C99" s="344">
        <f>+IFERROR(_xlfn.XLOOKUP($A99,'CONSOLIDATED CY Cash Flows'!$B:$B,'CONSOLIDATED CY Cash Flows'!I:I)/$S99,0)</f>
        <v>0</v>
      </c>
      <c r="D99" s="344">
        <f>+IFERROR(_xlfn.XLOOKUP($A99,'CONSOLIDATED CY Cash Flows'!$B:$B,'CONSOLIDATED CY Cash Flows'!J:J)/$S99,0)</f>
        <v>0</v>
      </c>
      <c r="E99" s="344">
        <f>+IFERROR(_xlfn.XLOOKUP($A99,'CONSOLIDATED CY Cash Flows'!$B:$B,'CONSOLIDATED CY Cash Flows'!K:K)/$S99,0)</f>
        <v>0.29250933564915327</v>
      </c>
      <c r="F99" s="344">
        <f>+IFERROR(_xlfn.XLOOKUP($A99,'CONSOLIDATED CY Cash Flows'!$B:$B,'CONSOLIDATED CY Cash Flows'!L:L)/$S99,0)</f>
        <v>0.29250933564915327</v>
      </c>
      <c r="G99" s="344">
        <f>+IFERROR(_xlfn.XLOOKUP($A99,'CONSOLIDATED CY Cash Flows'!$B:$B,'CONSOLIDATED CY Cash Flows'!M:M)/$S99,0)</f>
        <v>0</v>
      </c>
      <c r="H99" s="344">
        <f>+IFERROR(_xlfn.XLOOKUP($A99,'CONSOLIDATED CY Cash Flows'!$B:$B,'CONSOLIDATED CY Cash Flows'!N:N)/$S99,0)</f>
        <v>8.6843247937472862E-2</v>
      </c>
      <c r="I99" s="344">
        <f>+IFERROR(_xlfn.XLOOKUP($A99,'CONSOLIDATED CY Cash Flows'!$B:$B,'CONSOLIDATED CY Cash Flows'!O:O)/$S99,0)</f>
        <v>0</v>
      </c>
      <c r="J99" s="344">
        <f>+IFERROR(_xlfn.XLOOKUP($A99,'CONSOLIDATED CY Cash Flows'!$B:$B,'CONSOLIDATED CY Cash Flows'!P:P)/$S99,0)</f>
        <v>6.5627616152844126E-2</v>
      </c>
      <c r="K99" s="344">
        <f>+IFERROR(_xlfn.XLOOKUP($A99,'CONSOLIDATED CY Cash Flows'!$B:$B,'CONSOLIDATED CY Cash Flows'!Q:Q)/$S99,0)</f>
        <v>6.5627616152844126E-2</v>
      </c>
      <c r="L99" s="344">
        <f>+IFERROR(_xlfn.XLOOKUP($A99,'CONSOLIDATED CY Cash Flows'!$B:$B,'CONSOLIDATED CY Cash Flows'!R:R)/$S99,0)</f>
        <v>6.5627616152844126E-2</v>
      </c>
      <c r="M99" s="344">
        <f>+IFERROR(_xlfn.XLOOKUP($A99,'CONSOLIDATED CY Cash Flows'!$B:$B,'CONSOLIDATED CY Cash Flows'!S:S)/$S99,0)</f>
        <v>6.5627616152844126E-2</v>
      </c>
      <c r="N99" s="344">
        <f>+IFERROR(_xlfn.XLOOKUP($A99,'CONSOLIDATED CY Cash Flows'!$B:$B,'CONSOLIDATED CY Cash Flows'!T:T)/$S99,0)</f>
        <v>6.5627616152844126E-2</v>
      </c>
      <c r="O99" s="344">
        <f>+IFERROR(_xlfn.XLOOKUP($A99,'CONSOLIDATED CY Cash Flows'!$B:$B,'CONSOLIDATED CY Cash Flows'!U:U)/$S99,0)</f>
        <v>0</v>
      </c>
      <c r="P99" s="344">
        <f>+IFERROR(_xlfn.XLOOKUP($A99,'CONSOLIDATED CY Cash Flows'!$B:$B,'CONSOLIDATED CY Cash Flows'!V:V)/$S99,0)</f>
        <v>0</v>
      </c>
      <c r="Q99" s="344">
        <f>+IFERROR(_xlfn.XLOOKUP($A99,'CONSOLIDATED CY Cash Flows'!$B:$B,'CONSOLIDATED CY Cash Flows'!W:W)/$S99,0)</f>
        <v>0</v>
      </c>
      <c r="R99" s="340">
        <f t="shared" si="11"/>
        <v>1.0000000000000002</v>
      </c>
      <c r="S99" s="501">
        <f>+IFERROR(_xlfn.XLOOKUP($A99,'CONSOLIDATED CY Cash Flows'!$B:$B,'CONSOLIDATED CY Cash Flows'!$H:$H),0)</f>
        <v>23030</v>
      </c>
      <c r="T99" s="501">
        <f t="shared" si="12"/>
        <v>15472.98</v>
      </c>
      <c r="U99" s="501">
        <f t="shared" si="13"/>
        <v>7557.02</v>
      </c>
    </row>
    <row r="100" spans="1:21" ht="13.5" customHeight="1" x14ac:dyDescent="0.75">
      <c r="A100" s="349">
        <v>5807</v>
      </c>
      <c r="B100" s="350" t="s">
        <v>1439</v>
      </c>
      <c r="C100" s="344">
        <f>+IFERROR(_xlfn.XLOOKUP($A100,'CONSOLIDATED CY Cash Flows'!$B:$B,'CONSOLIDATED CY Cash Flows'!I:I)/$S100,0)</f>
        <v>3.0164055555555555E-2</v>
      </c>
      <c r="D100" s="344">
        <f>+IFERROR(_xlfn.XLOOKUP($A100,'CONSOLIDATED CY Cash Flows'!$B:$B,'CONSOLIDATED CY Cash Flows'!J:J)/$S100,0)</f>
        <v>-4.2742222222222227E-3</v>
      </c>
      <c r="E100" s="344">
        <f>+IFERROR(_xlfn.XLOOKUP($A100,'CONSOLIDATED CY Cash Flows'!$B:$B,'CONSOLIDATED CY Cash Flows'!K:K)/$S100,0)</f>
        <v>9.2562777777777782E-3</v>
      </c>
      <c r="F100" s="344">
        <f>+IFERROR(_xlfn.XLOOKUP($A100,'CONSOLIDATED CY Cash Flows'!$B:$B,'CONSOLIDATED CY Cash Flows'!L:L)/$S100,0)</f>
        <v>6.9444444444444447E-4</v>
      </c>
      <c r="G100" s="344">
        <f>+IFERROR(_xlfn.XLOOKUP($A100,'CONSOLIDATED CY Cash Flows'!$B:$B,'CONSOLIDATED CY Cash Flows'!M:M)/$S100,0)</f>
        <v>1.6666666666666668E-3</v>
      </c>
      <c r="H100" s="344">
        <f>+IFERROR(_xlfn.XLOOKUP($A100,'CONSOLIDATED CY Cash Flows'!$B:$B,'CONSOLIDATED CY Cash Flows'!N:N)/$S100,0)</f>
        <v>2.7777833333333335E-2</v>
      </c>
      <c r="I100" s="344">
        <f>+IFERROR(_xlfn.XLOOKUP($A100,'CONSOLIDATED CY Cash Flows'!$B:$B,'CONSOLIDATED CY Cash Flows'!O:O)/$S100,0)</f>
        <v>-1.389E-3</v>
      </c>
      <c r="J100" s="344">
        <f>+IFERROR(_xlfn.XLOOKUP($A100,'CONSOLIDATED CY Cash Flows'!$B:$B,'CONSOLIDATED CY Cash Flows'!P:P)/$S100,0)</f>
        <v>0.18722078888888888</v>
      </c>
      <c r="K100" s="344">
        <f>+IFERROR(_xlfn.XLOOKUP($A100,'CONSOLIDATED CY Cash Flows'!$B:$B,'CONSOLIDATED CY Cash Flows'!Q:Q)/$S100,0)</f>
        <v>0.18722078888888888</v>
      </c>
      <c r="L100" s="344">
        <f>+IFERROR(_xlfn.XLOOKUP($A100,'CONSOLIDATED CY Cash Flows'!$B:$B,'CONSOLIDATED CY Cash Flows'!R:R)/$S100,0)</f>
        <v>0.18722078888888888</v>
      </c>
      <c r="M100" s="344">
        <f>+IFERROR(_xlfn.XLOOKUP($A100,'CONSOLIDATED CY Cash Flows'!$B:$B,'CONSOLIDATED CY Cash Flows'!S:S)/$S100,0)</f>
        <v>0.18722078888888888</v>
      </c>
      <c r="N100" s="344">
        <f>+IFERROR(_xlfn.XLOOKUP($A100,'CONSOLIDATED CY Cash Flows'!$B:$B,'CONSOLIDATED CY Cash Flows'!T:T)/$S100,0)</f>
        <v>0.18722078888888888</v>
      </c>
      <c r="O100" s="344">
        <f>+IFERROR(_xlfn.XLOOKUP($A100,'CONSOLIDATED CY Cash Flows'!$B:$B,'CONSOLIDATED CY Cash Flows'!U:U)/$S100,0)</f>
        <v>0</v>
      </c>
      <c r="P100" s="344">
        <f>+IFERROR(_xlfn.XLOOKUP($A100,'CONSOLIDATED CY Cash Flows'!$B:$B,'CONSOLIDATED CY Cash Flows'!V:V)/$S100,0)</f>
        <v>0</v>
      </c>
      <c r="Q100" s="344">
        <f>+IFERROR(_xlfn.XLOOKUP($A100,'CONSOLIDATED CY Cash Flows'!$B:$B,'CONSOLIDATED CY Cash Flows'!W:W)/$S100,0)</f>
        <v>0</v>
      </c>
      <c r="R100" s="340">
        <f t="shared" si="11"/>
        <v>0.99999999999999978</v>
      </c>
      <c r="S100" s="501">
        <f>+IFERROR(_xlfn.XLOOKUP($A100,'CONSOLIDATED CY Cash Flows'!$B:$B,'CONSOLIDATED CY Cash Flows'!$H:$H),0)</f>
        <v>180000</v>
      </c>
      <c r="T100" s="501">
        <f t="shared" si="12"/>
        <v>11501.289999999999</v>
      </c>
      <c r="U100" s="501">
        <f t="shared" si="13"/>
        <v>168498.71</v>
      </c>
    </row>
    <row r="101" spans="1:21" ht="13.5" customHeight="1" x14ac:dyDescent="0.75">
      <c r="A101" s="349">
        <v>5809</v>
      </c>
      <c r="B101" s="350" t="s">
        <v>1653</v>
      </c>
      <c r="C101" s="344">
        <f>+IFERROR(_xlfn.XLOOKUP($A101,'CONSOLIDATED CY Cash Flows'!$B:$B,'CONSOLIDATED CY Cash Flows'!I:I)/$S101,0)</f>
        <v>0</v>
      </c>
      <c r="D101" s="344">
        <f>+IFERROR(_xlfn.XLOOKUP($A101,'CONSOLIDATED CY Cash Flows'!$B:$B,'CONSOLIDATED CY Cash Flows'!J:J)/$S101,0)</f>
        <v>0</v>
      </c>
      <c r="E101" s="344">
        <f>+IFERROR(_xlfn.XLOOKUP($A101,'CONSOLIDATED CY Cash Flows'!$B:$B,'CONSOLIDATED CY Cash Flows'!K:K)/$S101,0)</f>
        <v>7.4399999999999994E-2</v>
      </c>
      <c r="F101" s="344">
        <f>+IFERROR(_xlfn.XLOOKUP($A101,'CONSOLIDATED CY Cash Flows'!$B:$B,'CONSOLIDATED CY Cash Flows'!L:L)/$S101,0)</f>
        <v>0.38500000000000001</v>
      </c>
      <c r="G101" s="344">
        <f>+IFERROR(_xlfn.XLOOKUP($A101,'CONSOLIDATED CY Cash Flows'!$B:$B,'CONSOLIDATED CY Cash Flows'!M:M)/$S101,0)</f>
        <v>2.1180000000000001E-3</v>
      </c>
      <c r="H101" s="344">
        <f>+IFERROR(_xlfn.XLOOKUP($A101,'CONSOLIDATED CY Cash Flows'!$B:$B,'CONSOLIDATED CY Cash Flows'!N:N)/$S101,0)</f>
        <v>7.8399999999999997E-2</v>
      </c>
      <c r="I101" s="344">
        <f>+IFERROR(_xlfn.XLOOKUP($A101,'CONSOLIDATED CY Cash Flows'!$B:$B,'CONSOLIDATED CY Cash Flows'!O:O)/$S101,0)</f>
        <v>-4.6068000000000005E-2</v>
      </c>
      <c r="J101" s="344">
        <f>+IFERROR(_xlfn.XLOOKUP($A101,'CONSOLIDATED CY Cash Flows'!$B:$B,'CONSOLIDATED CY Cash Flows'!P:P)/$S101,0)</f>
        <v>0.10026360381861575</v>
      </c>
      <c r="K101" s="344">
        <f>+IFERROR(_xlfn.XLOOKUP($A101,'CONSOLIDATED CY Cash Flows'!$B:$B,'CONSOLIDATED CY Cash Flows'!Q:Q)/$S101,0)</f>
        <v>0.10147159904534607</v>
      </c>
      <c r="L101" s="344">
        <f>+IFERROR(_xlfn.XLOOKUP($A101,'CONSOLIDATED CY Cash Flows'!$B:$B,'CONSOLIDATED CY Cash Flows'!R:R)/$S101,0)</f>
        <v>0.10147159904534607</v>
      </c>
      <c r="M101" s="344">
        <f>+IFERROR(_xlfn.XLOOKUP($A101,'CONSOLIDATED CY Cash Flows'!$B:$B,'CONSOLIDATED CY Cash Flows'!S:S)/$S101,0)</f>
        <v>0.10147159904534607</v>
      </c>
      <c r="N101" s="344">
        <f>+IFERROR(_xlfn.XLOOKUP($A101,'CONSOLIDATED CY Cash Flows'!$B:$B,'CONSOLIDATED CY Cash Flows'!T:T)/$S101,0)</f>
        <v>0.10147159904534607</v>
      </c>
      <c r="O101" s="344">
        <f>+IFERROR(_xlfn.XLOOKUP($A101,'CONSOLIDATED CY Cash Flows'!$B:$B,'CONSOLIDATED CY Cash Flows'!U:U)/$S101,0)</f>
        <v>0</v>
      </c>
      <c r="P101" s="344">
        <f>+IFERROR(_xlfn.XLOOKUP($A101,'CONSOLIDATED CY Cash Flows'!$B:$B,'CONSOLIDATED CY Cash Flows'!V:V)/$S101,0)</f>
        <v>0</v>
      </c>
      <c r="Q101" s="344">
        <f>+IFERROR(_xlfn.XLOOKUP($A101,'CONSOLIDATED CY Cash Flows'!$B:$B,'CONSOLIDATED CY Cash Flows'!W:W)/$S101,0)</f>
        <v>0</v>
      </c>
      <c r="R101" s="340">
        <f t="shared" ref="R101" si="14">SUM(C101:Q101)</f>
        <v>1</v>
      </c>
      <c r="S101" s="501">
        <f>+IFERROR(_xlfn.XLOOKUP($A101,'CONSOLIDATED CY Cash Flows'!$B:$B,'CONSOLIDATED CY Cash Flows'!$H:$H),0)</f>
        <v>50000</v>
      </c>
      <c r="T101" s="501">
        <f t="shared" ref="T101" si="15">+SUMIF($C$1:$Q$1,"ACTUAL",$C101:$Q101)*S101</f>
        <v>24692.5</v>
      </c>
      <c r="U101" s="501">
        <f t="shared" ref="U101" si="16">+S101-T101</f>
        <v>25307.5</v>
      </c>
    </row>
    <row r="102" spans="1:21" ht="13.5" customHeight="1" x14ac:dyDescent="0.75">
      <c r="A102" s="349">
        <v>5810</v>
      </c>
      <c r="B102" s="350" t="s">
        <v>609</v>
      </c>
      <c r="C102" s="344">
        <f>+IFERROR(_xlfn.XLOOKUP($A102,'CONSOLIDATED CY Cash Flows'!$B:$B,'CONSOLIDATED CY Cash Flows'!I:I)/$S102,0)</f>
        <v>1.8294941666666668E-2</v>
      </c>
      <c r="D102" s="344">
        <f>+IFERROR(_xlfn.XLOOKUP($A102,'CONSOLIDATED CY Cash Flows'!$B:$B,'CONSOLIDATED CY Cash Flows'!J:J)/$S102,0)</f>
        <v>9.1515583333333338E-3</v>
      </c>
      <c r="E102" s="344">
        <f>+IFERROR(_xlfn.XLOOKUP($A102,'CONSOLIDATED CY Cash Flows'!$B:$B,'CONSOLIDATED CY Cash Flows'!K:K)/$S102,0)</f>
        <v>1.3177525000000001E-2</v>
      </c>
      <c r="F102" s="344">
        <f>+IFERROR(_xlfn.XLOOKUP($A102,'CONSOLIDATED CY Cash Flows'!$B:$B,'CONSOLIDATED CY Cash Flows'!L:L)/$S102,0)</f>
        <v>9.8087800000000003E-2</v>
      </c>
      <c r="G102" s="344">
        <f>+IFERROR(_xlfn.XLOOKUP($A102,'CONSOLIDATED CY Cash Flows'!$B:$B,'CONSOLIDATED CY Cash Flows'!M:M)/$S102,0)</f>
        <v>5.0490612500000004E-2</v>
      </c>
      <c r="H102" s="344">
        <f>+IFERROR(_xlfn.XLOOKUP($A102,'CONSOLIDATED CY Cash Flows'!$B:$B,'CONSOLIDATED CY Cash Flows'!N:N)/$S102,0)</f>
        <v>1.8635058333333333E-2</v>
      </c>
      <c r="I102" s="344">
        <f>+IFERROR(_xlfn.XLOOKUP($A102,'CONSOLIDATED CY Cash Flows'!$B:$B,'CONSOLIDATED CY Cash Flows'!O:O)/$S102,0)</f>
        <v>5.9932070833333337E-2</v>
      </c>
      <c r="J102" s="344">
        <f>+IFERROR(_xlfn.XLOOKUP($A102,'CONSOLIDATED CY Cash Flows'!$B:$B,'CONSOLIDATED CY Cash Flows'!P:P)/$S102,0)</f>
        <v>0.14504803333333335</v>
      </c>
      <c r="K102" s="344">
        <f>+IFERROR(_xlfn.XLOOKUP($A102,'CONSOLIDATED CY Cash Flows'!$B:$B,'CONSOLIDATED CY Cash Flows'!Q:Q)/$S102,0)</f>
        <v>0.1467956</v>
      </c>
      <c r="L102" s="344">
        <f>+IFERROR(_xlfn.XLOOKUP($A102,'CONSOLIDATED CY Cash Flows'!$B:$B,'CONSOLIDATED CY Cash Flows'!R:R)/$S102,0)</f>
        <v>0.1467956</v>
      </c>
      <c r="M102" s="344">
        <f>+IFERROR(_xlfn.XLOOKUP($A102,'CONSOLIDATED CY Cash Flows'!$B:$B,'CONSOLIDATED CY Cash Flows'!S:S)/$S102,0)</f>
        <v>0.1467956</v>
      </c>
      <c r="N102" s="344">
        <f>+IFERROR(_xlfn.XLOOKUP($A102,'CONSOLIDATED CY Cash Flows'!$B:$B,'CONSOLIDATED CY Cash Flows'!T:T)/$S102,0)</f>
        <v>0.1467956</v>
      </c>
      <c r="O102" s="344">
        <f>+IFERROR(_xlfn.XLOOKUP($A102,'CONSOLIDATED CY Cash Flows'!$B:$B,'CONSOLIDATED CY Cash Flows'!U:U)/$S102,0)</f>
        <v>0</v>
      </c>
      <c r="P102" s="344">
        <f>+IFERROR(_xlfn.XLOOKUP($A102,'CONSOLIDATED CY Cash Flows'!$B:$B,'CONSOLIDATED CY Cash Flows'!V:V)/$S102,0)</f>
        <v>0</v>
      </c>
      <c r="Q102" s="344">
        <f>+IFERROR(_xlfn.XLOOKUP($A102,'CONSOLIDATED CY Cash Flows'!$B:$B,'CONSOLIDATED CY Cash Flows'!W:W)/$S102,0)</f>
        <v>0</v>
      </c>
      <c r="R102" s="340">
        <f t="shared" si="11"/>
        <v>1</v>
      </c>
      <c r="S102" s="501">
        <f>+IFERROR(_xlfn.XLOOKUP($A102,'CONSOLIDATED CY Cash Flows'!$B:$B,'CONSOLIDATED CY Cash Flows'!$H:$H),0)</f>
        <v>2400000</v>
      </c>
      <c r="T102" s="501">
        <f t="shared" si="12"/>
        <v>642646.96000000008</v>
      </c>
      <c r="U102" s="501">
        <f t="shared" si="13"/>
        <v>1757353.04</v>
      </c>
    </row>
    <row r="103" spans="1:21" ht="13.5" hidden="1" customHeight="1" x14ac:dyDescent="0.75">
      <c r="A103" s="349">
        <v>5811</v>
      </c>
      <c r="B103" s="350" t="s">
        <v>1440</v>
      </c>
      <c r="C103" s="344">
        <f>+IFERROR(_xlfn.XLOOKUP($A103,'CONSOLIDATED CY Cash Flows'!$B:$B,'CONSOLIDATED CY Cash Flows'!I:I)/$S103,0)</f>
        <v>0</v>
      </c>
      <c r="D103" s="344">
        <f>+IFERROR(_xlfn.XLOOKUP($A103,'CONSOLIDATED CY Cash Flows'!$B:$B,'CONSOLIDATED CY Cash Flows'!J:J)/$S103,0)</f>
        <v>0</v>
      </c>
      <c r="E103" s="344">
        <f>+IFERROR(_xlfn.XLOOKUP($A103,'CONSOLIDATED CY Cash Flows'!$B:$B,'CONSOLIDATED CY Cash Flows'!K:K)/$S103,0)</f>
        <v>0</v>
      </c>
      <c r="F103" s="344">
        <f>+IFERROR(_xlfn.XLOOKUP($A103,'CONSOLIDATED CY Cash Flows'!$B:$B,'CONSOLIDATED CY Cash Flows'!L:L)/$S103,0)</f>
        <v>0</v>
      </c>
      <c r="G103" s="344">
        <f>+IFERROR(_xlfn.XLOOKUP($A103,'CONSOLIDATED CY Cash Flows'!$B:$B,'CONSOLIDATED CY Cash Flows'!M:M)/$S103,0)</f>
        <v>0</v>
      </c>
      <c r="H103" s="344">
        <f>+IFERROR(_xlfn.XLOOKUP($A103,'CONSOLIDATED CY Cash Flows'!$B:$B,'CONSOLIDATED CY Cash Flows'!N:N)/$S103,0)</f>
        <v>0</v>
      </c>
      <c r="I103" s="344">
        <f>+IFERROR(_xlfn.XLOOKUP($A103,'CONSOLIDATED CY Cash Flows'!$B:$B,'CONSOLIDATED CY Cash Flows'!O:O)/$S103,0)</f>
        <v>0</v>
      </c>
      <c r="J103" s="344">
        <f>+IFERROR(_xlfn.XLOOKUP($A103,'CONSOLIDATED CY Cash Flows'!$B:$B,'CONSOLIDATED CY Cash Flows'!P:P)/$S103,0)</f>
        <v>0</v>
      </c>
      <c r="K103" s="344">
        <f>+IFERROR(_xlfn.XLOOKUP($A103,'CONSOLIDATED CY Cash Flows'!$B:$B,'CONSOLIDATED CY Cash Flows'!Q:Q)/$S103,0)</f>
        <v>0</v>
      </c>
      <c r="L103" s="344">
        <f>+IFERROR(_xlfn.XLOOKUP($A103,'CONSOLIDATED CY Cash Flows'!$B:$B,'CONSOLIDATED CY Cash Flows'!R:R)/$S103,0)</f>
        <v>0</v>
      </c>
      <c r="M103" s="344">
        <f>+IFERROR(_xlfn.XLOOKUP($A103,'CONSOLIDATED CY Cash Flows'!$B:$B,'CONSOLIDATED CY Cash Flows'!S:S)/$S103,0)</f>
        <v>0</v>
      </c>
      <c r="N103" s="344">
        <f>+IFERROR(_xlfn.XLOOKUP($A103,'CONSOLIDATED CY Cash Flows'!$B:$B,'CONSOLIDATED CY Cash Flows'!T:T)/$S103,0)</f>
        <v>0</v>
      </c>
      <c r="O103" s="344">
        <f>+IFERROR(_xlfn.XLOOKUP($A103,'CONSOLIDATED CY Cash Flows'!$B:$B,'CONSOLIDATED CY Cash Flows'!U:U)/$S103,0)</f>
        <v>0</v>
      </c>
      <c r="P103" s="344">
        <f>+IFERROR(_xlfn.XLOOKUP($A103,'CONSOLIDATED CY Cash Flows'!$B:$B,'CONSOLIDATED CY Cash Flows'!V:V)/$S103,0)</f>
        <v>0</v>
      </c>
      <c r="Q103" s="344">
        <f>+IFERROR(_xlfn.XLOOKUP($A103,'CONSOLIDATED CY Cash Flows'!$B:$B,'CONSOLIDATED CY Cash Flows'!W:W)/$S103,0)</f>
        <v>0</v>
      </c>
      <c r="R103" s="340">
        <f t="shared" si="11"/>
        <v>0</v>
      </c>
      <c r="S103" s="501">
        <f>+IFERROR(_xlfn.XLOOKUP($A103,'CONSOLIDATED CY Cash Flows'!$B:$B,'CONSOLIDATED CY Cash Flows'!$H:$H),0)</f>
        <v>0</v>
      </c>
      <c r="T103" s="501">
        <f t="shared" si="12"/>
        <v>0</v>
      </c>
      <c r="U103" s="501">
        <f t="shared" si="13"/>
        <v>0</v>
      </c>
    </row>
    <row r="104" spans="1:21" ht="13.5" hidden="1" customHeight="1" x14ac:dyDescent="0.75">
      <c r="A104" s="349">
        <v>5812</v>
      </c>
      <c r="B104" s="350" t="s">
        <v>1338</v>
      </c>
      <c r="C104" s="344">
        <f>+IFERROR(_xlfn.XLOOKUP($A104,'CONSOLIDATED CY Cash Flows'!$B:$B,'CONSOLIDATED CY Cash Flows'!I:I)/$S104,0)</f>
        <v>0</v>
      </c>
      <c r="D104" s="344">
        <f>+IFERROR(_xlfn.XLOOKUP($A104,'CONSOLIDATED CY Cash Flows'!$B:$B,'CONSOLIDATED CY Cash Flows'!J:J)/$S104,0)</f>
        <v>0</v>
      </c>
      <c r="E104" s="344">
        <f>+IFERROR(_xlfn.XLOOKUP($A104,'CONSOLIDATED CY Cash Flows'!$B:$B,'CONSOLIDATED CY Cash Flows'!K:K)/$S104,0)</f>
        <v>0</v>
      </c>
      <c r="F104" s="344">
        <f>+IFERROR(_xlfn.XLOOKUP($A104,'CONSOLIDATED CY Cash Flows'!$B:$B,'CONSOLIDATED CY Cash Flows'!L:L)/$S104,0)</f>
        <v>0</v>
      </c>
      <c r="G104" s="344">
        <f>+IFERROR(_xlfn.XLOOKUP($A104,'CONSOLIDATED CY Cash Flows'!$B:$B,'CONSOLIDATED CY Cash Flows'!M:M)/$S104,0)</f>
        <v>0</v>
      </c>
      <c r="H104" s="344">
        <f>+IFERROR(_xlfn.XLOOKUP($A104,'CONSOLIDATED CY Cash Flows'!$B:$B,'CONSOLIDATED CY Cash Flows'!N:N)/$S104,0)</f>
        <v>0</v>
      </c>
      <c r="I104" s="344">
        <f>+IFERROR(_xlfn.XLOOKUP($A104,'CONSOLIDATED CY Cash Flows'!$B:$B,'CONSOLIDATED CY Cash Flows'!O:O)/$S104,0)</f>
        <v>0</v>
      </c>
      <c r="J104" s="344">
        <f>+IFERROR(_xlfn.XLOOKUP($A104,'CONSOLIDATED CY Cash Flows'!$B:$B,'CONSOLIDATED CY Cash Flows'!P:P)/$S104,0)</f>
        <v>0.2</v>
      </c>
      <c r="K104" s="344">
        <f>+IFERROR(_xlfn.XLOOKUP($A104,'CONSOLIDATED CY Cash Flows'!$B:$B,'CONSOLIDATED CY Cash Flows'!Q:Q)/$S104,0)</f>
        <v>0.2</v>
      </c>
      <c r="L104" s="344">
        <f>+IFERROR(_xlfn.XLOOKUP($A104,'CONSOLIDATED CY Cash Flows'!$B:$B,'CONSOLIDATED CY Cash Flows'!R:R)/$S104,0)</f>
        <v>0.2</v>
      </c>
      <c r="M104" s="344">
        <f>+IFERROR(_xlfn.XLOOKUP($A104,'CONSOLIDATED CY Cash Flows'!$B:$B,'CONSOLIDATED CY Cash Flows'!S:S)/$S104,0)</f>
        <v>0.2</v>
      </c>
      <c r="N104" s="344">
        <f>+IFERROR(_xlfn.XLOOKUP($A104,'CONSOLIDATED CY Cash Flows'!$B:$B,'CONSOLIDATED CY Cash Flows'!T:T)/$S104,0)</f>
        <v>0.2</v>
      </c>
      <c r="O104" s="344">
        <f>+IFERROR(_xlfn.XLOOKUP($A104,'CONSOLIDATED CY Cash Flows'!$B:$B,'CONSOLIDATED CY Cash Flows'!U:U)/$S104,0)</f>
        <v>0</v>
      </c>
      <c r="P104" s="344">
        <f>+IFERROR(_xlfn.XLOOKUP($A104,'CONSOLIDATED CY Cash Flows'!$B:$B,'CONSOLIDATED CY Cash Flows'!V:V)/$S104,0)</f>
        <v>0</v>
      </c>
      <c r="Q104" s="344">
        <f>+IFERROR(_xlfn.XLOOKUP($A104,'CONSOLIDATED CY Cash Flows'!$B:$B,'CONSOLIDATED CY Cash Flows'!W:W)/$S104,0)</f>
        <v>0</v>
      </c>
      <c r="R104" s="340">
        <f t="shared" si="11"/>
        <v>1</v>
      </c>
      <c r="S104" s="501">
        <f>+IFERROR(_xlfn.XLOOKUP($A104,'CONSOLIDATED CY Cash Flows'!$B:$B,'CONSOLIDATED CY Cash Flows'!$H:$H),0)</f>
        <v>30000</v>
      </c>
      <c r="T104" s="501">
        <f t="shared" si="12"/>
        <v>0</v>
      </c>
      <c r="U104" s="501">
        <f t="shared" si="13"/>
        <v>30000</v>
      </c>
    </row>
    <row r="105" spans="1:21" ht="13.5" customHeight="1" x14ac:dyDescent="0.75">
      <c r="A105" s="349">
        <v>5815</v>
      </c>
      <c r="B105" s="350" t="s">
        <v>1441</v>
      </c>
      <c r="C105" s="344">
        <f>+IFERROR(_xlfn.XLOOKUP($A105,'CONSOLIDATED CY Cash Flows'!$B:$B,'CONSOLIDATED CY Cash Flows'!I:I)/$S105,0)</f>
        <v>0.33761999999999998</v>
      </c>
      <c r="D105" s="344">
        <f>+IFERROR(_xlfn.XLOOKUP($A105,'CONSOLIDATED CY Cash Flows'!$B:$B,'CONSOLIDATED CY Cash Flows'!J:J)/$S105,0)</f>
        <v>3.5200000000000001E-3</v>
      </c>
      <c r="E105" s="344">
        <f>+IFERROR(_xlfn.XLOOKUP($A105,'CONSOLIDATED CY Cash Flows'!$B:$B,'CONSOLIDATED CY Cash Flows'!K:K)/$S105,0)</f>
        <v>5.2741999999999997E-3</v>
      </c>
      <c r="F105" s="344">
        <f>+IFERROR(_xlfn.XLOOKUP($A105,'CONSOLIDATED CY Cash Flows'!$B:$B,'CONSOLIDATED CY Cash Flows'!L:L)/$S105,0)</f>
        <v>7.2788000000000002E-3</v>
      </c>
      <c r="G105" s="344">
        <f>+IFERROR(_xlfn.XLOOKUP($A105,'CONSOLIDATED CY Cash Flows'!$B:$B,'CONSOLIDATED CY Cash Flows'!M:M)/$S105,0)</f>
        <v>5.4100399999999996E-3</v>
      </c>
      <c r="H105" s="344">
        <f>+IFERROR(_xlfn.XLOOKUP($A105,'CONSOLIDATED CY Cash Flows'!$B:$B,'CONSOLIDATED CY Cash Flows'!N:N)/$S105,0)</f>
        <v>5.8559199999999997E-3</v>
      </c>
      <c r="I105" s="344">
        <f>+IFERROR(_xlfn.XLOOKUP($A105,'CONSOLIDATED CY Cash Flows'!$B:$B,'CONSOLIDATED CY Cash Flows'!O:O)/$S105,0)</f>
        <v>7.0390399999999999E-3</v>
      </c>
      <c r="J105" s="344">
        <f>+IFERROR(_xlfn.XLOOKUP($A105,'CONSOLIDATED CY Cash Flows'!$B:$B,'CONSOLIDATED CY Cash Flows'!P:P)/$S105,0)</f>
        <v>0</v>
      </c>
      <c r="K105" s="344">
        <f>+IFERROR(_xlfn.XLOOKUP($A105,'CONSOLIDATED CY Cash Flows'!$B:$B,'CONSOLIDATED CY Cash Flows'!Q:Q)/$S105,0)</f>
        <v>0</v>
      </c>
      <c r="L105" s="344">
        <f>+IFERROR(_xlfn.XLOOKUP($A105,'CONSOLIDATED CY Cash Flows'!$B:$B,'CONSOLIDATED CY Cash Flows'!R:R)/$S105,0)</f>
        <v>0.62800199999999995</v>
      </c>
      <c r="M105" s="344">
        <f>+IFERROR(_xlfn.XLOOKUP($A105,'CONSOLIDATED CY Cash Flows'!$B:$B,'CONSOLIDATED CY Cash Flows'!S:S)/$S105,0)</f>
        <v>0</v>
      </c>
      <c r="N105" s="344">
        <f>+IFERROR(_xlfn.XLOOKUP($A105,'CONSOLIDATED CY Cash Flows'!$B:$B,'CONSOLIDATED CY Cash Flows'!T:T)/$S105,0)</f>
        <v>0</v>
      </c>
      <c r="O105" s="344">
        <f>+IFERROR(_xlfn.XLOOKUP($A105,'CONSOLIDATED CY Cash Flows'!$B:$B,'CONSOLIDATED CY Cash Flows'!U:U)/$S105,0)</f>
        <v>0</v>
      </c>
      <c r="P105" s="344">
        <f>+IFERROR(_xlfn.XLOOKUP($A105,'CONSOLIDATED CY Cash Flows'!$B:$B,'CONSOLIDATED CY Cash Flows'!V:V)/$S105,0)</f>
        <v>0</v>
      </c>
      <c r="Q105" s="344">
        <f>+IFERROR(_xlfn.XLOOKUP($A105,'CONSOLIDATED CY Cash Flows'!$B:$B,'CONSOLIDATED CY Cash Flows'!W:W)/$S105,0)</f>
        <v>0</v>
      </c>
      <c r="R105" s="340">
        <f t="shared" si="11"/>
        <v>1</v>
      </c>
      <c r="S105" s="501">
        <f>+IFERROR(_xlfn.XLOOKUP($A105,'CONSOLIDATED CY Cash Flows'!$B:$B,'CONSOLIDATED CY Cash Flows'!$H:$H),0)</f>
        <v>250000</v>
      </c>
      <c r="T105" s="501">
        <f t="shared" si="12"/>
        <v>92999.5</v>
      </c>
      <c r="U105" s="501">
        <f t="shared" si="13"/>
        <v>157000.5</v>
      </c>
    </row>
    <row r="106" spans="1:21" ht="13.5" hidden="1" customHeight="1" x14ac:dyDescent="0.75">
      <c r="A106" s="349">
        <v>5820</v>
      </c>
      <c r="B106" s="350" t="s">
        <v>1442</v>
      </c>
      <c r="C106" s="344">
        <f>+IFERROR(_xlfn.XLOOKUP($A106,'CONSOLIDATED CY Cash Flows'!$B:$B,'CONSOLIDATED CY Cash Flows'!I:I)/$S106,0)</f>
        <v>0</v>
      </c>
      <c r="D106" s="344">
        <f>+IFERROR(_xlfn.XLOOKUP($A106,'CONSOLIDATED CY Cash Flows'!$B:$B,'CONSOLIDATED CY Cash Flows'!J:J)/$S106,0)</f>
        <v>0</v>
      </c>
      <c r="E106" s="344">
        <f>+IFERROR(_xlfn.XLOOKUP($A106,'CONSOLIDATED CY Cash Flows'!$B:$B,'CONSOLIDATED CY Cash Flows'!K:K)/$S106,0)</f>
        <v>0</v>
      </c>
      <c r="F106" s="344">
        <f>+IFERROR(_xlfn.XLOOKUP($A106,'CONSOLIDATED CY Cash Flows'!$B:$B,'CONSOLIDATED CY Cash Flows'!L:L)/$S106,0)</f>
        <v>0</v>
      </c>
      <c r="G106" s="344">
        <f>+IFERROR(_xlfn.XLOOKUP($A106,'CONSOLIDATED CY Cash Flows'!$B:$B,'CONSOLIDATED CY Cash Flows'!M:M)/$S106,0)</f>
        <v>0</v>
      </c>
      <c r="H106" s="344">
        <f>+IFERROR(_xlfn.XLOOKUP($A106,'CONSOLIDATED CY Cash Flows'!$B:$B,'CONSOLIDATED CY Cash Flows'!N:N)/$S106,0)</f>
        <v>0</v>
      </c>
      <c r="I106" s="344">
        <f>+IFERROR(_xlfn.XLOOKUP($A106,'CONSOLIDATED CY Cash Flows'!$B:$B,'CONSOLIDATED CY Cash Flows'!O:O)/$S106,0)</f>
        <v>0</v>
      </c>
      <c r="J106" s="344">
        <f>+IFERROR(_xlfn.XLOOKUP($A106,'CONSOLIDATED CY Cash Flows'!$B:$B,'CONSOLIDATED CY Cash Flows'!P:P)/$S106,0)</f>
        <v>0</v>
      </c>
      <c r="K106" s="344">
        <f>+IFERROR(_xlfn.XLOOKUP($A106,'CONSOLIDATED CY Cash Flows'!$B:$B,'CONSOLIDATED CY Cash Flows'!Q:Q)/$S106,0)</f>
        <v>0</v>
      </c>
      <c r="L106" s="344">
        <f>+IFERROR(_xlfn.XLOOKUP($A106,'CONSOLIDATED CY Cash Flows'!$B:$B,'CONSOLIDATED CY Cash Flows'!R:R)/$S106,0)</f>
        <v>0</v>
      </c>
      <c r="M106" s="344">
        <f>+IFERROR(_xlfn.XLOOKUP($A106,'CONSOLIDATED CY Cash Flows'!$B:$B,'CONSOLIDATED CY Cash Flows'!S:S)/$S106,0)</f>
        <v>0</v>
      </c>
      <c r="N106" s="344">
        <f>+IFERROR(_xlfn.XLOOKUP($A106,'CONSOLIDATED CY Cash Flows'!$B:$B,'CONSOLIDATED CY Cash Flows'!T:T)/$S106,0)</f>
        <v>0</v>
      </c>
      <c r="O106" s="344">
        <f>+IFERROR(_xlfn.XLOOKUP($A106,'CONSOLIDATED CY Cash Flows'!$B:$B,'CONSOLIDATED CY Cash Flows'!U:U)/$S106,0)</f>
        <v>0</v>
      </c>
      <c r="P106" s="344">
        <f>+IFERROR(_xlfn.XLOOKUP($A106,'CONSOLIDATED CY Cash Flows'!$B:$B,'CONSOLIDATED CY Cash Flows'!V:V)/$S106,0)</f>
        <v>0</v>
      </c>
      <c r="Q106" s="344">
        <f>+IFERROR(_xlfn.XLOOKUP($A106,'CONSOLIDATED CY Cash Flows'!$B:$B,'CONSOLIDATED CY Cash Flows'!W:W)/$S106,0)</f>
        <v>0</v>
      </c>
      <c r="R106" s="340">
        <f t="shared" si="11"/>
        <v>0</v>
      </c>
      <c r="S106" s="501">
        <f>+IFERROR(_xlfn.XLOOKUP($A106,'CONSOLIDATED CY Cash Flows'!$B:$B,'CONSOLIDATED CY Cash Flows'!$H:$H),0)</f>
        <v>0</v>
      </c>
      <c r="T106" s="501">
        <f t="shared" si="12"/>
        <v>0</v>
      </c>
      <c r="U106" s="501">
        <f t="shared" si="13"/>
        <v>0</v>
      </c>
    </row>
    <row r="107" spans="1:21" ht="13.5" customHeight="1" x14ac:dyDescent="0.75">
      <c r="A107" s="349">
        <v>5830</v>
      </c>
      <c r="B107" s="350" t="s">
        <v>1412</v>
      </c>
      <c r="C107" s="344">
        <f>+IFERROR(_xlfn.XLOOKUP($A107,'CONSOLIDATED CY Cash Flows'!$B:$B,'CONSOLIDATED CY Cash Flows'!I:I)/$S107,0)</f>
        <v>0.15491927999999999</v>
      </c>
      <c r="D107" s="344">
        <f>+IFERROR(_xlfn.XLOOKUP($A107,'CONSOLIDATED CY Cash Flows'!$B:$B,'CONSOLIDATED CY Cash Flows'!J:J)/$S107,0)</f>
        <v>1.4269520000000001E-2</v>
      </c>
      <c r="E107" s="344">
        <f>+IFERROR(_xlfn.XLOOKUP($A107,'CONSOLIDATED CY Cash Flows'!$B:$B,'CONSOLIDATED CY Cash Flows'!K:K)/$S107,0)</f>
        <v>0.11559119999999999</v>
      </c>
      <c r="F107" s="344">
        <f>+IFERROR(_xlfn.XLOOKUP($A107,'CONSOLIDATED CY Cash Flows'!$B:$B,'CONSOLIDATED CY Cash Flows'!L:L)/$S107,0)</f>
        <v>9.5235600000000004E-2</v>
      </c>
      <c r="G107" s="344">
        <f>+IFERROR(_xlfn.XLOOKUP($A107,'CONSOLIDATED CY Cash Flows'!$B:$B,'CONSOLIDATED CY Cash Flows'!M:M)/$S107,0)</f>
        <v>9.4618960000000002E-2</v>
      </c>
      <c r="H107" s="344">
        <f>+IFERROR(_xlfn.XLOOKUP($A107,'CONSOLIDATED CY Cash Flows'!$B:$B,'CONSOLIDATED CY Cash Flows'!N:N)/$S107,0)</f>
        <v>7.1098880000000003E-2</v>
      </c>
      <c r="I107" s="344">
        <f>+IFERROR(_xlfn.XLOOKUP($A107,'CONSOLIDATED CY Cash Flows'!$B:$B,'CONSOLIDATED CY Cash Flows'!O:O)/$S107,0)</f>
        <v>-4.550088E-2</v>
      </c>
      <c r="J107" s="344">
        <f>+IFERROR(_xlfn.XLOOKUP($A107,'CONSOLIDATED CY Cash Flows'!$B:$B,'CONSOLIDATED CY Cash Flows'!P:P)/$S107,0)</f>
        <v>9.9953488000000007E-2</v>
      </c>
      <c r="K107" s="344">
        <f>+IFERROR(_xlfn.XLOOKUP($A107,'CONSOLIDATED CY Cash Flows'!$B:$B,'CONSOLIDATED CY Cash Flows'!Q:Q)/$S107,0)</f>
        <v>9.9953488000000007E-2</v>
      </c>
      <c r="L107" s="344">
        <f>+IFERROR(_xlfn.XLOOKUP($A107,'CONSOLIDATED CY Cash Flows'!$B:$B,'CONSOLIDATED CY Cash Flows'!R:R)/$S107,0)</f>
        <v>9.9953488000000007E-2</v>
      </c>
      <c r="M107" s="344">
        <f>+IFERROR(_xlfn.XLOOKUP($A107,'CONSOLIDATED CY Cash Flows'!$B:$B,'CONSOLIDATED CY Cash Flows'!S:S)/$S107,0)</f>
        <v>9.9953488000000007E-2</v>
      </c>
      <c r="N107" s="344">
        <f>+IFERROR(_xlfn.XLOOKUP($A107,'CONSOLIDATED CY Cash Flows'!$B:$B,'CONSOLIDATED CY Cash Flows'!T:T)/$S107,0)</f>
        <v>9.9953488000000007E-2</v>
      </c>
      <c r="O107" s="344">
        <f>+IFERROR(_xlfn.XLOOKUP($A107,'CONSOLIDATED CY Cash Flows'!$B:$B,'CONSOLIDATED CY Cash Flows'!U:U)/$S107,0)</f>
        <v>0</v>
      </c>
      <c r="P107" s="344">
        <f>+IFERROR(_xlfn.XLOOKUP($A107,'CONSOLIDATED CY Cash Flows'!$B:$B,'CONSOLIDATED CY Cash Flows'!V:V)/$S107,0)</f>
        <v>0</v>
      </c>
      <c r="Q107" s="344">
        <f>+IFERROR(_xlfn.XLOOKUP($A107,'CONSOLIDATED CY Cash Flows'!$B:$B,'CONSOLIDATED CY Cash Flows'!W:W)/$S107,0)</f>
        <v>0</v>
      </c>
      <c r="R107" s="340">
        <f t="shared" si="11"/>
        <v>1.0000000000000002</v>
      </c>
      <c r="S107" s="501">
        <f>+IFERROR(_xlfn.XLOOKUP($A107,'CONSOLIDATED CY Cash Flows'!$B:$B,'CONSOLIDATED CY Cash Flows'!$H:$H),0)</f>
        <v>125000</v>
      </c>
      <c r="T107" s="501">
        <f t="shared" si="12"/>
        <v>62529.070000000007</v>
      </c>
      <c r="U107" s="501">
        <f t="shared" si="13"/>
        <v>62470.929999999993</v>
      </c>
    </row>
    <row r="108" spans="1:21" ht="13.5" hidden="1" customHeight="1" x14ac:dyDescent="0.75">
      <c r="A108" s="349">
        <v>5836</v>
      </c>
      <c r="B108" s="350" t="s">
        <v>1443</v>
      </c>
      <c r="C108" s="344">
        <f>+IFERROR(_xlfn.XLOOKUP($A108,'CONSOLIDATED CY Cash Flows'!$B:$B,'CONSOLIDATED CY Cash Flows'!I:I)/$S108,0)</f>
        <v>0</v>
      </c>
      <c r="D108" s="344">
        <f>+IFERROR(_xlfn.XLOOKUP($A108,'CONSOLIDATED CY Cash Flows'!$B:$B,'CONSOLIDATED CY Cash Flows'!J:J)/$S108,0)</f>
        <v>0</v>
      </c>
      <c r="E108" s="344">
        <f>+IFERROR(_xlfn.XLOOKUP($A108,'CONSOLIDATED CY Cash Flows'!$B:$B,'CONSOLIDATED CY Cash Flows'!K:K)/$S108,0)</f>
        <v>0</v>
      </c>
      <c r="F108" s="344">
        <f>+IFERROR(_xlfn.XLOOKUP($A108,'CONSOLIDATED CY Cash Flows'!$B:$B,'CONSOLIDATED CY Cash Flows'!L:L)/$S108,0)</f>
        <v>0</v>
      </c>
      <c r="G108" s="344">
        <f>+IFERROR(_xlfn.XLOOKUP($A108,'CONSOLIDATED CY Cash Flows'!$B:$B,'CONSOLIDATED CY Cash Flows'!M:M)/$S108,0)</f>
        <v>0</v>
      </c>
      <c r="H108" s="344">
        <f>+IFERROR(_xlfn.XLOOKUP($A108,'CONSOLIDATED CY Cash Flows'!$B:$B,'CONSOLIDATED CY Cash Flows'!N:N)/$S108,0)</f>
        <v>0</v>
      </c>
      <c r="I108" s="344">
        <f>+IFERROR(_xlfn.XLOOKUP($A108,'CONSOLIDATED CY Cash Flows'!$B:$B,'CONSOLIDATED CY Cash Flows'!O:O)/$S108,0)</f>
        <v>0</v>
      </c>
      <c r="J108" s="344">
        <f>+IFERROR(_xlfn.XLOOKUP($A108,'CONSOLIDATED CY Cash Flows'!$B:$B,'CONSOLIDATED CY Cash Flows'!P:P)/$S108,0)</f>
        <v>0</v>
      </c>
      <c r="K108" s="344">
        <f>+IFERROR(_xlfn.XLOOKUP($A108,'CONSOLIDATED CY Cash Flows'!$B:$B,'CONSOLIDATED CY Cash Flows'!Q:Q)/$S108,0)</f>
        <v>0</v>
      </c>
      <c r="L108" s="344">
        <f>+IFERROR(_xlfn.XLOOKUP($A108,'CONSOLIDATED CY Cash Flows'!$B:$B,'CONSOLIDATED CY Cash Flows'!R:R)/$S108,0)</f>
        <v>0</v>
      </c>
      <c r="M108" s="344">
        <f>+IFERROR(_xlfn.XLOOKUP($A108,'CONSOLIDATED CY Cash Flows'!$B:$B,'CONSOLIDATED CY Cash Flows'!S:S)/$S108,0)</f>
        <v>0</v>
      </c>
      <c r="N108" s="344">
        <f>+IFERROR(_xlfn.XLOOKUP($A108,'CONSOLIDATED CY Cash Flows'!$B:$B,'CONSOLIDATED CY Cash Flows'!T:T)/$S108,0)</f>
        <v>0</v>
      </c>
      <c r="O108" s="344">
        <f>+IFERROR(_xlfn.XLOOKUP($A108,'CONSOLIDATED CY Cash Flows'!$B:$B,'CONSOLIDATED CY Cash Flows'!U:U)/$S108,0)</f>
        <v>0</v>
      </c>
      <c r="P108" s="344">
        <f>+IFERROR(_xlfn.XLOOKUP($A108,'CONSOLIDATED CY Cash Flows'!$B:$B,'CONSOLIDATED CY Cash Flows'!V:V)/$S108,0)</f>
        <v>0</v>
      </c>
      <c r="Q108" s="344">
        <f>+IFERROR(_xlfn.XLOOKUP($A108,'CONSOLIDATED CY Cash Flows'!$B:$B,'CONSOLIDATED CY Cash Flows'!W:W)/$S108,0)</f>
        <v>0</v>
      </c>
      <c r="R108" s="340">
        <f t="shared" si="11"/>
        <v>0</v>
      </c>
      <c r="S108" s="501">
        <f>+IFERROR(_xlfn.XLOOKUP($A108,'CONSOLIDATED CY Cash Flows'!$B:$B,'CONSOLIDATED CY Cash Flows'!$H:$H),0)</f>
        <v>0</v>
      </c>
      <c r="T108" s="501">
        <f t="shared" si="12"/>
        <v>0</v>
      </c>
      <c r="U108" s="501">
        <f t="shared" si="13"/>
        <v>0</v>
      </c>
    </row>
    <row r="109" spans="1:21" ht="13.5" hidden="1" customHeight="1" x14ac:dyDescent="0.75">
      <c r="A109" s="349">
        <v>5842</v>
      </c>
      <c r="B109" s="350" t="s">
        <v>1444</v>
      </c>
      <c r="C109" s="344">
        <f>+IFERROR(_xlfn.XLOOKUP($A109,'CONSOLIDATED CY Cash Flows'!$B:$B,'CONSOLIDATED CY Cash Flows'!I:I)/$S109,0)</f>
        <v>0</v>
      </c>
      <c r="D109" s="344">
        <f>+IFERROR(_xlfn.XLOOKUP($A109,'CONSOLIDATED CY Cash Flows'!$B:$B,'CONSOLIDATED CY Cash Flows'!J:J)/$S109,0)</f>
        <v>0</v>
      </c>
      <c r="E109" s="344">
        <f>+IFERROR(_xlfn.XLOOKUP($A109,'CONSOLIDATED CY Cash Flows'!$B:$B,'CONSOLIDATED CY Cash Flows'!K:K)/$S109,0)</f>
        <v>0</v>
      </c>
      <c r="F109" s="344">
        <f>+IFERROR(_xlfn.XLOOKUP($A109,'CONSOLIDATED CY Cash Flows'!$B:$B,'CONSOLIDATED CY Cash Flows'!L:L)/$S109,0)</f>
        <v>0</v>
      </c>
      <c r="G109" s="344">
        <f>+IFERROR(_xlfn.XLOOKUP($A109,'CONSOLIDATED CY Cash Flows'!$B:$B,'CONSOLIDATED CY Cash Flows'!M:M)/$S109,0)</f>
        <v>0</v>
      </c>
      <c r="H109" s="344">
        <f>+IFERROR(_xlfn.XLOOKUP($A109,'CONSOLIDATED CY Cash Flows'!$B:$B,'CONSOLIDATED CY Cash Flows'!N:N)/$S109,0)</f>
        <v>0</v>
      </c>
      <c r="I109" s="344">
        <f>+IFERROR(_xlfn.XLOOKUP($A109,'CONSOLIDATED CY Cash Flows'!$B:$B,'CONSOLIDATED CY Cash Flows'!O:O)/$S109,0)</f>
        <v>0</v>
      </c>
      <c r="J109" s="344">
        <f>+IFERROR(_xlfn.XLOOKUP($A109,'CONSOLIDATED CY Cash Flows'!$B:$B,'CONSOLIDATED CY Cash Flows'!P:P)/$S109,0)</f>
        <v>0</v>
      </c>
      <c r="K109" s="344">
        <f>+IFERROR(_xlfn.XLOOKUP($A109,'CONSOLIDATED CY Cash Flows'!$B:$B,'CONSOLIDATED CY Cash Flows'!Q:Q)/$S109,0)</f>
        <v>0</v>
      </c>
      <c r="L109" s="344">
        <f>+IFERROR(_xlfn.XLOOKUP($A109,'CONSOLIDATED CY Cash Flows'!$B:$B,'CONSOLIDATED CY Cash Flows'!R:R)/$S109,0)</f>
        <v>0</v>
      </c>
      <c r="M109" s="344">
        <f>+IFERROR(_xlfn.XLOOKUP($A109,'CONSOLIDATED CY Cash Flows'!$B:$B,'CONSOLIDATED CY Cash Flows'!S:S)/$S109,0)</f>
        <v>0</v>
      </c>
      <c r="N109" s="344">
        <f>+IFERROR(_xlfn.XLOOKUP($A109,'CONSOLIDATED CY Cash Flows'!$B:$B,'CONSOLIDATED CY Cash Flows'!T:T)/$S109,0)</f>
        <v>0</v>
      </c>
      <c r="O109" s="344">
        <f>+IFERROR(_xlfn.XLOOKUP($A109,'CONSOLIDATED CY Cash Flows'!$B:$B,'CONSOLIDATED CY Cash Flows'!U:U)/$S109,0)</f>
        <v>0</v>
      </c>
      <c r="P109" s="344">
        <f>+IFERROR(_xlfn.XLOOKUP($A109,'CONSOLIDATED CY Cash Flows'!$B:$B,'CONSOLIDATED CY Cash Flows'!V:V)/$S109,0)</f>
        <v>0</v>
      </c>
      <c r="Q109" s="344">
        <f>+IFERROR(_xlfn.XLOOKUP($A109,'CONSOLIDATED CY Cash Flows'!$B:$B,'CONSOLIDATED CY Cash Flows'!W:W)/$S109,0)</f>
        <v>0</v>
      </c>
      <c r="R109" s="340">
        <f t="shared" si="11"/>
        <v>0</v>
      </c>
      <c r="S109" s="501">
        <f>+IFERROR(_xlfn.XLOOKUP($A109,'CONSOLIDATED CY Cash Flows'!$B:$B,'CONSOLIDATED CY Cash Flows'!$H:$H),0)</f>
        <v>0</v>
      </c>
      <c r="T109" s="501">
        <f t="shared" si="12"/>
        <v>0</v>
      </c>
      <c r="U109" s="501">
        <f t="shared" si="13"/>
        <v>0</v>
      </c>
    </row>
    <row r="110" spans="1:21" ht="13.5" hidden="1" customHeight="1" x14ac:dyDescent="0.75">
      <c r="A110" s="349">
        <v>5850</v>
      </c>
      <c r="B110" s="350" t="s">
        <v>1445</v>
      </c>
      <c r="C110" s="344">
        <f>+IFERROR(_xlfn.XLOOKUP($A110,'CONSOLIDATED CY Cash Flows'!$B:$B,'CONSOLIDATED CY Cash Flows'!I:I)/$S110,0)</f>
        <v>0</v>
      </c>
      <c r="D110" s="344">
        <f>+IFERROR(_xlfn.XLOOKUP($A110,'CONSOLIDATED CY Cash Flows'!$B:$B,'CONSOLIDATED CY Cash Flows'!J:J)/$S110,0)</f>
        <v>0</v>
      </c>
      <c r="E110" s="344">
        <f>+IFERROR(_xlfn.XLOOKUP($A110,'CONSOLIDATED CY Cash Flows'!$B:$B,'CONSOLIDATED CY Cash Flows'!K:K)/$S110,0)</f>
        <v>0</v>
      </c>
      <c r="F110" s="344">
        <f>+IFERROR(_xlfn.XLOOKUP($A110,'CONSOLIDATED CY Cash Flows'!$B:$B,'CONSOLIDATED CY Cash Flows'!L:L)/$S110,0)</f>
        <v>0</v>
      </c>
      <c r="G110" s="344">
        <f>+IFERROR(_xlfn.XLOOKUP($A110,'CONSOLIDATED CY Cash Flows'!$B:$B,'CONSOLIDATED CY Cash Flows'!M:M)/$S110,0)</f>
        <v>0</v>
      </c>
      <c r="H110" s="344">
        <f>+IFERROR(_xlfn.XLOOKUP($A110,'CONSOLIDATED CY Cash Flows'!$B:$B,'CONSOLIDATED CY Cash Flows'!N:N)/$S110,0)</f>
        <v>0</v>
      </c>
      <c r="I110" s="344">
        <f>+IFERROR(_xlfn.XLOOKUP($A110,'CONSOLIDATED CY Cash Flows'!$B:$B,'CONSOLIDATED CY Cash Flows'!O:O)/$S110,0)</f>
        <v>0</v>
      </c>
      <c r="J110" s="344">
        <f>+IFERROR(_xlfn.XLOOKUP($A110,'CONSOLIDATED CY Cash Flows'!$B:$B,'CONSOLIDATED CY Cash Flows'!P:P)/$S110,0)</f>
        <v>0</v>
      </c>
      <c r="K110" s="344">
        <f>+IFERROR(_xlfn.XLOOKUP($A110,'CONSOLIDATED CY Cash Flows'!$B:$B,'CONSOLIDATED CY Cash Flows'!Q:Q)/$S110,0)</f>
        <v>0</v>
      </c>
      <c r="L110" s="344">
        <f>+IFERROR(_xlfn.XLOOKUP($A110,'CONSOLIDATED CY Cash Flows'!$B:$B,'CONSOLIDATED CY Cash Flows'!R:R)/$S110,0)</f>
        <v>0</v>
      </c>
      <c r="M110" s="344">
        <f>+IFERROR(_xlfn.XLOOKUP($A110,'CONSOLIDATED CY Cash Flows'!$B:$B,'CONSOLIDATED CY Cash Flows'!S:S)/$S110,0)</f>
        <v>0</v>
      </c>
      <c r="N110" s="344">
        <f>+IFERROR(_xlfn.XLOOKUP($A110,'CONSOLIDATED CY Cash Flows'!$B:$B,'CONSOLIDATED CY Cash Flows'!T:T)/$S110,0)</f>
        <v>0</v>
      </c>
      <c r="O110" s="344">
        <f>+IFERROR(_xlfn.XLOOKUP($A110,'CONSOLIDATED CY Cash Flows'!$B:$B,'CONSOLIDATED CY Cash Flows'!U:U)/$S110,0)</f>
        <v>0</v>
      </c>
      <c r="P110" s="344">
        <f>+IFERROR(_xlfn.XLOOKUP($A110,'CONSOLIDATED CY Cash Flows'!$B:$B,'CONSOLIDATED CY Cash Flows'!V:V)/$S110,0)</f>
        <v>0</v>
      </c>
      <c r="Q110" s="344">
        <f>+IFERROR(_xlfn.XLOOKUP($A110,'CONSOLIDATED CY Cash Flows'!$B:$B,'CONSOLIDATED CY Cash Flows'!W:W)/$S110,0)</f>
        <v>0</v>
      </c>
      <c r="R110" s="340">
        <f t="shared" si="11"/>
        <v>0</v>
      </c>
      <c r="S110" s="501">
        <f>+IFERROR(_xlfn.XLOOKUP($A110,'CONSOLIDATED CY Cash Flows'!$B:$B,'CONSOLIDATED CY Cash Flows'!$H:$H),0)</f>
        <v>0</v>
      </c>
      <c r="T110" s="501">
        <f t="shared" si="12"/>
        <v>0</v>
      </c>
      <c r="U110" s="501">
        <f t="shared" si="13"/>
        <v>0</v>
      </c>
    </row>
    <row r="111" spans="1:21" ht="13.5" customHeight="1" x14ac:dyDescent="0.75">
      <c r="A111" s="349">
        <v>5873</v>
      </c>
      <c r="B111" s="350" t="s">
        <v>1446</v>
      </c>
      <c r="C111" s="344">
        <f>+IFERROR(_xlfn.XLOOKUP($A111,'CONSOLIDATED CY Cash Flows'!$B:$B,'CONSOLIDATED CY Cash Flows'!I:I)/$S111,0)</f>
        <v>0.17610512082412758</v>
      </c>
      <c r="D111" s="344">
        <f>+IFERROR(_xlfn.XLOOKUP($A111,'CONSOLIDATED CY Cash Flows'!$B:$B,'CONSOLIDATED CY Cash Flows'!J:J)/$S111,0)</f>
        <v>8.8052544455309703E-2</v>
      </c>
      <c r="E111" s="344">
        <f>+IFERROR(_xlfn.XLOOKUP($A111,'CONSOLIDATED CY Cash Flows'!$B:$B,'CONSOLIDATED CY Cash Flows'!K:K)/$S111,0)</f>
        <v>5.8093754610597778E-2</v>
      </c>
      <c r="F111" s="344">
        <f>+IFERROR(_xlfn.XLOOKUP($A111,'CONSOLIDATED CY Cash Flows'!$B:$B,'CONSOLIDATED CY Cash Flows'!L:L)/$S111,0)</f>
        <v>1.4281294909353974E-3</v>
      </c>
      <c r="G111" s="344">
        <f>+IFERROR(_xlfn.XLOOKUP($A111,'CONSOLIDATED CY Cash Flows'!$B:$B,'CONSOLIDATED CY Cash Flows'!M:M)/$S111,0)</f>
        <v>0.11618752517794964</v>
      </c>
      <c r="H111" s="344">
        <f>+IFERROR(_xlfn.XLOOKUP($A111,'CONSOLIDATED CY Cash Flows'!$B:$B,'CONSOLIDATED CY Cash Flows'!N:N)/$S111,0)</f>
        <v>5.8093754610597778E-2</v>
      </c>
      <c r="I111" s="344">
        <f>+IFERROR(_xlfn.XLOOKUP($A111,'CONSOLIDATED CY Cash Flows'!$B:$B,'CONSOLIDATED CY Cash Flows'!O:O)/$S111,0)</f>
        <v>0</v>
      </c>
      <c r="J111" s="344">
        <f>+IFERROR(_xlfn.XLOOKUP($A111,'CONSOLIDATED CY Cash Flows'!$B:$B,'CONSOLIDATED CY Cash Flows'!P:P)/$S111,0)</f>
        <v>0.10040783416609643</v>
      </c>
      <c r="K111" s="344">
        <f>+IFERROR(_xlfn.XLOOKUP($A111,'CONSOLIDATED CY Cash Flows'!$B:$B,'CONSOLIDATED CY Cash Flows'!Q:Q)/$S111,0)</f>
        <v>0.10040783416609643</v>
      </c>
      <c r="L111" s="344">
        <f>+IFERROR(_xlfn.XLOOKUP($A111,'CONSOLIDATED CY Cash Flows'!$B:$B,'CONSOLIDATED CY Cash Flows'!R:R)/$S111,0)</f>
        <v>0.10040783416609643</v>
      </c>
      <c r="M111" s="344">
        <f>+IFERROR(_xlfn.XLOOKUP($A111,'CONSOLIDATED CY Cash Flows'!$B:$B,'CONSOLIDATED CY Cash Flows'!S:S)/$S111,0)</f>
        <v>0.10040783416609643</v>
      </c>
      <c r="N111" s="344">
        <f>+IFERROR(_xlfn.XLOOKUP($A111,'CONSOLIDATED CY Cash Flows'!$B:$B,'CONSOLIDATED CY Cash Flows'!T:T)/$S111,0)</f>
        <v>0.10040783416609643</v>
      </c>
      <c r="O111" s="344">
        <f>+IFERROR(_xlfn.XLOOKUP($A111,'CONSOLIDATED CY Cash Flows'!$B:$B,'CONSOLIDATED CY Cash Flows'!U:U)/$S111,0)</f>
        <v>0</v>
      </c>
      <c r="P111" s="344">
        <f>+IFERROR(_xlfn.XLOOKUP($A111,'CONSOLIDATED CY Cash Flows'!$B:$B,'CONSOLIDATED CY Cash Flows'!V:V)/$S111,0)</f>
        <v>0</v>
      </c>
      <c r="Q111" s="344">
        <f>+IFERROR(_xlfn.XLOOKUP($A111,'CONSOLIDATED CY Cash Flows'!$B:$B,'CONSOLIDATED CY Cash Flows'!W:W)/$S111,0)</f>
        <v>0</v>
      </c>
      <c r="R111" s="340">
        <f t="shared" si="11"/>
        <v>1</v>
      </c>
      <c r="S111" s="501">
        <f>+IFERROR(_xlfn.XLOOKUP($A111,'CONSOLIDATED CY Cash Flows'!$B:$B,'CONSOLIDATED CY Cash Flows'!$H:$H),0)</f>
        <v>626693.87172573002</v>
      </c>
      <c r="T111" s="501">
        <f t="shared" si="12"/>
        <v>312069.00000000006</v>
      </c>
      <c r="U111" s="501">
        <f t="shared" si="13"/>
        <v>314624.87172572996</v>
      </c>
    </row>
    <row r="112" spans="1:21" ht="13.5" customHeight="1" x14ac:dyDescent="0.75">
      <c r="A112" s="349">
        <v>5875</v>
      </c>
      <c r="B112" s="350" t="s">
        <v>616</v>
      </c>
      <c r="C112" s="344">
        <f>+IFERROR(_xlfn.XLOOKUP($A112,'CONSOLIDATED CY Cash Flows'!$B:$B,'CONSOLIDATED CY Cash Flows'!I:I)/$S112,0)</f>
        <v>0</v>
      </c>
      <c r="D112" s="344">
        <f>+IFERROR(_xlfn.XLOOKUP($A112,'CONSOLIDATED CY Cash Flows'!$B:$B,'CONSOLIDATED CY Cash Flows'!J:J)/$S112,0)</f>
        <v>0</v>
      </c>
      <c r="E112" s="344">
        <f>+IFERROR(_xlfn.XLOOKUP($A112,'CONSOLIDATED CY Cash Flows'!$B:$B,'CONSOLIDATED CY Cash Flows'!K:K)/$S112,0)</f>
        <v>4.2742160420746689E-2</v>
      </c>
      <c r="F112" s="344">
        <f>+IFERROR(_xlfn.XLOOKUP($A112,'CONSOLIDATED CY Cash Flows'!$B:$B,'CONSOLIDATED CY Cash Flows'!L:L)/$S112,0)</f>
        <v>4.2742160420746689E-2</v>
      </c>
      <c r="G112" s="344">
        <f>+IFERROR(_xlfn.XLOOKUP($A112,'CONSOLIDATED CY Cash Flows'!$B:$B,'CONSOLIDATED CY Cash Flows'!M:M)/$S112,0)</f>
        <v>6.5745018196112004E-2</v>
      </c>
      <c r="H112" s="344">
        <f>+IFERROR(_xlfn.XLOOKUP($A112,'CONSOLIDATED CY Cash Flows'!$B:$B,'CONSOLIDATED CY Cash Flows'!N:N)/$S112,0)</f>
        <v>4.2936034982923948E-2</v>
      </c>
      <c r="I112" s="344">
        <f>+IFERROR(_xlfn.XLOOKUP($A112,'CONSOLIDATED CY Cash Flows'!$B:$B,'CONSOLIDATED CY Cash Flows'!O:O)/$S112,0)</f>
        <v>8.8941750533654565E-2</v>
      </c>
      <c r="J112" s="344">
        <f>+IFERROR(_xlfn.XLOOKUP($A112,'CONSOLIDATED CY Cash Flows'!$B:$B,'CONSOLIDATED CY Cash Flows'!P:P)/$S112,0)</f>
        <v>0.14337857508916321</v>
      </c>
      <c r="K112" s="344">
        <f>+IFERROR(_xlfn.XLOOKUP($A112,'CONSOLIDATED CY Cash Flows'!$B:$B,'CONSOLIDATED CY Cash Flows'!Q:Q)/$S112,0)</f>
        <v>0.14337857508916321</v>
      </c>
      <c r="L112" s="344">
        <f>+IFERROR(_xlfn.XLOOKUP($A112,'CONSOLIDATED CY Cash Flows'!$B:$B,'CONSOLIDATED CY Cash Flows'!R:R)/$S112,0)</f>
        <v>0.14337857508916321</v>
      </c>
      <c r="M112" s="344">
        <f>+IFERROR(_xlfn.XLOOKUP($A112,'CONSOLIDATED CY Cash Flows'!$B:$B,'CONSOLIDATED CY Cash Flows'!S:S)/$S112,0)</f>
        <v>0.14337857508916321</v>
      </c>
      <c r="N112" s="344">
        <f>+IFERROR(_xlfn.XLOOKUP($A112,'CONSOLIDATED CY Cash Flows'!$B:$B,'CONSOLIDATED CY Cash Flows'!T:T)/$S112,0)</f>
        <v>0.14337857508916321</v>
      </c>
      <c r="O112" s="344">
        <f>+IFERROR(_xlfn.XLOOKUP($A112,'CONSOLIDATED CY Cash Flows'!$B:$B,'CONSOLIDATED CY Cash Flows'!U:U)/$S112,0)</f>
        <v>0</v>
      </c>
      <c r="P112" s="344">
        <f>+IFERROR(_xlfn.XLOOKUP($A112,'CONSOLIDATED CY Cash Flows'!$B:$B,'CONSOLIDATED CY Cash Flows'!V:V)/$S112,0)</f>
        <v>0</v>
      </c>
      <c r="Q112" s="344">
        <f>+IFERROR(_xlfn.XLOOKUP($A112,'CONSOLIDATED CY Cash Flows'!$B:$B,'CONSOLIDATED CY Cash Flows'!W:W)/$S112,0)</f>
        <v>0</v>
      </c>
      <c r="R112" s="340">
        <f t="shared" si="11"/>
        <v>0.99999999999999989</v>
      </c>
      <c r="S112" s="501">
        <f>+IFERROR(_xlfn.XLOOKUP($A112,'CONSOLIDATED CY Cash Flows'!$B:$B,'CONSOLIDATED CY Cash Flows'!$H:$H),0)</f>
        <v>278530.60965588002</v>
      </c>
      <c r="T112" s="501">
        <f t="shared" si="12"/>
        <v>78854</v>
      </c>
      <c r="U112" s="501">
        <f t="shared" si="13"/>
        <v>199676.60965588002</v>
      </c>
    </row>
    <row r="113" spans="1:21" ht="13.5" customHeight="1" x14ac:dyDescent="0.75">
      <c r="A113" s="349">
        <v>5874</v>
      </c>
      <c r="B113" s="350" t="s">
        <v>1447</v>
      </c>
      <c r="C113" s="344">
        <f>+IFERROR(_xlfn.XLOOKUP($A113,'CONSOLIDATED CY Cash Flows'!$B:$B,'CONSOLIDATED CY Cash Flows'!I:I)/$S113,0)</f>
        <v>9.98E-2</v>
      </c>
      <c r="D113" s="344">
        <f>+IFERROR(_xlfn.XLOOKUP($A113,'CONSOLIDATED CY Cash Flows'!$B:$B,'CONSOLIDATED CY Cash Flows'!J:J)/$S113,0)</f>
        <v>0.10879999999999999</v>
      </c>
      <c r="E113" s="344">
        <f>+IFERROR(_xlfn.XLOOKUP($A113,'CONSOLIDATED CY Cash Flows'!$B:$B,'CONSOLIDATED CY Cash Flows'!K:K)/$S113,0)</f>
        <v>3.1997999999999999E-2</v>
      </c>
      <c r="F113" s="344">
        <f>+IFERROR(_xlfn.XLOOKUP($A113,'CONSOLIDATED CY Cash Flows'!$B:$B,'CONSOLIDATED CY Cash Flows'!L:L)/$S113,0)</f>
        <v>1.2800000000000001E-2</v>
      </c>
      <c r="G113" s="344">
        <f>+IFERROR(_xlfn.XLOOKUP($A113,'CONSOLIDATED CY Cash Flows'!$B:$B,'CONSOLIDATED CY Cash Flows'!M:M)/$S113,0)</f>
        <v>0</v>
      </c>
      <c r="H113" s="344">
        <f>+IFERROR(_xlfn.XLOOKUP($A113,'CONSOLIDATED CY Cash Flows'!$B:$B,'CONSOLIDATED CY Cash Flows'!N:N)/$S113,0)</f>
        <v>0.02</v>
      </c>
      <c r="I113" s="344">
        <f>+IFERROR(_xlfn.XLOOKUP($A113,'CONSOLIDATED CY Cash Flows'!$B:$B,'CONSOLIDATED CY Cash Flows'!O:O)/$S113,0)</f>
        <v>1.2800000000000001E-2</v>
      </c>
      <c r="J113" s="344">
        <f>+IFERROR(_xlfn.XLOOKUP($A113,'CONSOLIDATED CY Cash Flows'!$B:$B,'CONSOLIDATED CY Cash Flows'!P:P)/$S113,0)</f>
        <v>0.14276040000000004</v>
      </c>
      <c r="K113" s="344">
        <f>+IFERROR(_xlfn.XLOOKUP($A113,'CONSOLIDATED CY Cash Flows'!$B:$B,'CONSOLIDATED CY Cash Flows'!Q:Q)/$S113,0)</f>
        <v>0.14276040000000004</v>
      </c>
      <c r="L113" s="344">
        <f>+IFERROR(_xlfn.XLOOKUP($A113,'CONSOLIDATED CY Cash Flows'!$B:$B,'CONSOLIDATED CY Cash Flows'!R:R)/$S113,0)</f>
        <v>0.14276040000000004</v>
      </c>
      <c r="M113" s="344">
        <f>+IFERROR(_xlfn.XLOOKUP($A113,'CONSOLIDATED CY Cash Flows'!$B:$B,'CONSOLIDATED CY Cash Flows'!S:S)/$S113,0)</f>
        <v>0.14276040000000004</v>
      </c>
      <c r="N113" s="344">
        <f>+IFERROR(_xlfn.XLOOKUP($A113,'CONSOLIDATED CY Cash Flows'!$B:$B,'CONSOLIDATED CY Cash Flows'!T:T)/$S113,0)</f>
        <v>0.14276040000000004</v>
      </c>
      <c r="O113" s="344">
        <f>+IFERROR(_xlfn.XLOOKUP($A113,'CONSOLIDATED CY Cash Flows'!$B:$B,'CONSOLIDATED CY Cash Flows'!U:U)/$S113,0)</f>
        <v>0</v>
      </c>
      <c r="P113" s="344">
        <f>+IFERROR(_xlfn.XLOOKUP($A113,'CONSOLIDATED CY Cash Flows'!$B:$B,'CONSOLIDATED CY Cash Flows'!V:V)/$S113,0)</f>
        <v>0</v>
      </c>
      <c r="Q113" s="344">
        <f>+IFERROR(_xlfn.XLOOKUP($A113,'CONSOLIDATED CY Cash Flows'!$B:$B,'CONSOLIDATED CY Cash Flows'!W:W)/$S113,0)</f>
        <v>0</v>
      </c>
      <c r="R113" s="340">
        <f t="shared" si="11"/>
        <v>1.0000000000000002</v>
      </c>
      <c r="S113" s="501">
        <f>+IFERROR(_xlfn.XLOOKUP($A113,'CONSOLIDATED CY Cash Flows'!$B:$B,'CONSOLIDATED CY Cash Flows'!$H:$H),0)</f>
        <v>5000</v>
      </c>
      <c r="T113" s="501">
        <f t="shared" si="12"/>
        <v>1430.99</v>
      </c>
      <c r="U113" s="501">
        <f t="shared" si="13"/>
        <v>3569.01</v>
      </c>
    </row>
    <row r="114" spans="1:21" ht="13.5" customHeight="1" x14ac:dyDescent="0.75">
      <c r="A114" s="349">
        <v>5877</v>
      </c>
      <c r="B114" s="350" t="s">
        <v>1289</v>
      </c>
      <c r="C114" s="344">
        <f>+IFERROR(_xlfn.XLOOKUP($A114,'CONSOLIDATED CY Cash Flows'!$B:$B,'CONSOLIDATED CY Cash Flows'!I:I)/$S114,0)</f>
        <v>0.68090869696969691</v>
      </c>
      <c r="D114" s="344">
        <f>+IFERROR(_xlfn.XLOOKUP($A114,'CONSOLIDATED CY Cash Flows'!$B:$B,'CONSOLIDATED CY Cash Flows'!J:J)/$S114,0)</f>
        <v>2.4206969696969698E-3</v>
      </c>
      <c r="E114" s="344">
        <f>+IFERROR(_xlfn.XLOOKUP($A114,'CONSOLIDATED CY Cash Flows'!$B:$B,'CONSOLIDATED CY Cash Flows'!K:K)/$S114,0)</f>
        <v>2.1005969696969697E-2</v>
      </c>
      <c r="F114" s="344">
        <f>+IFERROR(_xlfn.XLOOKUP($A114,'CONSOLIDATED CY Cash Flows'!$B:$B,'CONSOLIDATED CY Cash Flows'!L:L)/$S114,0)</f>
        <v>1.552878787878788E-3</v>
      </c>
      <c r="G114" s="344">
        <f>+IFERROR(_xlfn.XLOOKUP($A114,'CONSOLIDATED CY Cash Flows'!$B:$B,'CONSOLIDATED CY Cash Flows'!M:M)/$S114,0)</f>
        <v>8.3998787878787878E-3</v>
      </c>
      <c r="H114" s="344">
        <f>+IFERROR(_xlfn.XLOOKUP($A114,'CONSOLIDATED CY Cash Flows'!$B:$B,'CONSOLIDATED CY Cash Flows'!N:N)/$S114,0)</f>
        <v>3.4893909090909093E-2</v>
      </c>
      <c r="I114" s="344">
        <f>+IFERROR(_xlfn.XLOOKUP($A114,'CONSOLIDATED CY Cash Flows'!$B:$B,'CONSOLIDATED CY Cash Flows'!O:O)/$S114,0)</f>
        <v>2.4087878787878785E-4</v>
      </c>
      <c r="J114" s="344">
        <f>+IFERROR(_xlfn.XLOOKUP($A114,'CONSOLIDATED CY Cash Flows'!$B:$B,'CONSOLIDATED CY Cash Flows'!P:P)/$S114,0)</f>
        <v>5.0115418181818201E-2</v>
      </c>
      <c r="K114" s="344">
        <f>+IFERROR(_xlfn.XLOOKUP($A114,'CONSOLIDATED CY Cash Flows'!$B:$B,'CONSOLIDATED CY Cash Flows'!Q:Q)/$S114,0)</f>
        <v>5.0115418181818201E-2</v>
      </c>
      <c r="L114" s="344">
        <f>+IFERROR(_xlfn.XLOOKUP($A114,'CONSOLIDATED CY Cash Flows'!$B:$B,'CONSOLIDATED CY Cash Flows'!R:R)/$S114,0)</f>
        <v>5.0115418181818201E-2</v>
      </c>
      <c r="M114" s="344">
        <f>+IFERROR(_xlfn.XLOOKUP($A114,'CONSOLIDATED CY Cash Flows'!$B:$B,'CONSOLIDATED CY Cash Flows'!S:S)/$S114,0)</f>
        <v>5.0115418181818201E-2</v>
      </c>
      <c r="N114" s="344">
        <f>+IFERROR(_xlfn.XLOOKUP($A114,'CONSOLIDATED CY Cash Flows'!$B:$B,'CONSOLIDATED CY Cash Flows'!T:T)/$S114,0)</f>
        <v>5.0115418181818201E-2</v>
      </c>
      <c r="O114" s="344">
        <f>+IFERROR(_xlfn.XLOOKUP($A114,'CONSOLIDATED CY Cash Flows'!$B:$B,'CONSOLIDATED CY Cash Flows'!U:U)/$S114,0)</f>
        <v>0</v>
      </c>
      <c r="P114" s="344">
        <f>+IFERROR(_xlfn.XLOOKUP($A114,'CONSOLIDATED CY Cash Flows'!$B:$B,'CONSOLIDATED CY Cash Flows'!V:V)/$S114,0)</f>
        <v>0</v>
      </c>
      <c r="Q114" s="344">
        <f>+IFERROR(_xlfn.XLOOKUP($A114,'CONSOLIDATED CY Cash Flows'!$B:$B,'CONSOLIDATED CY Cash Flows'!W:W)/$S114,0)</f>
        <v>0</v>
      </c>
      <c r="R114" s="340">
        <f t="shared" si="11"/>
        <v>0.99999999999999989</v>
      </c>
      <c r="S114" s="501">
        <f>+IFERROR(_xlfn.XLOOKUP($A114,'CONSOLIDATED CY Cash Flows'!$B:$B,'CONSOLIDATED CY Cash Flows'!$H:$H),0)</f>
        <v>330000</v>
      </c>
      <c r="T114" s="501">
        <f t="shared" si="12"/>
        <v>247309.55999999994</v>
      </c>
      <c r="U114" s="501">
        <f t="shared" si="13"/>
        <v>82690.440000000061</v>
      </c>
    </row>
    <row r="115" spans="1:21" ht="13.5" hidden="1" customHeight="1" x14ac:dyDescent="0.75">
      <c r="A115" s="349">
        <v>5885</v>
      </c>
      <c r="B115" s="350" t="s">
        <v>1448</v>
      </c>
      <c r="C115" s="344">
        <f>+IFERROR(_xlfn.XLOOKUP($A115,'CONSOLIDATED CY Cash Flows'!$B:$B,'CONSOLIDATED CY Cash Flows'!I:I)/$S115,0)</f>
        <v>0</v>
      </c>
      <c r="D115" s="344">
        <f>+IFERROR(_xlfn.XLOOKUP($A115,'CONSOLIDATED CY Cash Flows'!$B:$B,'CONSOLIDATED CY Cash Flows'!J:J)/$S115,0)</f>
        <v>0</v>
      </c>
      <c r="E115" s="344">
        <f>+IFERROR(_xlfn.XLOOKUP($A115,'CONSOLIDATED CY Cash Flows'!$B:$B,'CONSOLIDATED CY Cash Flows'!K:K)/$S115,0)</f>
        <v>0</v>
      </c>
      <c r="F115" s="344">
        <f>+IFERROR(_xlfn.XLOOKUP($A115,'CONSOLIDATED CY Cash Flows'!$B:$B,'CONSOLIDATED CY Cash Flows'!L:L)/$S115,0)</f>
        <v>0</v>
      </c>
      <c r="G115" s="344">
        <f>+IFERROR(_xlfn.XLOOKUP($A115,'CONSOLIDATED CY Cash Flows'!$B:$B,'CONSOLIDATED CY Cash Flows'!M:M)/$S115,0)</f>
        <v>0</v>
      </c>
      <c r="H115" s="344">
        <f>+IFERROR(_xlfn.XLOOKUP($A115,'CONSOLIDATED CY Cash Flows'!$B:$B,'CONSOLIDATED CY Cash Flows'!N:N)/$S115,0)</f>
        <v>0</v>
      </c>
      <c r="I115" s="344">
        <f>+IFERROR(_xlfn.XLOOKUP($A115,'CONSOLIDATED CY Cash Flows'!$B:$B,'CONSOLIDATED CY Cash Flows'!O:O)/$S115,0)</f>
        <v>0</v>
      </c>
      <c r="J115" s="344">
        <f>+IFERROR(_xlfn.XLOOKUP($A115,'CONSOLIDATED CY Cash Flows'!$B:$B,'CONSOLIDATED CY Cash Flows'!P:P)/$S115,0)</f>
        <v>0</v>
      </c>
      <c r="K115" s="344">
        <f>+IFERROR(_xlfn.XLOOKUP($A115,'CONSOLIDATED CY Cash Flows'!$B:$B,'CONSOLIDATED CY Cash Flows'!Q:Q)/$S115,0)</f>
        <v>0</v>
      </c>
      <c r="L115" s="344">
        <f>+IFERROR(_xlfn.XLOOKUP($A115,'CONSOLIDATED CY Cash Flows'!$B:$B,'CONSOLIDATED CY Cash Flows'!R:R)/$S115,0)</f>
        <v>0</v>
      </c>
      <c r="M115" s="344">
        <f>+IFERROR(_xlfn.XLOOKUP($A115,'CONSOLIDATED CY Cash Flows'!$B:$B,'CONSOLIDATED CY Cash Flows'!S:S)/$S115,0)</f>
        <v>0</v>
      </c>
      <c r="N115" s="344">
        <f>+IFERROR(_xlfn.XLOOKUP($A115,'CONSOLIDATED CY Cash Flows'!$B:$B,'CONSOLIDATED CY Cash Flows'!T:T)/$S115,0)</f>
        <v>0</v>
      </c>
      <c r="O115" s="344">
        <f>+IFERROR(_xlfn.XLOOKUP($A115,'CONSOLIDATED CY Cash Flows'!$B:$B,'CONSOLIDATED CY Cash Flows'!U:U)/$S115,0)</f>
        <v>0</v>
      </c>
      <c r="P115" s="344">
        <f>+IFERROR(_xlfn.XLOOKUP($A115,'CONSOLIDATED CY Cash Flows'!$B:$B,'CONSOLIDATED CY Cash Flows'!V:V)/$S115,0)</f>
        <v>0</v>
      </c>
      <c r="Q115" s="344">
        <f>+IFERROR(_xlfn.XLOOKUP($A115,'CONSOLIDATED CY Cash Flows'!$B:$B,'CONSOLIDATED CY Cash Flows'!W:W)/$S115,0)</f>
        <v>0</v>
      </c>
      <c r="R115" s="340">
        <f t="shared" si="11"/>
        <v>0</v>
      </c>
      <c r="S115" s="501">
        <f>+IFERROR(_xlfn.XLOOKUP($A115,'CONSOLIDATED CY Cash Flows'!$B:$B,'CONSOLIDATED CY Cash Flows'!$H:$H),0)</f>
        <v>0</v>
      </c>
      <c r="T115" s="501">
        <f t="shared" si="12"/>
        <v>0</v>
      </c>
      <c r="U115" s="501">
        <f t="shared" si="13"/>
        <v>0</v>
      </c>
    </row>
    <row r="116" spans="1:21" ht="15" customHeight="1" x14ac:dyDescent="0.75">
      <c r="A116" s="349">
        <v>5890</v>
      </c>
      <c r="B116" s="350" t="s">
        <v>839</v>
      </c>
      <c r="C116" s="344">
        <f>+IFERROR(_xlfn.XLOOKUP($A116,'CONSOLIDATED CY Cash Flows'!$B:$B,'CONSOLIDATED CY Cash Flows'!I:I)/$S116,0)</f>
        <v>7.6800000000000007E-2</v>
      </c>
      <c r="D116" s="344">
        <f>+IFERROR(_xlfn.XLOOKUP($A116,'CONSOLIDATED CY Cash Flows'!$B:$B,'CONSOLIDATED CY Cash Flows'!J:J)/$S116,0)</f>
        <v>0</v>
      </c>
      <c r="E116" s="344">
        <f>+IFERROR(_xlfn.XLOOKUP($A116,'CONSOLIDATED CY Cash Flows'!$B:$B,'CONSOLIDATED CY Cash Flows'!K:K)/$S116,0)</f>
        <v>0</v>
      </c>
      <c r="F116" s="344">
        <f>+IFERROR(_xlfn.XLOOKUP($A116,'CONSOLIDATED CY Cash Flows'!$B:$B,'CONSOLIDATED CY Cash Flows'!L:L)/$S116,0)</f>
        <v>0</v>
      </c>
      <c r="G116" s="344">
        <f>+IFERROR(_xlfn.XLOOKUP($A116,'CONSOLIDATED CY Cash Flows'!$B:$B,'CONSOLIDATED CY Cash Flows'!M:M)/$S116,0)</f>
        <v>0</v>
      </c>
      <c r="H116" s="344">
        <f>+IFERROR(_xlfn.XLOOKUP($A116,'CONSOLIDATED CY Cash Flows'!$B:$B,'CONSOLIDATED CY Cash Flows'!N:N)/$S116,0)</f>
        <v>0.50307999999999997</v>
      </c>
      <c r="I116" s="344">
        <f>+IFERROR(_xlfn.XLOOKUP($A116,'CONSOLIDATED CY Cash Flows'!$B:$B,'CONSOLIDATED CY Cash Flows'!O:O)/$S116,0)</f>
        <v>0</v>
      </c>
      <c r="J116" s="344">
        <f>+IFERROR(_xlfn.XLOOKUP($A116,'CONSOLIDATED CY Cash Flows'!$B:$B,'CONSOLIDATED CY Cash Flows'!P:P)/$S116,0)</f>
        <v>8.4024000000000001E-2</v>
      </c>
      <c r="K116" s="344">
        <f>+IFERROR(_xlfn.XLOOKUP($A116,'CONSOLIDATED CY Cash Flows'!$B:$B,'CONSOLIDATED CY Cash Flows'!Q:Q)/$S116,0)</f>
        <v>8.4024000000000001E-2</v>
      </c>
      <c r="L116" s="344">
        <f>+IFERROR(_xlfn.XLOOKUP($A116,'CONSOLIDATED CY Cash Flows'!$B:$B,'CONSOLIDATED CY Cash Flows'!R:R)/$S116,0)</f>
        <v>8.4024000000000001E-2</v>
      </c>
      <c r="M116" s="344">
        <f>+IFERROR(_xlfn.XLOOKUP($A116,'CONSOLIDATED CY Cash Flows'!$B:$B,'CONSOLIDATED CY Cash Flows'!S:S)/$S116,0)</f>
        <v>8.4024000000000001E-2</v>
      </c>
      <c r="N116" s="344">
        <f>+IFERROR(_xlfn.XLOOKUP($A116,'CONSOLIDATED CY Cash Flows'!$B:$B,'CONSOLIDATED CY Cash Flows'!T:T)/$S116,0)</f>
        <v>8.4024000000000001E-2</v>
      </c>
      <c r="O116" s="344">
        <f>+IFERROR(_xlfn.XLOOKUP($A116,'CONSOLIDATED CY Cash Flows'!$B:$B,'CONSOLIDATED CY Cash Flows'!U:U)/$S116,0)</f>
        <v>0</v>
      </c>
      <c r="P116" s="344">
        <f>+IFERROR(_xlfn.XLOOKUP($A116,'CONSOLIDATED CY Cash Flows'!$B:$B,'CONSOLIDATED CY Cash Flows'!V:V)/$S116,0)</f>
        <v>0</v>
      </c>
      <c r="Q116" s="344">
        <f>+IFERROR(_xlfn.XLOOKUP($A116,'CONSOLIDATED CY Cash Flows'!$B:$B,'CONSOLIDATED CY Cash Flows'!W:W)/$S116,0)</f>
        <v>0</v>
      </c>
      <c r="R116" s="340">
        <f t="shared" si="11"/>
        <v>0.99999999999999989</v>
      </c>
      <c r="S116" s="501">
        <f>+IFERROR(_xlfn.XLOOKUP($A116,'CONSOLIDATED CY Cash Flows'!$B:$B,'CONSOLIDATED CY Cash Flows'!$H:$H),0)</f>
        <v>3000</v>
      </c>
      <c r="T116" s="501">
        <f t="shared" si="12"/>
        <v>1739.6399999999999</v>
      </c>
      <c r="U116" s="501">
        <f t="shared" si="13"/>
        <v>1260.3600000000001</v>
      </c>
    </row>
    <row r="117" spans="1:21" ht="15" customHeight="1" x14ac:dyDescent="0.75">
      <c r="A117" s="349">
        <v>5900</v>
      </c>
      <c r="B117" s="350" t="s">
        <v>610</v>
      </c>
      <c r="C117" s="344">
        <f>+IFERROR(_xlfn.XLOOKUP($A117,'CONSOLIDATED CY Cash Flows'!$B:$B,'CONSOLIDATED CY Cash Flows'!I:I)/$S117,0)</f>
        <v>3.9090538461538468E-2</v>
      </c>
      <c r="D117" s="344">
        <f>+IFERROR(_xlfn.XLOOKUP($A117,'CONSOLIDATED CY Cash Flows'!$B:$B,'CONSOLIDATED CY Cash Flows'!J:J)/$S117,0)</f>
        <v>4.1907230769230766E-2</v>
      </c>
      <c r="E117" s="344">
        <f>+IFERROR(_xlfn.XLOOKUP($A117,'CONSOLIDATED CY Cash Flows'!$B:$B,'CONSOLIDATED CY Cash Flows'!K:K)/$S117,0)</f>
        <v>9.069146153846154E-2</v>
      </c>
      <c r="F117" s="344">
        <f>+IFERROR(_xlfn.XLOOKUP($A117,'CONSOLIDATED CY Cash Flows'!$B:$B,'CONSOLIDATED CY Cash Flows'!L:L)/$S117,0)</f>
        <v>0.10224969230769231</v>
      </c>
      <c r="G117" s="344">
        <f>+IFERROR(_xlfn.XLOOKUP($A117,'CONSOLIDATED CY Cash Flows'!$B:$B,'CONSOLIDATED CY Cash Flows'!M:M)/$S117,0)</f>
        <v>0.1528756923076923</v>
      </c>
      <c r="H117" s="344">
        <f>+IFERROR(_xlfn.XLOOKUP($A117,'CONSOLIDATED CY Cash Flows'!$B:$B,'CONSOLIDATED CY Cash Flows'!N:N)/$S117,0)</f>
        <v>4.746076923076923E-2</v>
      </c>
      <c r="I117" s="344">
        <f>+IFERROR(_xlfn.XLOOKUP($A117,'CONSOLIDATED CY Cash Flows'!$B:$B,'CONSOLIDATED CY Cash Flows'!O:O)/$S117,0)</f>
        <v>0.11254815384615385</v>
      </c>
      <c r="J117" s="344">
        <f>+IFERROR(_xlfn.XLOOKUP($A117,'CONSOLIDATED CY Cash Flows'!$B:$B,'CONSOLIDATED CY Cash Flows'!P:P)/$S117,0)</f>
        <v>8.2635292307692315E-2</v>
      </c>
      <c r="K117" s="344">
        <f>+IFERROR(_xlfn.XLOOKUP($A117,'CONSOLIDATED CY Cash Flows'!$B:$B,'CONSOLIDATED CY Cash Flows'!Q:Q)/$S117,0)</f>
        <v>8.2635292307692315E-2</v>
      </c>
      <c r="L117" s="344">
        <f>+IFERROR(_xlfn.XLOOKUP($A117,'CONSOLIDATED CY Cash Flows'!$B:$B,'CONSOLIDATED CY Cash Flows'!R:R)/$S117,0)</f>
        <v>8.2635292307692315E-2</v>
      </c>
      <c r="M117" s="344">
        <f>+IFERROR(_xlfn.XLOOKUP($A117,'CONSOLIDATED CY Cash Flows'!$B:$B,'CONSOLIDATED CY Cash Flows'!S:S)/$S117,0)</f>
        <v>8.2635292307692315E-2</v>
      </c>
      <c r="N117" s="344">
        <f>+IFERROR(_xlfn.XLOOKUP($A117,'CONSOLIDATED CY Cash Flows'!$B:$B,'CONSOLIDATED CY Cash Flows'!T:T)/$S117,0)</f>
        <v>8.2635292307692315E-2</v>
      </c>
      <c r="O117" s="344">
        <f>+IFERROR(_xlfn.XLOOKUP($A117,'CONSOLIDATED CY Cash Flows'!$B:$B,'CONSOLIDATED CY Cash Flows'!U:U)/$S117,0)</f>
        <v>0</v>
      </c>
      <c r="P117" s="344">
        <f>+IFERROR(_xlfn.XLOOKUP($A117,'CONSOLIDATED CY Cash Flows'!$B:$B,'CONSOLIDATED CY Cash Flows'!V:V)/$S117,0)</f>
        <v>0</v>
      </c>
      <c r="Q117" s="344">
        <f>+IFERROR(_xlfn.XLOOKUP($A117,'CONSOLIDATED CY Cash Flows'!$B:$B,'CONSOLIDATED CY Cash Flows'!W:W)/$S117,0)</f>
        <v>0</v>
      </c>
      <c r="R117" s="340">
        <f t="shared" si="11"/>
        <v>1</v>
      </c>
      <c r="S117" s="501">
        <f>+IFERROR(_xlfn.XLOOKUP($A117,'CONSOLIDATED CY Cash Flows'!$B:$B,'CONSOLIDATED CY Cash Flows'!$H:$H),0)</f>
        <v>130000</v>
      </c>
      <c r="T117" s="501">
        <f t="shared" si="12"/>
        <v>76287.060000000012</v>
      </c>
      <c r="U117" s="501">
        <f t="shared" si="13"/>
        <v>53712.939999999988</v>
      </c>
    </row>
    <row r="118" spans="1:21" ht="15" hidden="1" customHeight="1" x14ac:dyDescent="0.75">
      <c r="A118" s="349">
        <v>5999</v>
      </c>
      <c r="B118" s="350" t="s">
        <v>1084</v>
      </c>
      <c r="C118" s="344">
        <f>+IFERROR(_xlfn.XLOOKUP($A118,'CONSOLIDATED CY Cash Flows'!$B:$B,'CONSOLIDATED CY Cash Flows'!I:I)/$S118,0)</f>
        <v>0</v>
      </c>
      <c r="D118" s="344">
        <f>+IFERROR(_xlfn.XLOOKUP($A118,'CONSOLIDATED CY Cash Flows'!$B:$B,'CONSOLIDATED CY Cash Flows'!J:J)/$S118,0)</f>
        <v>0</v>
      </c>
      <c r="E118" s="344">
        <f>+IFERROR(_xlfn.XLOOKUP($A118,'CONSOLIDATED CY Cash Flows'!$B:$B,'CONSOLIDATED CY Cash Flows'!K:K)/$S118,0)</f>
        <v>0</v>
      </c>
      <c r="F118" s="344">
        <f>+IFERROR(_xlfn.XLOOKUP($A118,'CONSOLIDATED CY Cash Flows'!$B:$B,'CONSOLIDATED CY Cash Flows'!L:L)/$S118,0)</f>
        <v>0</v>
      </c>
      <c r="G118" s="344">
        <f>+IFERROR(_xlfn.XLOOKUP($A118,'CONSOLIDATED CY Cash Flows'!$B:$B,'CONSOLIDATED CY Cash Flows'!M:M)/$S118,0)</f>
        <v>0</v>
      </c>
      <c r="H118" s="344">
        <f>+IFERROR(_xlfn.XLOOKUP($A118,'CONSOLIDATED CY Cash Flows'!$B:$B,'CONSOLIDATED CY Cash Flows'!N:N)/$S118,0)</f>
        <v>0</v>
      </c>
      <c r="I118" s="344">
        <f>+IFERROR(_xlfn.XLOOKUP($A118,'CONSOLIDATED CY Cash Flows'!$B:$B,'CONSOLIDATED CY Cash Flows'!O:O)/$S118,0)</f>
        <v>0</v>
      </c>
      <c r="J118" s="344">
        <f>+IFERROR(_xlfn.XLOOKUP($A118,'CONSOLIDATED CY Cash Flows'!$B:$B,'CONSOLIDATED CY Cash Flows'!P:P)/$S118,0)</f>
        <v>0</v>
      </c>
      <c r="K118" s="344">
        <f>+IFERROR(_xlfn.XLOOKUP($A118,'CONSOLIDATED CY Cash Flows'!$B:$B,'CONSOLIDATED CY Cash Flows'!Q:Q)/$S118,0)</f>
        <v>0</v>
      </c>
      <c r="L118" s="344">
        <f>+IFERROR(_xlfn.XLOOKUP($A118,'CONSOLIDATED CY Cash Flows'!$B:$B,'CONSOLIDATED CY Cash Flows'!R:R)/$S118,0)</f>
        <v>0</v>
      </c>
      <c r="M118" s="344">
        <f>+IFERROR(_xlfn.XLOOKUP($A118,'CONSOLIDATED CY Cash Flows'!$B:$B,'CONSOLIDATED CY Cash Flows'!S:S)/$S118,0)</f>
        <v>0</v>
      </c>
      <c r="N118" s="344">
        <f>+IFERROR(_xlfn.XLOOKUP($A118,'CONSOLIDATED CY Cash Flows'!$B:$B,'CONSOLIDATED CY Cash Flows'!T:T)/$S118,0)</f>
        <v>0</v>
      </c>
      <c r="O118" s="344">
        <f>+IFERROR(_xlfn.XLOOKUP($A118,'CONSOLIDATED CY Cash Flows'!$B:$B,'CONSOLIDATED CY Cash Flows'!U:U)/$S118,0)</f>
        <v>0</v>
      </c>
      <c r="P118" s="344">
        <f>+IFERROR(_xlfn.XLOOKUP($A118,'CONSOLIDATED CY Cash Flows'!$B:$B,'CONSOLIDATED CY Cash Flows'!V:V)/$S118,0)</f>
        <v>0</v>
      </c>
      <c r="Q118" s="344">
        <f>+IFERROR(_xlfn.XLOOKUP($A118,'CONSOLIDATED CY Cash Flows'!$B:$B,'CONSOLIDATED CY Cash Flows'!W:W)/$S118,0)</f>
        <v>0</v>
      </c>
      <c r="R118" s="340">
        <f t="shared" si="11"/>
        <v>0</v>
      </c>
      <c r="S118" s="501">
        <f>+IFERROR(_xlfn.XLOOKUP($A118,'CONSOLIDATED CY Cash Flows'!$B:$B,'CONSOLIDATED CY Cash Flows'!$H:$H),0)</f>
        <v>0</v>
      </c>
      <c r="T118" s="501">
        <f t="shared" si="12"/>
        <v>0</v>
      </c>
      <c r="U118" s="501">
        <f t="shared" si="13"/>
        <v>0</v>
      </c>
    </row>
    <row r="119" spans="1:21" ht="15" hidden="1" customHeight="1" x14ac:dyDescent="0.75">
      <c r="A119" s="349">
        <v>7010</v>
      </c>
      <c r="B119" s="350" t="s">
        <v>613</v>
      </c>
      <c r="C119" s="344">
        <f>+IFERROR(_xlfn.XLOOKUP($A119,'CONSOLIDATED CY Cash Flows'!$B:$B,'CONSOLIDATED CY Cash Flows'!I:I)/$S119,0)</f>
        <v>0</v>
      </c>
      <c r="D119" s="344">
        <f>+IFERROR(_xlfn.XLOOKUP($A119,'CONSOLIDATED CY Cash Flows'!$B:$B,'CONSOLIDATED CY Cash Flows'!J:J)/$S119,0)</f>
        <v>0</v>
      </c>
      <c r="E119" s="344">
        <f>+IFERROR(_xlfn.XLOOKUP($A119,'CONSOLIDATED CY Cash Flows'!$B:$B,'CONSOLIDATED CY Cash Flows'!K:K)/$S119,0)</f>
        <v>0</v>
      </c>
      <c r="F119" s="344">
        <f>+IFERROR(_xlfn.XLOOKUP($A119,'CONSOLIDATED CY Cash Flows'!$B:$B,'CONSOLIDATED CY Cash Flows'!L:L)/$S119,0)</f>
        <v>0</v>
      </c>
      <c r="G119" s="344">
        <f>+IFERROR(_xlfn.XLOOKUP($A119,'CONSOLIDATED CY Cash Flows'!$B:$B,'CONSOLIDATED CY Cash Flows'!M:M)/$S119,0)</f>
        <v>0</v>
      </c>
      <c r="H119" s="344">
        <f>+IFERROR(_xlfn.XLOOKUP($A119,'CONSOLIDATED CY Cash Flows'!$B:$B,'CONSOLIDATED CY Cash Flows'!N:N)/$S119,0)</f>
        <v>0</v>
      </c>
      <c r="I119" s="344">
        <f>+IFERROR(_xlfn.XLOOKUP($A119,'CONSOLIDATED CY Cash Flows'!$B:$B,'CONSOLIDATED CY Cash Flows'!O:O)/$S119,0)</f>
        <v>0</v>
      </c>
      <c r="J119" s="344">
        <f>+IFERROR(_xlfn.XLOOKUP($A119,'CONSOLIDATED CY Cash Flows'!$B:$B,'CONSOLIDATED CY Cash Flows'!P:P)/$S119,0)</f>
        <v>0</v>
      </c>
      <c r="K119" s="344">
        <f>+IFERROR(_xlfn.XLOOKUP($A119,'CONSOLIDATED CY Cash Flows'!$B:$B,'CONSOLIDATED CY Cash Flows'!Q:Q)/$S119,0)</f>
        <v>0</v>
      </c>
      <c r="L119" s="344">
        <f>+IFERROR(_xlfn.XLOOKUP($A119,'CONSOLIDATED CY Cash Flows'!$B:$B,'CONSOLIDATED CY Cash Flows'!R:R)/$S119,0)</f>
        <v>0</v>
      </c>
      <c r="M119" s="344">
        <f>+IFERROR(_xlfn.XLOOKUP($A119,'CONSOLIDATED CY Cash Flows'!$B:$B,'CONSOLIDATED CY Cash Flows'!S:S)/$S119,0)</f>
        <v>0</v>
      </c>
      <c r="N119" s="344">
        <f>+IFERROR(_xlfn.XLOOKUP($A119,'CONSOLIDATED CY Cash Flows'!$B:$B,'CONSOLIDATED CY Cash Flows'!T:T)/$S119,0)</f>
        <v>0</v>
      </c>
      <c r="O119" s="344">
        <f>+IFERROR(_xlfn.XLOOKUP($A119,'CONSOLIDATED CY Cash Flows'!$B:$B,'CONSOLIDATED CY Cash Flows'!U:U)/$S119,0)</f>
        <v>0</v>
      </c>
      <c r="P119" s="344">
        <f>+IFERROR(_xlfn.XLOOKUP($A119,'CONSOLIDATED CY Cash Flows'!$B:$B,'CONSOLIDATED CY Cash Flows'!V:V)/$S119,0)</f>
        <v>0</v>
      </c>
      <c r="Q119" s="344">
        <f>+IFERROR(_xlfn.XLOOKUP($A119,'CONSOLIDATED CY Cash Flows'!$B:$B,'CONSOLIDATED CY Cash Flows'!W:W)/$S119,0)</f>
        <v>0</v>
      </c>
      <c r="R119" s="340">
        <f t="shared" si="11"/>
        <v>0</v>
      </c>
      <c r="S119" s="501">
        <f>+IFERROR(_xlfn.XLOOKUP($A119,'CONSOLIDATED CY Cash Flows'!$B:$B,'CONSOLIDATED CY Cash Flows'!$H:$H),0)</f>
        <v>0</v>
      </c>
      <c r="T119" s="501">
        <f t="shared" si="12"/>
        <v>0</v>
      </c>
      <c r="U119" s="501">
        <f t="shared" si="13"/>
        <v>0</v>
      </c>
    </row>
    <row r="120" spans="1:21" ht="15" hidden="1" customHeight="1" x14ac:dyDescent="0.75">
      <c r="A120" s="349">
        <v>5998</v>
      </c>
      <c r="B120" s="350" t="s">
        <v>1513</v>
      </c>
      <c r="C120" s="344">
        <f>+IFERROR(_xlfn.XLOOKUP($A120,'CONSOLIDATED CY Cash Flows'!$B:$B,'CONSOLIDATED CY Cash Flows'!I:I)/$S120,0)</f>
        <v>0</v>
      </c>
      <c r="D120" s="344">
        <f>+IFERROR(_xlfn.XLOOKUP($A120,'CONSOLIDATED CY Cash Flows'!$B:$B,'CONSOLIDATED CY Cash Flows'!J:J)/$S120,0)</f>
        <v>0</v>
      </c>
      <c r="E120" s="344">
        <f>+IFERROR(_xlfn.XLOOKUP($A120,'CONSOLIDATED CY Cash Flows'!$B:$B,'CONSOLIDATED CY Cash Flows'!K:K)/$S120,0)</f>
        <v>0</v>
      </c>
      <c r="F120" s="344">
        <f>+IFERROR(_xlfn.XLOOKUP($A120,'CONSOLIDATED CY Cash Flows'!$B:$B,'CONSOLIDATED CY Cash Flows'!L:L)/$S120,0)</f>
        <v>0</v>
      </c>
      <c r="G120" s="344">
        <f>+IFERROR(_xlfn.XLOOKUP($A120,'CONSOLIDATED CY Cash Flows'!$B:$B,'CONSOLIDATED CY Cash Flows'!M:M)/$S120,0)</f>
        <v>0</v>
      </c>
      <c r="H120" s="344">
        <f>+IFERROR(_xlfn.XLOOKUP($A120,'CONSOLIDATED CY Cash Flows'!$B:$B,'CONSOLIDATED CY Cash Flows'!N:N)/$S120,0)</f>
        <v>0</v>
      </c>
      <c r="I120" s="344">
        <f>+IFERROR(_xlfn.XLOOKUP($A120,'CONSOLIDATED CY Cash Flows'!$B:$B,'CONSOLIDATED CY Cash Flows'!O:O)/$S120,0)</f>
        <v>0</v>
      </c>
      <c r="J120" s="344">
        <f>+IFERROR(_xlfn.XLOOKUP($A120,'CONSOLIDATED CY Cash Flows'!$B:$B,'CONSOLIDATED CY Cash Flows'!P:P)/$S120,0)</f>
        <v>0</v>
      </c>
      <c r="K120" s="344">
        <f>+IFERROR(_xlfn.XLOOKUP($A120,'CONSOLIDATED CY Cash Flows'!$B:$B,'CONSOLIDATED CY Cash Flows'!Q:Q)/$S120,0)</f>
        <v>0</v>
      </c>
      <c r="L120" s="344">
        <f>+IFERROR(_xlfn.XLOOKUP($A120,'CONSOLIDATED CY Cash Flows'!$B:$B,'CONSOLIDATED CY Cash Flows'!R:R)/$S120,0)</f>
        <v>0</v>
      </c>
      <c r="M120" s="344">
        <f>+IFERROR(_xlfn.XLOOKUP($A120,'CONSOLIDATED CY Cash Flows'!$B:$B,'CONSOLIDATED CY Cash Flows'!S:S)/$S120,0)</f>
        <v>0</v>
      </c>
      <c r="N120" s="344">
        <f>+IFERROR(_xlfn.XLOOKUP($A120,'CONSOLIDATED CY Cash Flows'!$B:$B,'CONSOLIDATED CY Cash Flows'!T:T)/$S120,0)</f>
        <v>0</v>
      </c>
      <c r="O120" s="344">
        <f>+IFERROR(_xlfn.XLOOKUP($A120,'CONSOLIDATED CY Cash Flows'!$B:$B,'CONSOLIDATED CY Cash Flows'!U:U)/$S120,0)</f>
        <v>0</v>
      </c>
      <c r="P120" s="344">
        <f>+IFERROR(_xlfn.XLOOKUP($A120,'CONSOLIDATED CY Cash Flows'!$B:$B,'CONSOLIDATED CY Cash Flows'!V:V)/$S120,0)</f>
        <v>0</v>
      </c>
      <c r="Q120" s="344">
        <f>+IFERROR(_xlfn.XLOOKUP($A120,'CONSOLIDATED CY Cash Flows'!$B:$B,'CONSOLIDATED CY Cash Flows'!W:W)/$S120,0)</f>
        <v>0</v>
      </c>
      <c r="R120" s="340">
        <f t="shared" si="11"/>
        <v>0</v>
      </c>
      <c r="S120" s="501">
        <f>+IFERROR(_xlfn.XLOOKUP($A120,'CONSOLIDATED CY Cash Flows'!$B:$B,'CONSOLIDATED CY Cash Flows'!$H:$H),0)</f>
        <v>0</v>
      </c>
      <c r="T120" s="501">
        <f t="shared" si="12"/>
        <v>0</v>
      </c>
      <c r="U120" s="501">
        <f t="shared" si="13"/>
        <v>0</v>
      </c>
    </row>
    <row r="121" spans="1:21" ht="15" hidden="1" customHeight="1" x14ac:dyDescent="0.75">
      <c r="A121" s="349">
        <v>5891</v>
      </c>
      <c r="B121" s="350" t="s">
        <v>1272</v>
      </c>
      <c r="C121" s="344">
        <f>+IFERROR(_xlfn.XLOOKUP($A121,'CONSOLIDATED CY Cash Flows'!$B:$B,'CONSOLIDATED CY Cash Flows'!I:I)/$S121,0)</f>
        <v>0</v>
      </c>
      <c r="D121" s="344">
        <f>+IFERROR(_xlfn.XLOOKUP($A121,'CONSOLIDATED CY Cash Flows'!$B:$B,'CONSOLIDATED CY Cash Flows'!J:J)/$S121,0)</f>
        <v>0</v>
      </c>
      <c r="E121" s="344">
        <f>+IFERROR(_xlfn.XLOOKUP($A121,'CONSOLIDATED CY Cash Flows'!$B:$B,'CONSOLIDATED CY Cash Flows'!K:K)/$S121,0)</f>
        <v>0</v>
      </c>
      <c r="F121" s="344">
        <f>+IFERROR(_xlfn.XLOOKUP($A121,'CONSOLIDATED CY Cash Flows'!$B:$B,'CONSOLIDATED CY Cash Flows'!L:L)/$S121,0)</f>
        <v>0</v>
      </c>
      <c r="G121" s="344">
        <f>+IFERROR(_xlfn.XLOOKUP($A121,'CONSOLIDATED CY Cash Flows'!$B:$B,'CONSOLIDATED CY Cash Flows'!M:M)/$S121,0)</f>
        <v>0</v>
      </c>
      <c r="H121" s="344">
        <f>+IFERROR(_xlfn.XLOOKUP($A121,'CONSOLIDATED CY Cash Flows'!$B:$B,'CONSOLIDATED CY Cash Flows'!N:N)/$S121,0)</f>
        <v>0</v>
      </c>
      <c r="I121" s="344">
        <f>+IFERROR(_xlfn.XLOOKUP($A121,'CONSOLIDATED CY Cash Flows'!$B:$B,'CONSOLIDATED CY Cash Flows'!O:O)/$S121,0)</f>
        <v>0</v>
      </c>
      <c r="J121" s="344">
        <f>+IFERROR(_xlfn.XLOOKUP($A121,'CONSOLIDATED CY Cash Flows'!$B:$B,'CONSOLIDATED CY Cash Flows'!P:P)/$S121,0)</f>
        <v>0</v>
      </c>
      <c r="K121" s="344">
        <f>+IFERROR(_xlfn.XLOOKUP($A121,'CONSOLIDATED CY Cash Flows'!$B:$B,'CONSOLIDATED CY Cash Flows'!Q:Q)/$S121,0)</f>
        <v>0</v>
      </c>
      <c r="L121" s="344">
        <f>+IFERROR(_xlfn.XLOOKUP($A121,'CONSOLIDATED CY Cash Flows'!$B:$B,'CONSOLIDATED CY Cash Flows'!R:R)/$S121,0)</f>
        <v>0</v>
      </c>
      <c r="M121" s="344">
        <f>+IFERROR(_xlfn.XLOOKUP($A121,'CONSOLIDATED CY Cash Flows'!$B:$B,'CONSOLIDATED CY Cash Flows'!S:S)/$S121,0)</f>
        <v>0</v>
      </c>
      <c r="N121" s="344">
        <f>+IFERROR(_xlfn.XLOOKUP($A121,'CONSOLIDATED CY Cash Flows'!$B:$B,'CONSOLIDATED CY Cash Flows'!T:T)/$S121,0)</f>
        <v>0</v>
      </c>
      <c r="O121" s="344">
        <f>+IFERROR(_xlfn.XLOOKUP($A121,'CONSOLIDATED CY Cash Flows'!$B:$B,'CONSOLIDATED CY Cash Flows'!U:U)/$S121,0)</f>
        <v>0</v>
      </c>
      <c r="P121" s="344">
        <f>+IFERROR(_xlfn.XLOOKUP($A121,'CONSOLIDATED CY Cash Flows'!$B:$B,'CONSOLIDATED CY Cash Flows'!V:V)/$S121,0)</f>
        <v>0</v>
      </c>
      <c r="Q121" s="344">
        <f>+IFERROR(_xlfn.XLOOKUP($A121,'CONSOLIDATED CY Cash Flows'!$B:$B,'CONSOLIDATED CY Cash Flows'!W:W)/$S121,0)</f>
        <v>0</v>
      </c>
      <c r="R121" s="340">
        <f t="shared" si="11"/>
        <v>0</v>
      </c>
      <c r="S121" s="501">
        <f>+IFERROR(_xlfn.XLOOKUP($A121,'CONSOLIDATED CY Cash Flows'!$B:$B,'CONSOLIDATED CY Cash Flows'!$H:$H),0)</f>
        <v>0</v>
      </c>
      <c r="T121" s="501">
        <f t="shared" si="12"/>
        <v>0</v>
      </c>
      <c r="U121" s="501">
        <f t="shared" si="13"/>
        <v>0</v>
      </c>
    </row>
    <row r="122" spans="1:21" ht="15" customHeight="1" x14ac:dyDescent="0.75">
      <c r="A122" s="349">
        <v>5901</v>
      </c>
      <c r="B122" s="350" t="s">
        <v>1656</v>
      </c>
      <c r="C122" s="344">
        <f>+IFERROR(_xlfn.XLOOKUP($A122,'CONSOLIDATED CY Cash Flows'!$B:$B,'CONSOLIDATED CY Cash Flows'!I:I)/$S122,0)</f>
        <v>0</v>
      </c>
      <c r="D122" s="344">
        <f>+IFERROR(_xlfn.XLOOKUP($A122,'CONSOLIDATED CY Cash Flows'!$B:$B,'CONSOLIDATED CY Cash Flows'!J:J)/$S122,0)</f>
        <v>0</v>
      </c>
      <c r="E122" s="344">
        <f>+IFERROR(_xlfn.XLOOKUP($A122,'CONSOLIDATED CY Cash Flows'!$B:$B,'CONSOLIDATED CY Cash Flows'!K:K)/$S122,0)</f>
        <v>5.3340000000000005E-2</v>
      </c>
      <c r="F122" s="344">
        <f>+IFERROR(_xlfn.XLOOKUP($A122,'CONSOLIDATED CY Cash Flows'!$B:$B,'CONSOLIDATED CY Cash Flows'!L:L)/$S122,0)</f>
        <v>2.6666666666666668E-2</v>
      </c>
      <c r="G122" s="344">
        <f>+IFERROR(_xlfn.XLOOKUP($A122,'CONSOLIDATED CY Cash Flows'!$B:$B,'CONSOLIDATED CY Cash Flows'!M:M)/$S122,0)</f>
        <v>0</v>
      </c>
      <c r="H122" s="344">
        <f>+IFERROR(_xlfn.XLOOKUP($A122,'CONSOLIDATED CY Cash Flows'!$B:$B,'CONSOLIDATED CY Cash Flows'!N:N)/$S122,0)</f>
        <v>0</v>
      </c>
      <c r="I122" s="344">
        <f>+IFERROR(_xlfn.XLOOKUP($A122,'CONSOLIDATED CY Cash Flows'!$B:$B,'CONSOLIDATED CY Cash Flows'!O:O)/$S122,0)</f>
        <v>0.12000666666666666</v>
      </c>
      <c r="J122" s="344">
        <f>+IFERROR(_xlfn.XLOOKUP($A122,'CONSOLIDATED CY Cash Flows'!$B:$B,'CONSOLIDATED CY Cash Flows'!P:P)/$S122,0)</f>
        <v>0.15999733333333335</v>
      </c>
      <c r="K122" s="344">
        <f>+IFERROR(_xlfn.XLOOKUP($A122,'CONSOLIDATED CY Cash Flows'!$B:$B,'CONSOLIDATED CY Cash Flows'!Q:Q)/$S122,0)</f>
        <v>0.15999733333333335</v>
      </c>
      <c r="L122" s="344">
        <f>+IFERROR(_xlfn.XLOOKUP($A122,'CONSOLIDATED CY Cash Flows'!$B:$B,'CONSOLIDATED CY Cash Flows'!R:R)/$S122,0)</f>
        <v>0.15999733333333335</v>
      </c>
      <c r="M122" s="344">
        <f>+IFERROR(_xlfn.XLOOKUP($A122,'CONSOLIDATED CY Cash Flows'!$B:$B,'CONSOLIDATED CY Cash Flows'!S:S)/$S122,0)</f>
        <v>0.15999733333333335</v>
      </c>
      <c r="N122" s="344">
        <f>+IFERROR(_xlfn.XLOOKUP($A122,'CONSOLIDATED CY Cash Flows'!$B:$B,'CONSOLIDATED CY Cash Flows'!T:T)/$S122,0)</f>
        <v>0.15999733333333335</v>
      </c>
      <c r="O122" s="344">
        <f>+IFERROR(_xlfn.XLOOKUP($A122,'CONSOLIDATED CY Cash Flows'!$B:$B,'CONSOLIDATED CY Cash Flows'!U:U)/$S122,0)</f>
        <v>0</v>
      </c>
      <c r="P122" s="344">
        <f>+IFERROR(_xlfn.XLOOKUP($A122,'CONSOLIDATED CY Cash Flows'!$B:$B,'CONSOLIDATED CY Cash Flows'!V:V)/$S122,0)</f>
        <v>0</v>
      </c>
      <c r="Q122" s="344">
        <f>+IFERROR(_xlfn.XLOOKUP($A122,'CONSOLIDATED CY Cash Flows'!$B:$B,'CONSOLIDATED CY Cash Flows'!W:W)/$S122,0)</f>
        <v>0</v>
      </c>
      <c r="R122" s="340">
        <f t="shared" ref="R122" si="17">SUM(C122:Q122)</f>
        <v>1</v>
      </c>
      <c r="S122" s="501">
        <f>+IFERROR(_xlfn.XLOOKUP($A122,'CONSOLIDATED CY Cash Flows'!$B:$B,'CONSOLIDATED CY Cash Flows'!$H:$H),0)</f>
        <v>1500</v>
      </c>
      <c r="T122" s="501">
        <f t="shared" ref="T122" si="18">+SUMIF($C$1:$Q$1,"ACTUAL",$C122:$Q122)*S122</f>
        <v>300.02</v>
      </c>
      <c r="U122" s="501">
        <f t="shared" ref="U122" si="19">+S122-T122</f>
        <v>1199.98</v>
      </c>
    </row>
    <row r="123" spans="1:21" ht="15" hidden="1" customHeight="1" x14ac:dyDescent="0.75">
      <c r="A123" s="349" t="s">
        <v>1399</v>
      </c>
      <c r="B123" s="350">
        <v>0</v>
      </c>
      <c r="C123" s="344">
        <f>+IFERROR(_xlfn.XLOOKUP($A123,'CONSOLIDATED CY Cash Flows'!$B:$B,'CONSOLIDATED CY Cash Flows'!I:I)/$S123,0)</f>
        <v>0</v>
      </c>
      <c r="D123" s="344">
        <f>+IFERROR(_xlfn.XLOOKUP($A123,'CONSOLIDATED CY Cash Flows'!$B:$B,'CONSOLIDATED CY Cash Flows'!J:J)/$S123,0)</f>
        <v>0</v>
      </c>
      <c r="E123" s="344">
        <f>+IFERROR(_xlfn.XLOOKUP($A123,'CONSOLIDATED CY Cash Flows'!$B:$B,'CONSOLIDATED CY Cash Flows'!K:K)/$S123,0)</f>
        <v>0</v>
      </c>
      <c r="F123" s="344">
        <f>+IFERROR(_xlfn.XLOOKUP($A123,'CONSOLIDATED CY Cash Flows'!$B:$B,'CONSOLIDATED CY Cash Flows'!L:L)/$S123,0)</f>
        <v>0</v>
      </c>
      <c r="G123" s="344">
        <f>+IFERROR(_xlfn.XLOOKUP($A123,'CONSOLIDATED CY Cash Flows'!$B:$B,'CONSOLIDATED CY Cash Flows'!M:M)/$S123,0)</f>
        <v>0</v>
      </c>
      <c r="H123" s="344">
        <f>+IFERROR(_xlfn.XLOOKUP($A123,'CONSOLIDATED CY Cash Flows'!$B:$B,'CONSOLIDATED CY Cash Flows'!N:N)/$S123,0)</f>
        <v>0</v>
      </c>
      <c r="I123" s="344">
        <f>+IFERROR(_xlfn.XLOOKUP($A123,'CONSOLIDATED CY Cash Flows'!$B:$B,'CONSOLIDATED CY Cash Flows'!O:O)/$S123,0)</f>
        <v>0</v>
      </c>
      <c r="J123" s="344">
        <f>+IFERROR(_xlfn.XLOOKUP($A123,'CONSOLIDATED CY Cash Flows'!$B:$B,'CONSOLIDATED CY Cash Flows'!P:P)/$S123,0)</f>
        <v>0</v>
      </c>
      <c r="K123" s="344">
        <f>+IFERROR(_xlfn.XLOOKUP($A123,'CONSOLIDATED CY Cash Flows'!$B:$B,'CONSOLIDATED CY Cash Flows'!Q:Q)/$S123,0)</f>
        <v>0</v>
      </c>
      <c r="L123" s="344">
        <f>+IFERROR(_xlfn.XLOOKUP($A123,'CONSOLIDATED CY Cash Flows'!$B:$B,'CONSOLIDATED CY Cash Flows'!R:R)/$S123,0)</f>
        <v>0</v>
      </c>
      <c r="M123" s="344">
        <f>+IFERROR(_xlfn.XLOOKUP($A123,'CONSOLIDATED CY Cash Flows'!$B:$B,'CONSOLIDATED CY Cash Flows'!S:S)/$S123,0)</f>
        <v>0</v>
      </c>
      <c r="N123" s="344">
        <f>+IFERROR(_xlfn.XLOOKUP($A123,'CONSOLIDATED CY Cash Flows'!$B:$B,'CONSOLIDATED CY Cash Flows'!T:T)/$S123,0)</f>
        <v>0</v>
      </c>
      <c r="O123" s="344">
        <f>+IFERROR(_xlfn.XLOOKUP($A123,'CONSOLIDATED CY Cash Flows'!$B:$B,'CONSOLIDATED CY Cash Flows'!U:U)/$S123,0)</f>
        <v>0</v>
      </c>
      <c r="P123" s="344">
        <f>+IFERROR(_xlfn.XLOOKUP($A123,'CONSOLIDATED CY Cash Flows'!$B:$B,'CONSOLIDATED CY Cash Flows'!V:V)/$S123,0)</f>
        <v>0</v>
      </c>
      <c r="Q123" s="344">
        <f>+IFERROR(_xlfn.XLOOKUP($A123,'CONSOLIDATED CY Cash Flows'!$B:$B,'CONSOLIDATED CY Cash Flows'!W:W)/$S123,0)</f>
        <v>0</v>
      </c>
      <c r="R123" s="340">
        <f t="shared" si="11"/>
        <v>0</v>
      </c>
      <c r="S123" s="501">
        <f>+IFERROR(_xlfn.XLOOKUP($A123,'CONSOLIDATED CY Cash Flows'!$B:$B,'CONSOLIDATED CY Cash Flows'!$H:$H),0)</f>
        <v>0</v>
      </c>
      <c r="T123" s="501">
        <f t="shared" si="12"/>
        <v>0</v>
      </c>
      <c r="U123" s="501">
        <f t="shared" si="13"/>
        <v>0</v>
      </c>
    </row>
    <row r="124" spans="1:21" ht="15" hidden="1" customHeight="1" x14ac:dyDescent="0.75">
      <c r="A124" s="349" t="s">
        <v>1399</v>
      </c>
      <c r="B124" s="350">
        <v>0</v>
      </c>
      <c r="C124" s="344">
        <f>+IFERROR(_xlfn.XLOOKUP($A124,'CONSOLIDATED CY Cash Flows'!$B:$B,'CONSOLIDATED CY Cash Flows'!I:I)/$S124,0)</f>
        <v>0</v>
      </c>
      <c r="D124" s="344">
        <f>+IFERROR(_xlfn.XLOOKUP($A124,'CONSOLIDATED CY Cash Flows'!$B:$B,'CONSOLIDATED CY Cash Flows'!J:J)/$S124,0)</f>
        <v>0</v>
      </c>
      <c r="E124" s="344">
        <f>+IFERROR(_xlfn.XLOOKUP($A124,'CONSOLIDATED CY Cash Flows'!$B:$B,'CONSOLIDATED CY Cash Flows'!K:K)/$S124,0)</f>
        <v>0</v>
      </c>
      <c r="F124" s="344">
        <f>+IFERROR(_xlfn.XLOOKUP($A124,'CONSOLIDATED CY Cash Flows'!$B:$B,'CONSOLIDATED CY Cash Flows'!L:L)/$S124,0)</f>
        <v>0</v>
      </c>
      <c r="G124" s="344">
        <f>+IFERROR(_xlfn.XLOOKUP($A124,'CONSOLIDATED CY Cash Flows'!$B:$B,'CONSOLIDATED CY Cash Flows'!M:M)/$S124,0)</f>
        <v>0</v>
      </c>
      <c r="H124" s="344">
        <f>+IFERROR(_xlfn.XLOOKUP($A124,'CONSOLIDATED CY Cash Flows'!$B:$B,'CONSOLIDATED CY Cash Flows'!N:N)/$S124,0)</f>
        <v>0</v>
      </c>
      <c r="I124" s="344">
        <f>+IFERROR(_xlfn.XLOOKUP($A124,'CONSOLIDATED CY Cash Flows'!$B:$B,'CONSOLIDATED CY Cash Flows'!O:O)/$S124,0)</f>
        <v>0</v>
      </c>
      <c r="J124" s="344">
        <f>+IFERROR(_xlfn.XLOOKUP($A124,'CONSOLIDATED CY Cash Flows'!$B:$B,'CONSOLIDATED CY Cash Flows'!P:P)/$S124,0)</f>
        <v>0</v>
      </c>
      <c r="K124" s="344">
        <f>+IFERROR(_xlfn.XLOOKUP($A124,'CONSOLIDATED CY Cash Flows'!$B:$B,'CONSOLIDATED CY Cash Flows'!Q:Q)/$S124,0)</f>
        <v>0</v>
      </c>
      <c r="L124" s="344">
        <f>+IFERROR(_xlfn.XLOOKUP($A124,'CONSOLIDATED CY Cash Flows'!$B:$B,'CONSOLIDATED CY Cash Flows'!R:R)/$S124,0)</f>
        <v>0</v>
      </c>
      <c r="M124" s="344">
        <f>+IFERROR(_xlfn.XLOOKUP($A124,'CONSOLIDATED CY Cash Flows'!$B:$B,'CONSOLIDATED CY Cash Flows'!S:S)/$S124,0)</f>
        <v>0</v>
      </c>
      <c r="N124" s="344">
        <f>+IFERROR(_xlfn.XLOOKUP($A124,'CONSOLIDATED CY Cash Flows'!$B:$B,'CONSOLIDATED CY Cash Flows'!T:T)/$S124,0)</f>
        <v>0</v>
      </c>
      <c r="O124" s="344">
        <f>+IFERROR(_xlfn.XLOOKUP($A124,'CONSOLIDATED CY Cash Flows'!$B:$B,'CONSOLIDATED CY Cash Flows'!U:U)/$S124,0)</f>
        <v>0</v>
      </c>
      <c r="P124" s="344">
        <f>+IFERROR(_xlfn.XLOOKUP($A124,'CONSOLIDATED CY Cash Flows'!$B:$B,'CONSOLIDATED CY Cash Flows'!V:V)/$S124,0)</f>
        <v>0</v>
      </c>
      <c r="Q124" s="344">
        <f>+IFERROR(_xlfn.XLOOKUP($A124,'CONSOLIDATED CY Cash Flows'!$B:$B,'CONSOLIDATED CY Cash Flows'!W:W)/$S124,0)</f>
        <v>0</v>
      </c>
      <c r="R124" s="340">
        <f t="shared" si="11"/>
        <v>0</v>
      </c>
      <c r="S124" s="501">
        <f>+IFERROR(_xlfn.XLOOKUP($A124,'CONSOLIDATED CY Cash Flows'!$B:$B,'CONSOLIDATED CY Cash Flows'!$H:$H),0)</f>
        <v>0</v>
      </c>
      <c r="T124" s="501">
        <f t="shared" si="12"/>
        <v>0</v>
      </c>
      <c r="U124" s="501">
        <f t="shared" si="13"/>
        <v>0</v>
      </c>
    </row>
    <row r="125" spans="1:21" ht="15" hidden="1" customHeight="1" x14ac:dyDescent="0.75">
      <c r="A125" s="349" t="s">
        <v>1399</v>
      </c>
      <c r="B125" s="350">
        <v>0</v>
      </c>
      <c r="C125" s="344">
        <f>+IFERROR(_xlfn.XLOOKUP($A125,'CONSOLIDATED CY Cash Flows'!$B:$B,'CONSOLIDATED CY Cash Flows'!I:I)/$S125,0)</f>
        <v>0</v>
      </c>
      <c r="D125" s="344">
        <f>+IFERROR(_xlfn.XLOOKUP($A125,'CONSOLIDATED CY Cash Flows'!$B:$B,'CONSOLIDATED CY Cash Flows'!J:J)/$S125,0)</f>
        <v>0</v>
      </c>
      <c r="E125" s="344">
        <f>+IFERROR(_xlfn.XLOOKUP($A125,'CONSOLIDATED CY Cash Flows'!$B:$B,'CONSOLIDATED CY Cash Flows'!K:K)/$S125,0)</f>
        <v>0</v>
      </c>
      <c r="F125" s="344">
        <f>+IFERROR(_xlfn.XLOOKUP($A125,'CONSOLIDATED CY Cash Flows'!$B:$B,'CONSOLIDATED CY Cash Flows'!L:L)/$S125,0)</f>
        <v>0</v>
      </c>
      <c r="G125" s="344">
        <f>+IFERROR(_xlfn.XLOOKUP($A125,'CONSOLIDATED CY Cash Flows'!$B:$B,'CONSOLIDATED CY Cash Flows'!M:M)/$S125,0)</f>
        <v>0</v>
      </c>
      <c r="H125" s="344">
        <f>+IFERROR(_xlfn.XLOOKUP($A125,'CONSOLIDATED CY Cash Flows'!$B:$B,'CONSOLIDATED CY Cash Flows'!N:N)/$S125,0)</f>
        <v>0</v>
      </c>
      <c r="I125" s="344">
        <f>+IFERROR(_xlfn.XLOOKUP($A125,'CONSOLIDATED CY Cash Flows'!$B:$B,'CONSOLIDATED CY Cash Flows'!O:O)/$S125,0)</f>
        <v>0</v>
      </c>
      <c r="J125" s="344">
        <f>+IFERROR(_xlfn.XLOOKUP($A125,'CONSOLIDATED CY Cash Flows'!$B:$B,'CONSOLIDATED CY Cash Flows'!P:P)/$S125,0)</f>
        <v>0</v>
      </c>
      <c r="K125" s="344">
        <f>+IFERROR(_xlfn.XLOOKUP($A125,'CONSOLIDATED CY Cash Flows'!$B:$B,'CONSOLIDATED CY Cash Flows'!Q:Q)/$S125,0)</f>
        <v>0</v>
      </c>
      <c r="L125" s="344">
        <f>+IFERROR(_xlfn.XLOOKUP($A125,'CONSOLIDATED CY Cash Flows'!$B:$B,'CONSOLIDATED CY Cash Flows'!R:R)/$S125,0)</f>
        <v>0</v>
      </c>
      <c r="M125" s="344">
        <f>+IFERROR(_xlfn.XLOOKUP($A125,'CONSOLIDATED CY Cash Flows'!$B:$B,'CONSOLIDATED CY Cash Flows'!S:S)/$S125,0)</f>
        <v>0</v>
      </c>
      <c r="N125" s="344">
        <f>+IFERROR(_xlfn.XLOOKUP($A125,'CONSOLIDATED CY Cash Flows'!$B:$B,'CONSOLIDATED CY Cash Flows'!T:T)/$S125,0)</f>
        <v>0</v>
      </c>
      <c r="O125" s="344">
        <f>+IFERROR(_xlfn.XLOOKUP($A125,'CONSOLIDATED CY Cash Flows'!$B:$B,'CONSOLIDATED CY Cash Flows'!U:U)/$S125,0)</f>
        <v>0</v>
      </c>
      <c r="P125" s="344">
        <f>+IFERROR(_xlfn.XLOOKUP($A125,'CONSOLIDATED CY Cash Flows'!$B:$B,'CONSOLIDATED CY Cash Flows'!V:V)/$S125,0)</f>
        <v>0</v>
      </c>
      <c r="Q125" s="344">
        <f>+IFERROR(_xlfn.XLOOKUP($A125,'CONSOLIDATED CY Cash Flows'!$B:$B,'CONSOLIDATED CY Cash Flows'!W:W)/$S125,0)</f>
        <v>0</v>
      </c>
      <c r="R125" s="340">
        <f t="shared" si="11"/>
        <v>0</v>
      </c>
      <c r="S125" s="501">
        <f>+IFERROR(_xlfn.XLOOKUP($A125,'CONSOLIDATED CY Cash Flows'!$B:$B,'CONSOLIDATED CY Cash Flows'!$H:$H),0)</f>
        <v>0</v>
      </c>
      <c r="T125" s="501">
        <f t="shared" si="12"/>
        <v>0</v>
      </c>
      <c r="U125" s="501">
        <f t="shared" si="13"/>
        <v>0</v>
      </c>
    </row>
    <row r="126" spans="1:21" ht="15" hidden="1" customHeight="1" x14ac:dyDescent="0.75">
      <c r="A126" s="349" t="s">
        <v>1399</v>
      </c>
      <c r="B126" s="350">
        <v>0</v>
      </c>
      <c r="C126" s="344">
        <f>+IFERROR(_xlfn.XLOOKUP($A126,'CONSOLIDATED CY Cash Flows'!$B:$B,'CONSOLIDATED CY Cash Flows'!I:I)/$S126,0)</f>
        <v>0</v>
      </c>
      <c r="D126" s="344">
        <f>+IFERROR(_xlfn.XLOOKUP($A126,'CONSOLIDATED CY Cash Flows'!$B:$B,'CONSOLIDATED CY Cash Flows'!J:J)/$S126,0)</f>
        <v>0</v>
      </c>
      <c r="E126" s="344">
        <f>+IFERROR(_xlfn.XLOOKUP($A126,'CONSOLIDATED CY Cash Flows'!$B:$B,'CONSOLIDATED CY Cash Flows'!K:K)/$S126,0)</f>
        <v>0</v>
      </c>
      <c r="F126" s="344">
        <f>+IFERROR(_xlfn.XLOOKUP($A126,'CONSOLIDATED CY Cash Flows'!$B:$B,'CONSOLIDATED CY Cash Flows'!L:L)/$S126,0)</f>
        <v>0</v>
      </c>
      <c r="G126" s="344">
        <f>+IFERROR(_xlfn.XLOOKUP($A126,'CONSOLIDATED CY Cash Flows'!$B:$B,'CONSOLIDATED CY Cash Flows'!M:M)/$S126,0)</f>
        <v>0</v>
      </c>
      <c r="H126" s="344">
        <f>+IFERROR(_xlfn.XLOOKUP($A126,'CONSOLIDATED CY Cash Flows'!$B:$B,'CONSOLIDATED CY Cash Flows'!N:N)/$S126,0)</f>
        <v>0</v>
      </c>
      <c r="I126" s="344">
        <f>+IFERROR(_xlfn.XLOOKUP($A126,'CONSOLIDATED CY Cash Flows'!$B:$B,'CONSOLIDATED CY Cash Flows'!O:O)/$S126,0)</f>
        <v>0</v>
      </c>
      <c r="J126" s="344">
        <f>+IFERROR(_xlfn.XLOOKUP($A126,'CONSOLIDATED CY Cash Flows'!$B:$B,'CONSOLIDATED CY Cash Flows'!P:P)/$S126,0)</f>
        <v>0</v>
      </c>
      <c r="K126" s="344">
        <f>+IFERROR(_xlfn.XLOOKUP($A126,'CONSOLIDATED CY Cash Flows'!$B:$B,'CONSOLIDATED CY Cash Flows'!Q:Q)/$S126,0)</f>
        <v>0</v>
      </c>
      <c r="L126" s="344">
        <f>+IFERROR(_xlfn.XLOOKUP($A126,'CONSOLIDATED CY Cash Flows'!$B:$B,'CONSOLIDATED CY Cash Flows'!R:R)/$S126,0)</f>
        <v>0</v>
      </c>
      <c r="M126" s="344">
        <f>+IFERROR(_xlfn.XLOOKUP($A126,'CONSOLIDATED CY Cash Flows'!$B:$B,'CONSOLIDATED CY Cash Flows'!S:S)/$S126,0)</f>
        <v>0</v>
      </c>
      <c r="N126" s="344">
        <f>+IFERROR(_xlfn.XLOOKUP($A126,'CONSOLIDATED CY Cash Flows'!$B:$B,'CONSOLIDATED CY Cash Flows'!T:T)/$S126,0)</f>
        <v>0</v>
      </c>
      <c r="O126" s="344">
        <f>+IFERROR(_xlfn.XLOOKUP($A126,'CONSOLIDATED CY Cash Flows'!$B:$B,'CONSOLIDATED CY Cash Flows'!U:U)/$S126,0)</f>
        <v>0</v>
      </c>
      <c r="P126" s="344">
        <f>+IFERROR(_xlfn.XLOOKUP($A126,'CONSOLIDATED CY Cash Flows'!$B:$B,'CONSOLIDATED CY Cash Flows'!V:V)/$S126,0)</f>
        <v>0</v>
      </c>
      <c r="Q126" s="344">
        <f>+IFERROR(_xlfn.XLOOKUP($A126,'CONSOLIDATED CY Cash Flows'!$B:$B,'CONSOLIDATED CY Cash Flows'!W:W)/$S126,0)</f>
        <v>0</v>
      </c>
      <c r="R126" s="340">
        <f t="shared" si="11"/>
        <v>0</v>
      </c>
      <c r="S126" s="501">
        <f>+IFERROR(_xlfn.XLOOKUP($A126,'CONSOLIDATED CY Cash Flows'!$B:$B,'CONSOLIDATED CY Cash Flows'!$H:$H),0)</f>
        <v>0</v>
      </c>
      <c r="T126" s="501">
        <f t="shared" si="12"/>
        <v>0</v>
      </c>
      <c r="U126" s="501">
        <f t="shared" si="13"/>
        <v>0</v>
      </c>
    </row>
    <row r="127" spans="1:21" ht="15" hidden="1" customHeight="1" x14ac:dyDescent="0.75">
      <c r="A127" s="349" t="s">
        <v>1399</v>
      </c>
      <c r="B127" s="350">
        <v>0</v>
      </c>
      <c r="C127" s="344">
        <f>+IFERROR(_xlfn.XLOOKUP($A127,'CONSOLIDATED CY Cash Flows'!$B:$B,'CONSOLIDATED CY Cash Flows'!I:I)/$S127,0)</f>
        <v>0</v>
      </c>
      <c r="D127" s="344">
        <f>+IFERROR(_xlfn.XLOOKUP($A127,'CONSOLIDATED CY Cash Flows'!$B:$B,'CONSOLIDATED CY Cash Flows'!J:J)/$S127,0)</f>
        <v>0</v>
      </c>
      <c r="E127" s="344">
        <f>+IFERROR(_xlfn.XLOOKUP($A127,'CONSOLIDATED CY Cash Flows'!$B:$B,'CONSOLIDATED CY Cash Flows'!K:K)/$S127,0)</f>
        <v>0</v>
      </c>
      <c r="F127" s="344">
        <f>+IFERROR(_xlfn.XLOOKUP($A127,'CONSOLIDATED CY Cash Flows'!$B:$B,'CONSOLIDATED CY Cash Flows'!L:L)/$S127,0)</f>
        <v>0</v>
      </c>
      <c r="G127" s="344">
        <f>+IFERROR(_xlfn.XLOOKUP($A127,'CONSOLIDATED CY Cash Flows'!$B:$B,'CONSOLIDATED CY Cash Flows'!M:M)/$S127,0)</f>
        <v>0</v>
      </c>
      <c r="H127" s="344">
        <f>+IFERROR(_xlfn.XLOOKUP($A127,'CONSOLIDATED CY Cash Flows'!$B:$B,'CONSOLIDATED CY Cash Flows'!N:N)/$S127,0)</f>
        <v>0</v>
      </c>
      <c r="I127" s="344">
        <f>+IFERROR(_xlfn.XLOOKUP($A127,'CONSOLIDATED CY Cash Flows'!$B:$B,'CONSOLIDATED CY Cash Flows'!O:O)/$S127,0)</f>
        <v>0</v>
      </c>
      <c r="J127" s="344">
        <f>+IFERROR(_xlfn.XLOOKUP($A127,'CONSOLIDATED CY Cash Flows'!$B:$B,'CONSOLIDATED CY Cash Flows'!P:P)/$S127,0)</f>
        <v>0</v>
      </c>
      <c r="K127" s="344">
        <f>+IFERROR(_xlfn.XLOOKUP($A127,'CONSOLIDATED CY Cash Flows'!$B:$B,'CONSOLIDATED CY Cash Flows'!Q:Q)/$S127,0)</f>
        <v>0</v>
      </c>
      <c r="L127" s="344">
        <f>+IFERROR(_xlfn.XLOOKUP($A127,'CONSOLIDATED CY Cash Flows'!$B:$B,'CONSOLIDATED CY Cash Flows'!R:R)/$S127,0)</f>
        <v>0</v>
      </c>
      <c r="M127" s="344">
        <f>+IFERROR(_xlfn.XLOOKUP($A127,'CONSOLIDATED CY Cash Flows'!$B:$B,'CONSOLIDATED CY Cash Flows'!S:S)/$S127,0)</f>
        <v>0</v>
      </c>
      <c r="N127" s="344">
        <f>+IFERROR(_xlfn.XLOOKUP($A127,'CONSOLIDATED CY Cash Flows'!$B:$B,'CONSOLIDATED CY Cash Flows'!T:T)/$S127,0)</f>
        <v>0</v>
      </c>
      <c r="O127" s="344">
        <f>+IFERROR(_xlfn.XLOOKUP($A127,'CONSOLIDATED CY Cash Flows'!$B:$B,'CONSOLIDATED CY Cash Flows'!U:U)/$S127,0)</f>
        <v>0</v>
      </c>
      <c r="P127" s="344">
        <f>+IFERROR(_xlfn.XLOOKUP($A127,'CONSOLIDATED CY Cash Flows'!$B:$B,'CONSOLIDATED CY Cash Flows'!V:V)/$S127,0)</f>
        <v>0</v>
      </c>
      <c r="Q127" s="344">
        <f>+IFERROR(_xlfn.XLOOKUP($A127,'CONSOLIDATED CY Cash Flows'!$B:$B,'CONSOLIDATED CY Cash Flows'!W:W)/$S127,0)</f>
        <v>0</v>
      </c>
      <c r="R127" s="340">
        <f t="shared" si="11"/>
        <v>0</v>
      </c>
      <c r="S127" s="501">
        <f>+IFERROR(_xlfn.XLOOKUP($A127,'CONSOLIDATED CY Cash Flows'!$B:$B,'CONSOLIDATED CY Cash Flows'!$H:$H),0)</f>
        <v>0</v>
      </c>
      <c r="T127" s="501">
        <f t="shared" si="12"/>
        <v>0</v>
      </c>
      <c r="U127" s="501">
        <f t="shared" si="13"/>
        <v>0</v>
      </c>
    </row>
    <row r="128" spans="1:21" ht="15" hidden="1" customHeight="1" x14ac:dyDescent="0.75">
      <c r="A128" s="349" t="s">
        <v>1399</v>
      </c>
      <c r="B128" s="350">
        <v>0</v>
      </c>
      <c r="C128" s="344">
        <f>+IFERROR(_xlfn.XLOOKUP($A128,'CONSOLIDATED CY Cash Flows'!$B:$B,'CONSOLIDATED CY Cash Flows'!I:I)/$S128,0)</f>
        <v>0</v>
      </c>
      <c r="D128" s="344">
        <f>+IFERROR(_xlfn.XLOOKUP($A128,'CONSOLIDATED CY Cash Flows'!$B:$B,'CONSOLIDATED CY Cash Flows'!J:J)/$S128,0)</f>
        <v>0</v>
      </c>
      <c r="E128" s="344">
        <f>+IFERROR(_xlfn.XLOOKUP($A128,'CONSOLIDATED CY Cash Flows'!$B:$B,'CONSOLIDATED CY Cash Flows'!K:K)/$S128,0)</f>
        <v>0</v>
      </c>
      <c r="F128" s="344">
        <f>+IFERROR(_xlfn.XLOOKUP($A128,'CONSOLIDATED CY Cash Flows'!$B:$B,'CONSOLIDATED CY Cash Flows'!L:L)/$S128,0)</f>
        <v>0</v>
      </c>
      <c r="G128" s="344">
        <f>+IFERROR(_xlfn.XLOOKUP($A128,'CONSOLIDATED CY Cash Flows'!$B:$B,'CONSOLIDATED CY Cash Flows'!M:M)/$S128,0)</f>
        <v>0</v>
      </c>
      <c r="H128" s="344">
        <f>+IFERROR(_xlfn.XLOOKUP($A128,'CONSOLIDATED CY Cash Flows'!$B:$B,'CONSOLIDATED CY Cash Flows'!N:N)/$S128,0)</f>
        <v>0</v>
      </c>
      <c r="I128" s="344">
        <f>+IFERROR(_xlfn.XLOOKUP($A128,'CONSOLIDATED CY Cash Flows'!$B:$B,'CONSOLIDATED CY Cash Flows'!O:O)/$S128,0)</f>
        <v>0</v>
      </c>
      <c r="J128" s="344">
        <f>+IFERROR(_xlfn.XLOOKUP($A128,'CONSOLIDATED CY Cash Flows'!$B:$B,'CONSOLIDATED CY Cash Flows'!P:P)/$S128,0)</f>
        <v>0</v>
      </c>
      <c r="K128" s="344">
        <f>+IFERROR(_xlfn.XLOOKUP($A128,'CONSOLIDATED CY Cash Flows'!$B:$B,'CONSOLIDATED CY Cash Flows'!Q:Q)/$S128,0)</f>
        <v>0</v>
      </c>
      <c r="L128" s="344">
        <f>+IFERROR(_xlfn.XLOOKUP($A128,'CONSOLIDATED CY Cash Flows'!$B:$B,'CONSOLIDATED CY Cash Flows'!R:R)/$S128,0)</f>
        <v>0</v>
      </c>
      <c r="M128" s="344">
        <f>+IFERROR(_xlfn.XLOOKUP($A128,'CONSOLIDATED CY Cash Flows'!$B:$B,'CONSOLIDATED CY Cash Flows'!S:S)/$S128,0)</f>
        <v>0</v>
      </c>
      <c r="N128" s="344">
        <f>+IFERROR(_xlfn.XLOOKUP($A128,'CONSOLIDATED CY Cash Flows'!$B:$B,'CONSOLIDATED CY Cash Flows'!T:T)/$S128,0)</f>
        <v>0</v>
      </c>
      <c r="O128" s="344">
        <f>+IFERROR(_xlfn.XLOOKUP($A128,'CONSOLIDATED CY Cash Flows'!$B:$B,'CONSOLIDATED CY Cash Flows'!U:U)/$S128,0)</f>
        <v>0</v>
      </c>
      <c r="P128" s="344">
        <f>+IFERROR(_xlfn.XLOOKUP($A128,'CONSOLIDATED CY Cash Flows'!$B:$B,'CONSOLIDATED CY Cash Flows'!V:V)/$S128,0)</f>
        <v>0</v>
      </c>
      <c r="Q128" s="344">
        <f>+IFERROR(_xlfn.XLOOKUP($A128,'CONSOLIDATED CY Cash Flows'!$B:$B,'CONSOLIDATED CY Cash Flows'!W:W)/$S128,0)</f>
        <v>0</v>
      </c>
      <c r="R128" s="340">
        <f t="shared" si="11"/>
        <v>0</v>
      </c>
      <c r="S128" s="501">
        <f>+IFERROR(_xlfn.XLOOKUP($A128,'CONSOLIDATED CY Cash Flows'!$B:$B,'CONSOLIDATED CY Cash Flows'!$H:$H),0)</f>
        <v>0</v>
      </c>
      <c r="T128" s="501">
        <f t="shared" si="12"/>
        <v>0</v>
      </c>
      <c r="U128" s="501">
        <f t="shared" si="13"/>
        <v>0</v>
      </c>
    </row>
    <row r="129" spans="1:21" ht="15" hidden="1" customHeight="1" x14ac:dyDescent="0.75">
      <c r="A129" s="349" t="s">
        <v>1399</v>
      </c>
      <c r="B129" s="350">
        <v>0</v>
      </c>
      <c r="C129" s="344">
        <f>+IFERROR(_xlfn.XLOOKUP($A129,'CONSOLIDATED CY Cash Flows'!$B:$B,'CONSOLIDATED CY Cash Flows'!I:I)/$S129,0)</f>
        <v>0</v>
      </c>
      <c r="D129" s="344">
        <f>+IFERROR(_xlfn.XLOOKUP($A129,'CONSOLIDATED CY Cash Flows'!$B:$B,'CONSOLIDATED CY Cash Flows'!J:J)/$S129,0)</f>
        <v>0</v>
      </c>
      <c r="E129" s="344">
        <f>+IFERROR(_xlfn.XLOOKUP($A129,'CONSOLIDATED CY Cash Flows'!$B:$B,'CONSOLIDATED CY Cash Flows'!K:K)/$S129,0)</f>
        <v>0</v>
      </c>
      <c r="F129" s="344">
        <f>+IFERROR(_xlfn.XLOOKUP($A129,'CONSOLIDATED CY Cash Flows'!$B:$B,'CONSOLIDATED CY Cash Flows'!L:L)/$S129,0)</f>
        <v>0</v>
      </c>
      <c r="G129" s="344">
        <f>+IFERROR(_xlfn.XLOOKUP($A129,'CONSOLIDATED CY Cash Flows'!$B:$B,'CONSOLIDATED CY Cash Flows'!M:M)/$S129,0)</f>
        <v>0</v>
      </c>
      <c r="H129" s="344">
        <f>+IFERROR(_xlfn.XLOOKUP($A129,'CONSOLIDATED CY Cash Flows'!$B:$B,'CONSOLIDATED CY Cash Flows'!N:N)/$S129,0)</f>
        <v>0</v>
      </c>
      <c r="I129" s="344">
        <f>+IFERROR(_xlfn.XLOOKUP($A129,'CONSOLIDATED CY Cash Flows'!$B:$B,'CONSOLIDATED CY Cash Flows'!O:O)/$S129,0)</f>
        <v>0</v>
      </c>
      <c r="J129" s="344">
        <f>+IFERROR(_xlfn.XLOOKUP($A129,'CONSOLIDATED CY Cash Flows'!$B:$B,'CONSOLIDATED CY Cash Flows'!P:P)/$S129,0)</f>
        <v>0</v>
      </c>
      <c r="K129" s="344">
        <f>+IFERROR(_xlfn.XLOOKUP($A129,'CONSOLIDATED CY Cash Flows'!$B:$B,'CONSOLIDATED CY Cash Flows'!Q:Q)/$S129,0)</f>
        <v>0</v>
      </c>
      <c r="L129" s="344">
        <f>+IFERROR(_xlfn.XLOOKUP($A129,'CONSOLIDATED CY Cash Flows'!$B:$B,'CONSOLIDATED CY Cash Flows'!R:R)/$S129,0)</f>
        <v>0</v>
      </c>
      <c r="M129" s="344">
        <f>+IFERROR(_xlfn.XLOOKUP($A129,'CONSOLIDATED CY Cash Flows'!$B:$B,'CONSOLIDATED CY Cash Flows'!S:S)/$S129,0)</f>
        <v>0</v>
      </c>
      <c r="N129" s="344">
        <f>+IFERROR(_xlfn.XLOOKUP($A129,'CONSOLIDATED CY Cash Flows'!$B:$B,'CONSOLIDATED CY Cash Flows'!T:T)/$S129,0)</f>
        <v>0</v>
      </c>
      <c r="O129" s="344">
        <f>+IFERROR(_xlfn.XLOOKUP($A129,'CONSOLIDATED CY Cash Flows'!$B:$B,'CONSOLIDATED CY Cash Flows'!U:U)/$S129,0)</f>
        <v>0</v>
      </c>
      <c r="P129" s="344">
        <f>+IFERROR(_xlfn.XLOOKUP($A129,'CONSOLIDATED CY Cash Flows'!$B:$B,'CONSOLIDATED CY Cash Flows'!V:V)/$S129,0)</f>
        <v>0</v>
      </c>
      <c r="Q129" s="344">
        <f>+IFERROR(_xlfn.XLOOKUP($A129,'CONSOLIDATED CY Cash Flows'!$B:$B,'CONSOLIDATED CY Cash Flows'!W:W)/$S129,0)</f>
        <v>0</v>
      </c>
      <c r="R129" s="340">
        <f t="shared" si="11"/>
        <v>0</v>
      </c>
      <c r="S129" s="501">
        <f>+IFERROR(_xlfn.XLOOKUP($A129,'CONSOLIDATED CY Cash Flows'!$B:$B,'CONSOLIDATED CY Cash Flows'!$H:$H),0)</f>
        <v>0</v>
      </c>
      <c r="T129" s="501">
        <f t="shared" si="12"/>
        <v>0</v>
      </c>
      <c r="U129" s="501">
        <f t="shared" si="13"/>
        <v>0</v>
      </c>
    </row>
    <row r="130" spans="1:21" ht="15" hidden="1" customHeight="1" x14ac:dyDescent="0.75">
      <c r="A130" s="349" t="s">
        <v>1399</v>
      </c>
      <c r="B130" s="350">
        <v>0</v>
      </c>
      <c r="C130" s="344">
        <f>+IFERROR(_xlfn.XLOOKUP($A130,'CONSOLIDATED CY Cash Flows'!$B:$B,'CONSOLIDATED CY Cash Flows'!I:I)/$S130,0)</f>
        <v>0</v>
      </c>
      <c r="D130" s="344">
        <f>+IFERROR(_xlfn.XLOOKUP($A130,'CONSOLIDATED CY Cash Flows'!$B:$B,'CONSOLIDATED CY Cash Flows'!J:J)/$S130,0)</f>
        <v>0</v>
      </c>
      <c r="E130" s="344">
        <f>+IFERROR(_xlfn.XLOOKUP($A130,'CONSOLIDATED CY Cash Flows'!$B:$B,'CONSOLIDATED CY Cash Flows'!K:K)/$S130,0)</f>
        <v>0</v>
      </c>
      <c r="F130" s="344">
        <f>+IFERROR(_xlfn.XLOOKUP($A130,'CONSOLIDATED CY Cash Flows'!$B:$B,'CONSOLIDATED CY Cash Flows'!L:L)/$S130,0)</f>
        <v>0</v>
      </c>
      <c r="G130" s="344">
        <f>+IFERROR(_xlfn.XLOOKUP($A130,'CONSOLIDATED CY Cash Flows'!$B:$B,'CONSOLIDATED CY Cash Flows'!M:M)/$S130,0)</f>
        <v>0</v>
      </c>
      <c r="H130" s="344">
        <f>+IFERROR(_xlfn.XLOOKUP($A130,'CONSOLIDATED CY Cash Flows'!$B:$B,'CONSOLIDATED CY Cash Flows'!N:N)/$S130,0)</f>
        <v>0</v>
      </c>
      <c r="I130" s="344">
        <f>+IFERROR(_xlfn.XLOOKUP($A130,'CONSOLIDATED CY Cash Flows'!$B:$B,'CONSOLIDATED CY Cash Flows'!O:O)/$S130,0)</f>
        <v>0</v>
      </c>
      <c r="J130" s="344">
        <f>+IFERROR(_xlfn.XLOOKUP($A130,'CONSOLIDATED CY Cash Flows'!$B:$B,'CONSOLIDATED CY Cash Flows'!P:P)/$S130,0)</f>
        <v>0</v>
      </c>
      <c r="K130" s="344">
        <f>+IFERROR(_xlfn.XLOOKUP($A130,'CONSOLIDATED CY Cash Flows'!$B:$B,'CONSOLIDATED CY Cash Flows'!Q:Q)/$S130,0)</f>
        <v>0</v>
      </c>
      <c r="L130" s="344">
        <f>+IFERROR(_xlfn.XLOOKUP($A130,'CONSOLIDATED CY Cash Flows'!$B:$B,'CONSOLIDATED CY Cash Flows'!R:R)/$S130,0)</f>
        <v>0</v>
      </c>
      <c r="M130" s="344">
        <f>+IFERROR(_xlfn.XLOOKUP($A130,'CONSOLIDATED CY Cash Flows'!$B:$B,'CONSOLIDATED CY Cash Flows'!S:S)/$S130,0)</f>
        <v>0</v>
      </c>
      <c r="N130" s="344">
        <f>+IFERROR(_xlfn.XLOOKUP($A130,'CONSOLIDATED CY Cash Flows'!$B:$B,'CONSOLIDATED CY Cash Flows'!T:T)/$S130,0)</f>
        <v>0</v>
      </c>
      <c r="O130" s="344">
        <f>+IFERROR(_xlfn.XLOOKUP($A130,'CONSOLIDATED CY Cash Flows'!$B:$B,'CONSOLIDATED CY Cash Flows'!U:U)/$S130,0)</f>
        <v>0</v>
      </c>
      <c r="P130" s="344">
        <f>+IFERROR(_xlfn.XLOOKUP($A130,'CONSOLIDATED CY Cash Flows'!$B:$B,'CONSOLIDATED CY Cash Flows'!V:V)/$S130,0)</f>
        <v>0</v>
      </c>
      <c r="Q130" s="344">
        <f>+IFERROR(_xlfn.XLOOKUP($A130,'CONSOLIDATED CY Cash Flows'!$B:$B,'CONSOLIDATED CY Cash Flows'!W:W)/$S130,0)</f>
        <v>0</v>
      </c>
      <c r="R130" s="340">
        <f t="shared" si="11"/>
        <v>0</v>
      </c>
      <c r="S130" s="501">
        <f>+IFERROR(_xlfn.XLOOKUP($A130,'CONSOLIDATED CY Cash Flows'!$B:$B,'CONSOLIDATED CY Cash Flows'!$H:$H),0)</f>
        <v>0</v>
      </c>
      <c r="T130" s="501">
        <f t="shared" si="12"/>
        <v>0</v>
      </c>
      <c r="U130" s="501">
        <f t="shared" si="13"/>
        <v>0</v>
      </c>
    </row>
    <row r="131" spans="1:21" ht="15" hidden="1" customHeight="1" x14ac:dyDescent="0.75">
      <c r="A131" s="349" t="s">
        <v>1399</v>
      </c>
      <c r="B131" s="350">
        <v>0</v>
      </c>
      <c r="C131" s="344">
        <f>+IFERROR(_xlfn.XLOOKUP($A131,'CONSOLIDATED CY Cash Flows'!$B:$B,'CONSOLIDATED CY Cash Flows'!I:I)/$S131,0)</f>
        <v>0</v>
      </c>
      <c r="D131" s="344">
        <f>+IFERROR(_xlfn.XLOOKUP($A131,'CONSOLIDATED CY Cash Flows'!$B:$B,'CONSOLIDATED CY Cash Flows'!J:J)/$S131,0)</f>
        <v>0</v>
      </c>
      <c r="E131" s="344">
        <f>+IFERROR(_xlfn.XLOOKUP($A131,'CONSOLIDATED CY Cash Flows'!$B:$B,'CONSOLIDATED CY Cash Flows'!K:K)/$S131,0)</f>
        <v>0</v>
      </c>
      <c r="F131" s="344">
        <f>+IFERROR(_xlfn.XLOOKUP($A131,'CONSOLIDATED CY Cash Flows'!$B:$B,'CONSOLIDATED CY Cash Flows'!L:L)/$S131,0)</f>
        <v>0</v>
      </c>
      <c r="G131" s="344">
        <f>+IFERROR(_xlfn.XLOOKUP($A131,'CONSOLIDATED CY Cash Flows'!$B:$B,'CONSOLIDATED CY Cash Flows'!M:M)/$S131,0)</f>
        <v>0</v>
      </c>
      <c r="H131" s="344">
        <f>+IFERROR(_xlfn.XLOOKUP($A131,'CONSOLIDATED CY Cash Flows'!$B:$B,'CONSOLIDATED CY Cash Flows'!N:N)/$S131,0)</f>
        <v>0</v>
      </c>
      <c r="I131" s="344">
        <f>+IFERROR(_xlfn.XLOOKUP($A131,'CONSOLIDATED CY Cash Flows'!$B:$B,'CONSOLIDATED CY Cash Flows'!O:O)/$S131,0)</f>
        <v>0</v>
      </c>
      <c r="J131" s="344">
        <f>+IFERROR(_xlfn.XLOOKUP($A131,'CONSOLIDATED CY Cash Flows'!$B:$B,'CONSOLIDATED CY Cash Flows'!P:P)/$S131,0)</f>
        <v>0</v>
      </c>
      <c r="K131" s="344">
        <f>+IFERROR(_xlfn.XLOOKUP($A131,'CONSOLIDATED CY Cash Flows'!$B:$B,'CONSOLIDATED CY Cash Flows'!Q:Q)/$S131,0)</f>
        <v>0</v>
      </c>
      <c r="L131" s="344">
        <f>+IFERROR(_xlfn.XLOOKUP($A131,'CONSOLIDATED CY Cash Flows'!$B:$B,'CONSOLIDATED CY Cash Flows'!R:R)/$S131,0)</f>
        <v>0</v>
      </c>
      <c r="M131" s="344">
        <f>+IFERROR(_xlfn.XLOOKUP($A131,'CONSOLIDATED CY Cash Flows'!$B:$B,'CONSOLIDATED CY Cash Flows'!S:S)/$S131,0)</f>
        <v>0</v>
      </c>
      <c r="N131" s="344">
        <f>+IFERROR(_xlfn.XLOOKUP($A131,'CONSOLIDATED CY Cash Flows'!$B:$B,'CONSOLIDATED CY Cash Flows'!T:T)/$S131,0)</f>
        <v>0</v>
      </c>
      <c r="O131" s="344">
        <f>+IFERROR(_xlfn.XLOOKUP($A131,'CONSOLIDATED CY Cash Flows'!$B:$B,'CONSOLIDATED CY Cash Flows'!U:U)/$S131,0)</f>
        <v>0</v>
      </c>
      <c r="P131" s="344">
        <f>+IFERROR(_xlfn.XLOOKUP($A131,'CONSOLIDATED CY Cash Flows'!$B:$B,'CONSOLIDATED CY Cash Flows'!V:V)/$S131,0)</f>
        <v>0</v>
      </c>
      <c r="Q131" s="344">
        <f>+IFERROR(_xlfn.XLOOKUP($A131,'CONSOLIDATED CY Cash Flows'!$B:$B,'CONSOLIDATED CY Cash Flows'!W:W)/$S131,0)</f>
        <v>0</v>
      </c>
      <c r="R131" s="340">
        <f t="shared" si="11"/>
        <v>0</v>
      </c>
      <c r="S131" s="501">
        <f>+IFERROR(_xlfn.XLOOKUP($A131,'CONSOLIDATED CY Cash Flows'!$B:$B,'CONSOLIDATED CY Cash Flows'!$H:$H),0)</f>
        <v>0</v>
      </c>
      <c r="T131" s="501">
        <f t="shared" si="12"/>
        <v>0</v>
      </c>
      <c r="U131" s="501">
        <f t="shared" si="13"/>
        <v>0</v>
      </c>
    </row>
    <row r="132" spans="1:21" ht="15" hidden="1" customHeight="1" x14ac:dyDescent="0.75">
      <c r="A132" s="349" t="s">
        <v>1399</v>
      </c>
      <c r="B132" s="350">
        <v>0</v>
      </c>
      <c r="C132" s="344">
        <f>+IFERROR(_xlfn.XLOOKUP($A132,'CONSOLIDATED CY Cash Flows'!$B:$B,'CONSOLIDATED CY Cash Flows'!I:I)/$S132,0)</f>
        <v>0</v>
      </c>
      <c r="D132" s="344">
        <f>+IFERROR(_xlfn.XLOOKUP($A132,'CONSOLIDATED CY Cash Flows'!$B:$B,'CONSOLIDATED CY Cash Flows'!J:J)/$S132,0)</f>
        <v>0</v>
      </c>
      <c r="E132" s="344">
        <f>+IFERROR(_xlfn.XLOOKUP($A132,'CONSOLIDATED CY Cash Flows'!$B:$B,'CONSOLIDATED CY Cash Flows'!K:K)/$S132,0)</f>
        <v>0</v>
      </c>
      <c r="F132" s="344">
        <f>+IFERROR(_xlfn.XLOOKUP($A132,'CONSOLIDATED CY Cash Flows'!$B:$B,'CONSOLIDATED CY Cash Flows'!L:L)/$S132,0)</f>
        <v>0</v>
      </c>
      <c r="G132" s="344">
        <f>+IFERROR(_xlfn.XLOOKUP($A132,'CONSOLIDATED CY Cash Flows'!$B:$B,'CONSOLIDATED CY Cash Flows'!M:M)/$S132,0)</f>
        <v>0</v>
      </c>
      <c r="H132" s="344">
        <f>+IFERROR(_xlfn.XLOOKUP($A132,'CONSOLIDATED CY Cash Flows'!$B:$B,'CONSOLIDATED CY Cash Flows'!N:N)/$S132,0)</f>
        <v>0</v>
      </c>
      <c r="I132" s="344">
        <f>+IFERROR(_xlfn.XLOOKUP($A132,'CONSOLIDATED CY Cash Flows'!$B:$B,'CONSOLIDATED CY Cash Flows'!O:O)/$S132,0)</f>
        <v>0</v>
      </c>
      <c r="J132" s="344">
        <f>+IFERROR(_xlfn.XLOOKUP($A132,'CONSOLIDATED CY Cash Flows'!$B:$B,'CONSOLIDATED CY Cash Flows'!P:P)/$S132,0)</f>
        <v>0</v>
      </c>
      <c r="K132" s="344">
        <f>+IFERROR(_xlfn.XLOOKUP($A132,'CONSOLIDATED CY Cash Flows'!$B:$B,'CONSOLIDATED CY Cash Flows'!Q:Q)/$S132,0)</f>
        <v>0</v>
      </c>
      <c r="L132" s="344">
        <f>+IFERROR(_xlfn.XLOOKUP($A132,'CONSOLIDATED CY Cash Flows'!$B:$B,'CONSOLIDATED CY Cash Flows'!R:R)/$S132,0)</f>
        <v>0</v>
      </c>
      <c r="M132" s="344">
        <f>+IFERROR(_xlfn.XLOOKUP($A132,'CONSOLIDATED CY Cash Flows'!$B:$B,'CONSOLIDATED CY Cash Flows'!S:S)/$S132,0)</f>
        <v>0</v>
      </c>
      <c r="N132" s="344">
        <f>+IFERROR(_xlfn.XLOOKUP($A132,'CONSOLIDATED CY Cash Flows'!$B:$B,'CONSOLIDATED CY Cash Flows'!T:T)/$S132,0)</f>
        <v>0</v>
      </c>
      <c r="O132" s="344">
        <f>+IFERROR(_xlfn.XLOOKUP($A132,'CONSOLIDATED CY Cash Flows'!$B:$B,'CONSOLIDATED CY Cash Flows'!U:U)/$S132,0)</f>
        <v>0</v>
      </c>
      <c r="P132" s="344">
        <f>+IFERROR(_xlfn.XLOOKUP($A132,'CONSOLIDATED CY Cash Flows'!$B:$B,'CONSOLIDATED CY Cash Flows'!V:V)/$S132,0)</f>
        <v>0</v>
      </c>
      <c r="Q132" s="344">
        <f>+IFERROR(_xlfn.XLOOKUP($A132,'CONSOLIDATED CY Cash Flows'!$B:$B,'CONSOLIDATED CY Cash Flows'!W:W)/$S132,0)</f>
        <v>0</v>
      </c>
      <c r="R132" s="340">
        <f t="shared" si="11"/>
        <v>0</v>
      </c>
      <c r="S132" s="501">
        <f>+IFERROR(_xlfn.XLOOKUP($A132,'CONSOLIDATED CY Cash Flows'!$B:$B,'CONSOLIDATED CY Cash Flows'!$H:$H),0)</f>
        <v>0</v>
      </c>
      <c r="T132" s="501">
        <f t="shared" si="12"/>
        <v>0</v>
      </c>
      <c r="U132" s="501">
        <f t="shared" si="13"/>
        <v>0</v>
      </c>
    </row>
    <row r="133" spans="1:21" ht="15" hidden="1" customHeight="1" x14ac:dyDescent="0.75">
      <c r="A133" s="349" t="s">
        <v>1399</v>
      </c>
      <c r="B133" s="350">
        <v>0</v>
      </c>
      <c r="C133" s="344">
        <f>+IFERROR(_xlfn.XLOOKUP($A133,'CONSOLIDATED CY Cash Flows'!$B:$B,'CONSOLIDATED CY Cash Flows'!I:I)/$S133,0)</f>
        <v>0</v>
      </c>
      <c r="D133" s="344">
        <f>+IFERROR(_xlfn.XLOOKUP($A133,'CONSOLIDATED CY Cash Flows'!$B:$B,'CONSOLIDATED CY Cash Flows'!J:J)/$S133,0)</f>
        <v>0</v>
      </c>
      <c r="E133" s="344">
        <f>+IFERROR(_xlfn.XLOOKUP($A133,'CONSOLIDATED CY Cash Flows'!$B:$B,'CONSOLIDATED CY Cash Flows'!K:K)/$S133,0)</f>
        <v>0</v>
      </c>
      <c r="F133" s="344">
        <f>+IFERROR(_xlfn.XLOOKUP($A133,'CONSOLIDATED CY Cash Flows'!$B:$B,'CONSOLIDATED CY Cash Flows'!L:L)/$S133,0)</f>
        <v>0</v>
      </c>
      <c r="G133" s="344">
        <f>+IFERROR(_xlfn.XLOOKUP($A133,'CONSOLIDATED CY Cash Flows'!$B:$B,'CONSOLIDATED CY Cash Flows'!M:M)/$S133,0)</f>
        <v>0</v>
      </c>
      <c r="H133" s="344">
        <f>+IFERROR(_xlfn.XLOOKUP($A133,'CONSOLIDATED CY Cash Flows'!$B:$B,'CONSOLIDATED CY Cash Flows'!N:N)/$S133,0)</f>
        <v>0</v>
      </c>
      <c r="I133" s="344">
        <f>+IFERROR(_xlfn.XLOOKUP($A133,'CONSOLIDATED CY Cash Flows'!$B:$B,'CONSOLIDATED CY Cash Flows'!O:O)/$S133,0)</f>
        <v>0</v>
      </c>
      <c r="J133" s="344">
        <f>+IFERROR(_xlfn.XLOOKUP($A133,'CONSOLIDATED CY Cash Flows'!$B:$B,'CONSOLIDATED CY Cash Flows'!P:P)/$S133,0)</f>
        <v>0</v>
      </c>
      <c r="K133" s="344">
        <f>+IFERROR(_xlfn.XLOOKUP($A133,'CONSOLIDATED CY Cash Flows'!$B:$B,'CONSOLIDATED CY Cash Flows'!Q:Q)/$S133,0)</f>
        <v>0</v>
      </c>
      <c r="L133" s="344">
        <f>+IFERROR(_xlfn.XLOOKUP($A133,'CONSOLIDATED CY Cash Flows'!$B:$B,'CONSOLIDATED CY Cash Flows'!R:R)/$S133,0)</f>
        <v>0</v>
      </c>
      <c r="M133" s="344">
        <f>+IFERROR(_xlfn.XLOOKUP($A133,'CONSOLIDATED CY Cash Flows'!$B:$B,'CONSOLIDATED CY Cash Flows'!S:S)/$S133,0)</f>
        <v>0</v>
      </c>
      <c r="N133" s="344">
        <f>+IFERROR(_xlfn.XLOOKUP($A133,'CONSOLIDATED CY Cash Flows'!$B:$B,'CONSOLIDATED CY Cash Flows'!T:T)/$S133,0)</f>
        <v>0</v>
      </c>
      <c r="O133" s="344">
        <f>+IFERROR(_xlfn.XLOOKUP($A133,'CONSOLIDATED CY Cash Flows'!$B:$B,'CONSOLIDATED CY Cash Flows'!U:U)/$S133,0)</f>
        <v>0</v>
      </c>
      <c r="P133" s="344">
        <f>+IFERROR(_xlfn.XLOOKUP($A133,'CONSOLIDATED CY Cash Flows'!$B:$B,'CONSOLIDATED CY Cash Flows'!V:V)/$S133,0)</f>
        <v>0</v>
      </c>
      <c r="Q133" s="344">
        <f>+IFERROR(_xlfn.XLOOKUP($A133,'CONSOLIDATED CY Cash Flows'!$B:$B,'CONSOLIDATED CY Cash Flows'!W:W)/$S133,0)</f>
        <v>0</v>
      </c>
      <c r="R133" s="340">
        <f t="shared" si="11"/>
        <v>0</v>
      </c>
      <c r="S133" s="501">
        <f>+IFERROR(_xlfn.XLOOKUP($A133,'CONSOLIDATED CY Cash Flows'!$B:$B,'CONSOLIDATED CY Cash Flows'!$H:$H),0)</f>
        <v>0</v>
      </c>
      <c r="T133" s="501">
        <f t="shared" si="12"/>
        <v>0</v>
      </c>
      <c r="U133" s="501">
        <f t="shared" si="13"/>
        <v>0</v>
      </c>
    </row>
    <row r="134" spans="1:21" ht="15" hidden="1" customHeight="1" x14ac:dyDescent="0.75">
      <c r="A134" s="349" t="s">
        <v>1399</v>
      </c>
      <c r="B134" s="350">
        <v>0</v>
      </c>
      <c r="C134" s="344">
        <f>+IFERROR(_xlfn.XLOOKUP($A134,'CONSOLIDATED CY Cash Flows'!$B:$B,'CONSOLIDATED CY Cash Flows'!I:I)/$S134,0)</f>
        <v>0</v>
      </c>
      <c r="D134" s="344">
        <f>+IFERROR(_xlfn.XLOOKUP($A134,'CONSOLIDATED CY Cash Flows'!$B:$B,'CONSOLIDATED CY Cash Flows'!J:J)/$S134,0)</f>
        <v>0</v>
      </c>
      <c r="E134" s="344">
        <f>+IFERROR(_xlfn.XLOOKUP($A134,'CONSOLIDATED CY Cash Flows'!$B:$B,'CONSOLIDATED CY Cash Flows'!K:K)/$S134,0)</f>
        <v>0</v>
      </c>
      <c r="F134" s="344">
        <f>+IFERROR(_xlfn.XLOOKUP($A134,'CONSOLIDATED CY Cash Flows'!$B:$B,'CONSOLIDATED CY Cash Flows'!L:L)/$S134,0)</f>
        <v>0</v>
      </c>
      <c r="G134" s="344">
        <f>+IFERROR(_xlfn.XLOOKUP($A134,'CONSOLIDATED CY Cash Flows'!$B:$B,'CONSOLIDATED CY Cash Flows'!M:M)/$S134,0)</f>
        <v>0</v>
      </c>
      <c r="H134" s="344">
        <f>+IFERROR(_xlfn.XLOOKUP($A134,'CONSOLIDATED CY Cash Flows'!$B:$B,'CONSOLIDATED CY Cash Flows'!N:N)/$S134,0)</f>
        <v>0</v>
      </c>
      <c r="I134" s="344">
        <f>+IFERROR(_xlfn.XLOOKUP($A134,'CONSOLIDATED CY Cash Flows'!$B:$B,'CONSOLIDATED CY Cash Flows'!O:O)/$S134,0)</f>
        <v>0</v>
      </c>
      <c r="J134" s="344">
        <f>+IFERROR(_xlfn.XLOOKUP($A134,'CONSOLIDATED CY Cash Flows'!$B:$B,'CONSOLIDATED CY Cash Flows'!P:P)/$S134,0)</f>
        <v>0</v>
      </c>
      <c r="K134" s="344">
        <f>+IFERROR(_xlfn.XLOOKUP($A134,'CONSOLIDATED CY Cash Flows'!$B:$B,'CONSOLIDATED CY Cash Flows'!Q:Q)/$S134,0)</f>
        <v>0</v>
      </c>
      <c r="L134" s="344">
        <f>+IFERROR(_xlfn.XLOOKUP($A134,'CONSOLIDATED CY Cash Flows'!$B:$B,'CONSOLIDATED CY Cash Flows'!R:R)/$S134,0)</f>
        <v>0</v>
      </c>
      <c r="M134" s="344">
        <f>+IFERROR(_xlfn.XLOOKUP($A134,'CONSOLIDATED CY Cash Flows'!$B:$B,'CONSOLIDATED CY Cash Flows'!S:S)/$S134,0)</f>
        <v>0</v>
      </c>
      <c r="N134" s="344">
        <f>+IFERROR(_xlfn.XLOOKUP($A134,'CONSOLIDATED CY Cash Flows'!$B:$B,'CONSOLIDATED CY Cash Flows'!T:T)/$S134,0)</f>
        <v>0</v>
      </c>
      <c r="O134" s="344">
        <f>+IFERROR(_xlfn.XLOOKUP($A134,'CONSOLIDATED CY Cash Flows'!$B:$B,'CONSOLIDATED CY Cash Flows'!U:U)/$S134,0)</f>
        <v>0</v>
      </c>
      <c r="P134" s="344">
        <f>+IFERROR(_xlfn.XLOOKUP($A134,'CONSOLIDATED CY Cash Flows'!$B:$B,'CONSOLIDATED CY Cash Flows'!V:V)/$S134,0)</f>
        <v>0</v>
      </c>
      <c r="Q134" s="344">
        <f>+IFERROR(_xlfn.XLOOKUP($A134,'CONSOLIDATED CY Cash Flows'!$B:$B,'CONSOLIDATED CY Cash Flows'!W:W)/$S134,0)</f>
        <v>0</v>
      </c>
      <c r="R134" s="340">
        <f t="shared" si="11"/>
        <v>0</v>
      </c>
      <c r="S134" s="501">
        <f>+IFERROR(_xlfn.XLOOKUP($A134,'CONSOLIDATED CY Cash Flows'!$B:$B,'CONSOLIDATED CY Cash Flows'!$H:$H),0)</f>
        <v>0</v>
      </c>
      <c r="T134" s="501">
        <f t="shared" si="12"/>
        <v>0</v>
      </c>
      <c r="U134" s="501">
        <f t="shared" si="13"/>
        <v>0</v>
      </c>
    </row>
    <row r="135" spans="1:21" ht="15" hidden="1" customHeight="1" x14ac:dyDescent="0.75">
      <c r="A135" s="349" t="s">
        <v>1399</v>
      </c>
      <c r="B135" s="350">
        <v>0</v>
      </c>
      <c r="C135" s="344">
        <f>+IFERROR(_xlfn.XLOOKUP($A135,'CONSOLIDATED CY Cash Flows'!$B:$B,'CONSOLIDATED CY Cash Flows'!I:I)/$S135,0)</f>
        <v>0</v>
      </c>
      <c r="D135" s="344">
        <f>+IFERROR(_xlfn.XLOOKUP($A135,'CONSOLIDATED CY Cash Flows'!$B:$B,'CONSOLIDATED CY Cash Flows'!J:J)/$S135,0)</f>
        <v>0</v>
      </c>
      <c r="E135" s="344">
        <f>+IFERROR(_xlfn.XLOOKUP($A135,'CONSOLIDATED CY Cash Flows'!$B:$B,'CONSOLIDATED CY Cash Flows'!K:K)/$S135,0)</f>
        <v>0</v>
      </c>
      <c r="F135" s="344">
        <f>+IFERROR(_xlfn.XLOOKUP($A135,'CONSOLIDATED CY Cash Flows'!$B:$B,'CONSOLIDATED CY Cash Flows'!L:L)/$S135,0)</f>
        <v>0</v>
      </c>
      <c r="G135" s="344">
        <f>+IFERROR(_xlfn.XLOOKUP($A135,'CONSOLIDATED CY Cash Flows'!$B:$B,'CONSOLIDATED CY Cash Flows'!M:M)/$S135,0)</f>
        <v>0</v>
      </c>
      <c r="H135" s="344">
        <f>+IFERROR(_xlfn.XLOOKUP($A135,'CONSOLIDATED CY Cash Flows'!$B:$B,'CONSOLIDATED CY Cash Flows'!N:N)/$S135,0)</f>
        <v>0</v>
      </c>
      <c r="I135" s="344">
        <f>+IFERROR(_xlfn.XLOOKUP($A135,'CONSOLIDATED CY Cash Flows'!$B:$B,'CONSOLIDATED CY Cash Flows'!O:O)/$S135,0)</f>
        <v>0</v>
      </c>
      <c r="J135" s="344">
        <f>+IFERROR(_xlfn.XLOOKUP($A135,'CONSOLIDATED CY Cash Flows'!$B:$B,'CONSOLIDATED CY Cash Flows'!P:P)/$S135,0)</f>
        <v>0</v>
      </c>
      <c r="K135" s="344">
        <f>+IFERROR(_xlfn.XLOOKUP($A135,'CONSOLIDATED CY Cash Flows'!$B:$B,'CONSOLIDATED CY Cash Flows'!Q:Q)/$S135,0)</f>
        <v>0</v>
      </c>
      <c r="L135" s="344">
        <f>+IFERROR(_xlfn.XLOOKUP($A135,'CONSOLIDATED CY Cash Flows'!$B:$B,'CONSOLIDATED CY Cash Flows'!R:R)/$S135,0)</f>
        <v>0</v>
      </c>
      <c r="M135" s="344">
        <f>+IFERROR(_xlfn.XLOOKUP($A135,'CONSOLIDATED CY Cash Flows'!$B:$B,'CONSOLIDATED CY Cash Flows'!S:S)/$S135,0)</f>
        <v>0</v>
      </c>
      <c r="N135" s="344">
        <f>+IFERROR(_xlfn.XLOOKUP($A135,'CONSOLIDATED CY Cash Flows'!$B:$B,'CONSOLIDATED CY Cash Flows'!T:T)/$S135,0)</f>
        <v>0</v>
      </c>
      <c r="O135" s="344">
        <f>+IFERROR(_xlfn.XLOOKUP($A135,'CONSOLIDATED CY Cash Flows'!$B:$B,'CONSOLIDATED CY Cash Flows'!U:U)/$S135,0)</f>
        <v>0</v>
      </c>
      <c r="P135" s="344">
        <f>+IFERROR(_xlfn.XLOOKUP($A135,'CONSOLIDATED CY Cash Flows'!$B:$B,'CONSOLIDATED CY Cash Flows'!V:V)/$S135,0)</f>
        <v>0</v>
      </c>
      <c r="Q135" s="344">
        <f>+IFERROR(_xlfn.XLOOKUP($A135,'CONSOLIDATED CY Cash Flows'!$B:$B,'CONSOLIDATED CY Cash Flows'!W:W)/$S135,0)</f>
        <v>0</v>
      </c>
      <c r="R135" s="340">
        <f t="shared" si="11"/>
        <v>0</v>
      </c>
      <c r="S135" s="501">
        <f>+IFERROR(_xlfn.XLOOKUP($A135,'CONSOLIDATED CY Cash Flows'!$B:$B,'CONSOLIDATED CY Cash Flows'!$H:$H),0)</f>
        <v>0</v>
      </c>
      <c r="T135" s="501">
        <f t="shared" si="12"/>
        <v>0</v>
      </c>
      <c r="U135" s="501">
        <f t="shared" si="13"/>
        <v>0</v>
      </c>
    </row>
    <row r="136" spans="1:21" ht="15" hidden="1" customHeight="1" x14ac:dyDescent="0.75">
      <c r="A136" s="349" t="s">
        <v>1399</v>
      </c>
      <c r="B136" s="350">
        <v>0</v>
      </c>
      <c r="C136" s="344">
        <f>+IFERROR(_xlfn.XLOOKUP($A136,'CONSOLIDATED CY Cash Flows'!$B:$B,'CONSOLIDATED CY Cash Flows'!I:I)/$S136,0)</f>
        <v>0</v>
      </c>
      <c r="D136" s="344">
        <f>+IFERROR(_xlfn.XLOOKUP($A136,'CONSOLIDATED CY Cash Flows'!$B:$B,'CONSOLIDATED CY Cash Flows'!J:J)/$S136,0)</f>
        <v>0</v>
      </c>
      <c r="E136" s="344">
        <f>+IFERROR(_xlfn.XLOOKUP($A136,'CONSOLIDATED CY Cash Flows'!$B:$B,'CONSOLIDATED CY Cash Flows'!K:K)/$S136,0)</f>
        <v>0</v>
      </c>
      <c r="F136" s="344">
        <f>+IFERROR(_xlfn.XLOOKUP($A136,'CONSOLIDATED CY Cash Flows'!$B:$B,'CONSOLIDATED CY Cash Flows'!L:L)/$S136,0)</f>
        <v>0</v>
      </c>
      <c r="G136" s="344">
        <f>+IFERROR(_xlfn.XLOOKUP($A136,'CONSOLIDATED CY Cash Flows'!$B:$B,'CONSOLIDATED CY Cash Flows'!M:M)/$S136,0)</f>
        <v>0</v>
      </c>
      <c r="H136" s="344">
        <f>+IFERROR(_xlfn.XLOOKUP($A136,'CONSOLIDATED CY Cash Flows'!$B:$B,'CONSOLIDATED CY Cash Flows'!N:N)/$S136,0)</f>
        <v>0</v>
      </c>
      <c r="I136" s="344">
        <f>+IFERROR(_xlfn.XLOOKUP($A136,'CONSOLIDATED CY Cash Flows'!$B:$B,'CONSOLIDATED CY Cash Flows'!O:O)/$S136,0)</f>
        <v>0</v>
      </c>
      <c r="J136" s="344">
        <f>+IFERROR(_xlfn.XLOOKUP($A136,'CONSOLIDATED CY Cash Flows'!$B:$B,'CONSOLIDATED CY Cash Flows'!P:P)/$S136,0)</f>
        <v>0</v>
      </c>
      <c r="K136" s="344">
        <f>+IFERROR(_xlfn.XLOOKUP($A136,'CONSOLIDATED CY Cash Flows'!$B:$B,'CONSOLIDATED CY Cash Flows'!Q:Q)/$S136,0)</f>
        <v>0</v>
      </c>
      <c r="L136" s="344">
        <f>+IFERROR(_xlfn.XLOOKUP($A136,'CONSOLIDATED CY Cash Flows'!$B:$B,'CONSOLIDATED CY Cash Flows'!R:R)/$S136,0)</f>
        <v>0</v>
      </c>
      <c r="M136" s="344">
        <f>+IFERROR(_xlfn.XLOOKUP($A136,'CONSOLIDATED CY Cash Flows'!$B:$B,'CONSOLIDATED CY Cash Flows'!S:S)/$S136,0)</f>
        <v>0</v>
      </c>
      <c r="N136" s="344">
        <f>+IFERROR(_xlfn.XLOOKUP($A136,'CONSOLIDATED CY Cash Flows'!$B:$B,'CONSOLIDATED CY Cash Flows'!T:T)/$S136,0)</f>
        <v>0</v>
      </c>
      <c r="O136" s="344">
        <f>+IFERROR(_xlfn.XLOOKUP($A136,'CONSOLIDATED CY Cash Flows'!$B:$B,'CONSOLIDATED CY Cash Flows'!U:U)/$S136,0)</f>
        <v>0</v>
      </c>
      <c r="P136" s="344">
        <f>+IFERROR(_xlfn.XLOOKUP($A136,'CONSOLIDATED CY Cash Flows'!$B:$B,'CONSOLIDATED CY Cash Flows'!V:V)/$S136,0)</f>
        <v>0</v>
      </c>
      <c r="Q136" s="344">
        <f>+IFERROR(_xlfn.XLOOKUP($A136,'CONSOLIDATED CY Cash Flows'!$B:$B,'CONSOLIDATED CY Cash Flows'!W:W)/$S136,0)</f>
        <v>0</v>
      </c>
      <c r="R136" s="340">
        <f t="shared" si="11"/>
        <v>0</v>
      </c>
      <c r="S136" s="501">
        <f>+IFERROR(_xlfn.XLOOKUP($A136,'CONSOLIDATED CY Cash Flows'!$B:$B,'CONSOLIDATED CY Cash Flows'!$H:$H),0)</f>
        <v>0</v>
      </c>
      <c r="T136" s="501">
        <f t="shared" si="12"/>
        <v>0</v>
      </c>
      <c r="U136" s="501">
        <f t="shared" si="13"/>
        <v>0</v>
      </c>
    </row>
    <row r="137" spans="1:21" ht="15" hidden="1" customHeight="1" x14ac:dyDescent="0.75">
      <c r="A137" s="349" t="s">
        <v>1399</v>
      </c>
      <c r="B137" s="350">
        <v>0</v>
      </c>
      <c r="C137" s="344">
        <f>+IFERROR(_xlfn.XLOOKUP($A137,'CONSOLIDATED CY Cash Flows'!$B:$B,'CONSOLIDATED CY Cash Flows'!I:I)/$S137,0)</f>
        <v>0</v>
      </c>
      <c r="D137" s="344">
        <f>+IFERROR(_xlfn.XLOOKUP($A137,'CONSOLIDATED CY Cash Flows'!$B:$B,'CONSOLIDATED CY Cash Flows'!J:J)/$S137,0)</f>
        <v>0</v>
      </c>
      <c r="E137" s="344">
        <f>+IFERROR(_xlfn.XLOOKUP($A137,'CONSOLIDATED CY Cash Flows'!$B:$B,'CONSOLIDATED CY Cash Flows'!K:K)/$S137,0)</f>
        <v>0</v>
      </c>
      <c r="F137" s="344">
        <f>+IFERROR(_xlfn.XLOOKUP($A137,'CONSOLIDATED CY Cash Flows'!$B:$B,'CONSOLIDATED CY Cash Flows'!L:L)/$S137,0)</f>
        <v>0</v>
      </c>
      <c r="G137" s="344">
        <f>+IFERROR(_xlfn.XLOOKUP($A137,'CONSOLIDATED CY Cash Flows'!$B:$B,'CONSOLIDATED CY Cash Flows'!M:M)/$S137,0)</f>
        <v>0</v>
      </c>
      <c r="H137" s="344">
        <f>+IFERROR(_xlfn.XLOOKUP($A137,'CONSOLIDATED CY Cash Flows'!$B:$B,'CONSOLIDATED CY Cash Flows'!N:N)/$S137,0)</f>
        <v>0</v>
      </c>
      <c r="I137" s="344">
        <f>+IFERROR(_xlfn.XLOOKUP($A137,'CONSOLIDATED CY Cash Flows'!$B:$B,'CONSOLIDATED CY Cash Flows'!O:O)/$S137,0)</f>
        <v>0</v>
      </c>
      <c r="J137" s="344">
        <f>+IFERROR(_xlfn.XLOOKUP($A137,'CONSOLIDATED CY Cash Flows'!$B:$B,'CONSOLIDATED CY Cash Flows'!P:P)/$S137,0)</f>
        <v>0</v>
      </c>
      <c r="K137" s="344">
        <f>+IFERROR(_xlfn.XLOOKUP($A137,'CONSOLIDATED CY Cash Flows'!$B:$B,'CONSOLIDATED CY Cash Flows'!Q:Q)/$S137,0)</f>
        <v>0</v>
      </c>
      <c r="L137" s="344">
        <f>+IFERROR(_xlfn.XLOOKUP($A137,'CONSOLIDATED CY Cash Flows'!$B:$B,'CONSOLIDATED CY Cash Flows'!R:R)/$S137,0)</f>
        <v>0</v>
      </c>
      <c r="M137" s="344">
        <f>+IFERROR(_xlfn.XLOOKUP($A137,'CONSOLIDATED CY Cash Flows'!$B:$B,'CONSOLIDATED CY Cash Flows'!S:S)/$S137,0)</f>
        <v>0</v>
      </c>
      <c r="N137" s="344">
        <f>+IFERROR(_xlfn.XLOOKUP($A137,'CONSOLIDATED CY Cash Flows'!$B:$B,'CONSOLIDATED CY Cash Flows'!T:T)/$S137,0)</f>
        <v>0</v>
      </c>
      <c r="O137" s="344">
        <f>+IFERROR(_xlfn.XLOOKUP($A137,'CONSOLIDATED CY Cash Flows'!$B:$B,'CONSOLIDATED CY Cash Flows'!U:U)/$S137,0)</f>
        <v>0</v>
      </c>
      <c r="P137" s="344">
        <f>+IFERROR(_xlfn.XLOOKUP($A137,'CONSOLIDATED CY Cash Flows'!$B:$B,'CONSOLIDATED CY Cash Flows'!V:V)/$S137,0)</f>
        <v>0</v>
      </c>
      <c r="Q137" s="344">
        <f>+IFERROR(_xlfn.XLOOKUP($A137,'CONSOLIDATED CY Cash Flows'!$B:$B,'CONSOLIDATED CY Cash Flows'!W:W)/$S137,0)</f>
        <v>0</v>
      </c>
      <c r="R137" s="340">
        <f t="shared" si="11"/>
        <v>0</v>
      </c>
      <c r="S137" s="501">
        <f>+IFERROR(_xlfn.XLOOKUP($A137,'CONSOLIDATED CY Cash Flows'!$B:$B,'CONSOLIDATED CY Cash Flows'!$H:$H),0)</f>
        <v>0</v>
      </c>
      <c r="T137" s="501">
        <f t="shared" si="12"/>
        <v>0</v>
      </c>
      <c r="U137" s="501">
        <f t="shared" si="13"/>
        <v>0</v>
      </c>
    </row>
    <row r="138" spans="1:21" ht="15" hidden="1" customHeight="1" x14ac:dyDescent="0.75">
      <c r="A138" s="349" t="s">
        <v>1399</v>
      </c>
      <c r="B138" s="350">
        <v>0</v>
      </c>
      <c r="C138" s="344">
        <f>+IFERROR(_xlfn.XLOOKUP($A138,'CONSOLIDATED CY Cash Flows'!$B:$B,'CONSOLIDATED CY Cash Flows'!I:I)/$S138,0)</f>
        <v>0</v>
      </c>
      <c r="D138" s="344">
        <f>+IFERROR(_xlfn.XLOOKUP($A138,'CONSOLIDATED CY Cash Flows'!$B:$B,'CONSOLIDATED CY Cash Flows'!J:J)/$S138,0)</f>
        <v>0</v>
      </c>
      <c r="E138" s="344">
        <f>+IFERROR(_xlfn.XLOOKUP($A138,'CONSOLIDATED CY Cash Flows'!$B:$B,'CONSOLIDATED CY Cash Flows'!K:K)/$S138,0)</f>
        <v>0</v>
      </c>
      <c r="F138" s="344">
        <f>+IFERROR(_xlfn.XLOOKUP($A138,'CONSOLIDATED CY Cash Flows'!$B:$B,'CONSOLIDATED CY Cash Flows'!L:L)/$S138,0)</f>
        <v>0</v>
      </c>
      <c r="G138" s="344">
        <f>+IFERROR(_xlfn.XLOOKUP($A138,'CONSOLIDATED CY Cash Flows'!$B:$B,'CONSOLIDATED CY Cash Flows'!M:M)/$S138,0)</f>
        <v>0</v>
      </c>
      <c r="H138" s="344">
        <f>+IFERROR(_xlfn.XLOOKUP($A138,'CONSOLIDATED CY Cash Flows'!$B:$B,'CONSOLIDATED CY Cash Flows'!N:N)/$S138,0)</f>
        <v>0</v>
      </c>
      <c r="I138" s="344">
        <f>+IFERROR(_xlfn.XLOOKUP($A138,'CONSOLIDATED CY Cash Flows'!$B:$B,'CONSOLIDATED CY Cash Flows'!O:O)/$S138,0)</f>
        <v>0</v>
      </c>
      <c r="J138" s="344">
        <f>+IFERROR(_xlfn.XLOOKUP($A138,'CONSOLIDATED CY Cash Flows'!$B:$B,'CONSOLIDATED CY Cash Flows'!P:P)/$S138,0)</f>
        <v>0</v>
      </c>
      <c r="K138" s="344">
        <f>+IFERROR(_xlfn.XLOOKUP($A138,'CONSOLIDATED CY Cash Flows'!$B:$B,'CONSOLIDATED CY Cash Flows'!Q:Q)/$S138,0)</f>
        <v>0</v>
      </c>
      <c r="L138" s="344">
        <f>+IFERROR(_xlfn.XLOOKUP($A138,'CONSOLIDATED CY Cash Flows'!$B:$B,'CONSOLIDATED CY Cash Flows'!R:R)/$S138,0)</f>
        <v>0</v>
      </c>
      <c r="M138" s="344">
        <f>+IFERROR(_xlfn.XLOOKUP($A138,'CONSOLIDATED CY Cash Flows'!$B:$B,'CONSOLIDATED CY Cash Flows'!S:S)/$S138,0)</f>
        <v>0</v>
      </c>
      <c r="N138" s="344">
        <f>+IFERROR(_xlfn.XLOOKUP($A138,'CONSOLIDATED CY Cash Flows'!$B:$B,'CONSOLIDATED CY Cash Flows'!T:T)/$S138,0)</f>
        <v>0</v>
      </c>
      <c r="O138" s="344">
        <f>+IFERROR(_xlfn.XLOOKUP($A138,'CONSOLIDATED CY Cash Flows'!$B:$B,'CONSOLIDATED CY Cash Flows'!U:U)/$S138,0)</f>
        <v>0</v>
      </c>
      <c r="P138" s="344">
        <f>+IFERROR(_xlfn.XLOOKUP($A138,'CONSOLIDATED CY Cash Flows'!$B:$B,'CONSOLIDATED CY Cash Flows'!V:V)/$S138,0)</f>
        <v>0</v>
      </c>
      <c r="Q138" s="344">
        <f>+IFERROR(_xlfn.XLOOKUP($A138,'CONSOLIDATED CY Cash Flows'!$B:$B,'CONSOLIDATED CY Cash Flows'!W:W)/$S138,0)</f>
        <v>0</v>
      </c>
      <c r="R138" s="340">
        <f t="shared" si="11"/>
        <v>0</v>
      </c>
      <c r="S138" s="501">
        <f>+IFERROR(_xlfn.XLOOKUP($A138,'CONSOLIDATED CY Cash Flows'!$B:$B,'CONSOLIDATED CY Cash Flows'!$H:$H),0)</f>
        <v>0</v>
      </c>
      <c r="T138" s="501">
        <f t="shared" si="12"/>
        <v>0</v>
      </c>
      <c r="U138" s="501">
        <f t="shared" si="13"/>
        <v>0</v>
      </c>
    </row>
    <row r="139" spans="1:21" ht="15" hidden="1" customHeight="1" x14ac:dyDescent="0.75">
      <c r="A139" s="349" t="s">
        <v>1399</v>
      </c>
      <c r="B139" s="350">
        <v>0</v>
      </c>
      <c r="C139" s="344">
        <f>+IFERROR(_xlfn.XLOOKUP($A139,'CONSOLIDATED CY Cash Flows'!$B:$B,'CONSOLIDATED CY Cash Flows'!I:I)/$S139,0)</f>
        <v>0</v>
      </c>
      <c r="D139" s="344">
        <f>+IFERROR(_xlfn.XLOOKUP($A139,'CONSOLIDATED CY Cash Flows'!$B:$B,'CONSOLIDATED CY Cash Flows'!J:J)/$S139,0)</f>
        <v>0</v>
      </c>
      <c r="E139" s="344">
        <f>+IFERROR(_xlfn.XLOOKUP($A139,'CONSOLIDATED CY Cash Flows'!$B:$B,'CONSOLIDATED CY Cash Flows'!K:K)/$S139,0)</f>
        <v>0</v>
      </c>
      <c r="F139" s="344">
        <f>+IFERROR(_xlfn.XLOOKUP($A139,'CONSOLIDATED CY Cash Flows'!$B:$B,'CONSOLIDATED CY Cash Flows'!L:L)/$S139,0)</f>
        <v>0</v>
      </c>
      <c r="G139" s="344">
        <f>+IFERROR(_xlfn.XLOOKUP($A139,'CONSOLIDATED CY Cash Flows'!$B:$B,'CONSOLIDATED CY Cash Flows'!M:M)/$S139,0)</f>
        <v>0</v>
      </c>
      <c r="H139" s="344">
        <f>+IFERROR(_xlfn.XLOOKUP($A139,'CONSOLIDATED CY Cash Flows'!$B:$B,'CONSOLIDATED CY Cash Flows'!N:N)/$S139,0)</f>
        <v>0</v>
      </c>
      <c r="I139" s="344">
        <f>+IFERROR(_xlfn.XLOOKUP($A139,'CONSOLIDATED CY Cash Flows'!$B:$B,'CONSOLIDATED CY Cash Flows'!O:O)/$S139,0)</f>
        <v>0</v>
      </c>
      <c r="J139" s="344">
        <f>+IFERROR(_xlfn.XLOOKUP($A139,'CONSOLIDATED CY Cash Flows'!$B:$B,'CONSOLIDATED CY Cash Flows'!P:P)/$S139,0)</f>
        <v>0</v>
      </c>
      <c r="K139" s="344">
        <f>+IFERROR(_xlfn.XLOOKUP($A139,'CONSOLIDATED CY Cash Flows'!$B:$B,'CONSOLIDATED CY Cash Flows'!Q:Q)/$S139,0)</f>
        <v>0</v>
      </c>
      <c r="L139" s="344">
        <f>+IFERROR(_xlfn.XLOOKUP($A139,'CONSOLIDATED CY Cash Flows'!$B:$B,'CONSOLIDATED CY Cash Flows'!R:R)/$S139,0)</f>
        <v>0</v>
      </c>
      <c r="M139" s="344">
        <f>+IFERROR(_xlfn.XLOOKUP($A139,'CONSOLIDATED CY Cash Flows'!$B:$B,'CONSOLIDATED CY Cash Flows'!S:S)/$S139,0)</f>
        <v>0</v>
      </c>
      <c r="N139" s="344">
        <f>+IFERROR(_xlfn.XLOOKUP($A139,'CONSOLIDATED CY Cash Flows'!$B:$B,'CONSOLIDATED CY Cash Flows'!T:T)/$S139,0)</f>
        <v>0</v>
      </c>
      <c r="O139" s="344">
        <f>+IFERROR(_xlfn.XLOOKUP($A139,'CONSOLIDATED CY Cash Flows'!$B:$B,'CONSOLIDATED CY Cash Flows'!U:U)/$S139,0)</f>
        <v>0</v>
      </c>
      <c r="P139" s="344">
        <f>+IFERROR(_xlfn.XLOOKUP($A139,'CONSOLIDATED CY Cash Flows'!$B:$B,'CONSOLIDATED CY Cash Flows'!V:V)/$S139,0)</f>
        <v>0</v>
      </c>
      <c r="Q139" s="344">
        <f>+IFERROR(_xlfn.XLOOKUP($A139,'CONSOLIDATED CY Cash Flows'!$B:$B,'CONSOLIDATED CY Cash Flows'!W:W)/$S139,0)</f>
        <v>0</v>
      </c>
      <c r="R139" s="340">
        <f t="shared" si="11"/>
        <v>0</v>
      </c>
      <c r="S139" s="501">
        <f>+IFERROR(_xlfn.XLOOKUP($A139,'CONSOLIDATED CY Cash Flows'!$B:$B,'CONSOLIDATED CY Cash Flows'!$H:$H),0)</f>
        <v>0</v>
      </c>
      <c r="T139" s="501">
        <f t="shared" si="12"/>
        <v>0</v>
      </c>
      <c r="U139" s="501">
        <f t="shared" si="13"/>
        <v>0</v>
      </c>
    </row>
    <row r="140" spans="1:21" ht="15" hidden="1" customHeight="1" x14ac:dyDescent="0.75">
      <c r="A140" s="349" t="s">
        <v>1399</v>
      </c>
      <c r="B140" s="350">
        <v>0</v>
      </c>
      <c r="C140" s="344">
        <f>+IFERROR(_xlfn.XLOOKUP($A140,'CONSOLIDATED CY Cash Flows'!$B:$B,'CONSOLIDATED CY Cash Flows'!I:I)/$S140,0)</f>
        <v>0</v>
      </c>
      <c r="D140" s="344">
        <f>+IFERROR(_xlfn.XLOOKUP($A140,'CONSOLIDATED CY Cash Flows'!$B:$B,'CONSOLIDATED CY Cash Flows'!J:J)/$S140,0)</f>
        <v>0</v>
      </c>
      <c r="E140" s="344">
        <f>+IFERROR(_xlfn.XLOOKUP($A140,'CONSOLIDATED CY Cash Flows'!$B:$B,'CONSOLIDATED CY Cash Flows'!K:K)/$S140,0)</f>
        <v>0</v>
      </c>
      <c r="F140" s="344">
        <f>+IFERROR(_xlfn.XLOOKUP($A140,'CONSOLIDATED CY Cash Flows'!$B:$B,'CONSOLIDATED CY Cash Flows'!L:L)/$S140,0)</f>
        <v>0</v>
      </c>
      <c r="G140" s="344">
        <f>+IFERROR(_xlfn.XLOOKUP($A140,'CONSOLIDATED CY Cash Flows'!$B:$B,'CONSOLIDATED CY Cash Flows'!M:M)/$S140,0)</f>
        <v>0</v>
      </c>
      <c r="H140" s="344">
        <f>+IFERROR(_xlfn.XLOOKUP($A140,'CONSOLIDATED CY Cash Flows'!$B:$B,'CONSOLIDATED CY Cash Flows'!N:N)/$S140,0)</f>
        <v>0</v>
      </c>
      <c r="I140" s="344">
        <f>+IFERROR(_xlfn.XLOOKUP($A140,'CONSOLIDATED CY Cash Flows'!$B:$B,'CONSOLIDATED CY Cash Flows'!O:O)/$S140,0)</f>
        <v>0</v>
      </c>
      <c r="J140" s="344">
        <f>+IFERROR(_xlfn.XLOOKUP($A140,'CONSOLIDATED CY Cash Flows'!$B:$B,'CONSOLIDATED CY Cash Flows'!P:P)/$S140,0)</f>
        <v>0</v>
      </c>
      <c r="K140" s="344">
        <f>+IFERROR(_xlfn.XLOOKUP($A140,'CONSOLIDATED CY Cash Flows'!$B:$B,'CONSOLIDATED CY Cash Flows'!Q:Q)/$S140,0)</f>
        <v>0</v>
      </c>
      <c r="L140" s="344">
        <f>+IFERROR(_xlfn.XLOOKUP($A140,'CONSOLIDATED CY Cash Flows'!$B:$B,'CONSOLIDATED CY Cash Flows'!R:R)/$S140,0)</f>
        <v>0</v>
      </c>
      <c r="M140" s="344">
        <f>+IFERROR(_xlfn.XLOOKUP($A140,'CONSOLIDATED CY Cash Flows'!$B:$B,'CONSOLIDATED CY Cash Flows'!S:S)/$S140,0)</f>
        <v>0</v>
      </c>
      <c r="N140" s="344">
        <f>+IFERROR(_xlfn.XLOOKUP($A140,'CONSOLIDATED CY Cash Flows'!$B:$B,'CONSOLIDATED CY Cash Flows'!T:T)/$S140,0)</f>
        <v>0</v>
      </c>
      <c r="O140" s="344">
        <f>+IFERROR(_xlfn.XLOOKUP($A140,'CONSOLIDATED CY Cash Flows'!$B:$B,'CONSOLIDATED CY Cash Flows'!U:U)/$S140,0)</f>
        <v>0</v>
      </c>
      <c r="P140" s="344">
        <f>+IFERROR(_xlfn.XLOOKUP($A140,'CONSOLIDATED CY Cash Flows'!$B:$B,'CONSOLIDATED CY Cash Flows'!V:V)/$S140,0)</f>
        <v>0</v>
      </c>
      <c r="Q140" s="344">
        <f>+IFERROR(_xlfn.XLOOKUP($A140,'CONSOLIDATED CY Cash Flows'!$B:$B,'CONSOLIDATED CY Cash Flows'!W:W)/$S140,0)</f>
        <v>0</v>
      </c>
      <c r="R140" s="340">
        <f t="shared" si="11"/>
        <v>0</v>
      </c>
      <c r="S140" s="501">
        <f>+IFERROR(_xlfn.XLOOKUP($A140,'CONSOLIDATED CY Cash Flows'!$B:$B,'CONSOLIDATED CY Cash Flows'!$H:$H),0)</f>
        <v>0</v>
      </c>
      <c r="T140" s="501">
        <f t="shared" si="12"/>
        <v>0</v>
      </c>
      <c r="U140" s="501">
        <f t="shared" si="13"/>
        <v>0</v>
      </c>
    </row>
    <row r="141" spans="1:21" ht="15" hidden="1" customHeight="1" x14ac:dyDescent="0.75">
      <c r="A141" s="349" t="s">
        <v>1399</v>
      </c>
      <c r="B141" s="350">
        <v>0</v>
      </c>
      <c r="C141" s="344">
        <f>+IFERROR(_xlfn.XLOOKUP($A141,'CONSOLIDATED CY Cash Flows'!$B:$B,'CONSOLIDATED CY Cash Flows'!I:I)/$S141,0)</f>
        <v>0</v>
      </c>
      <c r="D141" s="344">
        <f>+IFERROR(_xlfn.XLOOKUP($A141,'CONSOLIDATED CY Cash Flows'!$B:$B,'CONSOLIDATED CY Cash Flows'!J:J)/$S141,0)</f>
        <v>0</v>
      </c>
      <c r="E141" s="344">
        <f>+IFERROR(_xlfn.XLOOKUP($A141,'CONSOLIDATED CY Cash Flows'!$B:$B,'CONSOLIDATED CY Cash Flows'!K:K)/$S141,0)</f>
        <v>0</v>
      </c>
      <c r="F141" s="344">
        <f>+IFERROR(_xlfn.XLOOKUP($A141,'CONSOLIDATED CY Cash Flows'!$B:$B,'CONSOLIDATED CY Cash Flows'!L:L)/$S141,0)</f>
        <v>0</v>
      </c>
      <c r="G141" s="344">
        <f>+IFERROR(_xlfn.XLOOKUP($A141,'CONSOLIDATED CY Cash Flows'!$B:$B,'CONSOLIDATED CY Cash Flows'!M:M)/$S141,0)</f>
        <v>0</v>
      </c>
      <c r="H141" s="344">
        <f>+IFERROR(_xlfn.XLOOKUP($A141,'CONSOLIDATED CY Cash Flows'!$B:$B,'CONSOLIDATED CY Cash Flows'!N:N)/$S141,0)</f>
        <v>0</v>
      </c>
      <c r="I141" s="344">
        <f>+IFERROR(_xlfn.XLOOKUP($A141,'CONSOLIDATED CY Cash Flows'!$B:$B,'CONSOLIDATED CY Cash Flows'!O:O)/$S141,0)</f>
        <v>0</v>
      </c>
      <c r="J141" s="344">
        <f>+IFERROR(_xlfn.XLOOKUP($A141,'CONSOLIDATED CY Cash Flows'!$B:$B,'CONSOLIDATED CY Cash Flows'!P:P)/$S141,0)</f>
        <v>0</v>
      </c>
      <c r="K141" s="344">
        <f>+IFERROR(_xlfn.XLOOKUP($A141,'CONSOLIDATED CY Cash Flows'!$B:$B,'CONSOLIDATED CY Cash Flows'!Q:Q)/$S141,0)</f>
        <v>0</v>
      </c>
      <c r="L141" s="344">
        <f>+IFERROR(_xlfn.XLOOKUP($A141,'CONSOLIDATED CY Cash Flows'!$B:$B,'CONSOLIDATED CY Cash Flows'!R:R)/$S141,0)</f>
        <v>0</v>
      </c>
      <c r="M141" s="344">
        <f>+IFERROR(_xlfn.XLOOKUP($A141,'CONSOLIDATED CY Cash Flows'!$B:$B,'CONSOLIDATED CY Cash Flows'!S:S)/$S141,0)</f>
        <v>0</v>
      </c>
      <c r="N141" s="344">
        <f>+IFERROR(_xlfn.XLOOKUP($A141,'CONSOLIDATED CY Cash Flows'!$B:$B,'CONSOLIDATED CY Cash Flows'!T:T)/$S141,0)</f>
        <v>0</v>
      </c>
      <c r="O141" s="344">
        <f>+IFERROR(_xlfn.XLOOKUP($A141,'CONSOLIDATED CY Cash Flows'!$B:$B,'CONSOLIDATED CY Cash Flows'!U:U)/$S141,0)</f>
        <v>0</v>
      </c>
      <c r="P141" s="344">
        <f>+IFERROR(_xlfn.XLOOKUP($A141,'CONSOLIDATED CY Cash Flows'!$B:$B,'CONSOLIDATED CY Cash Flows'!V:V)/$S141,0)</f>
        <v>0</v>
      </c>
      <c r="Q141" s="344">
        <f>+IFERROR(_xlfn.XLOOKUP($A141,'CONSOLIDATED CY Cash Flows'!$B:$B,'CONSOLIDATED CY Cash Flows'!W:W)/$S141,0)</f>
        <v>0</v>
      </c>
      <c r="R141" s="340">
        <f t="shared" si="11"/>
        <v>0</v>
      </c>
      <c r="S141" s="501">
        <f>+IFERROR(_xlfn.XLOOKUP($A141,'CONSOLIDATED CY Cash Flows'!$B:$B,'CONSOLIDATED CY Cash Flows'!$H:$H),0)</f>
        <v>0</v>
      </c>
      <c r="T141" s="501">
        <f t="shared" si="12"/>
        <v>0</v>
      </c>
      <c r="U141" s="501">
        <f t="shared" si="13"/>
        <v>0</v>
      </c>
    </row>
    <row r="142" spans="1:21" ht="15" hidden="1" customHeight="1" x14ac:dyDescent="0.75">
      <c r="A142" s="349" t="s">
        <v>1399</v>
      </c>
      <c r="B142" s="350">
        <v>0</v>
      </c>
      <c r="C142" s="344">
        <f>+IFERROR(_xlfn.XLOOKUP($A142,'CONSOLIDATED CY Cash Flows'!$B:$B,'CONSOLIDATED CY Cash Flows'!I:I)/$S142,0)</f>
        <v>0</v>
      </c>
      <c r="D142" s="344">
        <f>+IFERROR(_xlfn.XLOOKUP($A142,'CONSOLIDATED CY Cash Flows'!$B:$B,'CONSOLIDATED CY Cash Flows'!J:J)/$S142,0)</f>
        <v>0</v>
      </c>
      <c r="E142" s="344">
        <f>+IFERROR(_xlfn.XLOOKUP($A142,'CONSOLIDATED CY Cash Flows'!$B:$B,'CONSOLIDATED CY Cash Flows'!K:K)/$S142,0)</f>
        <v>0</v>
      </c>
      <c r="F142" s="344">
        <f>+IFERROR(_xlfn.XLOOKUP($A142,'CONSOLIDATED CY Cash Flows'!$B:$B,'CONSOLIDATED CY Cash Flows'!L:L)/$S142,0)</f>
        <v>0</v>
      </c>
      <c r="G142" s="344">
        <f>+IFERROR(_xlfn.XLOOKUP($A142,'CONSOLIDATED CY Cash Flows'!$B:$B,'CONSOLIDATED CY Cash Flows'!M:M)/$S142,0)</f>
        <v>0</v>
      </c>
      <c r="H142" s="344">
        <f>+IFERROR(_xlfn.XLOOKUP($A142,'CONSOLIDATED CY Cash Flows'!$B:$B,'CONSOLIDATED CY Cash Flows'!N:N)/$S142,0)</f>
        <v>0</v>
      </c>
      <c r="I142" s="344">
        <f>+IFERROR(_xlfn.XLOOKUP($A142,'CONSOLIDATED CY Cash Flows'!$B:$B,'CONSOLIDATED CY Cash Flows'!O:O)/$S142,0)</f>
        <v>0</v>
      </c>
      <c r="J142" s="344">
        <f>+IFERROR(_xlfn.XLOOKUP($A142,'CONSOLIDATED CY Cash Flows'!$B:$B,'CONSOLIDATED CY Cash Flows'!P:P)/$S142,0)</f>
        <v>0</v>
      </c>
      <c r="K142" s="344">
        <f>+IFERROR(_xlfn.XLOOKUP($A142,'CONSOLIDATED CY Cash Flows'!$B:$B,'CONSOLIDATED CY Cash Flows'!Q:Q)/$S142,0)</f>
        <v>0</v>
      </c>
      <c r="L142" s="344">
        <f>+IFERROR(_xlfn.XLOOKUP($A142,'CONSOLIDATED CY Cash Flows'!$B:$B,'CONSOLIDATED CY Cash Flows'!R:R)/$S142,0)</f>
        <v>0</v>
      </c>
      <c r="M142" s="344">
        <f>+IFERROR(_xlfn.XLOOKUP($A142,'CONSOLIDATED CY Cash Flows'!$B:$B,'CONSOLIDATED CY Cash Flows'!S:S)/$S142,0)</f>
        <v>0</v>
      </c>
      <c r="N142" s="344">
        <f>+IFERROR(_xlfn.XLOOKUP($A142,'CONSOLIDATED CY Cash Flows'!$B:$B,'CONSOLIDATED CY Cash Flows'!T:T)/$S142,0)</f>
        <v>0</v>
      </c>
      <c r="O142" s="344">
        <f>+IFERROR(_xlfn.XLOOKUP($A142,'CONSOLIDATED CY Cash Flows'!$B:$B,'CONSOLIDATED CY Cash Flows'!U:U)/$S142,0)</f>
        <v>0</v>
      </c>
      <c r="P142" s="344">
        <f>+IFERROR(_xlfn.XLOOKUP($A142,'CONSOLIDATED CY Cash Flows'!$B:$B,'CONSOLIDATED CY Cash Flows'!V:V)/$S142,0)</f>
        <v>0</v>
      </c>
      <c r="Q142" s="344">
        <f>+IFERROR(_xlfn.XLOOKUP($A142,'CONSOLIDATED CY Cash Flows'!$B:$B,'CONSOLIDATED CY Cash Flows'!W:W)/$S142,0)</f>
        <v>0</v>
      </c>
      <c r="R142" s="340">
        <f t="shared" si="11"/>
        <v>0</v>
      </c>
      <c r="S142" s="501">
        <f>+IFERROR(_xlfn.XLOOKUP($A142,'CONSOLIDATED CY Cash Flows'!$B:$B,'CONSOLIDATED CY Cash Flows'!$H:$H),0)</f>
        <v>0</v>
      </c>
      <c r="T142" s="501">
        <f t="shared" si="12"/>
        <v>0</v>
      </c>
      <c r="U142" s="501">
        <f t="shared" si="13"/>
        <v>0</v>
      </c>
    </row>
    <row r="143" spans="1:21" ht="15" hidden="1" customHeight="1" x14ac:dyDescent="0.75">
      <c r="A143" s="349" t="s">
        <v>1399</v>
      </c>
      <c r="B143" s="350">
        <v>0</v>
      </c>
      <c r="C143" s="344">
        <f>+IFERROR(_xlfn.XLOOKUP($A143,'CONSOLIDATED CY Cash Flows'!$B:$B,'CONSOLIDATED CY Cash Flows'!I:I)/$S143,0)</f>
        <v>0</v>
      </c>
      <c r="D143" s="344">
        <f>+IFERROR(_xlfn.XLOOKUP($A143,'CONSOLIDATED CY Cash Flows'!$B:$B,'CONSOLIDATED CY Cash Flows'!J:J)/$S143,0)</f>
        <v>0</v>
      </c>
      <c r="E143" s="344">
        <f>+IFERROR(_xlfn.XLOOKUP($A143,'CONSOLIDATED CY Cash Flows'!$B:$B,'CONSOLIDATED CY Cash Flows'!K:K)/$S143,0)</f>
        <v>0</v>
      </c>
      <c r="F143" s="344">
        <f>+IFERROR(_xlfn.XLOOKUP($A143,'CONSOLIDATED CY Cash Flows'!$B:$B,'CONSOLIDATED CY Cash Flows'!L:L)/$S143,0)</f>
        <v>0</v>
      </c>
      <c r="G143" s="344">
        <f>+IFERROR(_xlfn.XLOOKUP($A143,'CONSOLIDATED CY Cash Flows'!$B:$B,'CONSOLIDATED CY Cash Flows'!M:M)/$S143,0)</f>
        <v>0</v>
      </c>
      <c r="H143" s="344">
        <f>+IFERROR(_xlfn.XLOOKUP($A143,'CONSOLIDATED CY Cash Flows'!$B:$B,'CONSOLIDATED CY Cash Flows'!N:N)/$S143,0)</f>
        <v>0</v>
      </c>
      <c r="I143" s="344">
        <f>+IFERROR(_xlfn.XLOOKUP($A143,'CONSOLIDATED CY Cash Flows'!$B:$B,'CONSOLIDATED CY Cash Flows'!O:O)/$S143,0)</f>
        <v>0</v>
      </c>
      <c r="J143" s="344">
        <f>+IFERROR(_xlfn.XLOOKUP($A143,'CONSOLIDATED CY Cash Flows'!$B:$B,'CONSOLIDATED CY Cash Flows'!P:P)/$S143,0)</f>
        <v>0</v>
      </c>
      <c r="K143" s="344">
        <f>+IFERROR(_xlfn.XLOOKUP($A143,'CONSOLIDATED CY Cash Flows'!$B:$B,'CONSOLIDATED CY Cash Flows'!Q:Q)/$S143,0)</f>
        <v>0</v>
      </c>
      <c r="L143" s="344">
        <f>+IFERROR(_xlfn.XLOOKUP($A143,'CONSOLIDATED CY Cash Flows'!$B:$B,'CONSOLIDATED CY Cash Flows'!R:R)/$S143,0)</f>
        <v>0</v>
      </c>
      <c r="M143" s="344">
        <f>+IFERROR(_xlfn.XLOOKUP($A143,'CONSOLIDATED CY Cash Flows'!$B:$B,'CONSOLIDATED CY Cash Flows'!S:S)/$S143,0)</f>
        <v>0</v>
      </c>
      <c r="N143" s="344">
        <f>+IFERROR(_xlfn.XLOOKUP($A143,'CONSOLIDATED CY Cash Flows'!$B:$B,'CONSOLIDATED CY Cash Flows'!T:T)/$S143,0)</f>
        <v>0</v>
      </c>
      <c r="O143" s="344">
        <f>+IFERROR(_xlfn.XLOOKUP($A143,'CONSOLIDATED CY Cash Flows'!$B:$B,'CONSOLIDATED CY Cash Flows'!U:U)/$S143,0)</f>
        <v>0</v>
      </c>
      <c r="P143" s="344">
        <f>+IFERROR(_xlfn.XLOOKUP($A143,'CONSOLIDATED CY Cash Flows'!$B:$B,'CONSOLIDATED CY Cash Flows'!V:V)/$S143,0)</f>
        <v>0</v>
      </c>
      <c r="Q143" s="344">
        <f>+IFERROR(_xlfn.XLOOKUP($A143,'CONSOLIDATED CY Cash Flows'!$B:$B,'CONSOLIDATED CY Cash Flows'!W:W)/$S143,0)</f>
        <v>0</v>
      </c>
      <c r="R143" s="340">
        <f t="shared" si="11"/>
        <v>0</v>
      </c>
      <c r="S143" s="501">
        <f>+IFERROR(_xlfn.XLOOKUP($A143,'CONSOLIDATED CY Cash Flows'!$B:$B,'CONSOLIDATED CY Cash Flows'!$H:$H),0)</f>
        <v>0</v>
      </c>
      <c r="T143" s="501">
        <f t="shared" si="12"/>
        <v>0</v>
      </c>
      <c r="U143" s="501">
        <f t="shared" si="13"/>
        <v>0</v>
      </c>
    </row>
    <row r="144" spans="1:21" ht="15" hidden="1" customHeight="1" x14ac:dyDescent="0.75">
      <c r="A144" s="349" t="s">
        <v>1399</v>
      </c>
      <c r="B144" s="350">
        <v>0</v>
      </c>
      <c r="C144" s="344">
        <f>+IFERROR(_xlfn.XLOOKUP($A144,'CONSOLIDATED CY Cash Flows'!$B:$B,'CONSOLIDATED CY Cash Flows'!I:I)/$S144,0)</f>
        <v>0</v>
      </c>
      <c r="D144" s="344">
        <f>+IFERROR(_xlfn.XLOOKUP($A144,'CONSOLIDATED CY Cash Flows'!$B:$B,'CONSOLIDATED CY Cash Flows'!J:J)/$S144,0)</f>
        <v>0</v>
      </c>
      <c r="E144" s="344">
        <f>+IFERROR(_xlfn.XLOOKUP($A144,'CONSOLIDATED CY Cash Flows'!$B:$B,'CONSOLIDATED CY Cash Flows'!K:K)/$S144,0)</f>
        <v>0</v>
      </c>
      <c r="F144" s="344">
        <f>+IFERROR(_xlfn.XLOOKUP($A144,'CONSOLIDATED CY Cash Flows'!$B:$B,'CONSOLIDATED CY Cash Flows'!L:L)/$S144,0)</f>
        <v>0</v>
      </c>
      <c r="G144" s="344">
        <f>+IFERROR(_xlfn.XLOOKUP($A144,'CONSOLIDATED CY Cash Flows'!$B:$B,'CONSOLIDATED CY Cash Flows'!M:M)/$S144,0)</f>
        <v>0</v>
      </c>
      <c r="H144" s="344">
        <f>+IFERROR(_xlfn.XLOOKUP($A144,'CONSOLIDATED CY Cash Flows'!$B:$B,'CONSOLIDATED CY Cash Flows'!N:N)/$S144,0)</f>
        <v>0</v>
      </c>
      <c r="I144" s="344">
        <f>+IFERROR(_xlfn.XLOOKUP($A144,'CONSOLIDATED CY Cash Flows'!$B:$B,'CONSOLIDATED CY Cash Flows'!O:O)/$S144,0)</f>
        <v>0</v>
      </c>
      <c r="J144" s="344">
        <f>+IFERROR(_xlfn.XLOOKUP($A144,'CONSOLIDATED CY Cash Flows'!$B:$B,'CONSOLIDATED CY Cash Flows'!P:P)/$S144,0)</f>
        <v>0</v>
      </c>
      <c r="K144" s="344">
        <f>+IFERROR(_xlfn.XLOOKUP($A144,'CONSOLIDATED CY Cash Flows'!$B:$B,'CONSOLIDATED CY Cash Flows'!Q:Q)/$S144,0)</f>
        <v>0</v>
      </c>
      <c r="L144" s="344">
        <f>+IFERROR(_xlfn.XLOOKUP($A144,'CONSOLIDATED CY Cash Flows'!$B:$B,'CONSOLIDATED CY Cash Flows'!R:R)/$S144,0)</f>
        <v>0</v>
      </c>
      <c r="M144" s="344">
        <f>+IFERROR(_xlfn.XLOOKUP($A144,'CONSOLIDATED CY Cash Flows'!$B:$B,'CONSOLIDATED CY Cash Flows'!S:S)/$S144,0)</f>
        <v>0</v>
      </c>
      <c r="N144" s="344">
        <f>+IFERROR(_xlfn.XLOOKUP($A144,'CONSOLIDATED CY Cash Flows'!$B:$B,'CONSOLIDATED CY Cash Flows'!T:T)/$S144,0)</f>
        <v>0</v>
      </c>
      <c r="O144" s="344">
        <f>+IFERROR(_xlfn.XLOOKUP($A144,'CONSOLIDATED CY Cash Flows'!$B:$B,'CONSOLIDATED CY Cash Flows'!U:U)/$S144,0)</f>
        <v>0</v>
      </c>
      <c r="P144" s="344">
        <f>+IFERROR(_xlfn.XLOOKUP($A144,'CONSOLIDATED CY Cash Flows'!$B:$B,'CONSOLIDATED CY Cash Flows'!V:V)/$S144,0)</f>
        <v>0</v>
      </c>
      <c r="Q144" s="344">
        <f>+IFERROR(_xlfn.XLOOKUP($A144,'CONSOLIDATED CY Cash Flows'!$B:$B,'CONSOLIDATED CY Cash Flows'!W:W)/$S144,0)</f>
        <v>0</v>
      </c>
      <c r="R144" s="340">
        <f t="shared" si="11"/>
        <v>0</v>
      </c>
      <c r="S144" s="501">
        <f>+IFERROR(_xlfn.XLOOKUP($A144,'CONSOLIDATED CY Cash Flows'!$B:$B,'CONSOLIDATED CY Cash Flows'!$H:$H),0)</f>
        <v>0</v>
      </c>
      <c r="T144" s="501">
        <f t="shared" si="12"/>
        <v>0</v>
      </c>
      <c r="U144" s="501">
        <f t="shared" si="13"/>
        <v>0</v>
      </c>
    </row>
    <row r="145" spans="1:21" ht="15" hidden="1" customHeight="1" x14ac:dyDescent="0.75">
      <c r="A145" s="349" t="s">
        <v>1399</v>
      </c>
      <c r="B145" s="350">
        <v>0</v>
      </c>
      <c r="C145" s="344">
        <f>+IFERROR(_xlfn.XLOOKUP($A145,'CONSOLIDATED CY Cash Flows'!$B:$B,'CONSOLIDATED CY Cash Flows'!I:I)/$S145,0)</f>
        <v>0</v>
      </c>
      <c r="D145" s="344">
        <f>+IFERROR(_xlfn.XLOOKUP($A145,'CONSOLIDATED CY Cash Flows'!$B:$B,'CONSOLIDATED CY Cash Flows'!J:J)/$S145,0)</f>
        <v>0</v>
      </c>
      <c r="E145" s="344">
        <f>+IFERROR(_xlfn.XLOOKUP($A145,'CONSOLIDATED CY Cash Flows'!$B:$B,'CONSOLIDATED CY Cash Flows'!K:K)/$S145,0)</f>
        <v>0</v>
      </c>
      <c r="F145" s="344">
        <f>+IFERROR(_xlfn.XLOOKUP($A145,'CONSOLIDATED CY Cash Flows'!$B:$B,'CONSOLIDATED CY Cash Flows'!L:L)/$S145,0)</f>
        <v>0</v>
      </c>
      <c r="G145" s="344">
        <f>+IFERROR(_xlfn.XLOOKUP($A145,'CONSOLIDATED CY Cash Flows'!$B:$B,'CONSOLIDATED CY Cash Flows'!M:M)/$S145,0)</f>
        <v>0</v>
      </c>
      <c r="H145" s="344">
        <f>+IFERROR(_xlfn.XLOOKUP($A145,'CONSOLIDATED CY Cash Flows'!$B:$B,'CONSOLIDATED CY Cash Flows'!N:N)/$S145,0)</f>
        <v>0</v>
      </c>
      <c r="I145" s="344">
        <f>+IFERROR(_xlfn.XLOOKUP($A145,'CONSOLIDATED CY Cash Flows'!$B:$B,'CONSOLIDATED CY Cash Flows'!O:O)/$S145,0)</f>
        <v>0</v>
      </c>
      <c r="J145" s="344">
        <f>+IFERROR(_xlfn.XLOOKUP($A145,'CONSOLIDATED CY Cash Flows'!$B:$B,'CONSOLIDATED CY Cash Flows'!P:P)/$S145,0)</f>
        <v>0</v>
      </c>
      <c r="K145" s="344">
        <f>+IFERROR(_xlfn.XLOOKUP($A145,'CONSOLIDATED CY Cash Flows'!$B:$B,'CONSOLIDATED CY Cash Flows'!Q:Q)/$S145,0)</f>
        <v>0</v>
      </c>
      <c r="L145" s="344">
        <f>+IFERROR(_xlfn.XLOOKUP($A145,'CONSOLIDATED CY Cash Flows'!$B:$B,'CONSOLIDATED CY Cash Flows'!R:R)/$S145,0)</f>
        <v>0</v>
      </c>
      <c r="M145" s="344">
        <f>+IFERROR(_xlfn.XLOOKUP($A145,'CONSOLIDATED CY Cash Flows'!$B:$B,'CONSOLIDATED CY Cash Flows'!S:S)/$S145,0)</f>
        <v>0</v>
      </c>
      <c r="N145" s="344">
        <f>+IFERROR(_xlfn.XLOOKUP($A145,'CONSOLIDATED CY Cash Flows'!$B:$B,'CONSOLIDATED CY Cash Flows'!T:T)/$S145,0)</f>
        <v>0</v>
      </c>
      <c r="O145" s="344">
        <f>+IFERROR(_xlfn.XLOOKUP($A145,'CONSOLIDATED CY Cash Flows'!$B:$B,'CONSOLIDATED CY Cash Flows'!U:U)/$S145,0)</f>
        <v>0</v>
      </c>
      <c r="P145" s="344">
        <f>+IFERROR(_xlfn.XLOOKUP($A145,'CONSOLIDATED CY Cash Flows'!$B:$B,'CONSOLIDATED CY Cash Flows'!V:V)/$S145,0)</f>
        <v>0</v>
      </c>
      <c r="Q145" s="344">
        <f>+IFERROR(_xlfn.XLOOKUP($A145,'CONSOLIDATED CY Cash Flows'!$B:$B,'CONSOLIDATED CY Cash Flows'!W:W)/$S145,0)</f>
        <v>0</v>
      </c>
      <c r="R145" s="340">
        <f t="shared" si="11"/>
        <v>0</v>
      </c>
      <c r="S145" s="501">
        <f>+IFERROR(_xlfn.XLOOKUP($A145,'CONSOLIDATED CY Cash Flows'!$B:$B,'CONSOLIDATED CY Cash Flows'!$H:$H),0)</f>
        <v>0</v>
      </c>
      <c r="T145" s="501">
        <f t="shared" si="12"/>
        <v>0</v>
      </c>
      <c r="U145" s="501">
        <f t="shared" si="13"/>
        <v>0</v>
      </c>
    </row>
    <row r="146" spans="1:21" ht="15" hidden="1" customHeight="1" x14ac:dyDescent="0.75">
      <c r="A146" s="349" t="s">
        <v>1399</v>
      </c>
      <c r="B146" s="350">
        <v>0</v>
      </c>
      <c r="C146" s="344">
        <f>+IFERROR(_xlfn.XLOOKUP($A146,'CONSOLIDATED CY Cash Flows'!$B:$B,'CONSOLIDATED CY Cash Flows'!I:I)/$S146,0)</f>
        <v>0</v>
      </c>
      <c r="D146" s="344">
        <f>+IFERROR(_xlfn.XLOOKUP($A146,'CONSOLIDATED CY Cash Flows'!$B:$B,'CONSOLIDATED CY Cash Flows'!J:J)/$S146,0)</f>
        <v>0</v>
      </c>
      <c r="E146" s="344">
        <f>+IFERROR(_xlfn.XLOOKUP($A146,'CONSOLIDATED CY Cash Flows'!$B:$B,'CONSOLIDATED CY Cash Flows'!K:K)/$S146,0)</f>
        <v>0</v>
      </c>
      <c r="F146" s="344">
        <f>+IFERROR(_xlfn.XLOOKUP($A146,'CONSOLIDATED CY Cash Flows'!$B:$B,'CONSOLIDATED CY Cash Flows'!L:L)/$S146,0)</f>
        <v>0</v>
      </c>
      <c r="G146" s="344">
        <f>+IFERROR(_xlfn.XLOOKUP($A146,'CONSOLIDATED CY Cash Flows'!$B:$B,'CONSOLIDATED CY Cash Flows'!M:M)/$S146,0)</f>
        <v>0</v>
      </c>
      <c r="H146" s="344">
        <f>+IFERROR(_xlfn.XLOOKUP($A146,'CONSOLIDATED CY Cash Flows'!$B:$B,'CONSOLIDATED CY Cash Flows'!N:N)/$S146,0)</f>
        <v>0</v>
      </c>
      <c r="I146" s="344">
        <f>+IFERROR(_xlfn.XLOOKUP($A146,'CONSOLIDATED CY Cash Flows'!$B:$B,'CONSOLIDATED CY Cash Flows'!O:O)/$S146,0)</f>
        <v>0</v>
      </c>
      <c r="J146" s="344">
        <f>+IFERROR(_xlfn.XLOOKUP($A146,'CONSOLIDATED CY Cash Flows'!$B:$B,'CONSOLIDATED CY Cash Flows'!P:P)/$S146,0)</f>
        <v>0</v>
      </c>
      <c r="K146" s="344">
        <f>+IFERROR(_xlfn.XLOOKUP($A146,'CONSOLIDATED CY Cash Flows'!$B:$B,'CONSOLIDATED CY Cash Flows'!Q:Q)/$S146,0)</f>
        <v>0</v>
      </c>
      <c r="L146" s="344">
        <f>+IFERROR(_xlfn.XLOOKUP($A146,'CONSOLIDATED CY Cash Flows'!$B:$B,'CONSOLIDATED CY Cash Flows'!R:R)/$S146,0)</f>
        <v>0</v>
      </c>
      <c r="M146" s="344">
        <f>+IFERROR(_xlfn.XLOOKUP($A146,'CONSOLIDATED CY Cash Flows'!$B:$B,'CONSOLIDATED CY Cash Flows'!S:S)/$S146,0)</f>
        <v>0</v>
      </c>
      <c r="N146" s="344">
        <f>+IFERROR(_xlfn.XLOOKUP($A146,'CONSOLIDATED CY Cash Flows'!$B:$B,'CONSOLIDATED CY Cash Flows'!T:T)/$S146,0)</f>
        <v>0</v>
      </c>
      <c r="O146" s="344">
        <f>+IFERROR(_xlfn.XLOOKUP($A146,'CONSOLIDATED CY Cash Flows'!$B:$B,'CONSOLIDATED CY Cash Flows'!U:U)/$S146,0)</f>
        <v>0</v>
      </c>
      <c r="P146" s="344">
        <f>+IFERROR(_xlfn.XLOOKUP($A146,'CONSOLIDATED CY Cash Flows'!$B:$B,'CONSOLIDATED CY Cash Flows'!V:V)/$S146,0)</f>
        <v>0</v>
      </c>
      <c r="Q146" s="344">
        <f>+IFERROR(_xlfn.XLOOKUP($A146,'CONSOLIDATED CY Cash Flows'!$B:$B,'CONSOLIDATED CY Cash Flows'!W:W)/$S146,0)</f>
        <v>0</v>
      </c>
      <c r="R146" s="340">
        <f t="shared" si="11"/>
        <v>0</v>
      </c>
      <c r="S146" s="501">
        <f>+IFERROR(_xlfn.XLOOKUP($A146,'CONSOLIDATED CY Cash Flows'!$B:$B,'CONSOLIDATED CY Cash Flows'!$H:$H),0)</f>
        <v>0</v>
      </c>
      <c r="T146" s="501">
        <f t="shared" ref="T146:T209" si="20">+SUMIF($C$1:$Q$1,"ACTUAL",$C146:$Q146)*S146</f>
        <v>0</v>
      </c>
      <c r="U146" s="501">
        <f t="shared" ref="U146:U168" si="21">+S146-T146</f>
        <v>0</v>
      </c>
    </row>
    <row r="147" spans="1:21" ht="15" hidden="1" customHeight="1" x14ac:dyDescent="0.75">
      <c r="A147" s="349" t="s">
        <v>1399</v>
      </c>
      <c r="B147" s="350">
        <v>0</v>
      </c>
      <c r="C147" s="344">
        <f>+IFERROR(_xlfn.XLOOKUP($A147,'CONSOLIDATED CY Cash Flows'!$B:$B,'CONSOLIDATED CY Cash Flows'!I:I)/$S147,0)</f>
        <v>0</v>
      </c>
      <c r="D147" s="344">
        <f>+IFERROR(_xlfn.XLOOKUP($A147,'CONSOLIDATED CY Cash Flows'!$B:$B,'CONSOLIDATED CY Cash Flows'!J:J)/$S147,0)</f>
        <v>0</v>
      </c>
      <c r="E147" s="344">
        <f>+IFERROR(_xlfn.XLOOKUP($A147,'CONSOLIDATED CY Cash Flows'!$B:$B,'CONSOLIDATED CY Cash Flows'!K:K)/$S147,0)</f>
        <v>0</v>
      </c>
      <c r="F147" s="344">
        <f>+IFERROR(_xlfn.XLOOKUP($A147,'CONSOLIDATED CY Cash Flows'!$B:$B,'CONSOLIDATED CY Cash Flows'!L:L)/$S147,0)</f>
        <v>0</v>
      </c>
      <c r="G147" s="344">
        <f>+IFERROR(_xlfn.XLOOKUP($A147,'CONSOLIDATED CY Cash Flows'!$B:$B,'CONSOLIDATED CY Cash Flows'!M:M)/$S147,0)</f>
        <v>0</v>
      </c>
      <c r="H147" s="344">
        <f>+IFERROR(_xlfn.XLOOKUP($A147,'CONSOLIDATED CY Cash Flows'!$B:$B,'CONSOLIDATED CY Cash Flows'!N:N)/$S147,0)</f>
        <v>0</v>
      </c>
      <c r="I147" s="344">
        <f>+IFERROR(_xlfn.XLOOKUP($A147,'CONSOLIDATED CY Cash Flows'!$B:$B,'CONSOLIDATED CY Cash Flows'!O:O)/$S147,0)</f>
        <v>0</v>
      </c>
      <c r="J147" s="344">
        <f>+IFERROR(_xlfn.XLOOKUP($A147,'CONSOLIDATED CY Cash Flows'!$B:$B,'CONSOLIDATED CY Cash Flows'!P:P)/$S147,0)</f>
        <v>0</v>
      </c>
      <c r="K147" s="344">
        <f>+IFERROR(_xlfn.XLOOKUP($A147,'CONSOLIDATED CY Cash Flows'!$B:$B,'CONSOLIDATED CY Cash Flows'!Q:Q)/$S147,0)</f>
        <v>0</v>
      </c>
      <c r="L147" s="344">
        <f>+IFERROR(_xlfn.XLOOKUP($A147,'CONSOLIDATED CY Cash Flows'!$B:$B,'CONSOLIDATED CY Cash Flows'!R:R)/$S147,0)</f>
        <v>0</v>
      </c>
      <c r="M147" s="344">
        <f>+IFERROR(_xlfn.XLOOKUP($A147,'CONSOLIDATED CY Cash Flows'!$B:$B,'CONSOLIDATED CY Cash Flows'!S:S)/$S147,0)</f>
        <v>0</v>
      </c>
      <c r="N147" s="344">
        <f>+IFERROR(_xlfn.XLOOKUP($A147,'CONSOLIDATED CY Cash Flows'!$B:$B,'CONSOLIDATED CY Cash Flows'!T:T)/$S147,0)</f>
        <v>0</v>
      </c>
      <c r="O147" s="344">
        <f>+IFERROR(_xlfn.XLOOKUP($A147,'CONSOLIDATED CY Cash Flows'!$B:$B,'CONSOLIDATED CY Cash Flows'!U:U)/$S147,0)</f>
        <v>0</v>
      </c>
      <c r="P147" s="344">
        <f>+IFERROR(_xlfn.XLOOKUP($A147,'CONSOLIDATED CY Cash Flows'!$B:$B,'CONSOLIDATED CY Cash Flows'!V:V)/$S147,0)</f>
        <v>0</v>
      </c>
      <c r="Q147" s="344">
        <f>+IFERROR(_xlfn.XLOOKUP($A147,'CONSOLIDATED CY Cash Flows'!$B:$B,'CONSOLIDATED CY Cash Flows'!W:W)/$S147,0)</f>
        <v>0</v>
      </c>
      <c r="R147" s="340">
        <f t="shared" ref="R147:R210" si="22">SUM(C147:Q147)</f>
        <v>0</v>
      </c>
      <c r="S147" s="501">
        <f>+IFERROR(_xlfn.XLOOKUP($A147,'CONSOLIDATED CY Cash Flows'!$B:$B,'CONSOLIDATED CY Cash Flows'!$H:$H),0)</f>
        <v>0</v>
      </c>
      <c r="T147" s="501">
        <f t="shared" si="20"/>
        <v>0</v>
      </c>
      <c r="U147" s="501">
        <f t="shared" si="21"/>
        <v>0</v>
      </c>
    </row>
    <row r="148" spans="1:21" ht="15" hidden="1" customHeight="1" x14ac:dyDescent="0.75">
      <c r="A148" s="349" t="s">
        <v>1399</v>
      </c>
      <c r="B148" s="350">
        <v>0</v>
      </c>
      <c r="C148" s="344">
        <f>+IFERROR(_xlfn.XLOOKUP($A148,'CONSOLIDATED CY Cash Flows'!$B:$B,'CONSOLIDATED CY Cash Flows'!I:I)/$S148,0)</f>
        <v>0</v>
      </c>
      <c r="D148" s="344">
        <f>+IFERROR(_xlfn.XLOOKUP($A148,'CONSOLIDATED CY Cash Flows'!$B:$B,'CONSOLIDATED CY Cash Flows'!J:J)/$S148,0)</f>
        <v>0</v>
      </c>
      <c r="E148" s="344">
        <f>+IFERROR(_xlfn.XLOOKUP($A148,'CONSOLIDATED CY Cash Flows'!$B:$B,'CONSOLIDATED CY Cash Flows'!K:K)/$S148,0)</f>
        <v>0</v>
      </c>
      <c r="F148" s="344">
        <f>+IFERROR(_xlfn.XLOOKUP($A148,'CONSOLIDATED CY Cash Flows'!$B:$B,'CONSOLIDATED CY Cash Flows'!L:L)/$S148,0)</f>
        <v>0</v>
      </c>
      <c r="G148" s="344">
        <f>+IFERROR(_xlfn.XLOOKUP($A148,'CONSOLIDATED CY Cash Flows'!$B:$B,'CONSOLIDATED CY Cash Flows'!M:M)/$S148,0)</f>
        <v>0</v>
      </c>
      <c r="H148" s="344">
        <f>+IFERROR(_xlfn.XLOOKUP($A148,'CONSOLIDATED CY Cash Flows'!$B:$B,'CONSOLIDATED CY Cash Flows'!N:N)/$S148,0)</f>
        <v>0</v>
      </c>
      <c r="I148" s="344">
        <f>+IFERROR(_xlfn.XLOOKUP($A148,'CONSOLIDATED CY Cash Flows'!$B:$B,'CONSOLIDATED CY Cash Flows'!O:O)/$S148,0)</f>
        <v>0</v>
      </c>
      <c r="J148" s="344">
        <f>+IFERROR(_xlfn.XLOOKUP($A148,'CONSOLIDATED CY Cash Flows'!$B:$B,'CONSOLIDATED CY Cash Flows'!P:P)/$S148,0)</f>
        <v>0</v>
      </c>
      <c r="K148" s="344">
        <f>+IFERROR(_xlfn.XLOOKUP($A148,'CONSOLIDATED CY Cash Flows'!$B:$B,'CONSOLIDATED CY Cash Flows'!Q:Q)/$S148,0)</f>
        <v>0</v>
      </c>
      <c r="L148" s="344">
        <f>+IFERROR(_xlfn.XLOOKUP($A148,'CONSOLIDATED CY Cash Flows'!$B:$B,'CONSOLIDATED CY Cash Flows'!R:R)/$S148,0)</f>
        <v>0</v>
      </c>
      <c r="M148" s="344">
        <f>+IFERROR(_xlfn.XLOOKUP($A148,'CONSOLIDATED CY Cash Flows'!$B:$B,'CONSOLIDATED CY Cash Flows'!S:S)/$S148,0)</f>
        <v>0</v>
      </c>
      <c r="N148" s="344">
        <f>+IFERROR(_xlfn.XLOOKUP($A148,'CONSOLIDATED CY Cash Flows'!$B:$B,'CONSOLIDATED CY Cash Flows'!T:T)/$S148,0)</f>
        <v>0</v>
      </c>
      <c r="O148" s="344">
        <f>+IFERROR(_xlfn.XLOOKUP($A148,'CONSOLIDATED CY Cash Flows'!$B:$B,'CONSOLIDATED CY Cash Flows'!U:U)/$S148,0)</f>
        <v>0</v>
      </c>
      <c r="P148" s="344">
        <f>+IFERROR(_xlfn.XLOOKUP($A148,'CONSOLIDATED CY Cash Flows'!$B:$B,'CONSOLIDATED CY Cash Flows'!V:V)/$S148,0)</f>
        <v>0</v>
      </c>
      <c r="Q148" s="344">
        <f>+IFERROR(_xlfn.XLOOKUP($A148,'CONSOLIDATED CY Cash Flows'!$B:$B,'CONSOLIDATED CY Cash Flows'!W:W)/$S148,0)</f>
        <v>0</v>
      </c>
      <c r="R148" s="340">
        <f t="shared" si="22"/>
        <v>0</v>
      </c>
      <c r="S148" s="501">
        <f>+IFERROR(_xlfn.XLOOKUP($A148,'CONSOLIDATED CY Cash Flows'!$B:$B,'CONSOLIDATED CY Cash Flows'!$H:$H),0)</f>
        <v>0</v>
      </c>
      <c r="T148" s="501">
        <f t="shared" si="20"/>
        <v>0</v>
      </c>
      <c r="U148" s="501">
        <f t="shared" si="21"/>
        <v>0</v>
      </c>
    </row>
    <row r="149" spans="1:21" ht="15" hidden="1" customHeight="1" x14ac:dyDescent="0.75">
      <c r="A149" s="349" t="s">
        <v>1399</v>
      </c>
      <c r="B149" s="350">
        <v>0</v>
      </c>
      <c r="C149" s="344">
        <f>+IFERROR(_xlfn.XLOOKUP($A149,'CONSOLIDATED CY Cash Flows'!$B:$B,'CONSOLIDATED CY Cash Flows'!I:I)/$S149,0)</f>
        <v>0</v>
      </c>
      <c r="D149" s="344">
        <f>+IFERROR(_xlfn.XLOOKUP($A149,'CONSOLIDATED CY Cash Flows'!$B:$B,'CONSOLIDATED CY Cash Flows'!J:J)/$S149,0)</f>
        <v>0</v>
      </c>
      <c r="E149" s="344">
        <f>+IFERROR(_xlfn.XLOOKUP($A149,'CONSOLIDATED CY Cash Flows'!$B:$B,'CONSOLIDATED CY Cash Flows'!K:K)/$S149,0)</f>
        <v>0</v>
      </c>
      <c r="F149" s="344">
        <f>+IFERROR(_xlfn.XLOOKUP($A149,'CONSOLIDATED CY Cash Flows'!$B:$B,'CONSOLIDATED CY Cash Flows'!L:L)/$S149,0)</f>
        <v>0</v>
      </c>
      <c r="G149" s="344">
        <f>+IFERROR(_xlfn.XLOOKUP($A149,'CONSOLIDATED CY Cash Flows'!$B:$B,'CONSOLIDATED CY Cash Flows'!M:M)/$S149,0)</f>
        <v>0</v>
      </c>
      <c r="H149" s="344">
        <f>+IFERROR(_xlfn.XLOOKUP($A149,'CONSOLIDATED CY Cash Flows'!$B:$B,'CONSOLIDATED CY Cash Flows'!N:N)/$S149,0)</f>
        <v>0</v>
      </c>
      <c r="I149" s="344">
        <f>+IFERROR(_xlfn.XLOOKUP($A149,'CONSOLIDATED CY Cash Flows'!$B:$B,'CONSOLIDATED CY Cash Flows'!O:O)/$S149,0)</f>
        <v>0</v>
      </c>
      <c r="J149" s="344">
        <f>+IFERROR(_xlfn.XLOOKUP($A149,'CONSOLIDATED CY Cash Flows'!$B:$B,'CONSOLIDATED CY Cash Flows'!P:P)/$S149,0)</f>
        <v>0</v>
      </c>
      <c r="K149" s="344">
        <f>+IFERROR(_xlfn.XLOOKUP($A149,'CONSOLIDATED CY Cash Flows'!$B:$B,'CONSOLIDATED CY Cash Flows'!Q:Q)/$S149,0)</f>
        <v>0</v>
      </c>
      <c r="L149" s="344">
        <f>+IFERROR(_xlfn.XLOOKUP($A149,'CONSOLIDATED CY Cash Flows'!$B:$B,'CONSOLIDATED CY Cash Flows'!R:R)/$S149,0)</f>
        <v>0</v>
      </c>
      <c r="M149" s="344">
        <f>+IFERROR(_xlfn.XLOOKUP($A149,'CONSOLIDATED CY Cash Flows'!$B:$B,'CONSOLIDATED CY Cash Flows'!S:S)/$S149,0)</f>
        <v>0</v>
      </c>
      <c r="N149" s="344">
        <f>+IFERROR(_xlfn.XLOOKUP($A149,'CONSOLIDATED CY Cash Flows'!$B:$B,'CONSOLIDATED CY Cash Flows'!T:T)/$S149,0)</f>
        <v>0</v>
      </c>
      <c r="O149" s="344">
        <f>+IFERROR(_xlfn.XLOOKUP($A149,'CONSOLIDATED CY Cash Flows'!$B:$B,'CONSOLIDATED CY Cash Flows'!U:U)/$S149,0)</f>
        <v>0</v>
      </c>
      <c r="P149" s="344">
        <f>+IFERROR(_xlfn.XLOOKUP($A149,'CONSOLIDATED CY Cash Flows'!$B:$B,'CONSOLIDATED CY Cash Flows'!V:V)/$S149,0)</f>
        <v>0</v>
      </c>
      <c r="Q149" s="344">
        <f>+IFERROR(_xlfn.XLOOKUP($A149,'CONSOLIDATED CY Cash Flows'!$B:$B,'CONSOLIDATED CY Cash Flows'!W:W)/$S149,0)</f>
        <v>0</v>
      </c>
      <c r="R149" s="340">
        <f t="shared" si="22"/>
        <v>0</v>
      </c>
      <c r="S149" s="501">
        <f>+IFERROR(_xlfn.XLOOKUP($A149,'CONSOLIDATED CY Cash Flows'!$B:$B,'CONSOLIDATED CY Cash Flows'!$H:$H),0)</f>
        <v>0</v>
      </c>
      <c r="T149" s="501">
        <f t="shared" si="20"/>
        <v>0</v>
      </c>
      <c r="U149" s="501">
        <f t="shared" si="21"/>
        <v>0</v>
      </c>
    </row>
    <row r="150" spans="1:21" ht="15" hidden="1" customHeight="1" x14ac:dyDescent="0.75">
      <c r="A150" s="349" t="s">
        <v>1399</v>
      </c>
      <c r="B150" s="350">
        <v>0</v>
      </c>
      <c r="C150" s="344">
        <f>+IFERROR(_xlfn.XLOOKUP($A150,'CONSOLIDATED CY Cash Flows'!$B:$B,'CONSOLIDATED CY Cash Flows'!I:I)/$S150,0)</f>
        <v>0</v>
      </c>
      <c r="D150" s="344">
        <f>+IFERROR(_xlfn.XLOOKUP($A150,'CONSOLIDATED CY Cash Flows'!$B:$B,'CONSOLIDATED CY Cash Flows'!J:J)/$S150,0)</f>
        <v>0</v>
      </c>
      <c r="E150" s="344">
        <f>+IFERROR(_xlfn.XLOOKUP($A150,'CONSOLIDATED CY Cash Flows'!$B:$B,'CONSOLIDATED CY Cash Flows'!K:K)/$S150,0)</f>
        <v>0</v>
      </c>
      <c r="F150" s="344">
        <f>+IFERROR(_xlfn.XLOOKUP($A150,'CONSOLIDATED CY Cash Flows'!$B:$B,'CONSOLIDATED CY Cash Flows'!L:L)/$S150,0)</f>
        <v>0</v>
      </c>
      <c r="G150" s="344">
        <f>+IFERROR(_xlfn.XLOOKUP($A150,'CONSOLIDATED CY Cash Flows'!$B:$B,'CONSOLIDATED CY Cash Flows'!M:M)/$S150,0)</f>
        <v>0</v>
      </c>
      <c r="H150" s="344">
        <f>+IFERROR(_xlfn.XLOOKUP($A150,'CONSOLIDATED CY Cash Flows'!$B:$B,'CONSOLIDATED CY Cash Flows'!N:N)/$S150,0)</f>
        <v>0</v>
      </c>
      <c r="I150" s="344">
        <f>+IFERROR(_xlfn.XLOOKUP($A150,'CONSOLIDATED CY Cash Flows'!$B:$B,'CONSOLIDATED CY Cash Flows'!O:O)/$S150,0)</f>
        <v>0</v>
      </c>
      <c r="J150" s="344">
        <f>+IFERROR(_xlfn.XLOOKUP($A150,'CONSOLIDATED CY Cash Flows'!$B:$B,'CONSOLIDATED CY Cash Flows'!P:P)/$S150,0)</f>
        <v>0</v>
      </c>
      <c r="K150" s="344">
        <f>+IFERROR(_xlfn.XLOOKUP($A150,'CONSOLIDATED CY Cash Flows'!$B:$B,'CONSOLIDATED CY Cash Flows'!Q:Q)/$S150,0)</f>
        <v>0</v>
      </c>
      <c r="L150" s="344">
        <f>+IFERROR(_xlfn.XLOOKUP($A150,'CONSOLIDATED CY Cash Flows'!$B:$B,'CONSOLIDATED CY Cash Flows'!R:R)/$S150,0)</f>
        <v>0</v>
      </c>
      <c r="M150" s="344">
        <f>+IFERROR(_xlfn.XLOOKUP($A150,'CONSOLIDATED CY Cash Flows'!$B:$B,'CONSOLIDATED CY Cash Flows'!S:S)/$S150,0)</f>
        <v>0</v>
      </c>
      <c r="N150" s="344">
        <f>+IFERROR(_xlfn.XLOOKUP($A150,'CONSOLIDATED CY Cash Flows'!$B:$B,'CONSOLIDATED CY Cash Flows'!T:T)/$S150,0)</f>
        <v>0</v>
      </c>
      <c r="O150" s="344">
        <f>+IFERROR(_xlfn.XLOOKUP($A150,'CONSOLIDATED CY Cash Flows'!$B:$B,'CONSOLIDATED CY Cash Flows'!U:U)/$S150,0)</f>
        <v>0</v>
      </c>
      <c r="P150" s="344">
        <f>+IFERROR(_xlfn.XLOOKUP($A150,'CONSOLIDATED CY Cash Flows'!$B:$B,'CONSOLIDATED CY Cash Flows'!V:V)/$S150,0)</f>
        <v>0</v>
      </c>
      <c r="Q150" s="344">
        <f>+IFERROR(_xlfn.XLOOKUP($A150,'CONSOLIDATED CY Cash Flows'!$B:$B,'CONSOLIDATED CY Cash Flows'!W:W)/$S150,0)</f>
        <v>0</v>
      </c>
      <c r="R150" s="340">
        <f t="shared" si="22"/>
        <v>0</v>
      </c>
      <c r="S150" s="501">
        <f>+IFERROR(_xlfn.XLOOKUP($A150,'CONSOLIDATED CY Cash Flows'!$B:$B,'CONSOLIDATED CY Cash Flows'!$H:$H),0)</f>
        <v>0</v>
      </c>
      <c r="T150" s="501">
        <f t="shared" si="20"/>
        <v>0</v>
      </c>
      <c r="U150" s="501">
        <f t="shared" si="21"/>
        <v>0</v>
      </c>
    </row>
    <row r="151" spans="1:21" ht="15" hidden="1" customHeight="1" x14ac:dyDescent="0.75">
      <c r="A151" s="349" t="s">
        <v>1399</v>
      </c>
      <c r="B151" s="350">
        <v>0</v>
      </c>
      <c r="C151" s="344">
        <f>+IFERROR(_xlfn.XLOOKUP($A151,'CONSOLIDATED CY Cash Flows'!$B:$B,'CONSOLIDATED CY Cash Flows'!I:I)/$S151,0)</f>
        <v>0</v>
      </c>
      <c r="D151" s="344">
        <f>+IFERROR(_xlfn.XLOOKUP($A151,'CONSOLIDATED CY Cash Flows'!$B:$B,'CONSOLIDATED CY Cash Flows'!J:J)/$S151,0)</f>
        <v>0</v>
      </c>
      <c r="E151" s="344">
        <f>+IFERROR(_xlfn.XLOOKUP($A151,'CONSOLIDATED CY Cash Flows'!$B:$B,'CONSOLIDATED CY Cash Flows'!K:K)/$S151,0)</f>
        <v>0</v>
      </c>
      <c r="F151" s="344">
        <f>+IFERROR(_xlfn.XLOOKUP($A151,'CONSOLIDATED CY Cash Flows'!$B:$B,'CONSOLIDATED CY Cash Flows'!L:L)/$S151,0)</f>
        <v>0</v>
      </c>
      <c r="G151" s="344">
        <f>+IFERROR(_xlfn.XLOOKUP($A151,'CONSOLIDATED CY Cash Flows'!$B:$B,'CONSOLIDATED CY Cash Flows'!M:M)/$S151,0)</f>
        <v>0</v>
      </c>
      <c r="H151" s="344">
        <f>+IFERROR(_xlfn.XLOOKUP($A151,'CONSOLIDATED CY Cash Flows'!$B:$B,'CONSOLIDATED CY Cash Flows'!N:N)/$S151,0)</f>
        <v>0</v>
      </c>
      <c r="I151" s="344">
        <f>+IFERROR(_xlfn.XLOOKUP($A151,'CONSOLIDATED CY Cash Flows'!$B:$B,'CONSOLIDATED CY Cash Flows'!O:O)/$S151,0)</f>
        <v>0</v>
      </c>
      <c r="J151" s="344">
        <f>+IFERROR(_xlfn.XLOOKUP($A151,'CONSOLIDATED CY Cash Flows'!$B:$B,'CONSOLIDATED CY Cash Flows'!P:P)/$S151,0)</f>
        <v>0</v>
      </c>
      <c r="K151" s="344">
        <f>+IFERROR(_xlfn.XLOOKUP($A151,'CONSOLIDATED CY Cash Flows'!$B:$B,'CONSOLIDATED CY Cash Flows'!Q:Q)/$S151,0)</f>
        <v>0</v>
      </c>
      <c r="L151" s="344">
        <f>+IFERROR(_xlfn.XLOOKUP($A151,'CONSOLIDATED CY Cash Flows'!$B:$B,'CONSOLIDATED CY Cash Flows'!R:R)/$S151,0)</f>
        <v>0</v>
      </c>
      <c r="M151" s="344">
        <f>+IFERROR(_xlfn.XLOOKUP($A151,'CONSOLIDATED CY Cash Flows'!$B:$B,'CONSOLIDATED CY Cash Flows'!S:S)/$S151,0)</f>
        <v>0</v>
      </c>
      <c r="N151" s="344">
        <f>+IFERROR(_xlfn.XLOOKUP($A151,'CONSOLIDATED CY Cash Flows'!$B:$B,'CONSOLIDATED CY Cash Flows'!T:T)/$S151,0)</f>
        <v>0</v>
      </c>
      <c r="O151" s="344">
        <f>+IFERROR(_xlfn.XLOOKUP($A151,'CONSOLIDATED CY Cash Flows'!$B:$B,'CONSOLIDATED CY Cash Flows'!U:U)/$S151,0)</f>
        <v>0</v>
      </c>
      <c r="P151" s="344">
        <f>+IFERROR(_xlfn.XLOOKUP($A151,'CONSOLIDATED CY Cash Flows'!$B:$B,'CONSOLIDATED CY Cash Flows'!V:V)/$S151,0)</f>
        <v>0</v>
      </c>
      <c r="Q151" s="344">
        <f>+IFERROR(_xlfn.XLOOKUP($A151,'CONSOLIDATED CY Cash Flows'!$B:$B,'CONSOLIDATED CY Cash Flows'!W:W)/$S151,0)</f>
        <v>0</v>
      </c>
      <c r="R151" s="340">
        <f t="shared" si="22"/>
        <v>0</v>
      </c>
      <c r="S151" s="501">
        <f>+IFERROR(_xlfn.XLOOKUP($A151,'CONSOLIDATED CY Cash Flows'!$B:$B,'CONSOLIDATED CY Cash Flows'!$H:$H),0)</f>
        <v>0</v>
      </c>
      <c r="T151" s="501">
        <f t="shared" si="20"/>
        <v>0</v>
      </c>
      <c r="U151" s="501">
        <f t="shared" si="21"/>
        <v>0</v>
      </c>
    </row>
    <row r="152" spans="1:21" ht="15" hidden="1" customHeight="1" x14ac:dyDescent="0.75">
      <c r="A152" s="349" t="s">
        <v>1399</v>
      </c>
      <c r="B152" s="350">
        <v>0</v>
      </c>
      <c r="C152" s="344">
        <f>+IFERROR(_xlfn.XLOOKUP($A152,'CONSOLIDATED CY Cash Flows'!$B:$B,'CONSOLIDATED CY Cash Flows'!I:I)/$S152,0)</f>
        <v>0</v>
      </c>
      <c r="D152" s="344">
        <f>+IFERROR(_xlfn.XLOOKUP($A152,'CONSOLIDATED CY Cash Flows'!$B:$B,'CONSOLIDATED CY Cash Flows'!J:J)/$S152,0)</f>
        <v>0</v>
      </c>
      <c r="E152" s="344">
        <f>+IFERROR(_xlfn.XLOOKUP($A152,'CONSOLIDATED CY Cash Flows'!$B:$B,'CONSOLIDATED CY Cash Flows'!K:K)/$S152,0)</f>
        <v>0</v>
      </c>
      <c r="F152" s="344">
        <f>+IFERROR(_xlfn.XLOOKUP($A152,'CONSOLIDATED CY Cash Flows'!$B:$B,'CONSOLIDATED CY Cash Flows'!L:L)/$S152,0)</f>
        <v>0</v>
      </c>
      <c r="G152" s="344">
        <f>+IFERROR(_xlfn.XLOOKUP($A152,'CONSOLIDATED CY Cash Flows'!$B:$B,'CONSOLIDATED CY Cash Flows'!M:M)/$S152,0)</f>
        <v>0</v>
      </c>
      <c r="H152" s="344">
        <f>+IFERROR(_xlfn.XLOOKUP($A152,'CONSOLIDATED CY Cash Flows'!$B:$B,'CONSOLIDATED CY Cash Flows'!N:N)/$S152,0)</f>
        <v>0</v>
      </c>
      <c r="I152" s="344">
        <f>+IFERROR(_xlfn.XLOOKUP($A152,'CONSOLIDATED CY Cash Flows'!$B:$B,'CONSOLIDATED CY Cash Flows'!O:O)/$S152,0)</f>
        <v>0</v>
      </c>
      <c r="J152" s="344">
        <f>+IFERROR(_xlfn.XLOOKUP($A152,'CONSOLIDATED CY Cash Flows'!$B:$B,'CONSOLIDATED CY Cash Flows'!P:P)/$S152,0)</f>
        <v>0</v>
      </c>
      <c r="K152" s="344">
        <f>+IFERROR(_xlfn.XLOOKUP($A152,'CONSOLIDATED CY Cash Flows'!$B:$B,'CONSOLIDATED CY Cash Flows'!Q:Q)/$S152,0)</f>
        <v>0</v>
      </c>
      <c r="L152" s="344">
        <f>+IFERROR(_xlfn.XLOOKUP($A152,'CONSOLIDATED CY Cash Flows'!$B:$B,'CONSOLIDATED CY Cash Flows'!R:R)/$S152,0)</f>
        <v>0</v>
      </c>
      <c r="M152" s="344">
        <f>+IFERROR(_xlfn.XLOOKUP($A152,'CONSOLIDATED CY Cash Flows'!$B:$B,'CONSOLIDATED CY Cash Flows'!S:S)/$S152,0)</f>
        <v>0</v>
      </c>
      <c r="N152" s="344">
        <f>+IFERROR(_xlfn.XLOOKUP($A152,'CONSOLIDATED CY Cash Flows'!$B:$B,'CONSOLIDATED CY Cash Flows'!T:T)/$S152,0)</f>
        <v>0</v>
      </c>
      <c r="O152" s="344">
        <f>+IFERROR(_xlfn.XLOOKUP($A152,'CONSOLIDATED CY Cash Flows'!$B:$B,'CONSOLIDATED CY Cash Flows'!U:U)/$S152,0)</f>
        <v>0</v>
      </c>
      <c r="P152" s="344">
        <f>+IFERROR(_xlfn.XLOOKUP($A152,'CONSOLIDATED CY Cash Flows'!$B:$B,'CONSOLIDATED CY Cash Flows'!V:V)/$S152,0)</f>
        <v>0</v>
      </c>
      <c r="Q152" s="344">
        <f>+IFERROR(_xlfn.XLOOKUP($A152,'CONSOLIDATED CY Cash Flows'!$B:$B,'CONSOLIDATED CY Cash Flows'!W:W)/$S152,0)</f>
        <v>0</v>
      </c>
      <c r="R152" s="340">
        <f t="shared" si="22"/>
        <v>0</v>
      </c>
      <c r="S152" s="501">
        <f>+IFERROR(_xlfn.XLOOKUP($A152,'CONSOLIDATED CY Cash Flows'!$B:$B,'CONSOLIDATED CY Cash Flows'!$H:$H),0)</f>
        <v>0</v>
      </c>
      <c r="T152" s="501">
        <f t="shared" si="20"/>
        <v>0</v>
      </c>
      <c r="U152" s="501">
        <f t="shared" si="21"/>
        <v>0</v>
      </c>
    </row>
    <row r="153" spans="1:21" ht="15" hidden="1" customHeight="1" x14ac:dyDescent="0.75">
      <c r="A153" s="349" t="s">
        <v>1399</v>
      </c>
      <c r="B153" s="350">
        <v>0</v>
      </c>
      <c r="C153" s="344">
        <f>+IFERROR(_xlfn.XLOOKUP($A153,'CONSOLIDATED CY Cash Flows'!$B:$B,'CONSOLIDATED CY Cash Flows'!I:I)/$S153,0)</f>
        <v>0</v>
      </c>
      <c r="D153" s="344">
        <f>+IFERROR(_xlfn.XLOOKUP($A153,'CONSOLIDATED CY Cash Flows'!$B:$B,'CONSOLIDATED CY Cash Flows'!J:J)/$S153,0)</f>
        <v>0</v>
      </c>
      <c r="E153" s="344">
        <f>+IFERROR(_xlfn.XLOOKUP($A153,'CONSOLIDATED CY Cash Flows'!$B:$B,'CONSOLIDATED CY Cash Flows'!K:K)/$S153,0)</f>
        <v>0</v>
      </c>
      <c r="F153" s="344">
        <f>+IFERROR(_xlfn.XLOOKUP($A153,'CONSOLIDATED CY Cash Flows'!$B:$B,'CONSOLIDATED CY Cash Flows'!L:L)/$S153,0)</f>
        <v>0</v>
      </c>
      <c r="G153" s="344">
        <f>+IFERROR(_xlfn.XLOOKUP($A153,'CONSOLIDATED CY Cash Flows'!$B:$B,'CONSOLIDATED CY Cash Flows'!M:M)/$S153,0)</f>
        <v>0</v>
      </c>
      <c r="H153" s="344">
        <f>+IFERROR(_xlfn.XLOOKUP($A153,'CONSOLIDATED CY Cash Flows'!$B:$B,'CONSOLIDATED CY Cash Flows'!N:N)/$S153,0)</f>
        <v>0</v>
      </c>
      <c r="I153" s="344">
        <f>+IFERROR(_xlfn.XLOOKUP($A153,'CONSOLIDATED CY Cash Flows'!$B:$B,'CONSOLIDATED CY Cash Flows'!O:O)/$S153,0)</f>
        <v>0</v>
      </c>
      <c r="J153" s="344">
        <f>+IFERROR(_xlfn.XLOOKUP($A153,'CONSOLIDATED CY Cash Flows'!$B:$B,'CONSOLIDATED CY Cash Flows'!P:P)/$S153,0)</f>
        <v>0</v>
      </c>
      <c r="K153" s="344">
        <f>+IFERROR(_xlfn.XLOOKUP($A153,'CONSOLIDATED CY Cash Flows'!$B:$B,'CONSOLIDATED CY Cash Flows'!Q:Q)/$S153,0)</f>
        <v>0</v>
      </c>
      <c r="L153" s="344">
        <f>+IFERROR(_xlfn.XLOOKUP($A153,'CONSOLIDATED CY Cash Flows'!$B:$B,'CONSOLIDATED CY Cash Flows'!R:R)/$S153,0)</f>
        <v>0</v>
      </c>
      <c r="M153" s="344">
        <f>+IFERROR(_xlfn.XLOOKUP($A153,'CONSOLIDATED CY Cash Flows'!$B:$B,'CONSOLIDATED CY Cash Flows'!S:S)/$S153,0)</f>
        <v>0</v>
      </c>
      <c r="N153" s="344">
        <f>+IFERROR(_xlfn.XLOOKUP($A153,'CONSOLIDATED CY Cash Flows'!$B:$B,'CONSOLIDATED CY Cash Flows'!T:T)/$S153,0)</f>
        <v>0</v>
      </c>
      <c r="O153" s="344">
        <f>+IFERROR(_xlfn.XLOOKUP($A153,'CONSOLIDATED CY Cash Flows'!$B:$B,'CONSOLIDATED CY Cash Flows'!U:U)/$S153,0)</f>
        <v>0</v>
      </c>
      <c r="P153" s="344">
        <f>+IFERROR(_xlfn.XLOOKUP($A153,'CONSOLIDATED CY Cash Flows'!$B:$B,'CONSOLIDATED CY Cash Flows'!V:V)/$S153,0)</f>
        <v>0</v>
      </c>
      <c r="Q153" s="344">
        <f>+IFERROR(_xlfn.XLOOKUP($A153,'CONSOLIDATED CY Cash Flows'!$B:$B,'CONSOLIDATED CY Cash Flows'!W:W)/$S153,0)</f>
        <v>0</v>
      </c>
      <c r="R153" s="340">
        <f t="shared" si="22"/>
        <v>0</v>
      </c>
      <c r="S153" s="501">
        <f>+IFERROR(_xlfn.XLOOKUP($A153,'CONSOLIDATED CY Cash Flows'!$B:$B,'CONSOLIDATED CY Cash Flows'!$H:$H),0)</f>
        <v>0</v>
      </c>
      <c r="T153" s="501">
        <f t="shared" si="20"/>
        <v>0</v>
      </c>
      <c r="U153" s="501">
        <f t="shared" si="21"/>
        <v>0</v>
      </c>
    </row>
    <row r="154" spans="1:21" ht="15" hidden="1" customHeight="1" x14ac:dyDescent="0.75">
      <c r="A154" s="349" t="s">
        <v>1399</v>
      </c>
      <c r="B154" s="350">
        <v>0</v>
      </c>
      <c r="C154" s="344">
        <f>+IFERROR(_xlfn.XLOOKUP($A154,'CONSOLIDATED CY Cash Flows'!$B:$B,'CONSOLIDATED CY Cash Flows'!I:I)/$S154,0)</f>
        <v>0</v>
      </c>
      <c r="D154" s="344">
        <f>+IFERROR(_xlfn.XLOOKUP($A154,'CONSOLIDATED CY Cash Flows'!$B:$B,'CONSOLIDATED CY Cash Flows'!J:J)/$S154,0)</f>
        <v>0</v>
      </c>
      <c r="E154" s="344">
        <f>+IFERROR(_xlfn.XLOOKUP($A154,'CONSOLIDATED CY Cash Flows'!$B:$B,'CONSOLIDATED CY Cash Flows'!K:K)/$S154,0)</f>
        <v>0</v>
      </c>
      <c r="F154" s="344">
        <f>+IFERROR(_xlfn.XLOOKUP($A154,'CONSOLIDATED CY Cash Flows'!$B:$B,'CONSOLIDATED CY Cash Flows'!L:L)/$S154,0)</f>
        <v>0</v>
      </c>
      <c r="G154" s="344">
        <f>+IFERROR(_xlfn.XLOOKUP($A154,'CONSOLIDATED CY Cash Flows'!$B:$B,'CONSOLIDATED CY Cash Flows'!M:M)/$S154,0)</f>
        <v>0</v>
      </c>
      <c r="H154" s="344">
        <f>+IFERROR(_xlfn.XLOOKUP($A154,'CONSOLIDATED CY Cash Flows'!$B:$B,'CONSOLIDATED CY Cash Flows'!N:N)/$S154,0)</f>
        <v>0</v>
      </c>
      <c r="I154" s="344">
        <f>+IFERROR(_xlfn.XLOOKUP($A154,'CONSOLIDATED CY Cash Flows'!$B:$B,'CONSOLIDATED CY Cash Flows'!O:O)/$S154,0)</f>
        <v>0</v>
      </c>
      <c r="J154" s="344">
        <f>+IFERROR(_xlfn.XLOOKUP($A154,'CONSOLIDATED CY Cash Flows'!$B:$B,'CONSOLIDATED CY Cash Flows'!P:P)/$S154,0)</f>
        <v>0</v>
      </c>
      <c r="K154" s="344">
        <f>+IFERROR(_xlfn.XLOOKUP($A154,'CONSOLIDATED CY Cash Flows'!$B:$B,'CONSOLIDATED CY Cash Flows'!Q:Q)/$S154,0)</f>
        <v>0</v>
      </c>
      <c r="L154" s="344">
        <f>+IFERROR(_xlfn.XLOOKUP($A154,'CONSOLIDATED CY Cash Flows'!$B:$B,'CONSOLIDATED CY Cash Flows'!R:R)/$S154,0)</f>
        <v>0</v>
      </c>
      <c r="M154" s="344">
        <f>+IFERROR(_xlfn.XLOOKUP($A154,'CONSOLIDATED CY Cash Flows'!$B:$B,'CONSOLIDATED CY Cash Flows'!S:S)/$S154,0)</f>
        <v>0</v>
      </c>
      <c r="N154" s="344">
        <f>+IFERROR(_xlfn.XLOOKUP($A154,'CONSOLIDATED CY Cash Flows'!$B:$B,'CONSOLIDATED CY Cash Flows'!T:T)/$S154,0)</f>
        <v>0</v>
      </c>
      <c r="O154" s="344">
        <f>+IFERROR(_xlfn.XLOOKUP($A154,'CONSOLIDATED CY Cash Flows'!$B:$B,'CONSOLIDATED CY Cash Flows'!U:U)/$S154,0)</f>
        <v>0</v>
      </c>
      <c r="P154" s="344">
        <f>+IFERROR(_xlfn.XLOOKUP($A154,'CONSOLIDATED CY Cash Flows'!$B:$B,'CONSOLIDATED CY Cash Flows'!V:V)/$S154,0)</f>
        <v>0</v>
      </c>
      <c r="Q154" s="344">
        <f>+IFERROR(_xlfn.XLOOKUP($A154,'CONSOLIDATED CY Cash Flows'!$B:$B,'CONSOLIDATED CY Cash Flows'!W:W)/$S154,0)</f>
        <v>0</v>
      </c>
      <c r="R154" s="340">
        <f t="shared" si="22"/>
        <v>0</v>
      </c>
      <c r="S154" s="501">
        <f>+IFERROR(_xlfn.XLOOKUP($A154,'CONSOLIDATED CY Cash Flows'!$B:$B,'CONSOLIDATED CY Cash Flows'!$H:$H),0)</f>
        <v>0</v>
      </c>
      <c r="T154" s="501">
        <f t="shared" si="20"/>
        <v>0</v>
      </c>
      <c r="U154" s="501">
        <f t="shared" si="21"/>
        <v>0</v>
      </c>
    </row>
    <row r="155" spans="1:21" ht="15" hidden="1" customHeight="1" x14ac:dyDescent="0.75">
      <c r="A155" s="349" t="s">
        <v>1399</v>
      </c>
      <c r="B155" s="350">
        <v>0</v>
      </c>
      <c r="C155" s="344">
        <f>+IFERROR(_xlfn.XLOOKUP($A155,'CONSOLIDATED CY Cash Flows'!$B:$B,'CONSOLIDATED CY Cash Flows'!I:I)/$S155,0)</f>
        <v>0</v>
      </c>
      <c r="D155" s="344">
        <f>+IFERROR(_xlfn.XLOOKUP($A155,'CONSOLIDATED CY Cash Flows'!$B:$B,'CONSOLIDATED CY Cash Flows'!J:J)/$S155,0)</f>
        <v>0</v>
      </c>
      <c r="E155" s="344">
        <f>+IFERROR(_xlfn.XLOOKUP($A155,'CONSOLIDATED CY Cash Flows'!$B:$B,'CONSOLIDATED CY Cash Flows'!K:K)/$S155,0)</f>
        <v>0</v>
      </c>
      <c r="F155" s="344">
        <f>+IFERROR(_xlfn.XLOOKUP($A155,'CONSOLIDATED CY Cash Flows'!$B:$B,'CONSOLIDATED CY Cash Flows'!L:L)/$S155,0)</f>
        <v>0</v>
      </c>
      <c r="G155" s="344">
        <f>+IFERROR(_xlfn.XLOOKUP($A155,'CONSOLIDATED CY Cash Flows'!$B:$B,'CONSOLIDATED CY Cash Flows'!M:M)/$S155,0)</f>
        <v>0</v>
      </c>
      <c r="H155" s="344">
        <f>+IFERROR(_xlfn.XLOOKUP($A155,'CONSOLIDATED CY Cash Flows'!$B:$B,'CONSOLIDATED CY Cash Flows'!N:N)/$S155,0)</f>
        <v>0</v>
      </c>
      <c r="I155" s="344">
        <f>+IFERROR(_xlfn.XLOOKUP($A155,'CONSOLIDATED CY Cash Flows'!$B:$B,'CONSOLIDATED CY Cash Flows'!O:O)/$S155,0)</f>
        <v>0</v>
      </c>
      <c r="J155" s="344">
        <f>+IFERROR(_xlfn.XLOOKUP($A155,'CONSOLIDATED CY Cash Flows'!$B:$B,'CONSOLIDATED CY Cash Flows'!P:P)/$S155,0)</f>
        <v>0</v>
      </c>
      <c r="K155" s="344">
        <f>+IFERROR(_xlfn.XLOOKUP($A155,'CONSOLIDATED CY Cash Flows'!$B:$B,'CONSOLIDATED CY Cash Flows'!Q:Q)/$S155,0)</f>
        <v>0</v>
      </c>
      <c r="L155" s="344">
        <f>+IFERROR(_xlfn.XLOOKUP($A155,'CONSOLIDATED CY Cash Flows'!$B:$B,'CONSOLIDATED CY Cash Flows'!R:R)/$S155,0)</f>
        <v>0</v>
      </c>
      <c r="M155" s="344">
        <f>+IFERROR(_xlfn.XLOOKUP($A155,'CONSOLIDATED CY Cash Flows'!$B:$B,'CONSOLIDATED CY Cash Flows'!S:S)/$S155,0)</f>
        <v>0</v>
      </c>
      <c r="N155" s="344">
        <f>+IFERROR(_xlfn.XLOOKUP($A155,'CONSOLIDATED CY Cash Flows'!$B:$B,'CONSOLIDATED CY Cash Flows'!T:T)/$S155,0)</f>
        <v>0</v>
      </c>
      <c r="O155" s="344">
        <f>+IFERROR(_xlfn.XLOOKUP($A155,'CONSOLIDATED CY Cash Flows'!$B:$B,'CONSOLIDATED CY Cash Flows'!U:U)/$S155,0)</f>
        <v>0</v>
      </c>
      <c r="P155" s="344">
        <f>+IFERROR(_xlfn.XLOOKUP($A155,'CONSOLIDATED CY Cash Flows'!$B:$B,'CONSOLIDATED CY Cash Flows'!V:V)/$S155,0)</f>
        <v>0</v>
      </c>
      <c r="Q155" s="344">
        <f>+IFERROR(_xlfn.XLOOKUP($A155,'CONSOLIDATED CY Cash Flows'!$B:$B,'CONSOLIDATED CY Cash Flows'!W:W)/$S155,0)</f>
        <v>0</v>
      </c>
      <c r="R155" s="340">
        <f t="shared" si="22"/>
        <v>0</v>
      </c>
      <c r="S155" s="501">
        <f>+IFERROR(_xlfn.XLOOKUP($A155,'CONSOLIDATED CY Cash Flows'!$B:$B,'CONSOLIDATED CY Cash Flows'!$H:$H),0)</f>
        <v>0</v>
      </c>
      <c r="T155" s="501">
        <f t="shared" si="20"/>
        <v>0</v>
      </c>
      <c r="U155" s="501">
        <f t="shared" si="21"/>
        <v>0</v>
      </c>
    </row>
    <row r="156" spans="1:21" ht="15" hidden="1" customHeight="1" thickBot="1" x14ac:dyDescent="0.9">
      <c r="A156" s="351" t="s">
        <v>1399</v>
      </c>
      <c r="B156" s="352">
        <v>0</v>
      </c>
      <c r="C156" s="348">
        <f>+IFERROR(_xlfn.XLOOKUP($A156,'CONSOLIDATED CY Cash Flows'!$B:$B,'CONSOLIDATED CY Cash Flows'!I:I)/$S156,0)</f>
        <v>0</v>
      </c>
      <c r="D156" s="348">
        <f>+IFERROR(_xlfn.XLOOKUP($A156,'CONSOLIDATED CY Cash Flows'!$B:$B,'CONSOLIDATED CY Cash Flows'!J:J)/$S156,0)</f>
        <v>0</v>
      </c>
      <c r="E156" s="348">
        <f>+IFERROR(_xlfn.XLOOKUP($A156,'CONSOLIDATED CY Cash Flows'!$B:$B,'CONSOLIDATED CY Cash Flows'!K:K)/$S156,0)</f>
        <v>0</v>
      </c>
      <c r="F156" s="348">
        <f>+IFERROR(_xlfn.XLOOKUP($A156,'CONSOLIDATED CY Cash Flows'!$B:$B,'CONSOLIDATED CY Cash Flows'!L:L)/$S156,0)</f>
        <v>0</v>
      </c>
      <c r="G156" s="348">
        <f>+IFERROR(_xlfn.XLOOKUP($A156,'CONSOLIDATED CY Cash Flows'!$B:$B,'CONSOLIDATED CY Cash Flows'!M:M)/$S156,0)</f>
        <v>0</v>
      </c>
      <c r="H156" s="348">
        <f>+IFERROR(_xlfn.XLOOKUP($A156,'CONSOLIDATED CY Cash Flows'!$B:$B,'CONSOLIDATED CY Cash Flows'!N:N)/$S156,0)</f>
        <v>0</v>
      </c>
      <c r="I156" s="348">
        <f>+IFERROR(_xlfn.XLOOKUP($A156,'CONSOLIDATED CY Cash Flows'!$B:$B,'CONSOLIDATED CY Cash Flows'!O:O)/$S156,0)</f>
        <v>0</v>
      </c>
      <c r="J156" s="348">
        <f>+IFERROR(_xlfn.XLOOKUP($A156,'CONSOLIDATED CY Cash Flows'!$B:$B,'CONSOLIDATED CY Cash Flows'!P:P)/$S156,0)</f>
        <v>0</v>
      </c>
      <c r="K156" s="348">
        <f>+IFERROR(_xlfn.XLOOKUP($A156,'CONSOLIDATED CY Cash Flows'!$B:$B,'CONSOLIDATED CY Cash Flows'!Q:Q)/$S156,0)</f>
        <v>0</v>
      </c>
      <c r="L156" s="348">
        <f>+IFERROR(_xlfn.XLOOKUP($A156,'CONSOLIDATED CY Cash Flows'!$B:$B,'CONSOLIDATED CY Cash Flows'!R:R)/$S156,0)</f>
        <v>0</v>
      </c>
      <c r="M156" s="348">
        <f>+IFERROR(_xlfn.XLOOKUP($A156,'CONSOLIDATED CY Cash Flows'!$B:$B,'CONSOLIDATED CY Cash Flows'!S:S)/$S156,0)</f>
        <v>0</v>
      </c>
      <c r="N156" s="348">
        <f>+IFERROR(_xlfn.XLOOKUP($A156,'CONSOLIDATED CY Cash Flows'!$B:$B,'CONSOLIDATED CY Cash Flows'!T:T)/$S156,0)</f>
        <v>0</v>
      </c>
      <c r="O156" s="348">
        <f>+IFERROR(_xlfn.XLOOKUP($A156,'CONSOLIDATED CY Cash Flows'!$B:$B,'CONSOLIDATED CY Cash Flows'!U:U)/$S156,0)</f>
        <v>0</v>
      </c>
      <c r="P156" s="348">
        <f>+IFERROR(_xlfn.XLOOKUP($A156,'CONSOLIDATED CY Cash Flows'!$B:$B,'CONSOLIDATED CY Cash Flows'!V:V)/$S156,0)</f>
        <v>0</v>
      </c>
      <c r="Q156" s="348">
        <f>+IFERROR(_xlfn.XLOOKUP($A156,'CONSOLIDATED CY Cash Flows'!$B:$B,'CONSOLIDATED CY Cash Flows'!W:W)/$S156,0)</f>
        <v>0</v>
      </c>
      <c r="R156" s="340">
        <f t="shared" si="22"/>
        <v>0</v>
      </c>
      <c r="S156" s="501">
        <f>+IFERROR(_xlfn.XLOOKUP($A156,'CONSOLIDATED CY Cash Flows'!$B:$B,'CONSOLIDATED CY Cash Flows'!$H:$H),0)</f>
        <v>0</v>
      </c>
      <c r="T156" s="501">
        <f t="shared" si="20"/>
        <v>0</v>
      </c>
      <c r="U156" s="501">
        <f t="shared" si="21"/>
        <v>0</v>
      </c>
    </row>
    <row r="157" spans="1:21" ht="15" hidden="1" customHeight="1" x14ac:dyDescent="0.75">
      <c r="A157" s="353">
        <v>6900</v>
      </c>
      <c r="B157" s="354" t="s">
        <v>611</v>
      </c>
      <c r="C157" s="339">
        <f>+IFERROR(_xlfn.XLOOKUP($A157,'CONSOLIDATED CY Cash Flows'!$B:$B,'CONSOLIDATED CY Cash Flows'!I:I)/$S157,0)</f>
        <v>0</v>
      </c>
      <c r="D157" s="339">
        <f>+IFERROR(_xlfn.XLOOKUP($A157,'CONSOLIDATED CY Cash Flows'!$B:$B,'CONSOLIDATED CY Cash Flows'!J:J)/$S157,0)</f>
        <v>0</v>
      </c>
      <c r="E157" s="339">
        <f>+IFERROR(_xlfn.XLOOKUP($A157,'CONSOLIDATED CY Cash Flows'!$B:$B,'CONSOLIDATED CY Cash Flows'!K:K)/$S157,0)</f>
        <v>0</v>
      </c>
      <c r="F157" s="339">
        <f>+IFERROR(_xlfn.XLOOKUP($A157,'CONSOLIDATED CY Cash Flows'!$B:$B,'CONSOLIDATED CY Cash Flows'!L:L)/$S157,0)</f>
        <v>0</v>
      </c>
      <c r="G157" s="339">
        <f>+IFERROR(_xlfn.XLOOKUP($A157,'CONSOLIDATED CY Cash Flows'!$B:$B,'CONSOLIDATED CY Cash Flows'!M:M)/$S157,0)</f>
        <v>0</v>
      </c>
      <c r="H157" s="339">
        <f>+IFERROR(_xlfn.XLOOKUP($A157,'CONSOLIDATED CY Cash Flows'!$B:$B,'CONSOLIDATED CY Cash Flows'!N:N)/$S157,0)</f>
        <v>0</v>
      </c>
      <c r="I157" s="339">
        <f>+IFERROR(_xlfn.XLOOKUP($A157,'CONSOLIDATED CY Cash Flows'!$B:$B,'CONSOLIDATED CY Cash Flows'!O:O)/$S157,0)</f>
        <v>0</v>
      </c>
      <c r="J157" s="339">
        <f>+IFERROR(_xlfn.XLOOKUP($A157,'CONSOLIDATED CY Cash Flows'!$B:$B,'CONSOLIDATED CY Cash Flows'!P:P)/$S157,0)</f>
        <v>0</v>
      </c>
      <c r="K157" s="339">
        <f>+IFERROR(_xlfn.XLOOKUP($A157,'CONSOLIDATED CY Cash Flows'!$B:$B,'CONSOLIDATED CY Cash Flows'!Q:Q)/$S157,0)</f>
        <v>0</v>
      </c>
      <c r="L157" s="339">
        <f>+IFERROR(_xlfn.XLOOKUP($A157,'CONSOLIDATED CY Cash Flows'!$B:$B,'CONSOLIDATED CY Cash Flows'!R:R)/$S157,0)</f>
        <v>0</v>
      </c>
      <c r="M157" s="339">
        <f>+IFERROR(_xlfn.XLOOKUP($A157,'CONSOLIDATED CY Cash Flows'!$B:$B,'CONSOLIDATED CY Cash Flows'!S:S)/$S157,0)</f>
        <v>0</v>
      </c>
      <c r="N157" s="339">
        <f>+IFERROR(_xlfn.XLOOKUP($A157,'CONSOLIDATED CY Cash Flows'!$B:$B,'CONSOLIDATED CY Cash Flows'!T:T)/$S157,0)</f>
        <v>0</v>
      </c>
      <c r="O157" s="339">
        <f>+IFERROR(_xlfn.XLOOKUP($A157,'CONSOLIDATED CY Cash Flows'!$B:$B,'CONSOLIDATED CY Cash Flows'!U:U)/$S157,0)</f>
        <v>0</v>
      </c>
      <c r="P157" s="339">
        <f>+IFERROR(_xlfn.XLOOKUP($A157,'CONSOLIDATED CY Cash Flows'!$B:$B,'CONSOLIDATED CY Cash Flows'!V:V)/$S157,0)</f>
        <v>0</v>
      </c>
      <c r="Q157" s="339">
        <f>+IFERROR(_xlfn.XLOOKUP($A157,'CONSOLIDATED CY Cash Flows'!$B:$B,'CONSOLIDATED CY Cash Flows'!W:W)/$S157,0)</f>
        <v>0</v>
      </c>
      <c r="R157" s="340">
        <f t="shared" si="22"/>
        <v>0</v>
      </c>
      <c r="S157" s="501">
        <f>+IFERROR(_xlfn.XLOOKUP($A157,'CONSOLIDATED CY Cash Flows'!$B:$B,'CONSOLIDATED CY Cash Flows'!$H:$H),0)</f>
        <v>0</v>
      </c>
      <c r="T157" s="501">
        <f t="shared" si="20"/>
        <v>0</v>
      </c>
      <c r="U157" s="501">
        <f t="shared" si="21"/>
        <v>0</v>
      </c>
    </row>
    <row r="158" spans="1:21" ht="15" hidden="1" customHeight="1" x14ac:dyDescent="0.75">
      <c r="A158" s="349" t="s">
        <v>1400</v>
      </c>
      <c r="B158" s="350">
        <v>0</v>
      </c>
      <c r="C158" s="344">
        <f>+IFERROR(_xlfn.XLOOKUP($A158,'CONSOLIDATED CY Cash Flows'!$B:$B,'CONSOLIDATED CY Cash Flows'!I:I)/$S158,0)</f>
        <v>0</v>
      </c>
      <c r="D158" s="344">
        <f>+IFERROR(_xlfn.XLOOKUP($A158,'CONSOLIDATED CY Cash Flows'!$B:$B,'CONSOLIDATED CY Cash Flows'!J:J)/$S158,0)</f>
        <v>0</v>
      </c>
      <c r="E158" s="344">
        <f>+IFERROR(_xlfn.XLOOKUP($A158,'CONSOLIDATED CY Cash Flows'!$B:$B,'CONSOLIDATED CY Cash Flows'!K:K)/$S158,0)</f>
        <v>0</v>
      </c>
      <c r="F158" s="344">
        <f>+IFERROR(_xlfn.XLOOKUP($A158,'CONSOLIDATED CY Cash Flows'!$B:$B,'CONSOLIDATED CY Cash Flows'!L:L)/$S158,0)</f>
        <v>0</v>
      </c>
      <c r="G158" s="344">
        <f>+IFERROR(_xlfn.XLOOKUP($A158,'CONSOLIDATED CY Cash Flows'!$B:$B,'CONSOLIDATED CY Cash Flows'!M:M)/$S158,0)</f>
        <v>0</v>
      </c>
      <c r="H158" s="344">
        <f>+IFERROR(_xlfn.XLOOKUP($A158,'CONSOLIDATED CY Cash Flows'!$B:$B,'CONSOLIDATED CY Cash Flows'!N:N)/$S158,0)</f>
        <v>0</v>
      </c>
      <c r="I158" s="344">
        <f>+IFERROR(_xlfn.XLOOKUP($A158,'CONSOLIDATED CY Cash Flows'!$B:$B,'CONSOLIDATED CY Cash Flows'!O:O)/$S158,0)</f>
        <v>0</v>
      </c>
      <c r="J158" s="344">
        <f>+IFERROR(_xlfn.XLOOKUP($A158,'CONSOLIDATED CY Cash Flows'!$B:$B,'CONSOLIDATED CY Cash Flows'!P:P)/$S158,0)</f>
        <v>0</v>
      </c>
      <c r="K158" s="344">
        <f>+IFERROR(_xlfn.XLOOKUP($A158,'CONSOLIDATED CY Cash Flows'!$B:$B,'CONSOLIDATED CY Cash Flows'!Q:Q)/$S158,0)</f>
        <v>0</v>
      </c>
      <c r="L158" s="344">
        <f>+IFERROR(_xlfn.XLOOKUP($A158,'CONSOLIDATED CY Cash Flows'!$B:$B,'CONSOLIDATED CY Cash Flows'!R:R)/$S158,0)</f>
        <v>0</v>
      </c>
      <c r="M158" s="344">
        <f>+IFERROR(_xlfn.XLOOKUP($A158,'CONSOLIDATED CY Cash Flows'!$B:$B,'CONSOLIDATED CY Cash Flows'!S:S)/$S158,0)</f>
        <v>0</v>
      </c>
      <c r="N158" s="344">
        <f>+IFERROR(_xlfn.XLOOKUP($A158,'CONSOLIDATED CY Cash Flows'!$B:$B,'CONSOLIDATED CY Cash Flows'!T:T)/$S158,0)</f>
        <v>0</v>
      </c>
      <c r="O158" s="344">
        <f>+IFERROR(_xlfn.XLOOKUP($A158,'CONSOLIDATED CY Cash Flows'!$B:$B,'CONSOLIDATED CY Cash Flows'!U:U)/$S158,0)</f>
        <v>0</v>
      </c>
      <c r="P158" s="344">
        <f>+IFERROR(_xlfn.XLOOKUP($A158,'CONSOLIDATED CY Cash Flows'!$B:$B,'CONSOLIDATED CY Cash Flows'!V:V)/$S158,0)</f>
        <v>0</v>
      </c>
      <c r="Q158" s="344">
        <f>+IFERROR(_xlfn.XLOOKUP($A158,'CONSOLIDATED CY Cash Flows'!$B:$B,'CONSOLIDATED CY Cash Flows'!W:W)/$S158,0)</f>
        <v>0</v>
      </c>
      <c r="R158" s="340">
        <f t="shared" si="22"/>
        <v>0</v>
      </c>
      <c r="S158" s="501">
        <f>+IFERROR(_xlfn.XLOOKUP($A158,'CONSOLIDATED CY Cash Flows'!$B:$B,'CONSOLIDATED CY Cash Flows'!$H:$H),0)</f>
        <v>0</v>
      </c>
      <c r="T158" s="501">
        <f t="shared" si="20"/>
        <v>0</v>
      </c>
      <c r="U158" s="501">
        <f t="shared" si="21"/>
        <v>0</v>
      </c>
    </row>
    <row r="159" spans="1:21" ht="15" hidden="1" customHeight="1" x14ac:dyDescent="0.75">
      <c r="A159" s="349" t="s">
        <v>1400</v>
      </c>
      <c r="B159" s="350">
        <v>0</v>
      </c>
      <c r="C159" s="344">
        <f>+IFERROR(_xlfn.XLOOKUP($A159,'CONSOLIDATED CY Cash Flows'!$B:$B,'CONSOLIDATED CY Cash Flows'!I:I)/$S159,0)</f>
        <v>0</v>
      </c>
      <c r="D159" s="344">
        <f>+IFERROR(_xlfn.XLOOKUP($A159,'CONSOLIDATED CY Cash Flows'!$B:$B,'CONSOLIDATED CY Cash Flows'!J:J)/$S159,0)</f>
        <v>0</v>
      </c>
      <c r="E159" s="344">
        <f>+IFERROR(_xlfn.XLOOKUP($A159,'CONSOLIDATED CY Cash Flows'!$B:$B,'CONSOLIDATED CY Cash Flows'!K:K)/$S159,0)</f>
        <v>0</v>
      </c>
      <c r="F159" s="344">
        <f>+IFERROR(_xlfn.XLOOKUP($A159,'CONSOLIDATED CY Cash Flows'!$B:$B,'CONSOLIDATED CY Cash Flows'!L:L)/$S159,0)</f>
        <v>0</v>
      </c>
      <c r="G159" s="344">
        <f>+IFERROR(_xlfn.XLOOKUP($A159,'CONSOLIDATED CY Cash Flows'!$B:$B,'CONSOLIDATED CY Cash Flows'!M:M)/$S159,0)</f>
        <v>0</v>
      </c>
      <c r="H159" s="344">
        <f>+IFERROR(_xlfn.XLOOKUP($A159,'CONSOLIDATED CY Cash Flows'!$B:$B,'CONSOLIDATED CY Cash Flows'!N:N)/$S159,0)</f>
        <v>0</v>
      </c>
      <c r="I159" s="344">
        <f>+IFERROR(_xlfn.XLOOKUP($A159,'CONSOLIDATED CY Cash Flows'!$B:$B,'CONSOLIDATED CY Cash Flows'!O:O)/$S159,0)</f>
        <v>0</v>
      </c>
      <c r="J159" s="344">
        <f>+IFERROR(_xlfn.XLOOKUP($A159,'CONSOLIDATED CY Cash Flows'!$B:$B,'CONSOLIDATED CY Cash Flows'!P:P)/$S159,0)</f>
        <v>0</v>
      </c>
      <c r="K159" s="344">
        <f>+IFERROR(_xlfn.XLOOKUP($A159,'CONSOLIDATED CY Cash Flows'!$B:$B,'CONSOLIDATED CY Cash Flows'!Q:Q)/$S159,0)</f>
        <v>0</v>
      </c>
      <c r="L159" s="344">
        <f>+IFERROR(_xlfn.XLOOKUP($A159,'CONSOLIDATED CY Cash Flows'!$B:$B,'CONSOLIDATED CY Cash Flows'!R:R)/$S159,0)</f>
        <v>0</v>
      </c>
      <c r="M159" s="344">
        <f>+IFERROR(_xlfn.XLOOKUP($A159,'CONSOLIDATED CY Cash Flows'!$B:$B,'CONSOLIDATED CY Cash Flows'!S:S)/$S159,0)</f>
        <v>0</v>
      </c>
      <c r="N159" s="344">
        <f>+IFERROR(_xlfn.XLOOKUP($A159,'CONSOLIDATED CY Cash Flows'!$B:$B,'CONSOLIDATED CY Cash Flows'!T:T)/$S159,0)</f>
        <v>0</v>
      </c>
      <c r="O159" s="344">
        <f>+IFERROR(_xlfn.XLOOKUP($A159,'CONSOLIDATED CY Cash Flows'!$B:$B,'CONSOLIDATED CY Cash Flows'!U:U)/$S159,0)</f>
        <v>0</v>
      </c>
      <c r="P159" s="344">
        <f>+IFERROR(_xlfn.XLOOKUP($A159,'CONSOLIDATED CY Cash Flows'!$B:$B,'CONSOLIDATED CY Cash Flows'!V:V)/$S159,0)</f>
        <v>0</v>
      </c>
      <c r="Q159" s="344">
        <f>+IFERROR(_xlfn.XLOOKUP($A159,'CONSOLIDATED CY Cash Flows'!$B:$B,'CONSOLIDATED CY Cash Flows'!W:W)/$S159,0)</f>
        <v>0</v>
      </c>
      <c r="R159" s="340">
        <f t="shared" si="22"/>
        <v>0</v>
      </c>
      <c r="S159" s="501">
        <f>+IFERROR(_xlfn.XLOOKUP($A159,'CONSOLIDATED CY Cash Flows'!$B:$B,'CONSOLIDATED CY Cash Flows'!$H:$H),0)</f>
        <v>0</v>
      </c>
      <c r="T159" s="501">
        <f t="shared" si="20"/>
        <v>0</v>
      </c>
      <c r="U159" s="501">
        <f t="shared" si="21"/>
        <v>0</v>
      </c>
    </row>
    <row r="160" spans="1:21" ht="15" hidden="1" customHeight="1" x14ac:dyDescent="0.75">
      <c r="A160" s="349" t="s">
        <v>1400</v>
      </c>
      <c r="B160" s="350">
        <v>0</v>
      </c>
      <c r="C160" s="344">
        <f>+IFERROR(_xlfn.XLOOKUP($A160,'CONSOLIDATED CY Cash Flows'!$B:$B,'CONSOLIDATED CY Cash Flows'!I:I)/$S160,0)</f>
        <v>0</v>
      </c>
      <c r="D160" s="344">
        <f>+IFERROR(_xlfn.XLOOKUP($A160,'CONSOLIDATED CY Cash Flows'!$B:$B,'CONSOLIDATED CY Cash Flows'!J:J)/$S160,0)</f>
        <v>0</v>
      </c>
      <c r="E160" s="344">
        <f>+IFERROR(_xlfn.XLOOKUP($A160,'CONSOLIDATED CY Cash Flows'!$B:$B,'CONSOLIDATED CY Cash Flows'!K:K)/$S160,0)</f>
        <v>0</v>
      </c>
      <c r="F160" s="344">
        <f>+IFERROR(_xlfn.XLOOKUP($A160,'CONSOLIDATED CY Cash Flows'!$B:$B,'CONSOLIDATED CY Cash Flows'!L:L)/$S160,0)</f>
        <v>0</v>
      </c>
      <c r="G160" s="344">
        <f>+IFERROR(_xlfn.XLOOKUP($A160,'CONSOLIDATED CY Cash Flows'!$B:$B,'CONSOLIDATED CY Cash Flows'!M:M)/$S160,0)</f>
        <v>0</v>
      </c>
      <c r="H160" s="344">
        <f>+IFERROR(_xlfn.XLOOKUP($A160,'CONSOLIDATED CY Cash Flows'!$B:$B,'CONSOLIDATED CY Cash Flows'!N:N)/$S160,0)</f>
        <v>0</v>
      </c>
      <c r="I160" s="344">
        <f>+IFERROR(_xlfn.XLOOKUP($A160,'CONSOLIDATED CY Cash Flows'!$B:$B,'CONSOLIDATED CY Cash Flows'!O:O)/$S160,0)</f>
        <v>0</v>
      </c>
      <c r="J160" s="344">
        <f>+IFERROR(_xlfn.XLOOKUP($A160,'CONSOLIDATED CY Cash Flows'!$B:$B,'CONSOLIDATED CY Cash Flows'!P:P)/$S160,0)</f>
        <v>0</v>
      </c>
      <c r="K160" s="344">
        <f>+IFERROR(_xlfn.XLOOKUP($A160,'CONSOLIDATED CY Cash Flows'!$B:$B,'CONSOLIDATED CY Cash Flows'!Q:Q)/$S160,0)</f>
        <v>0</v>
      </c>
      <c r="L160" s="344">
        <f>+IFERROR(_xlfn.XLOOKUP($A160,'CONSOLIDATED CY Cash Flows'!$B:$B,'CONSOLIDATED CY Cash Flows'!R:R)/$S160,0)</f>
        <v>0</v>
      </c>
      <c r="M160" s="344">
        <f>+IFERROR(_xlfn.XLOOKUP($A160,'CONSOLIDATED CY Cash Flows'!$B:$B,'CONSOLIDATED CY Cash Flows'!S:S)/$S160,0)</f>
        <v>0</v>
      </c>
      <c r="N160" s="344">
        <f>+IFERROR(_xlfn.XLOOKUP($A160,'CONSOLIDATED CY Cash Flows'!$B:$B,'CONSOLIDATED CY Cash Flows'!T:T)/$S160,0)</f>
        <v>0</v>
      </c>
      <c r="O160" s="344">
        <f>+IFERROR(_xlfn.XLOOKUP($A160,'CONSOLIDATED CY Cash Flows'!$B:$B,'CONSOLIDATED CY Cash Flows'!U:U)/$S160,0)</f>
        <v>0</v>
      </c>
      <c r="P160" s="344">
        <f>+IFERROR(_xlfn.XLOOKUP($A160,'CONSOLIDATED CY Cash Flows'!$B:$B,'CONSOLIDATED CY Cash Flows'!V:V)/$S160,0)</f>
        <v>0</v>
      </c>
      <c r="Q160" s="344">
        <f>+IFERROR(_xlfn.XLOOKUP($A160,'CONSOLIDATED CY Cash Flows'!$B:$B,'CONSOLIDATED CY Cash Flows'!W:W)/$S160,0)</f>
        <v>0</v>
      </c>
      <c r="R160" s="340">
        <f t="shared" si="22"/>
        <v>0</v>
      </c>
      <c r="S160" s="501">
        <f>+IFERROR(_xlfn.XLOOKUP($A160,'CONSOLIDATED CY Cash Flows'!$B:$B,'CONSOLIDATED CY Cash Flows'!$H:$H),0)</f>
        <v>0</v>
      </c>
      <c r="T160" s="501">
        <f t="shared" si="20"/>
        <v>0</v>
      </c>
      <c r="U160" s="501">
        <f t="shared" si="21"/>
        <v>0</v>
      </c>
    </row>
    <row r="161" spans="1:23" ht="15" hidden="1" customHeight="1" thickBot="1" x14ac:dyDescent="0.9">
      <c r="A161" s="351" t="s">
        <v>1400</v>
      </c>
      <c r="B161" s="352">
        <v>0</v>
      </c>
      <c r="C161" s="348">
        <f>+IFERROR(_xlfn.XLOOKUP($A161,'CONSOLIDATED CY Cash Flows'!$B:$B,'CONSOLIDATED CY Cash Flows'!I:I)/$S161,0)</f>
        <v>0</v>
      </c>
      <c r="D161" s="348">
        <f>+IFERROR(_xlfn.XLOOKUP($A161,'CONSOLIDATED CY Cash Flows'!$B:$B,'CONSOLIDATED CY Cash Flows'!J:J)/$S161,0)</f>
        <v>0</v>
      </c>
      <c r="E161" s="348">
        <f>+IFERROR(_xlfn.XLOOKUP($A161,'CONSOLIDATED CY Cash Flows'!$B:$B,'CONSOLIDATED CY Cash Flows'!K:K)/$S161,0)</f>
        <v>0</v>
      </c>
      <c r="F161" s="348">
        <f>+IFERROR(_xlfn.XLOOKUP($A161,'CONSOLIDATED CY Cash Flows'!$B:$B,'CONSOLIDATED CY Cash Flows'!L:L)/$S161,0)</f>
        <v>0</v>
      </c>
      <c r="G161" s="348">
        <f>+IFERROR(_xlfn.XLOOKUP($A161,'CONSOLIDATED CY Cash Flows'!$B:$B,'CONSOLIDATED CY Cash Flows'!M:M)/$S161,0)</f>
        <v>0</v>
      </c>
      <c r="H161" s="348">
        <f>+IFERROR(_xlfn.XLOOKUP($A161,'CONSOLIDATED CY Cash Flows'!$B:$B,'CONSOLIDATED CY Cash Flows'!N:N)/$S161,0)</f>
        <v>0</v>
      </c>
      <c r="I161" s="348">
        <f>+IFERROR(_xlfn.XLOOKUP($A161,'CONSOLIDATED CY Cash Flows'!$B:$B,'CONSOLIDATED CY Cash Flows'!O:O)/$S161,0)</f>
        <v>0</v>
      </c>
      <c r="J161" s="348">
        <f>+IFERROR(_xlfn.XLOOKUP($A161,'CONSOLIDATED CY Cash Flows'!$B:$B,'CONSOLIDATED CY Cash Flows'!P:P)/$S161,0)</f>
        <v>0</v>
      </c>
      <c r="K161" s="348">
        <f>+IFERROR(_xlfn.XLOOKUP($A161,'CONSOLIDATED CY Cash Flows'!$B:$B,'CONSOLIDATED CY Cash Flows'!Q:Q)/$S161,0)</f>
        <v>0</v>
      </c>
      <c r="L161" s="348">
        <f>+IFERROR(_xlfn.XLOOKUP($A161,'CONSOLIDATED CY Cash Flows'!$B:$B,'CONSOLIDATED CY Cash Flows'!R:R)/$S161,0)</f>
        <v>0</v>
      </c>
      <c r="M161" s="348">
        <f>+IFERROR(_xlfn.XLOOKUP($A161,'CONSOLIDATED CY Cash Flows'!$B:$B,'CONSOLIDATED CY Cash Flows'!S:S)/$S161,0)</f>
        <v>0</v>
      </c>
      <c r="N161" s="348">
        <f>+IFERROR(_xlfn.XLOOKUP($A161,'CONSOLIDATED CY Cash Flows'!$B:$B,'CONSOLIDATED CY Cash Flows'!T:T)/$S161,0)</f>
        <v>0</v>
      </c>
      <c r="O161" s="348">
        <f>+IFERROR(_xlfn.XLOOKUP($A161,'CONSOLIDATED CY Cash Flows'!$B:$B,'CONSOLIDATED CY Cash Flows'!U:U)/$S161,0)</f>
        <v>0</v>
      </c>
      <c r="P161" s="348">
        <f>+IFERROR(_xlfn.XLOOKUP($A161,'CONSOLIDATED CY Cash Flows'!$B:$B,'CONSOLIDATED CY Cash Flows'!V:V)/$S161,0)</f>
        <v>0</v>
      </c>
      <c r="Q161" s="348">
        <f>+IFERROR(_xlfn.XLOOKUP($A161,'CONSOLIDATED CY Cash Flows'!$B:$B,'CONSOLIDATED CY Cash Flows'!W:W)/$S161,0)</f>
        <v>0</v>
      </c>
      <c r="R161" s="340">
        <f t="shared" si="22"/>
        <v>0</v>
      </c>
      <c r="S161" s="501">
        <f>+IFERROR(_xlfn.XLOOKUP($A161,'CONSOLIDATED CY Cash Flows'!$B:$B,'CONSOLIDATED CY Cash Flows'!$H:$H),0)</f>
        <v>0</v>
      </c>
      <c r="T161" s="501">
        <f t="shared" si="20"/>
        <v>0</v>
      </c>
      <c r="U161" s="501">
        <f t="shared" si="21"/>
        <v>0</v>
      </c>
    </row>
    <row r="162" spans="1:23" ht="15" hidden="1" customHeight="1" x14ac:dyDescent="0.75">
      <c r="A162" s="353">
        <v>7000</v>
      </c>
      <c r="B162" s="337" t="s">
        <v>1449</v>
      </c>
      <c r="C162" s="339">
        <f>+IFERROR(_xlfn.XLOOKUP($A162,'CONSOLIDATED CY Cash Flows'!$B:$B,'CONSOLIDATED CY Cash Flows'!I:I)/$S162,0)</f>
        <v>0</v>
      </c>
      <c r="D162" s="339">
        <f>+IFERROR(_xlfn.XLOOKUP($A162,'CONSOLIDATED CY Cash Flows'!$B:$B,'CONSOLIDATED CY Cash Flows'!J:J)/$S162,0)</f>
        <v>0</v>
      </c>
      <c r="E162" s="339">
        <f>+IFERROR(_xlfn.XLOOKUP($A162,'CONSOLIDATED CY Cash Flows'!$B:$B,'CONSOLIDATED CY Cash Flows'!K:K)/$S162,0)</f>
        <v>0</v>
      </c>
      <c r="F162" s="339">
        <f>+IFERROR(_xlfn.XLOOKUP($A162,'CONSOLIDATED CY Cash Flows'!$B:$B,'CONSOLIDATED CY Cash Flows'!L:L)/$S162,0)</f>
        <v>0</v>
      </c>
      <c r="G162" s="339">
        <f>+IFERROR(_xlfn.XLOOKUP($A162,'CONSOLIDATED CY Cash Flows'!$B:$B,'CONSOLIDATED CY Cash Flows'!M:M)/$S162,0)</f>
        <v>0</v>
      </c>
      <c r="H162" s="339">
        <f>+IFERROR(_xlfn.XLOOKUP($A162,'CONSOLIDATED CY Cash Flows'!$B:$B,'CONSOLIDATED CY Cash Flows'!N:N)/$S162,0)</f>
        <v>0</v>
      </c>
      <c r="I162" s="339">
        <f>+IFERROR(_xlfn.XLOOKUP($A162,'CONSOLIDATED CY Cash Flows'!$B:$B,'CONSOLIDATED CY Cash Flows'!O:O)/$S162,0)</f>
        <v>0</v>
      </c>
      <c r="J162" s="339">
        <f>+IFERROR(_xlfn.XLOOKUP($A162,'CONSOLIDATED CY Cash Flows'!$B:$B,'CONSOLIDATED CY Cash Flows'!P:P)/$S162,0)</f>
        <v>0</v>
      </c>
      <c r="K162" s="339">
        <f>+IFERROR(_xlfn.XLOOKUP($A162,'CONSOLIDATED CY Cash Flows'!$B:$B,'CONSOLIDATED CY Cash Flows'!Q:Q)/$S162,0)</f>
        <v>0</v>
      </c>
      <c r="L162" s="339">
        <f>+IFERROR(_xlfn.XLOOKUP($A162,'CONSOLIDATED CY Cash Flows'!$B:$B,'CONSOLIDATED CY Cash Flows'!R:R)/$S162,0)</f>
        <v>0</v>
      </c>
      <c r="M162" s="339">
        <f>+IFERROR(_xlfn.XLOOKUP($A162,'CONSOLIDATED CY Cash Flows'!$B:$B,'CONSOLIDATED CY Cash Flows'!S:S)/$S162,0)</f>
        <v>0</v>
      </c>
      <c r="N162" s="339">
        <f>+IFERROR(_xlfn.XLOOKUP($A162,'CONSOLIDATED CY Cash Flows'!$B:$B,'CONSOLIDATED CY Cash Flows'!T:T)/$S162,0)</f>
        <v>0</v>
      </c>
      <c r="O162" s="339">
        <f>+IFERROR(_xlfn.XLOOKUP($A162,'CONSOLIDATED CY Cash Flows'!$B:$B,'CONSOLIDATED CY Cash Flows'!U:U)/$S162,0)</f>
        <v>0</v>
      </c>
      <c r="P162" s="339">
        <f>+IFERROR(_xlfn.XLOOKUP($A162,'CONSOLIDATED CY Cash Flows'!$B:$B,'CONSOLIDATED CY Cash Flows'!V:V)/$S162,0)</f>
        <v>0</v>
      </c>
      <c r="Q162" s="339">
        <f>+IFERROR(_xlfn.XLOOKUP($A162,'CONSOLIDATED CY Cash Flows'!$B:$B,'CONSOLIDATED CY Cash Flows'!W:W)/$S162,0)</f>
        <v>0</v>
      </c>
      <c r="R162" s="340">
        <f t="shared" si="22"/>
        <v>0</v>
      </c>
      <c r="S162" s="501">
        <f>+IFERROR(_xlfn.XLOOKUP($A162,'CONSOLIDATED CY Cash Flows'!$B:$B,'CONSOLIDATED CY Cash Flows'!$H:$H),0)</f>
        <v>0</v>
      </c>
      <c r="T162" s="501">
        <f t="shared" si="20"/>
        <v>0</v>
      </c>
      <c r="U162" s="501">
        <f t="shared" si="21"/>
        <v>0</v>
      </c>
    </row>
    <row r="163" spans="1:23" ht="15" hidden="1" customHeight="1" x14ac:dyDescent="0.75">
      <c r="A163" s="349">
        <v>7438</v>
      </c>
      <c r="B163" s="342" t="s">
        <v>1450</v>
      </c>
      <c r="C163" s="344">
        <f>+IFERROR(_xlfn.XLOOKUP($A163,'CONSOLIDATED CY Cash Flows'!$B:$B,'CONSOLIDATED CY Cash Flows'!I:I)/$S163,0)</f>
        <v>0</v>
      </c>
      <c r="D163" s="344">
        <f>+IFERROR(_xlfn.XLOOKUP($A163,'CONSOLIDATED CY Cash Flows'!$B:$B,'CONSOLIDATED CY Cash Flows'!J:J)/$S163,0)</f>
        <v>0</v>
      </c>
      <c r="E163" s="344">
        <f>+IFERROR(_xlfn.XLOOKUP($A163,'CONSOLIDATED CY Cash Flows'!$B:$B,'CONSOLIDATED CY Cash Flows'!K:K)/$S163,0)</f>
        <v>0</v>
      </c>
      <c r="F163" s="344">
        <f>+IFERROR(_xlfn.XLOOKUP($A163,'CONSOLIDATED CY Cash Flows'!$B:$B,'CONSOLIDATED CY Cash Flows'!L:L)/$S163,0)</f>
        <v>0</v>
      </c>
      <c r="G163" s="344">
        <f>+IFERROR(_xlfn.XLOOKUP($A163,'CONSOLIDATED CY Cash Flows'!$B:$B,'CONSOLIDATED CY Cash Flows'!M:M)/$S163,0)</f>
        <v>0</v>
      </c>
      <c r="H163" s="344">
        <f>+IFERROR(_xlfn.XLOOKUP($A163,'CONSOLIDATED CY Cash Flows'!$B:$B,'CONSOLIDATED CY Cash Flows'!N:N)/$S163,0)</f>
        <v>0</v>
      </c>
      <c r="I163" s="344">
        <f>+IFERROR(_xlfn.XLOOKUP($A163,'CONSOLIDATED CY Cash Flows'!$B:$B,'CONSOLIDATED CY Cash Flows'!O:O)/$S163,0)</f>
        <v>0</v>
      </c>
      <c r="J163" s="344">
        <f>+IFERROR(_xlfn.XLOOKUP($A163,'CONSOLIDATED CY Cash Flows'!$B:$B,'CONSOLIDATED CY Cash Flows'!P:P)/$S163,0)</f>
        <v>0</v>
      </c>
      <c r="K163" s="344">
        <f>+IFERROR(_xlfn.XLOOKUP($A163,'CONSOLIDATED CY Cash Flows'!$B:$B,'CONSOLIDATED CY Cash Flows'!Q:Q)/$S163,0)</f>
        <v>0</v>
      </c>
      <c r="L163" s="344">
        <f>+IFERROR(_xlfn.XLOOKUP($A163,'CONSOLIDATED CY Cash Flows'!$B:$B,'CONSOLIDATED CY Cash Flows'!R:R)/$S163,0)</f>
        <v>0</v>
      </c>
      <c r="M163" s="344">
        <f>+IFERROR(_xlfn.XLOOKUP($A163,'CONSOLIDATED CY Cash Flows'!$B:$B,'CONSOLIDATED CY Cash Flows'!S:S)/$S163,0)</f>
        <v>0</v>
      </c>
      <c r="N163" s="344">
        <f>+IFERROR(_xlfn.XLOOKUP($A163,'CONSOLIDATED CY Cash Flows'!$B:$B,'CONSOLIDATED CY Cash Flows'!T:T)/$S163,0)</f>
        <v>0</v>
      </c>
      <c r="O163" s="344">
        <f>+IFERROR(_xlfn.XLOOKUP($A163,'CONSOLIDATED CY Cash Flows'!$B:$B,'CONSOLIDATED CY Cash Flows'!U:U)/$S163,0)</f>
        <v>0</v>
      </c>
      <c r="P163" s="344">
        <f>+IFERROR(_xlfn.XLOOKUP($A163,'CONSOLIDATED CY Cash Flows'!$B:$B,'CONSOLIDATED CY Cash Flows'!V:V)/$S163,0)</f>
        <v>0</v>
      </c>
      <c r="Q163" s="344">
        <f>+IFERROR(_xlfn.XLOOKUP($A163,'CONSOLIDATED CY Cash Flows'!$B:$B,'CONSOLIDATED CY Cash Flows'!W:W)/$S163,0)</f>
        <v>0</v>
      </c>
      <c r="R163" s="340">
        <f t="shared" si="22"/>
        <v>0</v>
      </c>
      <c r="S163" s="501">
        <f>+IFERROR(_xlfn.XLOOKUP($A163,'CONSOLIDATED CY Cash Flows'!$B:$B,'CONSOLIDATED CY Cash Flows'!$H:$H),0)</f>
        <v>0</v>
      </c>
      <c r="T163" s="501">
        <f t="shared" si="20"/>
        <v>0</v>
      </c>
      <c r="U163" s="501">
        <f t="shared" si="21"/>
        <v>0</v>
      </c>
    </row>
    <row r="164" spans="1:23" ht="15" hidden="1" customHeight="1" x14ac:dyDescent="0.75">
      <c r="A164" s="349" t="s">
        <v>1401</v>
      </c>
      <c r="B164" s="342">
        <v>0</v>
      </c>
      <c r="C164" s="344">
        <f>+IFERROR(_xlfn.XLOOKUP($A164,'CONSOLIDATED CY Cash Flows'!$B:$B,'CONSOLIDATED CY Cash Flows'!I:I)/$S164,0)</f>
        <v>0</v>
      </c>
      <c r="D164" s="344">
        <f>+IFERROR(_xlfn.XLOOKUP($A164,'CONSOLIDATED CY Cash Flows'!$B:$B,'CONSOLIDATED CY Cash Flows'!J:J)/$S164,0)</f>
        <v>0</v>
      </c>
      <c r="E164" s="344">
        <f>+IFERROR(_xlfn.XLOOKUP($A164,'CONSOLIDATED CY Cash Flows'!$B:$B,'CONSOLIDATED CY Cash Flows'!K:K)/$S164,0)</f>
        <v>0</v>
      </c>
      <c r="F164" s="344">
        <f>+IFERROR(_xlfn.XLOOKUP($A164,'CONSOLIDATED CY Cash Flows'!$B:$B,'CONSOLIDATED CY Cash Flows'!L:L)/$S164,0)</f>
        <v>0</v>
      </c>
      <c r="G164" s="344">
        <f>+IFERROR(_xlfn.XLOOKUP($A164,'CONSOLIDATED CY Cash Flows'!$B:$B,'CONSOLIDATED CY Cash Flows'!M:M)/$S164,0)</f>
        <v>0</v>
      </c>
      <c r="H164" s="344">
        <f>+IFERROR(_xlfn.XLOOKUP($A164,'CONSOLIDATED CY Cash Flows'!$B:$B,'CONSOLIDATED CY Cash Flows'!N:N)/$S164,0)</f>
        <v>0</v>
      </c>
      <c r="I164" s="344">
        <f>+IFERROR(_xlfn.XLOOKUP($A164,'CONSOLIDATED CY Cash Flows'!$B:$B,'CONSOLIDATED CY Cash Flows'!O:O)/$S164,0)</f>
        <v>0</v>
      </c>
      <c r="J164" s="344">
        <f>+IFERROR(_xlfn.XLOOKUP($A164,'CONSOLIDATED CY Cash Flows'!$B:$B,'CONSOLIDATED CY Cash Flows'!P:P)/$S164,0)</f>
        <v>0</v>
      </c>
      <c r="K164" s="344">
        <f>+IFERROR(_xlfn.XLOOKUP($A164,'CONSOLIDATED CY Cash Flows'!$B:$B,'CONSOLIDATED CY Cash Flows'!Q:Q)/$S164,0)</f>
        <v>0</v>
      </c>
      <c r="L164" s="344">
        <f>+IFERROR(_xlfn.XLOOKUP($A164,'CONSOLIDATED CY Cash Flows'!$B:$B,'CONSOLIDATED CY Cash Flows'!R:R)/$S164,0)</f>
        <v>0</v>
      </c>
      <c r="M164" s="344">
        <f>+IFERROR(_xlfn.XLOOKUP($A164,'CONSOLIDATED CY Cash Flows'!$B:$B,'CONSOLIDATED CY Cash Flows'!S:S)/$S164,0)</f>
        <v>0</v>
      </c>
      <c r="N164" s="344">
        <f>+IFERROR(_xlfn.XLOOKUP($A164,'CONSOLIDATED CY Cash Flows'!$B:$B,'CONSOLIDATED CY Cash Flows'!T:T)/$S164,0)</f>
        <v>0</v>
      </c>
      <c r="O164" s="344">
        <f>+IFERROR(_xlfn.XLOOKUP($A164,'CONSOLIDATED CY Cash Flows'!$B:$B,'CONSOLIDATED CY Cash Flows'!U:U)/$S164,0)</f>
        <v>0</v>
      </c>
      <c r="P164" s="344">
        <f>+IFERROR(_xlfn.XLOOKUP($A164,'CONSOLIDATED CY Cash Flows'!$B:$B,'CONSOLIDATED CY Cash Flows'!V:V)/$S164,0)</f>
        <v>0</v>
      </c>
      <c r="Q164" s="344">
        <f>+IFERROR(_xlfn.XLOOKUP($A164,'CONSOLIDATED CY Cash Flows'!$B:$B,'CONSOLIDATED CY Cash Flows'!W:W)/$S164,0)</f>
        <v>0</v>
      </c>
      <c r="R164" s="340">
        <f t="shared" si="22"/>
        <v>0</v>
      </c>
      <c r="S164" s="501">
        <f>+IFERROR(_xlfn.XLOOKUP($A164,'CONSOLIDATED CY Cash Flows'!$B:$B,'CONSOLIDATED CY Cash Flows'!$H:$H),0)</f>
        <v>0</v>
      </c>
      <c r="T164" s="501">
        <f t="shared" si="20"/>
        <v>0</v>
      </c>
      <c r="U164" s="501">
        <f t="shared" si="21"/>
        <v>0</v>
      </c>
    </row>
    <row r="165" spans="1:23" ht="15" hidden="1" customHeight="1" x14ac:dyDescent="0.75">
      <c r="A165" s="349" t="s">
        <v>1401</v>
      </c>
      <c r="B165" s="342">
        <v>0</v>
      </c>
      <c r="C165" s="344">
        <f>+IFERROR(_xlfn.XLOOKUP($A165,'CONSOLIDATED CY Cash Flows'!$B:$B,'CONSOLIDATED CY Cash Flows'!I:I)/$S165,0)</f>
        <v>0</v>
      </c>
      <c r="D165" s="344">
        <f>+IFERROR(_xlfn.XLOOKUP($A165,'CONSOLIDATED CY Cash Flows'!$B:$B,'CONSOLIDATED CY Cash Flows'!J:J)/$S165,0)</f>
        <v>0</v>
      </c>
      <c r="E165" s="344">
        <f>+IFERROR(_xlfn.XLOOKUP($A165,'CONSOLIDATED CY Cash Flows'!$B:$B,'CONSOLIDATED CY Cash Flows'!K:K)/$S165,0)</f>
        <v>0</v>
      </c>
      <c r="F165" s="344">
        <f>+IFERROR(_xlfn.XLOOKUP($A165,'CONSOLIDATED CY Cash Flows'!$B:$B,'CONSOLIDATED CY Cash Flows'!L:L)/$S165,0)</f>
        <v>0</v>
      </c>
      <c r="G165" s="344">
        <f>+IFERROR(_xlfn.XLOOKUP($A165,'CONSOLIDATED CY Cash Flows'!$B:$B,'CONSOLIDATED CY Cash Flows'!M:M)/$S165,0)</f>
        <v>0</v>
      </c>
      <c r="H165" s="344">
        <f>+IFERROR(_xlfn.XLOOKUP($A165,'CONSOLIDATED CY Cash Flows'!$B:$B,'CONSOLIDATED CY Cash Flows'!N:N)/$S165,0)</f>
        <v>0</v>
      </c>
      <c r="I165" s="344">
        <f>+IFERROR(_xlfn.XLOOKUP($A165,'CONSOLIDATED CY Cash Flows'!$B:$B,'CONSOLIDATED CY Cash Flows'!O:O)/$S165,0)</f>
        <v>0</v>
      </c>
      <c r="J165" s="344">
        <f>+IFERROR(_xlfn.XLOOKUP($A165,'CONSOLIDATED CY Cash Flows'!$B:$B,'CONSOLIDATED CY Cash Flows'!P:P)/$S165,0)</f>
        <v>0</v>
      </c>
      <c r="K165" s="344">
        <f>+IFERROR(_xlfn.XLOOKUP($A165,'CONSOLIDATED CY Cash Flows'!$B:$B,'CONSOLIDATED CY Cash Flows'!Q:Q)/$S165,0)</f>
        <v>0</v>
      </c>
      <c r="L165" s="344">
        <f>+IFERROR(_xlfn.XLOOKUP($A165,'CONSOLIDATED CY Cash Flows'!$B:$B,'CONSOLIDATED CY Cash Flows'!R:R)/$S165,0)</f>
        <v>0</v>
      </c>
      <c r="M165" s="344">
        <f>+IFERROR(_xlfn.XLOOKUP($A165,'CONSOLIDATED CY Cash Flows'!$B:$B,'CONSOLIDATED CY Cash Flows'!S:S)/$S165,0)</f>
        <v>0</v>
      </c>
      <c r="N165" s="344">
        <f>+IFERROR(_xlfn.XLOOKUP($A165,'CONSOLIDATED CY Cash Flows'!$B:$B,'CONSOLIDATED CY Cash Flows'!T:T)/$S165,0)</f>
        <v>0</v>
      </c>
      <c r="O165" s="344">
        <f>+IFERROR(_xlfn.XLOOKUP($A165,'CONSOLIDATED CY Cash Flows'!$B:$B,'CONSOLIDATED CY Cash Flows'!U:U)/$S165,0)</f>
        <v>0</v>
      </c>
      <c r="P165" s="344">
        <f>+IFERROR(_xlfn.XLOOKUP($A165,'CONSOLIDATED CY Cash Flows'!$B:$B,'CONSOLIDATED CY Cash Flows'!V:V)/$S165,0)</f>
        <v>0</v>
      </c>
      <c r="Q165" s="344">
        <f>+IFERROR(_xlfn.XLOOKUP($A165,'CONSOLIDATED CY Cash Flows'!$B:$B,'CONSOLIDATED CY Cash Flows'!W:W)/$S165,0)</f>
        <v>0</v>
      </c>
      <c r="R165" s="340">
        <f t="shared" si="22"/>
        <v>0</v>
      </c>
      <c r="S165" s="501">
        <f>+IFERROR(_xlfn.XLOOKUP($A165,'CONSOLIDATED CY Cash Flows'!$B:$B,'CONSOLIDATED CY Cash Flows'!$H:$H),0)</f>
        <v>0</v>
      </c>
      <c r="T165" s="501">
        <f t="shared" si="20"/>
        <v>0</v>
      </c>
      <c r="U165" s="501">
        <f t="shared" si="21"/>
        <v>0</v>
      </c>
    </row>
    <row r="166" spans="1:23" ht="15" hidden="1" customHeight="1" x14ac:dyDescent="0.75">
      <c r="A166" s="349" t="s">
        <v>1401</v>
      </c>
      <c r="B166" s="342">
        <v>0</v>
      </c>
      <c r="C166" s="344">
        <f>+IFERROR(_xlfn.XLOOKUP($A166,'CONSOLIDATED CY Cash Flows'!$B:$B,'CONSOLIDATED CY Cash Flows'!I:I)/$S166,0)</f>
        <v>0</v>
      </c>
      <c r="D166" s="344">
        <f>+IFERROR(_xlfn.XLOOKUP($A166,'CONSOLIDATED CY Cash Flows'!$B:$B,'CONSOLIDATED CY Cash Flows'!J:J)/$S166,0)</f>
        <v>0</v>
      </c>
      <c r="E166" s="344">
        <f>+IFERROR(_xlfn.XLOOKUP($A166,'CONSOLIDATED CY Cash Flows'!$B:$B,'CONSOLIDATED CY Cash Flows'!K:K)/$S166,0)</f>
        <v>0</v>
      </c>
      <c r="F166" s="344">
        <f>+IFERROR(_xlfn.XLOOKUP($A166,'CONSOLIDATED CY Cash Flows'!$B:$B,'CONSOLIDATED CY Cash Flows'!L:L)/$S166,0)</f>
        <v>0</v>
      </c>
      <c r="G166" s="344">
        <f>+IFERROR(_xlfn.XLOOKUP($A166,'CONSOLIDATED CY Cash Flows'!$B:$B,'CONSOLIDATED CY Cash Flows'!M:M)/$S166,0)</f>
        <v>0</v>
      </c>
      <c r="H166" s="344">
        <f>+IFERROR(_xlfn.XLOOKUP($A166,'CONSOLIDATED CY Cash Flows'!$B:$B,'CONSOLIDATED CY Cash Flows'!N:N)/$S166,0)</f>
        <v>0</v>
      </c>
      <c r="I166" s="344">
        <f>+IFERROR(_xlfn.XLOOKUP($A166,'CONSOLIDATED CY Cash Flows'!$B:$B,'CONSOLIDATED CY Cash Flows'!O:O)/$S166,0)</f>
        <v>0</v>
      </c>
      <c r="J166" s="344">
        <f>+IFERROR(_xlfn.XLOOKUP($A166,'CONSOLIDATED CY Cash Flows'!$B:$B,'CONSOLIDATED CY Cash Flows'!P:P)/$S166,0)</f>
        <v>0</v>
      </c>
      <c r="K166" s="344">
        <f>+IFERROR(_xlfn.XLOOKUP($A166,'CONSOLIDATED CY Cash Flows'!$B:$B,'CONSOLIDATED CY Cash Flows'!Q:Q)/$S166,0)</f>
        <v>0</v>
      </c>
      <c r="L166" s="344">
        <f>+IFERROR(_xlfn.XLOOKUP($A166,'CONSOLIDATED CY Cash Flows'!$B:$B,'CONSOLIDATED CY Cash Flows'!R:R)/$S166,0)</f>
        <v>0</v>
      </c>
      <c r="M166" s="344">
        <f>+IFERROR(_xlfn.XLOOKUP($A166,'CONSOLIDATED CY Cash Flows'!$B:$B,'CONSOLIDATED CY Cash Flows'!S:S)/$S166,0)</f>
        <v>0</v>
      </c>
      <c r="N166" s="344">
        <f>+IFERROR(_xlfn.XLOOKUP($A166,'CONSOLIDATED CY Cash Flows'!$B:$B,'CONSOLIDATED CY Cash Flows'!T:T)/$S166,0)</f>
        <v>0</v>
      </c>
      <c r="O166" s="344">
        <f>+IFERROR(_xlfn.XLOOKUP($A166,'CONSOLIDATED CY Cash Flows'!$B:$B,'CONSOLIDATED CY Cash Flows'!U:U)/$S166,0)</f>
        <v>0</v>
      </c>
      <c r="P166" s="344">
        <f>+IFERROR(_xlfn.XLOOKUP($A166,'CONSOLIDATED CY Cash Flows'!$B:$B,'CONSOLIDATED CY Cash Flows'!V:V)/$S166,0)</f>
        <v>0</v>
      </c>
      <c r="Q166" s="344">
        <f>+IFERROR(_xlfn.XLOOKUP($A166,'CONSOLIDATED CY Cash Flows'!$B:$B,'CONSOLIDATED CY Cash Flows'!W:W)/$S166,0)</f>
        <v>0</v>
      </c>
      <c r="R166" s="340">
        <f t="shared" si="22"/>
        <v>0</v>
      </c>
      <c r="S166" s="501">
        <f>+IFERROR(_xlfn.XLOOKUP($A166,'CONSOLIDATED CY Cash Flows'!$B:$B,'CONSOLIDATED CY Cash Flows'!$H:$H),0)</f>
        <v>0</v>
      </c>
      <c r="T166" s="501">
        <f t="shared" si="20"/>
        <v>0</v>
      </c>
      <c r="U166" s="501">
        <f t="shared" si="21"/>
        <v>0</v>
      </c>
    </row>
    <row r="167" spans="1:23" ht="15" hidden="1" customHeight="1" x14ac:dyDescent="0.75">
      <c r="A167" s="349" t="s">
        <v>1401</v>
      </c>
      <c r="B167" s="342">
        <v>0</v>
      </c>
      <c r="C167" s="344">
        <f>+IFERROR(_xlfn.XLOOKUP($A167,'CONSOLIDATED CY Cash Flows'!$B:$B,'CONSOLIDATED CY Cash Flows'!I:I)/$S167,0)</f>
        <v>0</v>
      </c>
      <c r="D167" s="344">
        <f>+IFERROR(_xlfn.XLOOKUP($A167,'CONSOLIDATED CY Cash Flows'!$B:$B,'CONSOLIDATED CY Cash Flows'!J:J)/$S167,0)</f>
        <v>0</v>
      </c>
      <c r="E167" s="344">
        <f>+IFERROR(_xlfn.XLOOKUP($A167,'CONSOLIDATED CY Cash Flows'!$B:$B,'CONSOLIDATED CY Cash Flows'!K:K)/$S167,0)</f>
        <v>0</v>
      </c>
      <c r="F167" s="344">
        <f>+IFERROR(_xlfn.XLOOKUP($A167,'CONSOLIDATED CY Cash Flows'!$B:$B,'CONSOLIDATED CY Cash Flows'!L:L)/$S167,0)</f>
        <v>0</v>
      </c>
      <c r="G167" s="344">
        <f>+IFERROR(_xlfn.XLOOKUP($A167,'CONSOLIDATED CY Cash Flows'!$B:$B,'CONSOLIDATED CY Cash Flows'!M:M)/$S167,0)</f>
        <v>0</v>
      </c>
      <c r="H167" s="344">
        <f>+IFERROR(_xlfn.XLOOKUP($A167,'CONSOLIDATED CY Cash Flows'!$B:$B,'CONSOLIDATED CY Cash Flows'!N:N)/$S167,0)</f>
        <v>0</v>
      </c>
      <c r="I167" s="344">
        <f>+IFERROR(_xlfn.XLOOKUP($A167,'CONSOLIDATED CY Cash Flows'!$B:$B,'CONSOLIDATED CY Cash Flows'!O:O)/$S167,0)</f>
        <v>0</v>
      </c>
      <c r="J167" s="344">
        <f>+IFERROR(_xlfn.XLOOKUP($A167,'CONSOLIDATED CY Cash Flows'!$B:$B,'CONSOLIDATED CY Cash Flows'!P:P)/$S167,0)</f>
        <v>0</v>
      </c>
      <c r="K167" s="344">
        <f>+IFERROR(_xlfn.XLOOKUP($A167,'CONSOLIDATED CY Cash Flows'!$B:$B,'CONSOLIDATED CY Cash Flows'!Q:Q)/$S167,0)</f>
        <v>0</v>
      </c>
      <c r="L167" s="344">
        <f>+IFERROR(_xlfn.XLOOKUP($A167,'CONSOLIDATED CY Cash Flows'!$B:$B,'CONSOLIDATED CY Cash Flows'!R:R)/$S167,0)</f>
        <v>0</v>
      </c>
      <c r="M167" s="344">
        <f>+IFERROR(_xlfn.XLOOKUP($A167,'CONSOLIDATED CY Cash Flows'!$B:$B,'CONSOLIDATED CY Cash Flows'!S:S)/$S167,0)</f>
        <v>0</v>
      </c>
      <c r="N167" s="344">
        <f>+IFERROR(_xlfn.XLOOKUP($A167,'CONSOLIDATED CY Cash Flows'!$B:$B,'CONSOLIDATED CY Cash Flows'!T:T)/$S167,0)</f>
        <v>0</v>
      </c>
      <c r="O167" s="344">
        <f>+IFERROR(_xlfn.XLOOKUP($A167,'CONSOLIDATED CY Cash Flows'!$B:$B,'CONSOLIDATED CY Cash Flows'!U:U)/$S167,0)</f>
        <v>0</v>
      </c>
      <c r="P167" s="344">
        <f>+IFERROR(_xlfn.XLOOKUP($A167,'CONSOLIDATED CY Cash Flows'!$B:$B,'CONSOLIDATED CY Cash Flows'!V:V)/$S167,0)</f>
        <v>0</v>
      </c>
      <c r="Q167" s="344">
        <f>+IFERROR(_xlfn.XLOOKUP($A167,'CONSOLIDATED CY Cash Flows'!$B:$B,'CONSOLIDATED CY Cash Flows'!W:W)/$S167,0)</f>
        <v>0</v>
      </c>
      <c r="R167" s="340">
        <f t="shared" si="22"/>
        <v>0</v>
      </c>
      <c r="S167" s="501">
        <f>+IFERROR(_xlfn.XLOOKUP($A167,'CONSOLIDATED CY Cash Flows'!$B:$B,'CONSOLIDATED CY Cash Flows'!$H:$H),0)</f>
        <v>0</v>
      </c>
      <c r="T167" s="501">
        <f t="shared" si="20"/>
        <v>0</v>
      </c>
      <c r="U167" s="501">
        <f t="shared" si="21"/>
        <v>0</v>
      </c>
    </row>
    <row r="168" spans="1:23" ht="15" hidden="1" customHeight="1" thickBot="1" x14ac:dyDescent="0.9">
      <c r="A168" s="351" t="s">
        <v>1401</v>
      </c>
      <c r="B168" s="346">
        <v>0</v>
      </c>
      <c r="C168" s="348">
        <f>+IFERROR(_xlfn.XLOOKUP($A168,'CONSOLIDATED CY Cash Flows'!$B:$B,'CONSOLIDATED CY Cash Flows'!I:I)/$S168,0)</f>
        <v>0</v>
      </c>
      <c r="D168" s="348">
        <f>+IFERROR(_xlfn.XLOOKUP($A168,'CONSOLIDATED CY Cash Flows'!$B:$B,'CONSOLIDATED CY Cash Flows'!J:J)/$S168,0)</f>
        <v>0</v>
      </c>
      <c r="E168" s="348">
        <f>+IFERROR(_xlfn.XLOOKUP($A168,'CONSOLIDATED CY Cash Flows'!$B:$B,'CONSOLIDATED CY Cash Flows'!K:K)/$S168,0)</f>
        <v>0</v>
      </c>
      <c r="F168" s="348">
        <f>+IFERROR(_xlfn.XLOOKUP($A168,'CONSOLIDATED CY Cash Flows'!$B:$B,'CONSOLIDATED CY Cash Flows'!L:L)/$S168,0)</f>
        <v>0</v>
      </c>
      <c r="G168" s="348">
        <f>+IFERROR(_xlfn.XLOOKUP($A168,'CONSOLIDATED CY Cash Flows'!$B:$B,'CONSOLIDATED CY Cash Flows'!M:M)/$S168,0)</f>
        <v>0</v>
      </c>
      <c r="H168" s="348">
        <f>+IFERROR(_xlfn.XLOOKUP($A168,'CONSOLIDATED CY Cash Flows'!$B:$B,'CONSOLIDATED CY Cash Flows'!N:N)/$S168,0)</f>
        <v>0</v>
      </c>
      <c r="I168" s="348">
        <f>+IFERROR(_xlfn.XLOOKUP($A168,'CONSOLIDATED CY Cash Flows'!$B:$B,'CONSOLIDATED CY Cash Flows'!O:O)/$S168,0)</f>
        <v>0</v>
      </c>
      <c r="J168" s="348">
        <f>+IFERROR(_xlfn.XLOOKUP($A168,'CONSOLIDATED CY Cash Flows'!$B:$B,'CONSOLIDATED CY Cash Flows'!P:P)/$S168,0)</f>
        <v>0</v>
      </c>
      <c r="K168" s="348">
        <f>+IFERROR(_xlfn.XLOOKUP($A168,'CONSOLIDATED CY Cash Flows'!$B:$B,'CONSOLIDATED CY Cash Flows'!Q:Q)/$S168,0)</f>
        <v>0</v>
      </c>
      <c r="L168" s="348">
        <f>+IFERROR(_xlfn.XLOOKUP($A168,'CONSOLIDATED CY Cash Flows'!$B:$B,'CONSOLIDATED CY Cash Flows'!R:R)/$S168,0)</f>
        <v>0</v>
      </c>
      <c r="M168" s="348">
        <f>+IFERROR(_xlfn.XLOOKUP($A168,'CONSOLIDATED CY Cash Flows'!$B:$B,'CONSOLIDATED CY Cash Flows'!S:S)/$S168,0)</f>
        <v>0</v>
      </c>
      <c r="N168" s="348">
        <f>+IFERROR(_xlfn.XLOOKUP($A168,'CONSOLIDATED CY Cash Flows'!$B:$B,'CONSOLIDATED CY Cash Flows'!T:T)/$S168,0)</f>
        <v>0</v>
      </c>
      <c r="O168" s="348">
        <f>+IFERROR(_xlfn.XLOOKUP($A168,'CONSOLIDATED CY Cash Flows'!$B:$B,'CONSOLIDATED CY Cash Flows'!U:U)/$S168,0)</f>
        <v>0</v>
      </c>
      <c r="P168" s="348">
        <f>+IFERROR(_xlfn.XLOOKUP($A168,'CONSOLIDATED CY Cash Flows'!$B:$B,'CONSOLIDATED CY Cash Flows'!V:V)/$S168,0)</f>
        <v>0</v>
      </c>
      <c r="Q168" s="348">
        <f>+IFERROR(_xlfn.XLOOKUP($A168,'CONSOLIDATED CY Cash Flows'!$B:$B,'CONSOLIDATED CY Cash Flows'!W:W)/$S168,0)</f>
        <v>0</v>
      </c>
      <c r="R168" s="340">
        <f t="shared" si="22"/>
        <v>0</v>
      </c>
      <c r="S168" s="501">
        <f>+IFERROR(_xlfn.XLOOKUP($A168,'CONSOLIDATED CY Cash Flows'!$B:$B,'CONSOLIDATED CY Cash Flows'!$H:$H),0)</f>
        <v>0</v>
      </c>
      <c r="T168" s="501">
        <f t="shared" si="20"/>
        <v>0</v>
      </c>
      <c r="U168" s="501">
        <f t="shared" si="21"/>
        <v>0</v>
      </c>
      <c r="V168" s="633"/>
      <c r="W168" s="633"/>
    </row>
    <row r="169" spans="1:23" ht="15" customHeight="1" x14ac:dyDescent="0.75">
      <c r="A169" s="355">
        <v>8011</v>
      </c>
      <c r="B169" s="350" t="s">
        <v>1402</v>
      </c>
      <c r="C169" s="344">
        <f>+IFERROR(_xlfn.XLOOKUP($A169,'CONSOLIDATED CY Cash Flows'!$B:$B,'CONSOLIDATED CY Cash Flows'!I:I)/$S169,0)</f>
        <v>2.5094795008399964E-2</v>
      </c>
      <c r="D169" s="344">
        <f>+IFERROR(_xlfn.XLOOKUP($A169,'CONSOLIDATED CY Cash Flows'!$B:$B,'CONSOLIDATED CY Cash Flows'!J:J)/$S169,0)</f>
        <v>4.3461888909858533E-2</v>
      </c>
      <c r="E169" s="344">
        <f>+IFERROR(_xlfn.XLOOKUP($A169,'CONSOLIDATED CY Cash Flows'!$B:$B,'CONSOLIDATED CY Cash Flows'!K:K)/$S169,0)</f>
        <v>6.3537724916578497E-2</v>
      </c>
      <c r="F169" s="344">
        <f>+IFERROR(_xlfn.XLOOKUP($A169,'CONSOLIDATED CY Cash Flows'!$B:$B,'CONSOLIDATED CY Cash Flows'!L:L)/$S169,0)</f>
        <v>7.8231381317446211E-2</v>
      </c>
      <c r="G169" s="344">
        <f>+IFERROR(_xlfn.XLOOKUP($A169,'CONSOLIDATED CY Cash Flows'!$B:$B,'CONSOLIDATED CY Cash Flows'!M:M)/$S169,0)</f>
        <v>7.8231381317446211E-2</v>
      </c>
      <c r="H169" s="344">
        <f>+IFERROR(_xlfn.XLOOKUP($A169,'CONSOLIDATED CY Cash Flows'!$B:$B,'CONSOLIDATED CY Cash Flows'!N:N)/$S169,0)</f>
        <v>5.8810287773343177E-2</v>
      </c>
      <c r="I169" s="344">
        <f>+IFERROR(_xlfn.XLOOKUP($A169,'CONSOLIDATED CY Cash Flows'!$B:$B,'CONSOLIDATED CY Cash Flows'!O:O)/$S169,0)</f>
        <v>9.1785392707078389E-2</v>
      </c>
      <c r="J169" s="344">
        <f>+IFERROR(_xlfn.XLOOKUP($A169,'CONSOLIDATED CY Cash Flows'!$B:$B,'CONSOLIDATED CY Cash Flows'!P:P)/$S169,0)</f>
        <v>0.11216942960996981</v>
      </c>
      <c r="K169" s="344">
        <f>+IFERROR(_xlfn.XLOOKUP($A169,'CONSOLIDATED CY Cash Flows'!$B:$B,'CONSOLIDATED CY Cash Flows'!Q:Q)/$S169,0)</f>
        <v>0.11216942960996981</v>
      </c>
      <c r="L169" s="344">
        <f>+IFERROR(_xlfn.XLOOKUP($A169,'CONSOLIDATED CY Cash Flows'!$B:$B,'CONSOLIDATED CY Cash Flows'!R:R)/$S169,0)</f>
        <v>0.11216942960996981</v>
      </c>
      <c r="M169" s="344">
        <f>+IFERROR(_xlfn.XLOOKUP($A169,'CONSOLIDATED CY Cash Flows'!$B:$B,'CONSOLIDATED CY Cash Flows'!S:S)/$S169,0)</f>
        <v>0.11216942960996981</v>
      </c>
      <c r="N169" s="344">
        <f>+IFERROR(_xlfn.XLOOKUP($A169,'CONSOLIDATED CY Cash Flows'!$B:$B,'CONSOLIDATED CY Cash Flows'!T:T)/$S169,0)</f>
        <v>0.11216942960996981</v>
      </c>
      <c r="O169" s="344">
        <f>+IFERROR(_xlfn.XLOOKUP($A169,'CONSOLIDATED CY Cash Flows'!$B:$B,'CONSOLIDATED CY Cash Flows'!U:U)/$S169,0)</f>
        <v>0</v>
      </c>
      <c r="P169" s="344">
        <f>+IFERROR(_xlfn.XLOOKUP($A169,'CONSOLIDATED CY Cash Flows'!$B:$B,'CONSOLIDATED CY Cash Flows'!V:V)/$S169,0)</f>
        <v>0</v>
      </c>
      <c r="Q169" s="344">
        <f>+IFERROR(_xlfn.XLOOKUP($A169,'CONSOLIDATED CY Cash Flows'!$B:$B,'CONSOLIDATED CY Cash Flows'!W:W)/$S169,0)</f>
        <v>0</v>
      </c>
      <c r="R169" s="340">
        <f t="shared" si="22"/>
        <v>0.99999999999999989</v>
      </c>
      <c r="S169" s="501">
        <f>IFERROR(_xlfn.XLOOKUP($A169,'CONSOLIDATED CY Cash Flows'!$B:$B,'CONSOLIDATED CY Cash Flows'!$H:$H),0)</f>
        <v>21367179.920000002</v>
      </c>
      <c r="T169" s="501">
        <f t="shared" si="20"/>
        <v>9383458</v>
      </c>
      <c r="U169" s="501">
        <f t="shared" ref="U169" si="23">+S169-T169</f>
        <v>11983721.920000002</v>
      </c>
    </row>
    <row r="170" spans="1:23" ht="15" customHeight="1" x14ac:dyDescent="0.75">
      <c r="A170" s="349">
        <v>8012</v>
      </c>
      <c r="B170" s="350" t="s">
        <v>1403</v>
      </c>
      <c r="C170" s="344">
        <f>+IFERROR(_xlfn.XLOOKUP($A170,'CONSOLIDATED CY Cash Flows'!$B:$B,'CONSOLIDATED CY Cash Flows'!I:I)/$S170,0)</f>
        <v>0</v>
      </c>
      <c r="D170" s="344">
        <f>+IFERROR(_xlfn.XLOOKUP($A170,'CONSOLIDATED CY Cash Flows'!$B:$B,'CONSOLIDATED CY Cash Flows'!J:J)/$S170,0)</f>
        <v>0</v>
      </c>
      <c r="E170" s="344">
        <f>+IFERROR(_xlfn.XLOOKUP($A170,'CONSOLIDATED CY Cash Flows'!$B:$B,'CONSOLIDATED CY Cash Flows'!K:K)/$S170,0)</f>
        <v>0.28342470127527924</v>
      </c>
      <c r="F170" s="344">
        <f>+IFERROR(_xlfn.XLOOKUP($A170,'CONSOLIDATED CY Cash Flows'!$B:$B,'CONSOLIDATED CY Cash Flows'!L:L)/$S170,0)</f>
        <v>2.5205878442935977E-2</v>
      </c>
      <c r="G170" s="344">
        <f>+IFERROR(_xlfn.XLOOKUP($A170,'CONSOLIDATED CY Cash Flows'!$B:$B,'CONSOLIDATED CY Cash Flows'!M:M)/$S170,0)</f>
        <v>0</v>
      </c>
      <c r="H170" s="344">
        <f>+IFERROR(_xlfn.XLOOKUP($A170,'CONSOLIDATED CY Cash Flows'!$B:$B,'CONSOLIDATED CY Cash Flows'!N:N)/$S170,0)</f>
        <v>0.28342470127527924</v>
      </c>
      <c r="I170" s="344">
        <f>+IFERROR(_xlfn.XLOOKUP($A170,'CONSOLIDATED CY Cash Flows'!$B:$B,'CONSOLIDATED CY Cash Flows'!O:O)/$S170,0)</f>
        <v>2.5205534537263638E-2</v>
      </c>
      <c r="J170" s="344">
        <f>+IFERROR(_xlfn.XLOOKUP($A170,'CONSOLIDATED CY Cash Flows'!$B:$B,'CONSOLIDATED CY Cash Flows'!P:P)/$S170,0)</f>
        <v>0</v>
      </c>
      <c r="K170" s="344">
        <f>+IFERROR(_xlfn.XLOOKUP($A170,'CONSOLIDATED CY Cash Flows'!$B:$B,'CONSOLIDATED CY Cash Flows'!Q:Q)/$S170,0)</f>
        <v>0.19136959223462094</v>
      </c>
      <c r="L170" s="344">
        <f>+IFERROR(_xlfn.XLOOKUP($A170,'CONSOLIDATED CY Cash Flows'!$B:$B,'CONSOLIDATED CY Cash Flows'!R:R)/$S170,0)</f>
        <v>0</v>
      </c>
      <c r="M170" s="344">
        <f>+IFERROR(_xlfn.XLOOKUP($A170,'CONSOLIDATED CY Cash Flows'!$B:$B,'CONSOLIDATED CY Cash Flows'!S:S)/$S170,0)</f>
        <v>0</v>
      </c>
      <c r="N170" s="344">
        <f>+IFERROR(_xlfn.XLOOKUP($A170,'CONSOLIDATED CY Cash Flows'!$B:$B,'CONSOLIDATED CY Cash Flows'!T:T)/$S170,0)</f>
        <v>0.19136959223462094</v>
      </c>
      <c r="O170" s="344">
        <f>+IFERROR(_xlfn.XLOOKUP($A170,'CONSOLIDATED CY Cash Flows'!$B:$B,'CONSOLIDATED CY Cash Flows'!U:U)/$S170,0)</f>
        <v>0</v>
      </c>
      <c r="P170" s="344">
        <f>+IFERROR(_xlfn.XLOOKUP($A170,'CONSOLIDATED CY Cash Flows'!$B:$B,'CONSOLIDATED CY Cash Flows'!V:V)/$S170,0)</f>
        <v>0</v>
      </c>
      <c r="Q170" s="344">
        <f>+IFERROR(_xlfn.XLOOKUP($A170,'CONSOLIDATED CY Cash Flows'!$B:$B,'CONSOLIDATED CY Cash Flows'!W:W)/$S170,0)</f>
        <v>0</v>
      </c>
      <c r="R170" s="340">
        <f t="shared" si="22"/>
        <v>0.99999999999999989</v>
      </c>
      <c r="S170" s="501">
        <f>IFERROR(_xlfn.XLOOKUP($A170,'CONSOLIDATED CY Cash Flows'!$B:$B,'CONSOLIDATED CY Cash Flows'!$H:$H),0)</f>
        <v>2907774.08</v>
      </c>
      <c r="T170" s="501">
        <f t="shared" si="20"/>
        <v>1794854.9999999998</v>
      </c>
      <c r="U170" s="501">
        <f t="shared" ref="U170:U231" si="24">+S170-T170</f>
        <v>1112919.0800000003</v>
      </c>
    </row>
    <row r="171" spans="1:23" ht="15" customHeight="1" thickBot="1" x14ac:dyDescent="0.9">
      <c r="A171" s="349">
        <v>8096</v>
      </c>
      <c r="B171" s="350" t="s">
        <v>1404</v>
      </c>
      <c r="C171" s="344">
        <f>+IFERROR(_xlfn.XLOOKUP($A171,'CONSOLIDATED CY Cash Flows'!$B:$B,'CONSOLIDATED CY Cash Flows'!I:I)/$S171,0)</f>
        <v>0</v>
      </c>
      <c r="D171" s="344">
        <f>+IFERROR(_xlfn.XLOOKUP($A171,'CONSOLIDATED CY Cash Flows'!$B:$B,'CONSOLIDATED CY Cash Flows'!J:J)/$S171,0)</f>
        <v>4.1855372530873756E-2</v>
      </c>
      <c r="E171" s="344">
        <f>+IFERROR(_xlfn.XLOOKUP($A171,'CONSOLIDATED CY Cash Flows'!$B:$B,'CONSOLIDATED CY Cash Flows'!K:K)/$S171,0)</f>
        <v>0.13860038416109871</v>
      </c>
      <c r="F171" s="344">
        <f>+IFERROR(_xlfn.XLOOKUP($A171,'CONSOLIDATED CY Cash Flows'!$B:$B,'CONSOLIDATED CY Cash Flows'!L:L)/$S171,0)</f>
        <v>9.6095226695800035E-2</v>
      </c>
      <c r="G171" s="344">
        <f>+IFERROR(_xlfn.XLOOKUP($A171,'CONSOLIDATED CY Cash Flows'!$B:$B,'CONSOLIDATED CY Cash Flows'!M:M)/$S171,0)</f>
        <v>9.6119820706221284E-2</v>
      </c>
      <c r="H171" s="344">
        <f>+IFERROR(_xlfn.XLOOKUP($A171,'CONSOLIDATED CY Cash Flows'!$B:$B,'CONSOLIDATED CY Cash Flows'!N:N)/$S171,0)</f>
        <v>5.6637490703606505E-2</v>
      </c>
      <c r="I171" s="344">
        <f>+IFERROR(_xlfn.XLOOKUP($A171,'CONSOLIDATED CY Cash Flows'!$B:$B,'CONSOLIDATED CY Cash Flows'!O:O)/$S171,0)</f>
        <v>0.12313634115395873</v>
      </c>
      <c r="J171" s="344">
        <f>+IFERROR(_xlfn.XLOOKUP($A171,'CONSOLIDATED CY Cash Flows'!$B:$B,'CONSOLIDATED CY Cash Flows'!P:P)/$S171,0)</f>
        <v>7.1608858247750568E-2</v>
      </c>
      <c r="K171" s="344">
        <f>+IFERROR(_xlfn.XLOOKUP($A171,'CONSOLIDATED CY Cash Flows'!$B:$B,'CONSOLIDATED CY Cash Flows'!Q:Q)/$S171,0)</f>
        <v>0.12531550193356347</v>
      </c>
      <c r="L171" s="344">
        <f>+IFERROR(_xlfn.XLOOKUP($A171,'CONSOLIDATED CY Cash Flows'!$B:$B,'CONSOLIDATED CY Cash Flows'!R:R)/$S171,0)</f>
        <v>6.2657750966781736E-2</v>
      </c>
      <c r="M171" s="344">
        <f>+IFERROR(_xlfn.XLOOKUP($A171,'CONSOLIDATED CY Cash Flows'!$B:$B,'CONSOLIDATED CY Cash Flows'!S:S)/$S171,0)</f>
        <v>6.2657750966781736E-2</v>
      </c>
      <c r="N171" s="344">
        <f>+IFERROR(_xlfn.XLOOKUP($A171,'CONSOLIDATED CY Cash Flows'!$B:$B,'CONSOLIDATED CY Cash Flows'!T:T)/$S171,0)</f>
        <v>6.2657750966781736E-2</v>
      </c>
      <c r="O171" s="344">
        <f>+IFERROR(_xlfn.XLOOKUP($A171,'CONSOLIDATED CY Cash Flows'!$B:$B,'CONSOLIDATED CY Cash Flows'!U:U)/$S171,0)</f>
        <v>6.2657750966781736E-2</v>
      </c>
      <c r="P171" s="344">
        <f>+IFERROR(_xlfn.XLOOKUP($A171,'CONSOLIDATED CY Cash Flows'!$B:$B,'CONSOLIDATED CY Cash Flows'!V:V)/$S171,0)</f>
        <v>0</v>
      </c>
      <c r="Q171" s="344">
        <f>+IFERROR(_xlfn.XLOOKUP($A171,'CONSOLIDATED CY Cash Flows'!$B:$B,'CONSOLIDATED CY Cash Flows'!W:W)/$S171,0)</f>
        <v>0</v>
      </c>
      <c r="R171" s="340">
        <f t="shared" si="22"/>
        <v>0.99999999999999989</v>
      </c>
      <c r="S171" s="501">
        <f>IFERROR(_xlfn.XLOOKUP($A171,'CONSOLIDATED CY Cash Flows'!$B:$B,'CONSOLIDATED CY Cash Flows'!$H:$H),0)</f>
        <v>3578106.9655879997</v>
      </c>
      <c r="T171" s="501">
        <f t="shared" si="20"/>
        <v>1976706</v>
      </c>
      <c r="U171" s="501">
        <f t="shared" si="24"/>
        <v>1601400.9655879997</v>
      </c>
    </row>
    <row r="172" spans="1:23" ht="15" hidden="1" customHeight="1" x14ac:dyDescent="0.75">
      <c r="A172" s="349">
        <v>8019</v>
      </c>
      <c r="B172" s="350" t="s">
        <v>1139</v>
      </c>
      <c r="C172" s="344">
        <f>+IFERROR(_xlfn.XLOOKUP($A172,'CONSOLIDATED CY Cash Flows'!$B:$B,'CONSOLIDATED CY Cash Flows'!I:I)/$S172,0)</f>
        <v>0</v>
      </c>
      <c r="D172" s="344">
        <f>+IFERROR(_xlfn.XLOOKUP($A172,'CONSOLIDATED CY Cash Flows'!$B:$B,'CONSOLIDATED CY Cash Flows'!J:J)/$S172,0)</f>
        <v>0</v>
      </c>
      <c r="E172" s="344">
        <f>+IFERROR(_xlfn.XLOOKUP($A172,'CONSOLIDATED CY Cash Flows'!$B:$B,'CONSOLIDATED CY Cash Flows'!K:K)/$S172,0)</f>
        <v>0</v>
      </c>
      <c r="F172" s="344">
        <f>+IFERROR(_xlfn.XLOOKUP($A172,'CONSOLIDATED CY Cash Flows'!$B:$B,'CONSOLIDATED CY Cash Flows'!L:L)/$S172,0)</f>
        <v>0</v>
      </c>
      <c r="G172" s="344">
        <f>+IFERROR(_xlfn.XLOOKUP($A172,'CONSOLIDATED CY Cash Flows'!$B:$B,'CONSOLIDATED CY Cash Flows'!M:M)/$S172,0)</f>
        <v>0</v>
      </c>
      <c r="H172" s="344">
        <f>+IFERROR(_xlfn.XLOOKUP($A172,'CONSOLIDATED CY Cash Flows'!$B:$B,'CONSOLIDATED CY Cash Flows'!N:N)/$S172,0)</f>
        <v>0</v>
      </c>
      <c r="I172" s="344">
        <f>+IFERROR(_xlfn.XLOOKUP($A172,'CONSOLIDATED CY Cash Flows'!$B:$B,'CONSOLIDATED CY Cash Flows'!O:O)/$S172,0)</f>
        <v>0</v>
      </c>
      <c r="J172" s="344">
        <f>+IFERROR(_xlfn.XLOOKUP($A172,'CONSOLIDATED CY Cash Flows'!$B:$B,'CONSOLIDATED CY Cash Flows'!P:P)/$S172,0)</f>
        <v>0</v>
      </c>
      <c r="K172" s="344">
        <f>+IFERROR(_xlfn.XLOOKUP($A172,'CONSOLIDATED CY Cash Flows'!$B:$B,'CONSOLIDATED CY Cash Flows'!Q:Q)/$S172,0)</f>
        <v>0</v>
      </c>
      <c r="L172" s="344">
        <f>+IFERROR(_xlfn.XLOOKUP($A172,'CONSOLIDATED CY Cash Flows'!$B:$B,'CONSOLIDATED CY Cash Flows'!R:R)/$S172,0)</f>
        <v>0</v>
      </c>
      <c r="M172" s="344">
        <f>+IFERROR(_xlfn.XLOOKUP($A172,'CONSOLIDATED CY Cash Flows'!$B:$B,'CONSOLIDATED CY Cash Flows'!S:S)/$S172,0)</f>
        <v>0</v>
      </c>
      <c r="N172" s="344">
        <f>+IFERROR(_xlfn.XLOOKUP($A172,'CONSOLIDATED CY Cash Flows'!$B:$B,'CONSOLIDATED CY Cash Flows'!T:T)/$S172,0)</f>
        <v>0</v>
      </c>
      <c r="O172" s="344">
        <f>+IFERROR(_xlfn.XLOOKUP($A172,'CONSOLIDATED CY Cash Flows'!$B:$B,'CONSOLIDATED CY Cash Flows'!U:U)/$S172,0)</f>
        <v>0</v>
      </c>
      <c r="P172" s="344">
        <f>+IFERROR(_xlfn.XLOOKUP($A172,'CONSOLIDATED CY Cash Flows'!$B:$B,'CONSOLIDATED CY Cash Flows'!V:V)/$S172,0)</f>
        <v>0</v>
      </c>
      <c r="Q172" s="344">
        <f>+IFERROR(_xlfn.XLOOKUP($A172,'CONSOLIDATED CY Cash Flows'!$B:$B,'CONSOLIDATED CY Cash Flows'!W:W)/$S172,0)</f>
        <v>0</v>
      </c>
      <c r="R172" s="340">
        <f t="shared" si="22"/>
        <v>0</v>
      </c>
      <c r="S172" s="501">
        <f>IFERROR(_xlfn.XLOOKUP($A172,'CONSOLIDATED CY Cash Flows'!$B:$B,'CONSOLIDATED CY Cash Flows'!$H:$H),0)</f>
        <v>0</v>
      </c>
      <c r="T172" s="501">
        <f t="shared" si="20"/>
        <v>0</v>
      </c>
      <c r="U172" s="501">
        <f t="shared" si="24"/>
        <v>0</v>
      </c>
    </row>
    <row r="173" spans="1:23" ht="15" hidden="1" customHeight="1" x14ac:dyDescent="0.75">
      <c r="A173" s="349" t="s">
        <v>1459</v>
      </c>
      <c r="B173" s="350">
        <v>0</v>
      </c>
      <c r="C173" s="344">
        <f>+IFERROR(_xlfn.XLOOKUP($A173,'CONSOLIDATED CY Cash Flows'!$B:$B,'CONSOLIDATED CY Cash Flows'!I:I)/$S173,0)</f>
        <v>0</v>
      </c>
      <c r="D173" s="344">
        <f>+IFERROR(_xlfn.XLOOKUP($A173,'CONSOLIDATED CY Cash Flows'!$B:$B,'CONSOLIDATED CY Cash Flows'!J:J)/$S173,0)</f>
        <v>0</v>
      </c>
      <c r="E173" s="344">
        <f>+IFERROR(_xlfn.XLOOKUP($A173,'CONSOLIDATED CY Cash Flows'!$B:$B,'CONSOLIDATED CY Cash Flows'!K:K)/$S173,0)</f>
        <v>0</v>
      </c>
      <c r="F173" s="344">
        <f>+IFERROR(_xlfn.XLOOKUP($A173,'CONSOLIDATED CY Cash Flows'!$B:$B,'CONSOLIDATED CY Cash Flows'!L:L)/$S173,0)</f>
        <v>0</v>
      </c>
      <c r="G173" s="344">
        <f>+IFERROR(_xlfn.XLOOKUP($A173,'CONSOLIDATED CY Cash Flows'!$B:$B,'CONSOLIDATED CY Cash Flows'!M:M)/$S173,0)</f>
        <v>0</v>
      </c>
      <c r="H173" s="344">
        <f>+IFERROR(_xlfn.XLOOKUP($A173,'CONSOLIDATED CY Cash Flows'!$B:$B,'CONSOLIDATED CY Cash Flows'!N:N)/$S173,0)</f>
        <v>0</v>
      </c>
      <c r="I173" s="344">
        <f>+IFERROR(_xlfn.XLOOKUP($A173,'CONSOLIDATED CY Cash Flows'!$B:$B,'CONSOLIDATED CY Cash Flows'!O:O)/$S173,0)</f>
        <v>0</v>
      </c>
      <c r="J173" s="344">
        <f>+IFERROR(_xlfn.XLOOKUP($A173,'CONSOLIDATED CY Cash Flows'!$B:$B,'CONSOLIDATED CY Cash Flows'!P:P)/$S173,0)</f>
        <v>0</v>
      </c>
      <c r="K173" s="344">
        <f>+IFERROR(_xlfn.XLOOKUP($A173,'CONSOLIDATED CY Cash Flows'!$B:$B,'CONSOLIDATED CY Cash Flows'!Q:Q)/$S173,0)</f>
        <v>0</v>
      </c>
      <c r="L173" s="344">
        <f>+IFERROR(_xlfn.XLOOKUP($A173,'CONSOLIDATED CY Cash Flows'!$B:$B,'CONSOLIDATED CY Cash Flows'!R:R)/$S173,0)</f>
        <v>0</v>
      </c>
      <c r="M173" s="344">
        <f>+IFERROR(_xlfn.XLOOKUP($A173,'CONSOLIDATED CY Cash Flows'!$B:$B,'CONSOLIDATED CY Cash Flows'!S:S)/$S173,0)</f>
        <v>0</v>
      </c>
      <c r="N173" s="344">
        <f>+IFERROR(_xlfn.XLOOKUP($A173,'CONSOLIDATED CY Cash Flows'!$B:$B,'CONSOLIDATED CY Cash Flows'!T:T)/$S173,0)</f>
        <v>0</v>
      </c>
      <c r="O173" s="344">
        <f>+IFERROR(_xlfn.XLOOKUP($A173,'CONSOLIDATED CY Cash Flows'!$B:$B,'CONSOLIDATED CY Cash Flows'!U:U)/$S173,0)</f>
        <v>0</v>
      </c>
      <c r="P173" s="344">
        <f>+IFERROR(_xlfn.XLOOKUP($A173,'CONSOLIDATED CY Cash Flows'!$B:$B,'CONSOLIDATED CY Cash Flows'!V:V)/$S173,0)</f>
        <v>0</v>
      </c>
      <c r="Q173" s="344">
        <f>+IFERROR(_xlfn.XLOOKUP($A173,'CONSOLIDATED CY Cash Flows'!$B:$B,'CONSOLIDATED CY Cash Flows'!W:W)/$S173,0)</f>
        <v>0</v>
      </c>
      <c r="R173" s="340">
        <f t="shared" si="22"/>
        <v>0</v>
      </c>
      <c r="S173" s="501">
        <f>IFERROR(_xlfn.XLOOKUP($A173,'CONSOLIDATED CY Cash Flows'!$B:$B,'CONSOLIDATED CY Cash Flows'!$H:$H),0)</f>
        <v>0</v>
      </c>
      <c r="T173" s="501">
        <f t="shared" si="20"/>
        <v>0</v>
      </c>
      <c r="U173" s="501">
        <f t="shared" si="24"/>
        <v>0</v>
      </c>
    </row>
    <row r="174" spans="1:23" ht="15" hidden="1" customHeight="1" x14ac:dyDescent="0.75">
      <c r="A174" s="349" t="s">
        <v>1459</v>
      </c>
      <c r="B174" s="350">
        <v>0</v>
      </c>
      <c r="C174" s="344">
        <f>+IFERROR(_xlfn.XLOOKUP($A174,'CONSOLIDATED CY Cash Flows'!$B:$B,'CONSOLIDATED CY Cash Flows'!I:I)/$S174,0)</f>
        <v>0</v>
      </c>
      <c r="D174" s="344">
        <f>+IFERROR(_xlfn.XLOOKUP($A174,'CONSOLIDATED CY Cash Flows'!$B:$B,'CONSOLIDATED CY Cash Flows'!J:J)/$S174,0)</f>
        <v>0</v>
      </c>
      <c r="E174" s="344">
        <f>+IFERROR(_xlfn.XLOOKUP($A174,'CONSOLIDATED CY Cash Flows'!$B:$B,'CONSOLIDATED CY Cash Flows'!K:K)/$S174,0)</f>
        <v>0</v>
      </c>
      <c r="F174" s="344">
        <f>+IFERROR(_xlfn.XLOOKUP($A174,'CONSOLIDATED CY Cash Flows'!$B:$B,'CONSOLIDATED CY Cash Flows'!L:L)/$S174,0)</f>
        <v>0</v>
      </c>
      <c r="G174" s="344">
        <f>+IFERROR(_xlfn.XLOOKUP($A174,'CONSOLIDATED CY Cash Flows'!$B:$B,'CONSOLIDATED CY Cash Flows'!M:M)/$S174,0)</f>
        <v>0</v>
      </c>
      <c r="H174" s="344">
        <f>+IFERROR(_xlfn.XLOOKUP($A174,'CONSOLIDATED CY Cash Flows'!$B:$B,'CONSOLIDATED CY Cash Flows'!N:N)/$S174,0)</f>
        <v>0</v>
      </c>
      <c r="I174" s="344">
        <f>+IFERROR(_xlfn.XLOOKUP($A174,'CONSOLIDATED CY Cash Flows'!$B:$B,'CONSOLIDATED CY Cash Flows'!O:O)/$S174,0)</f>
        <v>0</v>
      </c>
      <c r="J174" s="344">
        <f>+IFERROR(_xlfn.XLOOKUP($A174,'CONSOLIDATED CY Cash Flows'!$B:$B,'CONSOLIDATED CY Cash Flows'!P:P)/$S174,0)</f>
        <v>0</v>
      </c>
      <c r="K174" s="344">
        <f>+IFERROR(_xlfn.XLOOKUP($A174,'CONSOLIDATED CY Cash Flows'!$B:$B,'CONSOLIDATED CY Cash Flows'!Q:Q)/$S174,0)</f>
        <v>0</v>
      </c>
      <c r="L174" s="344">
        <f>+IFERROR(_xlfn.XLOOKUP($A174,'CONSOLIDATED CY Cash Flows'!$B:$B,'CONSOLIDATED CY Cash Flows'!R:R)/$S174,0)</f>
        <v>0</v>
      </c>
      <c r="M174" s="344">
        <f>+IFERROR(_xlfn.XLOOKUP($A174,'CONSOLIDATED CY Cash Flows'!$B:$B,'CONSOLIDATED CY Cash Flows'!S:S)/$S174,0)</f>
        <v>0</v>
      </c>
      <c r="N174" s="344">
        <f>+IFERROR(_xlfn.XLOOKUP($A174,'CONSOLIDATED CY Cash Flows'!$B:$B,'CONSOLIDATED CY Cash Flows'!T:T)/$S174,0)</f>
        <v>0</v>
      </c>
      <c r="O174" s="344">
        <f>+IFERROR(_xlfn.XLOOKUP($A174,'CONSOLIDATED CY Cash Flows'!$B:$B,'CONSOLIDATED CY Cash Flows'!U:U)/$S174,0)</f>
        <v>0</v>
      </c>
      <c r="P174" s="344">
        <f>+IFERROR(_xlfn.XLOOKUP($A174,'CONSOLIDATED CY Cash Flows'!$B:$B,'CONSOLIDATED CY Cash Flows'!V:V)/$S174,0)</f>
        <v>0</v>
      </c>
      <c r="Q174" s="344">
        <f>+IFERROR(_xlfn.XLOOKUP($A174,'CONSOLIDATED CY Cash Flows'!$B:$B,'CONSOLIDATED CY Cash Flows'!W:W)/$S174,0)</f>
        <v>0</v>
      </c>
      <c r="R174" s="340">
        <f t="shared" si="22"/>
        <v>0</v>
      </c>
      <c r="S174" s="501">
        <f>IFERROR(_xlfn.XLOOKUP($A174,'CONSOLIDATED CY Cash Flows'!$B:$B,'CONSOLIDATED CY Cash Flows'!$H:$H),0)</f>
        <v>0</v>
      </c>
      <c r="T174" s="501">
        <f t="shared" si="20"/>
        <v>0</v>
      </c>
      <c r="U174" s="501">
        <f t="shared" si="24"/>
        <v>0</v>
      </c>
    </row>
    <row r="175" spans="1:23" ht="15" hidden="1" customHeight="1" x14ac:dyDescent="0.75">
      <c r="A175" s="349" t="s">
        <v>1459</v>
      </c>
      <c r="B175" s="350">
        <v>0</v>
      </c>
      <c r="C175" s="344">
        <f>+IFERROR(_xlfn.XLOOKUP($A175,'CONSOLIDATED CY Cash Flows'!$B:$B,'CONSOLIDATED CY Cash Flows'!I:I)/$S175,0)</f>
        <v>0</v>
      </c>
      <c r="D175" s="344">
        <f>+IFERROR(_xlfn.XLOOKUP($A175,'CONSOLIDATED CY Cash Flows'!$B:$B,'CONSOLIDATED CY Cash Flows'!J:J)/$S175,0)</f>
        <v>0</v>
      </c>
      <c r="E175" s="344">
        <f>+IFERROR(_xlfn.XLOOKUP($A175,'CONSOLIDATED CY Cash Flows'!$B:$B,'CONSOLIDATED CY Cash Flows'!K:K)/$S175,0)</f>
        <v>0</v>
      </c>
      <c r="F175" s="344">
        <f>+IFERROR(_xlfn.XLOOKUP($A175,'CONSOLIDATED CY Cash Flows'!$B:$B,'CONSOLIDATED CY Cash Flows'!L:L)/$S175,0)</f>
        <v>0</v>
      </c>
      <c r="G175" s="344">
        <f>+IFERROR(_xlfn.XLOOKUP($A175,'CONSOLIDATED CY Cash Flows'!$B:$B,'CONSOLIDATED CY Cash Flows'!M:M)/$S175,0)</f>
        <v>0</v>
      </c>
      <c r="H175" s="344">
        <f>+IFERROR(_xlfn.XLOOKUP($A175,'CONSOLIDATED CY Cash Flows'!$B:$B,'CONSOLIDATED CY Cash Flows'!N:N)/$S175,0)</f>
        <v>0</v>
      </c>
      <c r="I175" s="344">
        <f>+IFERROR(_xlfn.XLOOKUP($A175,'CONSOLIDATED CY Cash Flows'!$B:$B,'CONSOLIDATED CY Cash Flows'!O:O)/$S175,0)</f>
        <v>0</v>
      </c>
      <c r="J175" s="344">
        <f>+IFERROR(_xlfn.XLOOKUP($A175,'CONSOLIDATED CY Cash Flows'!$B:$B,'CONSOLIDATED CY Cash Flows'!P:P)/$S175,0)</f>
        <v>0</v>
      </c>
      <c r="K175" s="344">
        <f>+IFERROR(_xlfn.XLOOKUP($A175,'CONSOLIDATED CY Cash Flows'!$B:$B,'CONSOLIDATED CY Cash Flows'!Q:Q)/$S175,0)</f>
        <v>0</v>
      </c>
      <c r="L175" s="344">
        <f>+IFERROR(_xlfn.XLOOKUP($A175,'CONSOLIDATED CY Cash Flows'!$B:$B,'CONSOLIDATED CY Cash Flows'!R:R)/$S175,0)</f>
        <v>0</v>
      </c>
      <c r="M175" s="344">
        <f>+IFERROR(_xlfn.XLOOKUP($A175,'CONSOLIDATED CY Cash Flows'!$B:$B,'CONSOLIDATED CY Cash Flows'!S:S)/$S175,0)</f>
        <v>0</v>
      </c>
      <c r="N175" s="344">
        <f>+IFERROR(_xlfn.XLOOKUP($A175,'CONSOLIDATED CY Cash Flows'!$B:$B,'CONSOLIDATED CY Cash Flows'!T:T)/$S175,0)</f>
        <v>0</v>
      </c>
      <c r="O175" s="344">
        <f>+IFERROR(_xlfn.XLOOKUP($A175,'CONSOLIDATED CY Cash Flows'!$B:$B,'CONSOLIDATED CY Cash Flows'!U:U)/$S175,0)</f>
        <v>0</v>
      </c>
      <c r="P175" s="344">
        <f>+IFERROR(_xlfn.XLOOKUP($A175,'CONSOLIDATED CY Cash Flows'!$B:$B,'CONSOLIDATED CY Cash Flows'!V:V)/$S175,0)</f>
        <v>0</v>
      </c>
      <c r="Q175" s="344">
        <f>+IFERROR(_xlfn.XLOOKUP($A175,'CONSOLIDATED CY Cash Flows'!$B:$B,'CONSOLIDATED CY Cash Flows'!W:W)/$S175,0)</f>
        <v>0</v>
      </c>
      <c r="R175" s="340">
        <f t="shared" si="22"/>
        <v>0</v>
      </c>
      <c r="S175" s="501">
        <f>IFERROR(_xlfn.XLOOKUP($A175,'CONSOLIDATED CY Cash Flows'!$B:$B,'CONSOLIDATED CY Cash Flows'!$H:$H),0)</f>
        <v>0</v>
      </c>
      <c r="T175" s="501">
        <f t="shared" si="20"/>
        <v>0</v>
      </c>
      <c r="U175" s="501">
        <f t="shared" si="24"/>
        <v>0</v>
      </c>
    </row>
    <row r="176" spans="1:23" ht="15" hidden="1" customHeight="1" x14ac:dyDescent="0.75">
      <c r="A176" s="349" t="s">
        <v>1459</v>
      </c>
      <c r="B176" s="350">
        <v>0</v>
      </c>
      <c r="C176" s="344">
        <f>+IFERROR(_xlfn.XLOOKUP($A176,'CONSOLIDATED CY Cash Flows'!$B:$B,'CONSOLIDATED CY Cash Flows'!I:I)/$S176,0)</f>
        <v>0</v>
      </c>
      <c r="D176" s="344">
        <f>+IFERROR(_xlfn.XLOOKUP($A176,'CONSOLIDATED CY Cash Flows'!$B:$B,'CONSOLIDATED CY Cash Flows'!J:J)/$S176,0)</f>
        <v>0</v>
      </c>
      <c r="E176" s="344">
        <f>+IFERROR(_xlfn.XLOOKUP($A176,'CONSOLIDATED CY Cash Flows'!$B:$B,'CONSOLIDATED CY Cash Flows'!K:K)/$S176,0)</f>
        <v>0</v>
      </c>
      <c r="F176" s="344">
        <f>+IFERROR(_xlfn.XLOOKUP($A176,'CONSOLIDATED CY Cash Flows'!$B:$B,'CONSOLIDATED CY Cash Flows'!L:L)/$S176,0)</f>
        <v>0</v>
      </c>
      <c r="G176" s="344">
        <f>+IFERROR(_xlfn.XLOOKUP($A176,'CONSOLIDATED CY Cash Flows'!$B:$B,'CONSOLIDATED CY Cash Flows'!M:M)/$S176,0)</f>
        <v>0</v>
      </c>
      <c r="H176" s="344">
        <f>+IFERROR(_xlfn.XLOOKUP($A176,'CONSOLIDATED CY Cash Flows'!$B:$B,'CONSOLIDATED CY Cash Flows'!N:N)/$S176,0)</f>
        <v>0</v>
      </c>
      <c r="I176" s="344">
        <f>+IFERROR(_xlfn.XLOOKUP($A176,'CONSOLIDATED CY Cash Flows'!$B:$B,'CONSOLIDATED CY Cash Flows'!O:O)/$S176,0)</f>
        <v>0</v>
      </c>
      <c r="J176" s="344">
        <f>+IFERROR(_xlfn.XLOOKUP($A176,'CONSOLIDATED CY Cash Flows'!$B:$B,'CONSOLIDATED CY Cash Flows'!P:P)/$S176,0)</f>
        <v>0</v>
      </c>
      <c r="K176" s="344">
        <f>+IFERROR(_xlfn.XLOOKUP($A176,'CONSOLIDATED CY Cash Flows'!$B:$B,'CONSOLIDATED CY Cash Flows'!Q:Q)/$S176,0)</f>
        <v>0</v>
      </c>
      <c r="L176" s="344">
        <f>+IFERROR(_xlfn.XLOOKUP($A176,'CONSOLIDATED CY Cash Flows'!$B:$B,'CONSOLIDATED CY Cash Flows'!R:R)/$S176,0)</f>
        <v>0</v>
      </c>
      <c r="M176" s="344">
        <f>+IFERROR(_xlfn.XLOOKUP($A176,'CONSOLIDATED CY Cash Flows'!$B:$B,'CONSOLIDATED CY Cash Flows'!S:S)/$S176,0)</f>
        <v>0</v>
      </c>
      <c r="N176" s="344">
        <f>+IFERROR(_xlfn.XLOOKUP($A176,'CONSOLIDATED CY Cash Flows'!$B:$B,'CONSOLIDATED CY Cash Flows'!T:T)/$S176,0)</f>
        <v>0</v>
      </c>
      <c r="O176" s="344">
        <f>+IFERROR(_xlfn.XLOOKUP($A176,'CONSOLIDATED CY Cash Flows'!$B:$B,'CONSOLIDATED CY Cash Flows'!U:U)/$S176,0)</f>
        <v>0</v>
      </c>
      <c r="P176" s="344">
        <f>+IFERROR(_xlfn.XLOOKUP($A176,'CONSOLIDATED CY Cash Flows'!$B:$B,'CONSOLIDATED CY Cash Flows'!V:V)/$S176,0)</f>
        <v>0</v>
      </c>
      <c r="Q176" s="344">
        <f>+IFERROR(_xlfn.XLOOKUP($A176,'CONSOLIDATED CY Cash Flows'!$B:$B,'CONSOLIDATED CY Cash Flows'!W:W)/$S176,0)</f>
        <v>0</v>
      </c>
      <c r="R176" s="340">
        <f t="shared" si="22"/>
        <v>0</v>
      </c>
      <c r="S176" s="501">
        <f>IFERROR(_xlfn.XLOOKUP($A176,'CONSOLIDATED CY Cash Flows'!$B:$B,'CONSOLIDATED CY Cash Flows'!$H:$H),0)</f>
        <v>0</v>
      </c>
      <c r="T176" s="501">
        <f t="shared" si="20"/>
        <v>0</v>
      </c>
      <c r="U176" s="501">
        <f t="shared" si="24"/>
        <v>0</v>
      </c>
    </row>
    <row r="177" spans="1:21" ht="15" hidden="1" customHeight="1" x14ac:dyDescent="0.75">
      <c r="A177" s="349" t="s">
        <v>1459</v>
      </c>
      <c r="B177" s="350">
        <v>0</v>
      </c>
      <c r="C177" s="344">
        <f>+IFERROR(_xlfn.XLOOKUP($A177,'CONSOLIDATED CY Cash Flows'!$B:$B,'CONSOLIDATED CY Cash Flows'!I:I)/$S177,0)</f>
        <v>0</v>
      </c>
      <c r="D177" s="344">
        <f>+IFERROR(_xlfn.XLOOKUP($A177,'CONSOLIDATED CY Cash Flows'!$B:$B,'CONSOLIDATED CY Cash Flows'!J:J)/$S177,0)</f>
        <v>0</v>
      </c>
      <c r="E177" s="344">
        <f>+IFERROR(_xlfn.XLOOKUP($A177,'CONSOLIDATED CY Cash Flows'!$B:$B,'CONSOLIDATED CY Cash Flows'!K:K)/$S177,0)</f>
        <v>0</v>
      </c>
      <c r="F177" s="344">
        <f>+IFERROR(_xlfn.XLOOKUP($A177,'CONSOLIDATED CY Cash Flows'!$B:$B,'CONSOLIDATED CY Cash Flows'!L:L)/$S177,0)</f>
        <v>0</v>
      </c>
      <c r="G177" s="344">
        <f>+IFERROR(_xlfn.XLOOKUP($A177,'CONSOLIDATED CY Cash Flows'!$B:$B,'CONSOLIDATED CY Cash Flows'!M:M)/$S177,0)</f>
        <v>0</v>
      </c>
      <c r="H177" s="344">
        <f>+IFERROR(_xlfn.XLOOKUP($A177,'CONSOLIDATED CY Cash Flows'!$B:$B,'CONSOLIDATED CY Cash Flows'!N:N)/$S177,0)</f>
        <v>0</v>
      </c>
      <c r="I177" s="344">
        <f>+IFERROR(_xlfn.XLOOKUP($A177,'CONSOLIDATED CY Cash Flows'!$B:$B,'CONSOLIDATED CY Cash Flows'!O:O)/$S177,0)</f>
        <v>0</v>
      </c>
      <c r="J177" s="344">
        <f>+IFERROR(_xlfn.XLOOKUP($A177,'CONSOLIDATED CY Cash Flows'!$B:$B,'CONSOLIDATED CY Cash Flows'!P:P)/$S177,0)</f>
        <v>0</v>
      </c>
      <c r="K177" s="344">
        <f>+IFERROR(_xlfn.XLOOKUP($A177,'CONSOLIDATED CY Cash Flows'!$B:$B,'CONSOLIDATED CY Cash Flows'!Q:Q)/$S177,0)</f>
        <v>0</v>
      </c>
      <c r="L177" s="344">
        <f>+IFERROR(_xlfn.XLOOKUP($A177,'CONSOLIDATED CY Cash Flows'!$B:$B,'CONSOLIDATED CY Cash Flows'!R:R)/$S177,0)</f>
        <v>0</v>
      </c>
      <c r="M177" s="344">
        <f>+IFERROR(_xlfn.XLOOKUP($A177,'CONSOLIDATED CY Cash Flows'!$B:$B,'CONSOLIDATED CY Cash Flows'!S:S)/$S177,0)</f>
        <v>0</v>
      </c>
      <c r="N177" s="344">
        <f>+IFERROR(_xlfn.XLOOKUP($A177,'CONSOLIDATED CY Cash Flows'!$B:$B,'CONSOLIDATED CY Cash Flows'!T:T)/$S177,0)</f>
        <v>0</v>
      </c>
      <c r="O177" s="344">
        <f>+IFERROR(_xlfn.XLOOKUP($A177,'CONSOLIDATED CY Cash Flows'!$B:$B,'CONSOLIDATED CY Cash Flows'!U:U)/$S177,0)</f>
        <v>0</v>
      </c>
      <c r="P177" s="344">
        <f>+IFERROR(_xlfn.XLOOKUP($A177,'CONSOLIDATED CY Cash Flows'!$B:$B,'CONSOLIDATED CY Cash Flows'!V:V)/$S177,0)</f>
        <v>0</v>
      </c>
      <c r="Q177" s="344">
        <f>+IFERROR(_xlfn.XLOOKUP($A177,'CONSOLIDATED CY Cash Flows'!$B:$B,'CONSOLIDATED CY Cash Flows'!W:W)/$S177,0)</f>
        <v>0</v>
      </c>
      <c r="R177" s="340">
        <f t="shared" si="22"/>
        <v>0</v>
      </c>
      <c r="S177" s="501">
        <f>IFERROR(_xlfn.XLOOKUP($A177,'CONSOLIDATED CY Cash Flows'!$B:$B,'CONSOLIDATED CY Cash Flows'!$H:$H),0)</f>
        <v>0</v>
      </c>
      <c r="T177" s="501">
        <f t="shared" si="20"/>
        <v>0</v>
      </c>
      <c r="U177" s="501">
        <f t="shared" si="24"/>
        <v>0</v>
      </c>
    </row>
    <row r="178" spans="1:21" ht="15" hidden="1" customHeight="1" thickBot="1" x14ac:dyDescent="0.9">
      <c r="A178" s="351" t="s">
        <v>1459</v>
      </c>
      <c r="B178" s="352">
        <v>0</v>
      </c>
      <c r="C178" s="344">
        <f>+IFERROR(_xlfn.XLOOKUP($A178,'CONSOLIDATED CY Cash Flows'!$B:$B,'CONSOLIDATED CY Cash Flows'!I:I)/$S178,0)</f>
        <v>0</v>
      </c>
      <c r="D178" s="344">
        <f>+IFERROR(_xlfn.XLOOKUP($A178,'CONSOLIDATED CY Cash Flows'!$B:$B,'CONSOLIDATED CY Cash Flows'!J:J)/$S178,0)</f>
        <v>0</v>
      </c>
      <c r="E178" s="344">
        <f>+IFERROR(_xlfn.XLOOKUP($A178,'CONSOLIDATED CY Cash Flows'!$B:$B,'CONSOLIDATED CY Cash Flows'!K:K)/$S178,0)</f>
        <v>0</v>
      </c>
      <c r="F178" s="344">
        <f>+IFERROR(_xlfn.XLOOKUP($A178,'CONSOLIDATED CY Cash Flows'!$B:$B,'CONSOLIDATED CY Cash Flows'!L:L)/$S178,0)</f>
        <v>0</v>
      </c>
      <c r="G178" s="344">
        <f>+IFERROR(_xlfn.XLOOKUP($A178,'CONSOLIDATED CY Cash Flows'!$B:$B,'CONSOLIDATED CY Cash Flows'!M:M)/$S178,0)</f>
        <v>0</v>
      </c>
      <c r="H178" s="344">
        <f>+IFERROR(_xlfn.XLOOKUP($A178,'CONSOLIDATED CY Cash Flows'!$B:$B,'CONSOLIDATED CY Cash Flows'!N:N)/$S178,0)</f>
        <v>0</v>
      </c>
      <c r="I178" s="344">
        <f>+IFERROR(_xlfn.XLOOKUP($A178,'CONSOLIDATED CY Cash Flows'!$B:$B,'CONSOLIDATED CY Cash Flows'!O:O)/$S178,0)</f>
        <v>0</v>
      </c>
      <c r="J178" s="344">
        <f>+IFERROR(_xlfn.XLOOKUP($A178,'CONSOLIDATED CY Cash Flows'!$B:$B,'CONSOLIDATED CY Cash Flows'!P:P)/$S178,0)</f>
        <v>0</v>
      </c>
      <c r="K178" s="344">
        <f>+IFERROR(_xlfn.XLOOKUP($A178,'CONSOLIDATED CY Cash Flows'!$B:$B,'CONSOLIDATED CY Cash Flows'!Q:Q)/$S178,0)</f>
        <v>0</v>
      </c>
      <c r="L178" s="344">
        <f>+IFERROR(_xlfn.XLOOKUP($A178,'CONSOLIDATED CY Cash Flows'!$B:$B,'CONSOLIDATED CY Cash Flows'!R:R)/$S178,0)</f>
        <v>0</v>
      </c>
      <c r="M178" s="344">
        <f>+IFERROR(_xlfn.XLOOKUP($A178,'CONSOLIDATED CY Cash Flows'!$B:$B,'CONSOLIDATED CY Cash Flows'!S:S)/$S178,0)</f>
        <v>0</v>
      </c>
      <c r="N178" s="344">
        <f>+IFERROR(_xlfn.XLOOKUP($A178,'CONSOLIDATED CY Cash Flows'!$B:$B,'CONSOLIDATED CY Cash Flows'!T:T)/$S178,0)</f>
        <v>0</v>
      </c>
      <c r="O178" s="344">
        <f>+IFERROR(_xlfn.XLOOKUP($A178,'CONSOLIDATED CY Cash Flows'!$B:$B,'CONSOLIDATED CY Cash Flows'!U:U)/$S178,0)</f>
        <v>0</v>
      </c>
      <c r="P178" s="344">
        <f>+IFERROR(_xlfn.XLOOKUP($A178,'CONSOLIDATED CY Cash Flows'!$B:$B,'CONSOLIDATED CY Cash Flows'!V:V)/$S178,0)</f>
        <v>0</v>
      </c>
      <c r="Q178" s="344">
        <f>+IFERROR(_xlfn.XLOOKUP($A178,'CONSOLIDATED CY Cash Flows'!$B:$B,'CONSOLIDATED CY Cash Flows'!W:W)/$S178,0)</f>
        <v>0</v>
      </c>
      <c r="R178" s="340">
        <f t="shared" si="22"/>
        <v>0</v>
      </c>
      <c r="S178" s="501">
        <f>IFERROR(_xlfn.XLOOKUP($A178,'CONSOLIDATED CY Cash Flows'!$B:$B,'CONSOLIDATED CY Cash Flows'!$H:$H),0)</f>
        <v>0</v>
      </c>
      <c r="T178" s="501">
        <f t="shared" si="20"/>
        <v>0</v>
      </c>
      <c r="U178" s="501">
        <f t="shared" si="24"/>
        <v>0</v>
      </c>
    </row>
    <row r="179" spans="1:21" ht="15" customHeight="1" x14ac:dyDescent="0.75">
      <c r="A179" s="353">
        <v>8181</v>
      </c>
      <c r="B179" s="354" t="s">
        <v>1405</v>
      </c>
      <c r="C179" s="339">
        <f>+IFERROR(_xlfn.XLOOKUP($A179,'CONSOLIDATED CY Cash Flows'!$B:$B,'CONSOLIDATED CY Cash Flows'!I:I)/$S179,0)</f>
        <v>0</v>
      </c>
      <c r="D179" s="339">
        <f>+IFERROR(_xlfn.XLOOKUP($A179,'CONSOLIDATED CY Cash Flows'!$B:$B,'CONSOLIDATED CY Cash Flows'!J:J)/$S179,0)</f>
        <v>0</v>
      </c>
      <c r="E179" s="339">
        <f>+IFERROR(_xlfn.XLOOKUP($A179,'CONSOLIDATED CY Cash Flows'!$B:$B,'CONSOLIDATED CY Cash Flows'!K:K)/$S179,0)</f>
        <v>0</v>
      </c>
      <c r="F179" s="339">
        <f>+IFERROR(_xlfn.XLOOKUP($A179,'CONSOLIDATED CY Cash Flows'!$B:$B,'CONSOLIDATED CY Cash Flows'!L:L)/$S179,0)</f>
        <v>0</v>
      </c>
      <c r="G179" s="339">
        <f>+IFERROR(_xlfn.XLOOKUP($A179,'CONSOLIDATED CY Cash Flows'!$B:$B,'CONSOLIDATED CY Cash Flows'!M:M)/$S179,0)</f>
        <v>0</v>
      </c>
      <c r="H179" s="339">
        <f>+IFERROR(_xlfn.XLOOKUP($A179,'CONSOLIDATED CY Cash Flows'!$B:$B,'CONSOLIDATED CY Cash Flows'!N:N)/$S179,0)</f>
        <v>0</v>
      </c>
      <c r="I179" s="339">
        <f>+IFERROR(_xlfn.XLOOKUP($A179,'CONSOLIDATED CY Cash Flows'!$B:$B,'CONSOLIDATED CY Cash Flows'!O:O)/$S179,0)</f>
        <v>0</v>
      </c>
      <c r="J179" s="339">
        <f>+IFERROR(_xlfn.XLOOKUP($A179,'CONSOLIDATED CY Cash Flows'!$B:$B,'CONSOLIDATED CY Cash Flows'!P:P)/$S179,0)</f>
        <v>0.2</v>
      </c>
      <c r="K179" s="339">
        <f>+IFERROR(_xlfn.XLOOKUP($A179,'CONSOLIDATED CY Cash Flows'!$B:$B,'CONSOLIDATED CY Cash Flows'!Q:Q)/$S179,0)</f>
        <v>0.2</v>
      </c>
      <c r="L179" s="339">
        <f>+IFERROR(_xlfn.XLOOKUP($A179,'CONSOLIDATED CY Cash Flows'!$B:$B,'CONSOLIDATED CY Cash Flows'!R:R)/$S179,0)</f>
        <v>0.2</v>
      </c>
      <c r="M179" s="339">
        <f>+IFERROR(_xlfn.XLOOKUP($A179,'CONSOLIDATED CY Cash Flows'!$B:$B,'CONSOLIDATED CY Cash Flows'!S:S)/$S179,0)</f>
        <v>0.2</v>
      </c>
      <c r="N179" s="339">
        <f>+IFERROR(_xlfn.XLOOKUP($A179,'CONSOLIDATED CY Cash Flows'!$B:$B,'CONSOLIDATED CY Cash Flows'!T:T)/$S179,0)</f>
        <v>0.2</v>
      </c>
      <c r="O179" s="339">
        <f>+IFERROR(_xlfn.XLOOKUP($A179,'CONSOLIDATED CY Cash Flows'!$B:$B,'CONSOLIDATED CY Cash Flows'!U:U)/$S179,0)</f>
        <v>0</v>
      </c>
      <c r="P179" s="339">
        <f>+IFERROR(_xlfn.XLOOKUP($A179,'CONSOLIDATED CY Cash Flows'!$B:$B,'CONSOLIDATED CY Cash Flows'!V:V)/$S179,0)</f>
        <v>0</v>
      </c>
      <c r="Q179" s="339">
        <f>+IFERROR(_xlfn.XLOOKUP($A179,'CONSOLIDATED CY Cash Flows'!$B:$B,'CONSOLIDATED CY Cash Flows'!W:W)/$S179,0)</f>
        <v>0</v>
      </c>
      <c r="R179" s="340">
        <f t="shared" si="22"/>
        <v>1</v>
      </c>
      <c r="S179" s="501">
        <f>IFERROR(_xlfn.XLOOKUP($A179,'CONSOLIDATED CY Cash Flows'!$B:$B,'CONSOLIDATED CY Cash Flows'!$H:$H),0)</f>
        <v>564820.27858224011</v>
      </c>
      <c r="T179" s="501">
        <f t="shared" si="20"/>
        <v>0</v>
      </c>
      <c r="U179" s="501">
        <f t="shared" si="24"/>
        <v>564820.27858224011</v>
      </c>
    </row>
    <row r="180" spans="1:21" ht="15" hidden="1" customHeight="1" x14ac:dyDescent="0.75">
      <c r="A180" s="349">
        <v>8220</v>
      </c>
      <c r="B180" s="350" t="s">
        <v>1406</v>
      </c>
      <c r="C180" s="344">
        <f>+IFERROR(_xlfn.XLOOKUP($A180,'CONSOLIDATED CY Cash Flows'!$B:$B,'CONSOLIDATED CY Cash Flows'!I:I)/$S180,0)</f>
        <v>0</v>
      </c>
      <c r="D180" s="344">
        <f>+IFERROR(_xlfn.XLOOKUP($A180,'CONSOLIDATED CY Cash Flows'!$B:$B,'CONSOLIDATED CY Cash Flows'!J:J)/$S180,0)</f>
        <v>0</v>
      </c>
      <c r="E180" s="344">
        <f>+IFERROR(_xlfn.XLOOKUP($A180,'CONSOLIDATED CY Cash Flows'!$B:$B,'CONSOLIDATED CY Cash Flows'!K:K)/$S180,0)</f>
        <v>0</v>
      </c>
      <c r="F180" s="344">
        <f>+IFERROR(_xlfn.XLOOKUP($A180,'CONSOLIDATED CY Cash Flows'!$B:$B,'CONSOLIDATED CY Cash Flows'!L:L)/$S180,0)</f>
        <v>0</v>
      </c>
      <c r="G180" s="344">
        <f>+IFERROR(_xlfn.XLOOKUP($A180,'CONSOLIDATED CY Cash Flows'!$B:$B,'CONSOLIDATED CY Cash Flows'!M:M)/$S180,0)</f>
        <v>0</v>
      </c>
      <c r="H180" s="344">
        <f>+IFERROR(_xlfn.XLOOKUP($A180,'CONSOLIDATED CY Cash Flows'!$B:$B,'CONSOLIDATED CY Cash Flows'!N:N)/$S180,0)</f>
        <v>0</v>
      </c>
      <c r="I180" s="344">
        <f>+IFERROR(_xlfn.XLOOKUP($A180,'CONSOLIDATED CY Cash Flows'!$B:$B,'CONSOLIDATED CY Cash Flows'!O:O)/$S180,0)</f>
        <v>0</v>
      </c>
      <c r="J180" s="344">
        <f>+IFERROR(_xlfn.XLOOKUP($A180,'CONSOLIDATED CY Cash Flows'!$B:$B,'CONSOLIDATED CY Cash Flows'!P:P)/$S180,0)</f>
        <v>0</v>
      </c>
      <c r="K180" s="344">
        <f>+IFERROR(_xlfn.XLOOKUP($A180,'CONSOLIDATED CY Cash Flows'!$B:$B,'CONSOLIDATED CY Cash Flows'!Q:Q)/$S180,0)</f>
        <v>0</v>
      </c>
      <c r="L180" s="344">
        <f>+IFERROR(_xlfn.XLOOKUP($A180,'CONSOLIDATED CY Cash Flows'!$B:$B,'CONSOLIDATED CY Cash Flows'!R:R)/$S180,0)</f>
        <v>0</v>
      </c>
      <c r="M180" s="344">
        <f>+IFERROR(_xlfn.XLOOKUP($A180,'CONSOLIDATED CY Cash Flows'!$B:$B,'CONSOLIDATED CY Cash Flows'!S:S)/$S180,0)</f>
        <v>0</v>
      </c>
      <c r="N180" s="344">
        <f>+IFERROR(_xlfn.XLOOKUP($A180,'CONSOLIDATED CY Cash Flows'!$B:$B,'CONSOLIDATED CY Cash Flows'!T:T)/$S180,0)</f>
        <v>0</v>
      </c>
      <c r="O180" s="344">
        <f>+IFERROR(_xlfn.XLOOKUP($A180,'CONSOLIDATED CY Cash Flows'!$B:$B,'CONSOLIDATED CY Cash Flows'!U:U)/$S180,0)</f>
        <v>0</v>
      </c>
      <c r="P180" s="344">
        <f>+IFERROR(_xlfn.XLOOKUP($A180,'CONSOLIDATED CY Cash Flows'!$B:$B,'CONSOLIDATED CY Cash Flows'!V:V)/$S180,0)</f>
        <v>0</v>
      </c>
      <c r="Q180" s="344">
        <f>+IFERROR(_xlfn.XLOOKUP($A180,'CONSOLIDATED CY Cash Flows'!$B:$B,'CONSOLIDATED CY Cash Flows'!W:W)/$S180,0)</f>
        <v>0</v>
      </c>
      <c r="R180" s="340">
        <f t="shared" si="22"/>
        <v>0</v>
      </c>
      <c r="S180" s="501">
        <f>IFERROR(_xlfn.XLOOKUP($A180,'CONSOLIDATED CY Cash Flows'!$B:$B,'CONSOLIDATED CY Cash Flows'!$H:$H),0)</f>
        <v>0</v>
      </c>
      <c r="T180" s="501">
        <f t="shared" si="20"/>
        <v>0</v>
      </c>
      <c r="U180" s="501">
        <f t="shared" si="24"/>
        <v>0</v>
      </c>
    </row>
    <row r="181" spans="1:21" ht="15" customHeight="1" x14ac:dyDescent="0.75">
      <c r="A181" s="349">
        <v>8290</v>
      </c>
      <c r="B181" s="350" t="s">
        <v>619</v>
      </c>
      <c r="C181" s="344">
        <f>+IFERROR(_xlfn.XLOOKUP($A181,'CONSOLIDATED CY Cash Flows'!$B:$B,'CONSOLIDATED CY Cash Flows'!I:I)/$S181,0)</f>
        <v>5.1644354755208829E-2</v>
      </c>
      <c r="D181" s="344">
        <f>+IFERROR(_xlfn.XLOOKUP($A181,'CONSOLIDATED CY Cash Flows'!$B:$B,'CONSOLIDATED CY Cash Flows'!J:J)/$S181,0)</f>
        <v>4.8538657931247849E-2</v>
      </c>
      <c r="E181" s="344">
        <f>+IFERROR(_xlfn.XLOOKUP($A181,'CONSOLIDATED CY Cash Flows'!$B:$B,'CONSOLIDATED CY Cash Flows'!K:K)/$S181,0)</f>
        <v>8.4940737863085473E-3</v>
      </c>
      <c r="F181" s="344">
        <f>+IFERROR(_xlfn.XLOOKUP($A181,'CONSOLIDATED CY Cash Flows'!$B:$B,'CONSOLIDATED CY Cash Flows'!L:L)/$S181,0)</f>
        <v>1.147186192317603E-2</v>
      </c>
      <c r="G181" s="344">
        <f>+IFERROR(_xlfn.XLOOKUP($A181,'CONSOLIDATED CY Cash Flows'!$B:$B,'CONSOLIDATED CY Cash Flows'!M:M)/$S181,0)</f>
        <v>0</v>
      </c>
      <c r="H181" s="344">
        <f>+IFERROR(_xlfn.XLOOKUP($A181,'CONSOLIDATED CY Cash Flows'!$B:$B,'CONSOLIDATED CY Cash Flows'!N:N)/$S181,0)</f>
        <v>0</v>
      </c>
      <c r="I181" s="344">
        <f>+IFERROR(_xlfn.XLOOKUP($A181,'CONSOLIDATED CY Cash Flows'!$B:$B,'CONSOLIDATED CY Cash Flows'!O:O)/$S181,0)</f>
        <v>0.27534052215565852</v>
      </c>
      <c r="J181" s="344">
        <f>+IFERROR(_xlfn.XLOOKUP($A181,'CONSOLIDATED CY Cash Flows'!$B:$B,'CONSOLIDATED CY Cash Flows'!P:P)/$S181,0)</f>
        <v>0</v>
      </c>
      <c r="K181" s="344">
        <f>+IFERROR(_xlfn.XLOOKUP($A181,'CONSOLIDATED CY Cash Flows'!$B:$B,'CONSOLIDATED CY Cash Flows'!Q:Q)/$S181,0)</f>
        <v>0</v>
      </c>
      <c r="L181" s="344">
        <f>+IFERROR(_xlfn.XLOOKUP($A181,'CONSOLIDATED CY Cash Flows'!$B:$B,'CONSOLIDATED CY Cash Flows'!R:R)/$S181,0)</f>
        <v>0.20680623375866325</v>
      </c>
      <c r="M181" s="344">
        <f>+IFERROR(_xlfn.XLOOKUP($A181,'CONSOLIDATED CY Cash Flows'!$B:$B,'CONSOLIDATED CY Cash Flows'!S:S)/$S181,0)</f>
        <v>0</v>
      </c>
      <c r="N181" s="344">
        <f>+IFERROR(_xlfn.XLOOKUP($A181,'CONSOLIDATED CY Cash Flows'!$B:$B,'CONSOLIDATED CY Cash Flows'!T:T)/$S181,0)</f>
        <v>0.39770429568973703</v>
      </c>
      <c r="O181" s="344">
        <f>+IFERROR(_xlfn.XLOOKUP($A181,'CONSOLIDATED CY Cash Flows'!$B:$B,'CONSOLIDATED CY Cash Flows'!U:U)/$S181,0)</f>
        <v>0</v>
      </c>
      <c r="P181" s="344">
        <f>+IFERROR(_xlfn.XLOOKUP($A181,'CONSOLIDATED CY Cash Flows'!$B:$B,'CONSOLIDATED CY Cash Flows'!V:V)/$S181,0)</f>
        <v>0</v>
      </c>
      <c r="Q181" s="344">
        <f>+IFERROR(_xlfn.XLOOKUP($A181,'CONSOLIDATED CY Cash Flows'!$B:$B,'CONSOLIDATED CY Cash Flows'!W:W)/$S181,0)</f>
        <v>0</v>
      </c>
      <c r="R181" s="340">
        <f t="shared" si="22"/>
        <v>1</v>
      </c>
      <c r="S181" s="501">
        <f>IFERROR(_xlfn.XLOOKUP($A181,'CONSOLIDATED CY Cash Flows'!$B:$B,'CONSOLIDATED CY Cash Flows'!$H:$H),0)</f>
        <v>1515534.28</v>
      </c>
      <c r="T181" s="501">
        <f t="shared" si="20"/>
        <v>599377.85</v>
      </c>
      <c r="U181" s="501">
        <f t="shared" si="24"/>
        <v>916156.43</v>
      </c>
    </row>
    <row r="182" spans="1:21" ht="15" customHeight="1" x14ac:dyDescent="0.75">
      <c r="A182" s="349">
        <v>8291</v>
      </c>
      <c r="B182" s="350" t="s">
        <v>783</v>
      </c>
      <c r="C182" s="344">
        <f>+IFERROR(_xlfn.XLOOKUP($A182,'CONSOLIDATED CY Cash Flows'!$B:$B,'CONSOLIDATED CY Cash Flows'!I:I)/$S182,0)</f>
        <v>0</v>
      </c>
      <c r="D182" s="344">
        <f>+IFERROR(_xlfn.XLOOKUP($A182,'CONSOLIDATED CY Cash Flows'!$B:$B,'CONSOLIDATED CY Cash Flows'!J:J)/$S182,0)</f>
        <v>0</v>
      </c>
      <c r="E182" s="344">
        <f>+IFERROR(_xlfn.XLOOKUP($A182,'CONSOLIDATED CY Cash Flows'!$B:$B,'CONSOLIDATED CY Cash Flows'!K:K)/$S182,0)</f>
        <v>0</v>
      </c>
      <c r="F182" s="344">
        <f>+IFERROR(_xlfn.XLOOKUP($A182,'CONSOLIDATED CY Cash Flows'!$B:$B,'CONSOLIDATED CY Cash Flows'!L:L)/$S182,0)</f>
        <v>0.20554644580452447</v>
      </c>
      <c r="G182" s="344">
        <f>+IFERROR(_xlfn.XLOOKUP($A182,'CONSOLIDATED CY Cash Flows'!$B:$B,'CONSOLIDATED CY Cash Flows'!M:M)/$S182,0)</f>
        <v>4.7511123180080633E-2</v>
      </c>
      <c r="H182" s="344">
        <f>+IFERROR(_xlfn.XLOOKUP($A182,'CONSOLIDATED CY Cash Flows'!$B:$B,'CONSOLIDATED CY Cash Flows'!N:N)/$S182,0)</f>
        <v>0</v>
      </c>
      <c r="I182" s="344">
        <f>+IFERROR(_xlfn.XLOOKUP($A182,'CONSOLIDATED CY Cash Flows'!$B:$B,'CONSOLIDATED CY Cash Flows'!O:O)/$S182,0)</f>
        <v>0.29368328703026758</v>
      </c>
      <c r="J182" s="344">
        <f>+IFERROR(_xlfn.XLOOKUP($A182,'CONSOLIDATED CY Cash Flows'!$B:$B,'CONSOLIDATED CY Cash Flows'!P:P)/$S182,0)</f>
        <v>0</v>
      </c>
      <c r="K182" s="344">
        <f>+IFERROR(_xlfn.XLOOKUP($A182,'CONSOLIDATED CY Cash Flows'!$B:$B,'CONSOLIDATED CY Cash Flows'!Q:Q)/$S182,0)</f>
        <v>0</v>
      </c>
      <c r="L182" s="344">
        <f>+IFERROR(_xlfn.XLOOKUP($A182,'CONSOLIDATED CY Cash Flows'!$B:$B,'CONSOLIDATED CY Cash Flows'!R:R)/$S182,0)</f>
        <v>0.30217276265675153</v>
      </c>
      <c r="M182" s="344">
        <f>+IFERROR(_xlfn.XLOOKUP($A182,'CONSOLIDATED CY Cash Flows'!$B:$B,'CONSOLIDATED CY Cash Flows'!S:S)/$S182,0)</f>
        <v>0</v>
      </c>
      <c r="N182" s="344">
        <f>+IFERROR(_xlfn.XLOOKUP($A182,'CONSOLIDATED CY Cash Flows'!$B:$B,'CONSOLIDATED CY Cash Flows'!T:T)/$S182,0)</f>
        <v>0.15108638132837576</v>
      </c>
      <c r="O182" s="344">
        <f>+IFERROR(_xlfn.XLOOKUP($A182,'CONSOLIDATED CY Cash Flows'!$B:$B,'CONSOLIDATED CY Cash Flows'!U:U)/$S182,0)</f>
        <v>0</v>
      </c>
      <c r="P182" s="344">
        <f>+IFERROR(_xlfn.XLOOKUP($A182,'CONSOLIDATED CY Cash Flows'!$B:$B,'CONSOLIDATED CY Cash Flows'!V:V)/$S182,0)</f>
        <v>0</v>
      </c>
      <c r="Q182" s="344">
        <f>+IFERROR(_xlfn.XLOOKUP($A182,'CONSOLIDATED CY Cash Flows'!$B:$B,'CONSOLIDATED CY Cash Flows'!W:W)/$S182,0)</f>
        <v>0</v>
      </c>
      <c r="R182" s="340">
        <f t="shared" si="22"/>
        <v>1</v>
      </c>
      <c r="S182" s="501">
        <f>IFERROR(_xlfn.XLOOKUP($A182,'CONSOLIDATED CY Cash Flows'!$B:$B,'CONSOLIDATED CY Cash Flows'!$H:$H),0)</f>
        <v>382984</v>
      </c>
      <c r="T182" s="501">
        <f t="shared" si="20"/>
        <v>209393</v>
      </c>
      <c r="U182" s="501">
        <f t="shared" si="24"/>
        <v>173591</v>
      </c>
    </row>
    <row r="183" spans="1:21" ht="15" customHeight="1" x14ac:dyDescent="0.75">
      <c r="A183" s="349">
        <v>8292</v>
      </c>
      <c r="B183" s="350" t="s">
        <v>784</v>
      </c>
      <c r="C183" s="344">
        <f>+IFERROR(_xlfn.XLOOKUP($A183,'CONSOLIDATED CY Cash Flows'!$B:$B,'CONSOLIDATED CY Cash Flows'!I:I)/$S183,0)</f>
        <v>0</v>
      </c>
      <c r="D183" s="344">
        <f>+IFERROR(_xlfn.XLOOKUP($A183,'CONSOLIDATED CY Cash Flows'!$B:$B,'CONSOLIDATED CY Cash Flows'!J:J)/$S183,0)</f>
        <v>0</v>
      </c>
      <c r="E183" s="344">
        <f>+IFERROR(_xlfn.XLOOKUP($A183,'CONSOLIDATED CY Cash Flows'!$B:$B,'CONSOLIDATED CY Cash Flows'!K:K)/$S183,0)</f>
        <v>0</v>
      </c>
      <c r="F183" s="344">
        <f>+IFERROR(_xlfn.XLOOKUP($A183,'CONSOLIDATED CY Cash Flows'!$B:$B,'CONSOLIDATED CY Cash Flows'!L:L)/$S183,0)</f>
        <v>0</v>
      </c>
      <c r="G183" s="344">
        <f>+IFERROR(_xlfn.XLOOKUP($A183,'CONSOLIDATED CY Cash Flows'!$B:$B,'CONSOLIDATED CY Cash Flows'!M:M)/$S183,0)</f>
        <v>0</v>
      </c>
      <c r="H183" s="344">
        <f>+IFERROR(_xlfn.XLOOKUP($A183,'CONSOLIDATED CY Cash Flows'!$B:$B,'CONSOLIDATED CY Cash Flows'!N:N)/$S183,0)</f>
        <v>0</v>
      </c>
      <c r="I183" s="344">
        <f>+IFERROR(_xlfn.XLOOKUP($A183,'CONSOLIDATED CY Cash Flows'!$B:$B,'CONSOLIDATED CY Cash Flows'!O:O)/$S183,0)</f>
        <v>0</v>
      </c>
      <c r="J183" s="344">
        <f>+IFERROR(_xlfn.XLOOKUP($A183,'CONSOLIDATED CY Cash Flows'!$B:$B,'CONSOLIDATED CY Cash Flows'!P:P)/$S183,0)</f>
        <v>0</v>
      </c>
      <c r="K183" s="344">
        <f>+IFERROR(_xlfn.XLOOKUP($A183,'CONSOLIDATED CY Cash Flows'!$B:$B,'CONSOLIDATED CY Cash Flows'!Q:Q)/$S183,0)</f>
        <v>0</v>
      </c>
      <c r="L183" s="344">
        <f>+IFERROR(_xlfn.XLOOKUP($A183,'CONSOLIDATED CY Cash Flows'!$B:$B,'CONSOLIDATED CY Cash Flows'!R:R)/$S183,0)</f>
        <v>0.66666666666666663</v>
      </c>
      <c r="M183" s="344">
        <f>+IFERROR(_xlfn.XLOOKUP($A183,'CONSOLIDATED CY Cash Flows'!$B:$B,'CONSOLIDATED CY Cash Flows'!S:S)/$S183,0)</f>
        <v>0</v>
      </c>
      <c r="N183" s="344">
        <f>+IFERROR(_xlfn.XLOOKUP($A183,'CONSOLIDATED CY Cash Flows'!$B:$B,'CONSOLIDATED CY Cash Flows'!T:T)/$S183,0)</f>
        <v>0.33333333333333331</v>
      </c>
      <c r="O183" s="344">
        <f>+IFERROR(_xlfn.XLOOKUP($A183,'CONSOLIDATED CY Cash Flows'!$B:$B,'CONSOLIDATED CY Cash Flows'!U:U)/$S183,0)</f>
        <v>0</v>
      </c>
      <c r="P183" s="344">
        <f>+IFERROR(_xlfn.XLOOKUP($A183,'CONSOLIDATED CY Cash Flows'!$B:$B,'CONSOLIDATED CY Cash Flows'!V:V)/$S183,0)</f>
        <v>0</v>
      </c>
      <c r="Q183" s="344">
        <f>+IFERROR(_xlfn.XLOOKUP($A183,'CONSOLIDATED CY Cash Flows'!$B:$B,'CONSOLIDATED CY Cash Flows'!W:W)/$S183,0)</f>
        <v>0</v>
      </c>
      <c r="R183" s="340">
        <f t="shared" si="22"/>
        <v>1</v>
      </c>
      <c r="S183" s="501">
        <f>IFERROR(_xlfn.XLOOKUP($A183,'CONSOLIDATED CY Cash Flows'!$B:$B,'CONSOLIDATED CY Cash Flows'!$H:$H),0)</f>
        <v>65837</v>
      </c>
      <c r="T183" s="501">
        <f t="shared" si="20"/>
        <v>0</v>
      </c>
      <c r="U183" s="501">
        <f t="shared" si="24"/>
        <v>65837</v>
      </c>
    </row>
    <row r="184" spans="1:21" ht="15" hidden="1" customHeight="1" x14ac:dyDescent="0.75">
      <c r="A184" s="349">
        <v>8293</v>
      </c>
      <c r="B184" s="350" t="s">
        <v>785</v>
      </c>
      <c r="C184" s="344">
        <f>+IFERROR(_xlfn.XLOOKUP($A184,'CONSOLIDATED CY Cash Flows'!$B:$B,'CONSOLIDATED CY Cash Flows'!I:I)/$S184,0)</f>
        <v>0</v>
      </c>
      <c r="D184" s="344">
        <f>+IFERROR(_xlfn.XLOOKUP($A184,'CONSOLIDATED CY Cash Flows'!$B:$B,'CONSOLIDATED CY Cash Flows'!J:J)/$S184,0)</f>
        <v>0</v>
      </c>
      <c r="E184" s="344">
        <f>+IFERROR(_xlfn.XLOOKUP($A184,'CONSOLIDATED CY Cash Flows'!$B:$B,'CONSOLIDATED CY Cash Flows'!K:K)/$S184,0)</f>
        <v>0</v>
      </c>
      <c r="F184" s="344">
        <f>+IFERROR(_xlfn.XLOOKUP($A184,'CONSOLIDATED CY Cash Flows'!$B:$B,'CONSOLIDATED CY Cash Flows'!L:L)/$S184,0)</f>
        <v>0</v>
      </c>
      <c r="G184" s="344">
        <f>+IFERROR(_xlfn.XLOOKUP($A184,'CONSOLIDATED CY Cash Flows'!$B:$B,'CONSOLIDATED CY Cash Flows'!M:M)/$S184,0)</f>
        <v>0</v>
      </c>
      <c r="H184" s="344">
        <f>+IFERROR(_xlfn.XLOOKUP($A184,'CONSOLIDATED CY Cash Flows'!$B:$B,'CONSOLIDATED CY Cash Flows'!N:N)/$S184,0)</f>
        <v>0</v>
      </c>
      <c r="I184" s="344">
        <f>+IFERROR(_xlfn.XLOOKUP($A184,'CONSOLIDATED CY Cash Flows'!$B:$B,'CONSOLIDATED CY Cash Flows'!O:O)/$S184,0)</f>
        <v>0</v>
      </c>
      <c r="J184" s="344">
        <f>+IFERROR(_xlfn.XLOOKUP($A184,'CONSOLIDATED CY Cash Flows'!$B:$B,'CONSOLIDATED CY Cash Flows'!P:P)/$S184,0)</f>
        <v>0</v>
      </c>
      <c r="K184" s="344">
        <f>+IFERROR(_xlfn.XLOOKUP($A184,'CONSOLIDATED CY Cash Flows'!$B:$B,'CONSOLIDATED CY Cash Flows'!Q:Q)/$S184,0)</f>
        <v>0</v>
      </c>
      <c r="L184" s="344">
        <f>+IFERROR(_xlfn.XLOOKUP($A184,'CONSOLIDATED CY Cash Flows'!$B:$B,'CONSOLIDATED CY Cash Flows'!R:R)/$S184,0)</f>
        <v>0</v>
      </c>
      <c r="M184" s="344">
        <f>+IFERROR(_xlfn.XLOOKUP($A184,'CONSOLIDATED CY Cash Flows'!$B:$B,'CONSOLIDATED CY Cash Flows'!S:S)/$S184,0)</f>
        <v>0</v>
      </c>
      <c r="N184" s="344">
        <f>+IFERROR(_xlfn.XLOOKUP($A184,'CONSOLIDATED CY Cash Flows'!$B:$B,'CONSOLIDATED CY Cash Flows'!T:T)/$S184,0)</f>
        <v>0</v>
      </c>
      <c r="O184" s="344">
        <f>+IFERROR(_xlfn.XLOOKUP($A184,'CONSOLIDATED CY Cash Flows'!$B:$B,'CONSOLIDATED CY Cash Flows'!U:U)/$S184,0)</f>
        <v>0</v>
      </c>
      <c r="P184" s="344">
        <f>+IFERROR(_xlfn.XLOOKUP($A184,'CONSOLIDATED CY Cash Flows'!$B:$B,'CONSOLIDATED CY Cash Flows'!V:V)/$S184,0)</f>
        <v>0</v>
      </c>
      <c r="Q184" s="344">
        <f>+IFERROR(_xlfn.XLOOKUP($A184,'CONSOLIDATED CY Cash Flows'!$B:$B,'CONSOLIDATED CY Cash Flows'!W:W)/$S184,0)</f>
        <v>0</v>
      </c>
      <c r="R184" s="340">
        <f t="shared" si="22"/>
        <v>0</v>
      </c>
      <c r="S184" s="501">
        <f>IFERROR(_xlfn.XLOOKUP($A184,'CONSOLIDATED CY Cash Flows'!$B:$B,'CONSOLIDATED CY Cash Flows'!$H:$H),0)</f>
        <v>0</v>
      </c>
      <c r="T184" s="501">
        <f t="shared" si="20"/>
        <v>0</v>
      </c>
      <c r="U184" s="501">
        <f t="shared" si="24"/>
        <v>0</v>
      </c>
    </row>
    <row r="185" spans="1:21" ht="15" customHeight="1" x14ac:dyDescent="0.75">
      <c r="A185" s="349">
        <v>8294</v>
      </c>
      <c r="B185" s="350" t="s">
        <v>786</v>
      </c>
      <c r="C185" s="344">
        <f>+IFERROR(_xlfn.XLOOKUP($A185,'CONSOLIDATED CY Cash Flows'!$B:$B,'CONSOLIDATED CY Cash Flows'!I:I)/$S185,0)</f>
        <v>0</v>
      </c>
      <c r="D185" s="344">
        <f>+IFERROR(_xlfn.XLOOKUP($A185,'CONSOLIDATED CY Cash Flows'!$B:$B,'CONSOLIDATED CY Cash Flows'!J:J)/$S185,0)</f>
        <v>0</v>
      </c>
      <c r="E185" s="344">
        <f>+IFERROR(_xlfn.XLOOKUP($A185,'CONSOLIDATED CY Cash Flows'!$B:$B,'CONSOLIDATED CY Cash Flows'!K:K)/$S185,0)</f>
        <v>0</v>
      </c>
      <c r="F185" s="344">
        <f>+IFERROR(_xlfn.XLOOKUP($A185,'CONSOLIDATED CY Cash Flows'!$B:$B,'CONSOLIDATED CY Cash Flows'!L:L)/$S185,0)</f>
        <v>8.3333333333333329E-2</v>
      </c>
      <c r="G185" s="344">
        <f>+IFERROR(_xlfn.XLOOKUP($A185,'CONSOLIDATED CY Cash Flows'!$B:$B,'CONSOLIDATED CY Cash Flows'!M:M)/$S185,0)</f>
        <v>0</v>
      </c>
      <c r="H185" s="344">
        <f>+IFERROR(_xlfn.XLOOKUP($A185,'CONSOLIDATED CY Cash Flows'!$B:$B,'CONSOLIDATED CY Cash Flows'!N:N)/$S185,0)</f>
        <v>8.3333333333333329E-2</v>
      </c>
      <c r="I185" s="344">
        <f>+IFERROR(_xlfn.XLOOKUP($A185,'CONSOLIDATED CY Cash Flows'!$B:$B,'CONSOLIDATED CY Cash Flows'!O:O)/$S185,0)</f>
        <v>0</v>
      </c>
      <c r="J185" s="344">
        <f>+IFERROR(_xlfn.XLOOKUP($A185,'CONSOLIDATED CY Cash Flows'!$B:$B,'CONSOLIDATED CY Cash Flows'!P:P)/$S185,0)</f>
        <v>0</v>
      </c>
      <c r="K185" s="344">
        <f>+IFERROR(_xlfn.XLOOKUP($A185,'CONSOLIDATED CY Cash Flows'!$B:$B,'CONSOLIDATED CY Cash Flows'!Q:Q)/$S185,0)</f>
        <v>0</v>
      </c>
      <c r="L185" s="344">
        <f>+IFERROR(_xlfn.XLOOKUP($A185,'CONSOLIDATED CY Cash Flows'!$B:$B,'CONSOLIDATED CY Cash Flows'!R:R)/$S185,0)</f>
        <v>0.55555555555555547</v>
      </c>
      <c r="M185" s="344">
        <f>+IFERROR(_xlfn.XLOOKUP($A185,'CONSOLIDATED CY Cash Flows'!$B:$B,'CONSOLIDATED CY Cash Flows'!S:S)/$S185,0)</f>
        <v>0</v>
      </c>
      <c r="N185" s="344">
        <f>+IFERROR(_xlfn.XLOOKUP($A185,'CONSOLIDATED CY Cash Flows'!$B:$B,'CONSOLIDATED CY Cash Flows'!T:T)/$S185,0)</f>
        <v>0.27777777777777773</v>
      </c>
      <c r="O185" s="344">
        <f>+IFERROR(_xlfn.XLOOKUP($A185,'CONSOLIDATED CY Cash Flows'!$B:$B,'CONSOLIDATED CY Cash Flows'!U:U)/$S185,0)</f>
        <v>0</v>
      </c>
      <c r="P185" s="344">
        <f>+IFERROR(_xlfn.XLOOKUP($A185,'CONSOLIDATED CY Cash Flows'!$B:$B,'CONSOLIDATED CY Cash Flows'!V:V)/$S185,0)</f>
        <v>0</v>
      </c>
      <c r="Q185" s="344">
        <f>+IFERROR(_xlfn.XLOOKUP($A185,'CONSOLIDATED CY Cash Flows'!$B:$B,'CONSOLIDATED CY Cash Flows'!W:W)/$S185,0)</f>
        <v>0</v>
      </c>
      <c r="R185" s="340">
        <f t="shared" si="22"/>
        <v>0.99999999999999978</v>
      </c>
      <c r="S185" s="501">
        <f>IFERROR(_xlfn.XLOOKUP($A185,'CONSOLIDATED CY Cash Flows'!$B:$B,'CONSOLIDATED CY Cash Flows'!$H:$H),0)</f>
        <v>30000</v>
      </c>
      <c r="T185" s="501">
        <f t="shared" si="20"/>
        <v>5000</v>
      </c>
      <c r="U185" s="501">
        <f t="shared" si="24"/>
        <v>25000</v>
      </c>
    </row>
    <row r="186" spans="1:21" ht="15" hidden="1" customHeight="1" x14ac:dyDescent="0.75">
      <c r="A186" s="349">
        <v>8295</v>
      </c>
      <c r="B186" s="350" t="s">
        <v>787</v>
      </c>
      <c r="C186" s="344">
        <f>+IFERROR(_xlfn.XLOOKUP($A186,'CONSOLIDATED CY Cash Flows'!$B:$B,'CONSOLIDATED CY Cash Flows'!I:I)/$S186,0)</f>
        <v>0</v>
      </c>
      <c r="D186" s="344">
        <f>+IFERROR(_xlfn.XLOOKUP($A186,'CONSOLIDATED CY Cash Flows'!$B:$B,'CONSOLIDATED CY Cash Flows'!J:J)/$S186,0)</f>
        <v>0</v>
      </c>
      <c r="E186" s="344">
        <f>+IFERROR(_xlfn.XLOOKUP($A186,'CONSOLIDATED CY Cash Flows'!$B:$B,'CONSOLIDATED CY Cash Flows'!K:K)/$S186,0)</f>
        <v>0</v>
      </c>
      <c r="F186" s="344">
        <f>+IFERROR(_xlfn.XLOOKUP($A186,'CONSOLIDATED CY Cash Flows'!$B:$B,'CONSOLIDATED CY Cash Flows'!L:L)/$S186,0)</f>
        <v>0</v>
      </c>
      <c r="G186" s="344">
        <f>+IFERROR(_xlfn.XLOOKUP($A186,'CONSOLIDATED CY Cash Flows'!$B:$B,'CONSOLIDATED CY Cash Flows'!M:M)/$S186,0)</f>
        <v>0</v>
      </c>
      <c r="H186" s="344">
        <f>+IFERROR(_xlfn.XLOOKUP($A186,'CONSOLIDATED CY Cash Flows'!$B:$B,'CONSOLIDATED CY Cash Flows'!N:N)/$S186,0)</f>
        <v>0</v>
      </c>
      <c r="I186" s="344">
        <f>+IFERROR(_xlfn.XLOOKUP($A186,'CONSOLIDATED CY Cash Flows'!$B:$B,'CONSOLIDATED CY Cash Flows'!O:O)/$S186,0)</f>
        <v>0</v>
      </c>
      <c r="J186" s="344">
        <f>+IFERROR(_xlfn.XLOOKUP($A186,'CONSOLIDATED CY Cash Flows'!$B:$B,'CONSOLIDATED CY Cash Flows'!P:P)/$S186,0)</f>
        <v>0</v>
      </c>
      <c r="K186" s="344">
        <f>+IFERROR(_xlfn.XLOOKUP($A186,'CONSOLIDATED CY Cash Flows'!$B:$B,'CONSOLIDATED CY Cash Flows'!Q:Q)/$S186,0)</f>
        <v>0</v>
      </c>
      <c r="L186" s="344">
        <f>+IFERROR(_xlfn.XLOOKUP($A186,'CONSOLIDATED CY Cash Flows'!$B:$B,'CONSOLIDATED CY Cash Flows'!R:R)/$S186,0)</f>
        <v>0</v>
      </c>
      <c r="M186" s="344">
        <f>+IFERROR(_xlfn.XLOOKUP($A186,'CONSOLIDATED CY Cash Flows'!$B:$B,'CONSOLIDATED CY Cash Flows'!S:S)/$S186,0)</f>
        <v>0</v>
      </c>
      <c r="N186" s="344">
        <f>+IFERROR(_xlfn.XLOOKUP($A186,'CONSOLIDATED CY Cash Flows'!$B:$B,'CONSOLIDATED CY Cash Flows'!T:T)/$S186,0)</f>
        <v>0</v>
      </c>
      <c r="O186" s="344">
        <f>+IFERROR(_xlfn.XLOOKUP($A186,'CONSOLIDATED CY Cash Flows'!$B:$B,'CONSOLIDATED CY Cash Flows'!U:U)/$S186,0)</f>
        <v>0</v>
      </c>
      <c r="P186" s="344">
        <f>+IFERROR(_xlfn.XLOOKUP($A186,'CONSOLIDATED CY Cash Flows'!$B:$B,'CONSOLIDATED CY Cash Flows'!V:V)/$S186,0)</f>
        <v>0</v>
      </c>
      <c r="Q186" s="344">
        <f>+IFERROR(_xlfn.XLOOKUP($A186,'CONSOLIDATED CY Cash Flows'!$B:$B,'CONSOLIDATED CY Cash Flows'!W:W)/$S186,0)</f>
        <v>0</v>
      </c>
      <c r="R186" s="340">
        <f t="shared" si="22"/>
        <v>0</v>
      </c>
      <c r="S186" s="501">
        <f>IFERROR(_xlfn.XLOOKUP($A186,'CONSOLIDATED CY Cash Flows'!$B:$B,'CONSOLIDATED CY Cash Flows'!$H:$H),0)</f>
        <v>0</v>
      </c>
      <c r="T186" s="501">
        <f t="shared" si="20"/>
        <v>0</v>
      </c>
      <c r="U186" s="501">
        <f t="shared" si="24"/>
        <v>0</v>
      </c>
    </row>
    <row r="187" spans="1:21" ht="15" customHeight="1" x14ac:dyDescent="0.75">
      <c r="A187" s="349">
        <v>8299</v>
      </c>
      <c r="B187" s="350" t="s">
        <v>1086</v>
      </c>
      <c r="C187" s="344">
        <f>+IFERROR(_xlfn.XLOOKUP($A187,'CONSOLIDATED CY Cash Flows'!$B:$B,'CONSOLIDATED CY Cash Flows'!I:I)/$S187,0)</f>
        <v>0</v>
      </c>
      <c r="D187" s="344">
        <f>+IFERROR(_xlfn.XLOOKUP($A187,'CONSOLIDATED CY Cash Flows'!$B:$B,'CONSOLIDATED CY Cash Flows'!J:J)/$S187,0)</f>
        <v>0</v>
      </c>
      <c r="E187" s="344">
        <f>+IFERROR(_xlfn.XLOOKUP($A187,'CONSOLIDATED CY Cash Flows'!$B:$B,'CONSOLIDATED CY Cash Flows'!K:K)/$S187,0)</f>
        <v>0</v>
      </c>
      <c r="F187" s="344">
        <f>+IFERROR(_xlfn.XLOOKUP($A187,'CONSOLIDATED CY Cash Flows'!$B:$B,'CONSOLIDATED CY Cash Flows'!L:L)/$S187,0)</f>
        <v>0</v>
      </c>
      <c r="G187" s="344">
        <f>+IFERROR(_xlfn.XLOOKUP($A187,'CONSOLIDATED CY Cash Flows'!$B:$B,'CONSOLIDATED CY Cash Flows'!M:M)/$S187,0)</f>
        <v>0</v>
      </c>
      <c r="H187" s="344">
        <f>+IFERROR(_xlfn.XLOOKUP($A187,'CONSOLIDATED CY Cash Flows'!$B:$B,'CONSOLIDATED CY Cash Flows'!N:N)/$S187,0)</f>
        <v>0</v>
      </c>
      <c r="I187" s="344">
        <f>+IFERROR(_xlfn.XLOOKUP($A187,'CONSOLIDATED CY Cash Flows'!$B:$B,'CONSOLIDATED CY Cash Flows'!O:O)/$S187,0)</f>
        <v>0</v>
      </c>
      <c r="J187" s="344">
        <f>+IFERROR(_xlfn.XLOOKUP($A187,'CONSOLIDATED CY Cash Flows'!$B:$B,'CONSOLIDATED CY Cash Flows'!P:P)/$S187,0)</f>
        <v>0</v>
      </c>
      <c r="K187" s="344">
        <f>+IFERROR(_xlfn.XLOOKUP($A187,'CONSOLIDATED CY Cash Flows'!$B:$B,'CONSOLIDATED CY Cash Flows'!Q:Q)/$S187,0)</f>
        <v>0</v>
      </c>
      <c r="L187" s="344">
        <f>+IFERROR(_xlfn.XLOOKUP($A187,'CONSOLIDATED CY Cash Flows'!$B:$B,'CONSOLIDATED CY Cash Flows'!R:R)/$S187,0)</f>
        <v>0</v>
      </c>
      <c r="M187" s="344">
        <f>+IFERROR(_xlfn.XLOOKUP($A187,'CONSOLIDATED CY Cash Flows'!$B:$B,'CONSOLIDATED CY Cash Flows'!S:S)/$S187,0)</f>
        <v>0</v>
      </c>
      <c r="N187" s="344">
        <f>+IFERROR(_xlfn.XLOOKUP($A187,'CONSOLIDATED CY Cash Flows'!$B:$B,'CONSOLIDATED CY Cash Flows'!T:T)/$S187,0)</f>
        <v>0</v>
      </c>
      <c r="O187" s="344">
        <f>+IFERROR(_xlfn.XLOOKUP($A187,'CONSOLIDATED CY Cash Flows'!$B:$B,'CONSOLIDATED CY Cash Flows'!U:U)/$S187,0)</f>
        <v>0</v>
      </c>
      <c r="P187" s="344">
        <f>+IFERROR(_xlfn.XLOOKUP($A187,'CONSOLIDATED CY Cash Flows'!$B:$B,'CONSOLIDATED CY Cash Flows'!V:V)/$S187,0)</f>
        <v>0</v>
      </c>
      <c r="Q187" s="344">
        <f>+IFERROR(_xlfn.XLOOKUP($A187,'CONSOLIDATED CY Cash Flows'!$B:$B,'CONSOLIDATED CY Cash Flows'!W:W)/$S187,0)</f>
        <v>0</v>
      </c>
      <c r="R187" s="340">
        <f t="shared" si="22"/>
        <v>0</v>
      </c>
      <c r="S187" s="501">
        <f>IFERROR(_xlfn.XLOOKUP($A187,'CONSOLIDATED CY Cash Flows'!$B:$B,'CONSOLIDATED CY Cash Flows'!$H:$H),0)</f>
        <v>0</v>
      </c>
      <c r="T187" s="501">
        <f t="shared" si="20"/>
        <v>0</v>
      </c>
      <c r="U187" s="501">
        <f t="shared" si="24"/>
        <v>0</v>
      </c>
    </row>
    <row r="188" spans="1:21" ht="15" hidden="1" customHeight="1" x14ac:dyDescent="0.75">
      <c r="A188" s="349" t="s">
        <v>1397</v>
      </c>
      <c r="B188" s="350">
        <v>0</v>
      </c>
      <c r="C188" s="344">
        <f>+IFERROR(_xlfn.XLOOKUP($A188,'CONSOLIDATED CY Cash Flows'!$B:$B,'CONSOLIDATED CY Cash Flows'!I:I)/$S188,0)</f>
        <v>0</v>
      </c>
      <c r="D188" s="344">
        <f>+IFERROR(_xlfn.XLOOKUP($A188,'CONSOLIDATED CY Cash Flows'!$B:$B,'CONSOLIDATED CY Cash Flows'!J:J)/$S188,0)</f>
        <v>0</v>
      </c>
      <c r="E188" s="344">
        <f>+IFERROR(_xlfn.XLOOKUP($A188,'CONSOLIDATED CY Cash Flows'!$B:$B,'CONSOLIDATED CY Cash Flows'!K:K)/$S188,0)</f>
        <v>0</v>
      </c>
      <c r="F188" s="344">
        <f>+IFERROR(_xlfn.XLOOKUP($A188,'CONSOLIDATED CY Cash Flows'!$B:$B,'CONSOLIDATED CY Cash Flows'!L:L)/$S188,0)</f>
        <v>0</v>
      </c>
      <c r="G188" s="344">
        <f>+IFERROR(_xlfn.XLOOKUP($A188,'CONSOLIDATED CY Cash Flows'!$B:$B,'CONSOLIDATED CY Cash Flows'!M:M)/$S188,0)</f>
        <v>0</v>
      </c>
      <c r="H188" s="344">
        <f>+IFERROR(_xlfn.XLOOKUP($A188,'CONSOLIDATED CY Cash Flows'!$B:$B,'CONSOLIDATED CY Cash Flows'!N:N)/$S188,0)</f>
        <v>0</v>
      </c>
      <c r="I188" s="344">
        <f>+IFERROR(_xlfn.XLOOKUP($A188,'CONSOLIDATED CY Cash Flows'!$B:$B,'CONSOLIDATED CY Cash Flows'!O:O)/$S188,0)</f>
        <v>0</v>
      </c>
      <c r="J188" s="344">
        <f>+IFERROR(_xlfn.XLOOKUP($A188,'CONSOLIDATED CY Cash Flows'!$B:$B,'CONSOLIDATED CY Cash Flows'!P:P)/$S188,0)</f>
        <v>0</v>
      </c>
      <c r="K188" s="344">
        <f>+IFERROR(_xlfn.XLOOKUP($A188,'CONSOLIDATED CY Cash Flows'!$B:$B,'CONSOLIDATED CY Cash Flows'!Q:Q)/$S188,0)</f>
        <v>0</v>
      </c>
      <c r="L188" s="344">
        <f>+IFERROR(_xlfn.XLOOKUP($A188,'CONSOLIDATED CY Cash Flows'!$B:$B,'CONSOLIDATED CY Cash Flows'!R:R)/$S188,0)</f>
        <v>0</v>
      </c>
      <c r="M188" s="344">
        <f>+IFERROR(_xlfn.XLOOKUP($A188,'CONSOLIDATED CY Cash Flows'!$B:$B,'CONSOLIDATED CY Cash Flows'!S:S)/$S188,0)</f>
        <v>0</v>
      </c>
      <c r="N188" s="344">
        <f>+IFERROR(_xlfn.XLOOKUP($A188,'CONSOLIDATED CY Cash Flows'!$B:$B,'CONSOLIDATED CY Cash Flows'!T:T)/$S188,0)</f>
        <v>0</v>
      </c>
      <c r="O188" s="344">
        <f>+IFERROR(_xlfn.XLOOKUP($A188,'CONSOLIDATED CY Cash Flows'!$B:$B,'CONSOLIDATED CY Cash Flows'!U:U)/$S188,0)</f>
        <v>0</v>
      </c>
      <c r="P188" s="344">
        <f>+IFERROR(_xlfn.XLOOKUP($A188,'CONSOLIDATED CY Cash Flows'!$B:$B,'CONSOLIDATED CY Cash Flows'!V:V)/$S188,0)</f>
        <v>0</v>
      </c>
      <c r="Q188" s="344">
        <f>+IFERROR(_xlfn.XLOOKUP($A188,'CONSOLIDATED CY Cash Flows'!$B:$B,'CONSOLIDATED CY Cash Flows'!W:W)/$S188,0)</f>
        <v>0</v>
      </c>
      <c r="R188" s="340">
        <f t="shared" si="22"/>
        <v>0</v>
      </c>
      <c r="S188" s="501">
        <f>IFERROR(_xlfn.XLOOKUP($A188,'CONSOLIDATED CY Cash Flows'!$B:$B,'CONSOLIDATED CY Cash Flows'!$H:$H),0)</f>
        <v>0</v>
      </c>
      <c r="T188" s="501">
        <f t="shared" si="20"/>
        <v>0</v>
      </c>
      <c r="U188" s="501">
        <f t="shared" si="24"/>
        <v>0</v>
      </c>
    </row>
    <row r="189" spans="1:21" ht="15" hidden="1" customHeight="1" x14ac:dyDescent="0.75">
      <c r="A189" s="349" t="s">
        <v>1397</v>
      </c>
      <c r="B189" s="350">
        <v>0</v>
      </c>
      <c r="C189" s="344">
        <f>+IFERROR(_xlfn.XLOOKUP($A189,'CONSOLIDATED CY Cash Flows'!$B:$B,'CONSOLIDATED CY Cash Flows'!I:I)/$S189,0)</f>
        <v>0</v>
      </c>
      <c r="D189" s="344">
        <f>+IFERROR(_xlfn.XLOOKUP($A189,'CONSOLIDATED CY Cash Flows'!$B:$B,'CONSOLIDATED CY Cash Flows'!J:J)/$S189,0)</f>
        <v>0</v>
      </c>
      <c r="E189" s="344">
        <f>+IFERROR(_xlfn.XLOOKUP($A189,'CONSOLIDATED CY Cash Flows'!$B:$B,'CONSOLIDATED CY Cash Flows'!K:K)/$S189,0)</f>
        <v>0</v>
      </c>
      <c r="F189" s="344">
        <f>+IFERROR(_xlfn.XLOOKUP($A189,'CONSOLIDATED CY Cash Flows'!$B:$B,'CONSOLIDATED CY Cash Flows'!L:L)/$S189,0)</f>
        <v>0</v>
      </c>
      <c r="G189" s="344">
        <f>+IFERROR(_xlfn.XLOOKUP($A189,'CONSOLIDATED CY Cash Flows'!$B:$B,'CONSOLIDATED CY Cash Flows'!M:M)/$S189,0)</f>
        <v>0</v>
      </c>
      <c r="H189" s="344">
        <f>+IFERROR(_xlfn.XLOOKUP($A189,'CONSOLIDATED CY Cash Flows'!$B:$B,'CONSOLIDATED CY Cash Flows'!N:N)/$S189,0)</f>
        <v>0</v>
      </c>
      <c r="I189" s="344">
        <f>+IFERROR(_xlfn.XLOOKUP($A189,'CONSOLIDATED CY Cash Flows'!$B:$B,'CONSOLIDATED CY Cash Flows'!O:O)/$S189,0)</f>
        <v>0</v>
      </c>
      <c r="J189" s="344">
        <f>+IFERROR(_xlfn.XLOOKUP($A189,'CONSOLIDATED CY Cash Flows'!$B:$B,'CONSOLIDATED CY Cash Flows'!P:P)/$S189,0)</f>
        <v>0</v>
      </c>
      <c r="K189" s="344">
        <f>+IFERROR(_xlfn.XLOOKUP($A189,'CONSOLIDATED CY Cash Flows'!$B:$B,'CONSOLIDATED CY Cash Flows'!Q:Q)/$S189,0)</f>
        <v>0</v>
      </c>
      <c r="L189" s="344">
        <f>+IFERROR(_xlfn.XLOOKUP($A189,'CONSOLIDATED CY Cash Flows'!$B:$B,'CONSOLIDATED CY Cash Flows'!R:R)/$S189,0)</f>
        <v>0</v>
      </c>
      <c r="M189" s="344">
        <f>+IFERROR(_xlfn.XLOOKUP($A189,'CONSOLIDATED CY Cash Flows'!$B:$B,'CONSOLIDATED CY Cash Flows'!S:S)/$S189,0)</f>
        <v>0</v>
      </c>
      <c r="N189" s="344">
        <f>+IFERROR(_xlfn.XLOOKUP($A189,'CONSOLIDATED CY Cash Flows'!$B:$B,'CONSOLIDATED CY Cash Flows'!T:T)/$S189,0)</f>
        <v>0</v>
      </c>
      <c r="O189" s="344">
        <f>+IFERROR(_xlfn.XLOOKUP($A189,'CONSOLIDATED CY Cash Flows'!$B:$B,'CONSOLIDATED CY Cash Flows'!U:U)/$S189,0)</f>
        <v>0</v>
      </c>
      <c r="P189" s="344">
        <f>+IFERROR(_xlfn.XLOOKUP($A189,'CONSOLIDATED CY Cash Flows'!$B:$B,'CONSOLIDATED CY Cash Flows'!V:V)/$S189,0)</f>
        <v>0</v>
      </c>
      <c r="Q189" s="344">
        <f>+IFERROR(_xlfn.XLOOKUP($A189,'CONSOLIDATED CY Cash Flows'!$B:$B,'CONSOLIDATED CY Cash Flows'!W:W)/$S189,0)</f>
        <v>0</v>
      </c>
      <c r="R189" s="340">
        <f t="shared" si="22"/>
        <v>0</v>
      </c>
      <c r="S189" s="501">
        <f>IFERROR(_xlfn.XLOOKUP($A189,'CONSOLIDATED CY Cash Flows'!$B:$B,'CONSOLIDATED CY Cash Flows'!$H:$H),0)</f>
        <v>0</v>
      </c>
      <c r="T189" s="501">
        <f t="shared" si="20"/>
        <v>0</v>
      </c>
      <c r="U189" s="501">
        <f t="shared" si="24"/>
        <v>0</v>
      </c>
    </row>
    <row r="190" spans="1:21" ht="15" hidden="1" customHeight="1" x14ac:dyDescent="0.75">
      <c r="A190" s="349" t="s">
        <v>1397</v>
      </c>
      <c r="B190" s="350">
        <v>0</v>
      </c>
      <c r="C190" s="344">
        <f>+IFERROR(_xlfn.XLOOKUP($A190,'CONSOLIDATED CY Cash Flows'!$B:$B,'CONSOLIDATED CY Cash Flows'!I:I)/$S190,0)</f>
        <v>0</v>
      </c>
      <c r="D190" s="344">
        <f>+IFERROR(_xlfn.XLOOKUP($A190,'CONSOLIDATED CY Cash Flows'!$B:$B,'CONSOLIDATED CY Cash Flows'!J:J)/$S190,0)</f>
        <v>0</v>
      </c>
      <c r="E190" s="344">
        <f>+IFERROR(_xlfn.XLOOKUP($A190,'CONSOLIDATED CY Cash Flows'!$B:$B,'CONSOLIDATED CY Cash Flows'!K:K)/$S190,0)</f>
        <v>0</v>
      </c>
      <c r="F190" s="344">
        <f>+IFERROR(_xlfn.XLOOKUP($A190,'CONSOLIDATED CY Cash Flows'!$B:$B,'CONSOLIDATED CY Cash Flows'!L:L)/$S190,0)</f>
        <v>0</v>
      </c>
      <c r="G190" s="344">
        <f>+IFERROR(_xlfn.XLOOKUP($A190,'CONSOLIDATED CY Cash Flows'!$B:$B,'CONSOLIDATED CY Cash Flows'!M:M)/$S190,0)</f>
        <v>0</v>
      </c>
      <c r="H190" s="344">
        <f>+IFERROR(_xlfn.XLOOKUP($A190,'CONSOLIDATED CY Cash Flows'!$B:$B,'CONSOLIDATED CY Cash Flows'!N:N)/$S190,0)</f>
        <v>0</v>
      </c>
      <c r="I190" s="344">
        <f>+IFERROR(_xlfn.XLOOKUP($A190,'CONSOLIDATED CY Cash Flows'!$B:$B,'CONSOLIDATED CY Cash Flows'!O:O)/$S190,0)</f>
        <v>0</v>
      </c>
      <c r="J190" s="344">
        <f>+IFERROR(_xlfn.XLOOKUP($A190,'CONSOLIDATED CY Cash Flows'!$B:$B,'CONSOLIDATED CY Cash Flows'!P:P)/$S190,0)</f>
        <v>0</v>
      </c>
      <c r="K190" s="344">
        <f>+IFERROR(_xlfn.XLOOKUP($A190,'CONSOLIDATED CY Cash Flows'!$B:$B,'CONSOLIDATED CY Cash Flows'!Q:Q)/$S190,0)</f>
        <v>0</v>
      </c>
      <c r="L190" s="344">
        <f>+IFERROR(_xlfn.XLOOKUP($A190,'CONSOLIDATED CY Cash Flows'!$B:$B,'CONSOLIDATED CY Cash Flows'!R:R)/$S190,0)</f>
        <v>0</v>
      </c>
      <c r="M190" s="344">
        <f>+IFERROR(_xlfn.XLOOKUP($A190,'CONSOLIDATED CY Cash Flows'!$B:$B,'CONSOLIDATED CY Cash Flows'!S:S)/$S190,0)</f>
        <v>0</v>
      </c>
      <c r="N190" s="344">
        <f>+IFERROR(_xlfn.XLOOKUP($A190,'CONSOLIDATED CY Cash Flows'!$B:$B,'CONSOLIDATED CY Cash Flows'!T:T)/$S190,0)</f>
        <v>0</v>
      </c>
      <c r="O190" s="344">
        <f>+IFERROR(_xlfn.XLOOKUP($A190,'CONSOLIDATED CY Cash Flows'!$B:$B,'CONSOLIDATED CY Cash Flows'!U:U)/$S190,0)</f>
        <v>0</v>
      </c>
      <c r="P190" s="344">
        <f>+IFERROR(_xlfn.XLOOKUP($A190,'CONSOLIDATED CY Cash Flows'!$B:$B,'CONSOLIDATED CY Cash Flows'!V:V)/$S190,0)</f>
        <v>0</v>
      </c>
      <c r="Q190" s="344">
        <f>+IFERROR(_xlfn.XLOOKUP($A190,'CONSOLIDATED CY Cash Flows'!$B:$B,'CONSOLIDATED CY Cash Flows'!W:W)/$S190,0)</f>
        <v>0</v>
      </c>
      <c r="R190" s="340">
        <f t="shared" si="22"/>
        <v>0</v>
      </c>
      <c r="S190" s="501">
        <f>IFERROR(_xlfn.XLOOKUP($A190,'CONSOLIDATED CY Cash Flows'!$B:$B,'CONSOLIDATED CY Cash Flows'!$H:$H),0)</f>
        <v>0</v>
      </c>
      <c r="T190" s="501">
        <f t="shared" si="20"/>
        <v>0</v>
      </c>
      <c r="U190" s="501">
        <f t="shared" si="24"/>
        <v>0</v>
      </c>
    </row>
    <row r="191" spans="1:21" ht="15" hidden="1" customHeight="1" x14ac:dyDescent="0.75">
      <c r="A191" s="349" t="s">
        <v>1397</v>
      </c>
      <c r="B191" s="350">
        <v>0</v>
      </c>
      <c r="C191" s="344">
        <f>+IFERROR(_xlfn.XLOOKUP($A191,'CONSOLIDATED CY Cash Flows'!$B:$B,'CONSOLIDATED CY Cash Flows'!I:I)/$S191,0)</f>
        <v>0</v>
      </c>
      <c r="D191" s="344">
        <f>+IFERROR(_xlfn.XLOOKUP($A191,'CONSOLIDATED CY Cash Flows'!$B:$B,'CONSOLIDATED CY Cash Flows'!J:J)/$S191,0)</f>
        <v>0</v>
      </c>
      <c r="E191" s="344">
        <f>+IFERROR(_xlfn.XLOOKUP($A191,'CONSOLIDATED CY Cash Flows'!$B:$B,'CONSOLIDATED CY Cash Flows'!K:K)/$S191,0)</f>
        <v>0</v>
      </c>
      <c r="F191" s="344">
        <f>+IFERROR(_xlfn.XLOOKUP($A191,'CONSOLIDATED CY Cash Flows'!$B:$B,'CONSOLIDATED CY Cash Flows'!L:L)/$S191,0)</f>
        <v>0</v>
      </c>
      <c r="G191" s="344">
        <f>+IFERROR(_xlfn.XLOOKUP($A191,'CONSOLIDATED CY Cash Flows'!$B:$B,'CONSOLIDATED CY Cash Flows'!M:M)/$S191,0)</f>
        <v>0</v>
      </c>
      <c r="H191" s="344">
        <f>+IFERROR(_xlfn.XLOOKUP($A191,'CONSOLIDATED CY Cash Flows'!$B:$B,'CONSOLIDATED CY Cash Flows'!N:N)/$S191,0)</f>
        <v>0</v>
      </c>
      <c r="I191" s="344">
        <f>+IFERROR(_xlfn.XLOOKUP($A191,'CONSOLIDATED CY Cash Flows'!$B:$B,'CONSOLIDATED CY Cash Flows'!O:O)/$S191,0)</f>
        <v>0</v>
      </c>
      <c r="J191" s="344">
        <f>+IFERROR(_xlfn.XLOOKUP($A191,'CONSOLIDATED CY Cash Flows'!$B:$B,'CONSOLIDATED CY Cash Flows'!P:P)/$S191,0)</f>
        <v>0</v>
      </c>
      <c r="K191" s="344">
        <f>+IFERROR(_xlfn.XLOOKUP($A191,'CONSOLIDATED CY Cash Flows'!$B:$B,'CONSOLIDATED CY Cash Flows'!Q:Q)/$S191,0)</f>
        <v>0</v>
      </c>
      <c r="L191" s="344">
        <f>+IFERROR(_xlfn.XLOOKUP($A191,'CONSOLIDATED CY Cash Flows'!$B:$B,'CONSOLIDATED CY Cash Flows'!R:R)/$S191,0)</f>
        <v>0</v>
      </c>
      <c r="M191" s="344">
        <f>+IFERROR(_xlfn.XLOOKUP($A191,'CONSOLIDATED CY Cash Flows'!$B:$B,'CONSOLIDATED CY Cash Flows'!S:S)/$S191,0)</f>
        <v>0</v>
      </c>
      <c r="N191" s="344">
        <f>+IFERROR(_xlfn.XLOOKUP($A191,'CONSOLIDATED CY Cash Flows'!$B:$B,'CONSOLIDATED CY Cash Flows'!T:T)/$S191,0)</f>
        <v>0</v>
      </c>
      <c r="O191" s="344">
        <f>+IFERROR(_xlfn.XLOOKUP($A191,'CONSOLIDATED CY Cash Flows'!$B:$B,'CONSOLIDATED CY Cash Flows'!U:U)/$S191,0)</f>
        <v>0</v>
      </c>
      <c r="P191" s="344">
        <f>+IFERROR(_xlfn.XLOOKUP($A191,'CONSOLIDATED CY Cash Flows'!$B:$B,'CONSOLIDATED CY Cash Flows'!V:V)/$S191,0)</f>
        <v>0</v>
      </c>
      <c r="Q191" s="344">
        <f>+IFERROR(_xlfn.XLOOKUP($A191,'CONSOLIDATED CY Cash Flows'!$B:$B,'CONSOLIDATED CY Cash Flows'!W:W)/$S191,0)</f>
        <v>0</v>
      </c>
      <c r="R191" s="340">
        <f t="shared" si="22"/>
        <v>0</v>
      </c>
      <c r="S191" s="501">
        <f>IFERROR(_xlfn.XLOOKUP($A191,'CONSOLIDATED CY Cash Flows'!$B:$B,'CONSOLIDATED CY Cash Flows'!$H:$H),0)</f>
        <v>0</v>
      </c>
      <c r="T191" s="501">
        <f t="shared" si="20"/>
        <v>0</v>
      </c>
      <c r="U191" s="501">
        <f t="shared" si="24"/>
        <v>0</v>
      </c>
    </row>
    <row r="192" spans="1:21" ht="15" hidden="1" customHeight="1" x14ac:dyDescent="0.75">
      <c r="A192" s="349" t="s">
        <v>1397</v>
      </c>
      <c r="B192" s="350">
        <v>0</v>
      </c>
      <c r="C192" s="344">
        <f>+IFERROR(_xlfn.XLOOKUP($A192,'CONSOLIDATED CY Cash Flows'!$B:$B,'CONSOLIDATED CY Cash Flows'!I:I)/$S192,0)</f>
        <v>0</v>
      </c>
      <c r="D192" s="344">
        <f>+IFERROR(_xlfn.XLOOKUP($A192,'CONSOLIDATED CY Cash Flows'!$B:$B,'CONSOLIDATED CY Cash Flows'!J:J)/$S192,0)</f>
        <v>0</v>
      </c>
      <c r="E192" s="344">
        <f>+IFERROR(_xlfn.XLOOKUP($A192,'CONSOLIDATED CY Cash Flows'!$B:$B,'CONSOLIDATED CY Cash Flows'!K:K)/$S192,0)</f>
        <v>0</v>
      </c>
      <c r="F192" s="344">
        <f>+IFERROR(_xlfn.XLOOKUP($A192,'CONSOLIDATED CY Cash Flows'!$B:$B,'CONSOLIDATED CY Cash Flows'!L:L)/$S192,0)</f>
        <v>0</v>
      </c>
      <c r="G192" s="344">
        <f>+IFERROR(_xlfn.XLOOKUP($A192,'CONSOLIDATED CY Cash Flows'!$B:$B,'CONSOLIDATED CY Cash Flows'!M:M)/$S192,0)</f>
        <v>0</v>
      </c>
      <c r="H192" s="344">
        <f>+IFERROR(_xlfn.XLOOKUP($A192,'CONSOLIDATED CY Cash Flows'!$B:$B,'CONSOLIDATED CY Cash Flows'!N:N)/$S192,0)</f>
        <v>0</v>
      </c>
      <c r="I192" s="344">
        <f>+IFERROR(_xlfn.XLOOKUP($A192,'CONSOLIDATED CY Cash Flows'!$B:$B,'CONSOLIDATED CY Cash Flows'!O:O)/$S192,0)</f>
        <v>0</v>
      </c>
      <c r="J192" s="344">
        <f>+IFERROR(_xlfn.XLOOKUP($A192,'CONSOLIDATED CY Cash Flows'!$B:$B,'CONSOLIDATED CY Cash Flows'!P:P)/$S192,0)</f>
        <v>0</v>
      </c>
      <c r="K192" s="344">
        <f>+IFERROR(_xlfn.XLOOKUP($A192,'CONSOLIDATED CY Cash Flows'!$B:$B,'CONSOLIDATED CY Cash Flows'!Q:Q)/$S192,0)</f>
        <v>0</v>
      </c>
      <c r="L192" s="344">
        <f>+IFERROR(_xlfn.XLOOKUP($A192,'CONSOLIDATED CY Cash Flows'!$B:$B,'CONSOLIDATED CY Cash Flows'!R:R)/$S192,0)</f>
        <v>0</v>
      </c>
      <c r="M192" s="344">
        <f>+IFERROR(_xlfn.XLOOKUP($A192,'CONSOLIDATED CY Cash Flows'!$B:$B,'CONSOLIDATED CY Cash Flows'!S:S)/$S192,0)</f>
        <v>0</v>
      </c>
      <c r="N192" s="344">
        <f>+IFERROR(_xlfn.XLOOKUP($A192,'CONSOLIDATED CY Cash Flows'!$B:$B,'CONSOLIDATED CY Cash Flows'!T:T)/$S192,0)</f>
        <v>0</v>
      </c>
      <c r="O192" s="344">
        <f>+IFERROR(_xlfn.XLOOKUP($A192,'CONSOLIDATED CY Cash Flows'!$B:$B,'CONSOLIDATED CY Cash Flows'!U:U)/$S192,0)</f>
        <v>0</v>
      </c>
      <c r="P192" s="344">
        <f>+IFERROR(_xlfn.XLOOKUP($A192,'CONSOLIDATED CY Cash Flows'!$B:$B,'CONSOLIDATED CY Cash Flows'!V:V)/$S192,0)</f>
        <v>0</v>
      </c>
      <c r="Q192" s="344">
        <f>+IFERROR(_xlfn.XLOOKUP($A192,'CONSOLIDATED CY Cash Flows'!$B:$B,'CONSOLIDATED CY Cash Flows'!W:W)/$S192,0)</f>
        <v>0</v>
      </c>
      <c r="R192" s="340">
        <f t="shared" si="22"/>
        <v>0</v>
      </c>
      <c r="S192" s="501">
        <f>IFERROR(_xlfn.XLOOKUP($A192,'CONSOLIDATED CY Cash Flows'!$B:$B,'CONSOLIDATED CY Cash Flows'!$H:$H),0)</f>
        <v>0</v>
      </c>
      <c r="T192" s="501">
        <f t="shared" si="20"/>
        <v>0</v>
      </c>
      <c r="U192" s="501">
        <f t="shared" si="24"/>
        <v>0</v>
      </c>
    </row>
    <row r="193" spans="1:21" ht="15" hidden="1" customHeight="1" thickBot="1" x14ac:dyDescent="0.9">
      <c r="A193" s="351" t="s">
        <v>1397</v>
      </c>
      <c r="B193" s="352">
        <v>0</v>
      </c>
      <c r="C193" s="344">
        <f>+IFERROR(_xlfn.XLOOKUP($A193,'CONSOLIDATED CY Cash Flows'!$B:$B,'CONSOLIDATED CY Cash Flows'!I:I)/$S193,0)</f>
        <v>0</v>
      </c>
      <c r="D193" s="344">
        <f>+IFERROR(_xlfn.XLOOKUP($A193,'CONSOLIDATED CY Cash Flows'!$B:$B,'CONSOLIDATED CY Cash Flows'!J:J)/$S193,0)</f>
        <v>0</v>
      </c>
      <c r="E193" s="344">
        <f>+IFERROR(_xlfn.XLOOKUP($A193,'CONSOLIDATED CY Cash Flows'!$B:$B,'CONSOLIDATED CY Cash Flows'!K:K)/$S193,0)</f>
        <v>0</v>
      </c>
      <c r="F193" s="344">
        <f>+IFERROR(_xlfn.XLOOKUP($A193,'CONSOLIDATED CY Cash Flows'!$B:$B,'CONSOLIDATED CY Cash Flows'!L:L)/$S193,0)</f>
        <v>0</v>
      </c>
      <c r="G193" s="344">
        <f>+IFERROR(_xlfn.XLOOKUP($A193,'CONSOLIDATED CY Cash Flows'!$B:$B,'CONSOLIDATED CY Cash Flows'!M:M)/$S193,0)</f>
        <v>0</v>
      </c>
      <c r="H193" s="344">
        <f>+IFERROR(_xlfn.XLOOKUP($A193,'CONSOLIDATED CY Cash Flows'!$B:$B,'CONSOLIDATED CY Cash Flows'!N:N)/$S193,0)</f>
        <v>0</v>
      </c>
      <c r="I193" s="344">
        <f>+IFERROR(_xlfn.XLOOKUP($A193,'CONSOLIDATED CY Cash Flows'!$B:$B,'CONSOLIDATED CY Cash Flows'!O:O)/$S193,0)</f>
        <v>0</v>
      </c>
      <c r="J193" s="344">
        <f>+IFERROR(_xlfn.XLOOKUP($A193,'CONSOLIDATED CY Cash Flows'!$B:$B,'CONSOLIDATED CY Cash Flows'!P:P)/$S193,0)</f>
        <v>0</v>
      </c>
      <c r="K193" s="344">
        <f>+IFERROR(_xlfn.XLOOKUP($A193,'CONSOLIDATED CY Cash Flows'!$B:$B,'CONSOLIDATED CY Cash Flows'!Q:Q)/$S193,0)</f>
        <v>0</v>
      </c>
      <c r="L193" s="344">
        <f>+IFERROR(_xlfn.XLOOKUP($A193,'CONSOLIDATED CY Cash Flows'!$B:$B,'CONSOLIDATED CY Cash Flows'!R:R)/$S193,0)</f>
        <v>0</v>
      </c>
      <c r="M193" s="344">
        <f>+IFERROR(_xlfn.XLOOKUP($A193,'CONSOLIDATED CY Cash Flows'!$B:$B,'CONSOLIDATED CY Cash Flows'!S:S)/$S193,0)</f>
        <v>0</v>
      </c>
      <c r="N193" s="344">
        <f>+IFERROR(_xlfn.XLOOKUP($A193,'CONSOLIDATED CY Cash Flows'!$B:$B,'CONSOLIDATED CY Cash Flows'!T:T)/$S193,0)</f>
        <v>0</v>
      </c>
      <c r="O193" s="344">
        <f>+IFERROR(_xlfn.XLOOKUP($A193,'CONSOLIDATED CY Cash Flows'!$B:$B,'CONSOLIDATED CY Cash Flows'!U:U)/$S193,0)</f>
        <v>0</v>
      </c>
      <c r="P193" s="344">
        <f>+IFERROR(_xlfn.XLOOKUP($A193,'CONSOLIDATED CY Cash Flows'!$B:$B,'CONSOLIDATED CY Cash Flows'!V:V)/$S193,0)</f>
        <v>0</v>
      </c>
      <c r="Q193" s="344">
        <f>+IFERROR(_xlfn.XLOOKUP($A193,'CONSOLIDATED CY Cash Flows'!$B:$B,'CONSOLIDATED CY Cash Flows'!W:W)/$S193,0)</f>
        <v>0</v>
      </c>
      <c r="R193" s="340">
        <f t="shared" si="22"/>
        <v>0</v>
      </c>
      <c r="S193" s="501">
        <f>IFERROR(_xlfn.XLOOKUP($A193,'CONSOLIDATED CY Cash Flows'!$B:$B,'CONSOLIDATED CY Cash Flows'!$H:$H),0)</f>
        <v>0</v>
      </c>
      <c r="T193" s="501">
        <f t="shared" si="20"/>
        <v>0</v>
      </c>
      <c r="U193" s="501">
        <f t="shared" si="24"/>
        <v>0</v>
      </c>
    </row>
    <row r="194" spans="1:21" ht="15" hidden="1" customHeight="1" x14ac:dyDescent="0.75">
      <c r="A194" s="353">
        <v>8520</v>
      </c>
      <c r="B194" s="354" t="s">
        <v>1407</v>
      </c>
      <c r="C194" s="339">
        <f>+IFERROR(_xlfn.XLOOKUP($A194,'CONSOLIDATED CY Cash Flows'!$B:$B,'CONSOLIDATED CY Cash Flows'!I:I)/$S194,0)</f>
        <v>0</v>
      </c>
      <c r="D194" s="339">
        <f>+IFERROR(_xlfn.XLOOKUP($A194,'CONSOLIDATED CY Cash Flows'!$B:$B,'CONSOLIDATED CY Cash Flows'!J:J)/$S194,0)</f>
        <v>0</v>
      </c>
      <c r="E194" s="339">
        <f>+IFERROR(_xlfn.XLOOKUP($A194,'CONSOLIDATED CY Cash Flows'!$B:$B,'CONSOLIDATED CY Cash Flows'!K:K)/$S194,0)</f>
        <v>0</v>
      </c>
      <c r="F194" s="339">
        <f>+IFERROR(_xlfn.XLOOKUP($A194,'CONSOLIDATED CY Cash Flows'!$B:$B,'CONSOLIDATED CY Cash Flows'!L:L)/$S194,0)</f>
        <v>0</v>
      </c>
      <c r="G194" s="339">
        <f>+IFERROR(_xlfn.XLOOKUP($A194,'CONSOLIDATED CY Cash Flows'!$B:$B,'CONSOLIDATED CY Cash Flows'!M:M)/$S194,0)</f>
        <v>0</v>
      </c>
      <c r="H194" s="339">
        <f>+IFERROR(_xlfn.XLOOKUP($A194,'CONSOLIDATED CY Cash Flows'!$B:$B,'CONSOLIDATED CY Cash Flows'!N:N)/$S194,0)</f>
        <v>0</v>
      </c>
      <c r="I194" s="339">
        <f>+IFERROR(_xlfn.XLOOKUP($A194,'CONSOLIDATED CY Cash Flows'!$B:$B,'CONSOLIDATED CY Cash Flows'!O:O)/$S194,0)</f>
        <v>0</v>
      </c>
      <c r="J194" s="339">
        <f>+IFERROR(_xlfn.XLOOKUP($A194,'CONSOLIDATED CY Cash Flows'!$B:$B,'CONSOLIDATED CY Cash Flows'!P:P)/$S194,0)</f>
        <v>0</v>
      </c>
      <c r="K194" s="339">
        <f>+IFERROR(_xlfn.XLOOKUP($A194,'CONSOLIDATED CY Cash Flows'!$B:$B,'CONSOLIDATED CY Cash Flows'!Q:Q)/$S194,0)</f>
        <v>0</v>
      </c>
      <c r="L194" s="339">
        <f>+IFERROR(_xlfn.XLOOKUP($A194,'CONSOLIDATED CY Cash Flows'!$B:$B,'CONSOLIDATED CY Cash Flows'!R:R)/$S194,0)</f>
        <v>0</v>
      </c>
      <c r="M194" s="339">
        <f>+IFERROR(_xlfn.XLOOKUP($A194,'CONSOLIDATED CY Cash Flows'!$B:$B,'CONSOLIDATED CY Cash Flows'!S:S)/$S194,0)</f>
        <v>0</v>
      </c>
      <c r="N194" s="339">
        <f>+IFERROR(_xlfn.XLOOKUP($A194,'CONSOLIDATED CY Cash Flows'!$B:$B,'CONSOLIDATED CY Cash Flows'!T:T)/$S194,0)</f>
        <v>0</v>
      </c>
      <c r="O194" s="339">
        <f>+IFERROR(_xlfn.XLOOKUP($A194,'CONSOLIDATED CY Cash Flows'!$B:$B,'CONSOLIDATED CY Cash Flows'!U:U)/$S194,0)</f>
        <v>0</v>
      </c>
      <c r="P194" s="339">
        <f>+IFERROR(_xlfn.XLOOKUP($A194,'CONSOLIDATED CY Cash Flows'!$B:$B,'CONSOLIDATED CY Cash Flows'!V:V)/$S194,0)</f>
        <v>0</v>
      </c>
      <c r="Q194" s="339">
        <f>+IFERROR(_xlfn.XLOOKUP($A194,'CONSOLIDATED CY Cash Flows'!$B:$B,'CONSOLIDATED CY Cash Flows'!W:W)/$S194,0)</f>
        <v>0</v>
      </c>
      <c r="R194" s="340">
        <f t="shared" si="22"/>
        <v>0</v>
      </c>
      <c r="S194" s="501">
        <f>IFERROR(_xlfn.XLOOKUP($A194,'CONSOLIDATED CY Cash Flows'!$B:$B,'CONSOLIDATED CY Cash Flows'!$H:$H),0)</f>
        <v>0</v>
      </c>
      <c r="T194" s="501">
        <f t="shared" si="20"/>
        <v>0</v>
      </c>
      <c r="U194" s="501">
        <f t="shared" si="24"/>
        <v>0</v>
      </c>
    </row>
    <row r="195" spans="1:21" ht="15" customHeight="1" x14ac:dyDescent="0.75">
      <c r="A195" s="349">
        <v>8550</v>
      </c>
      <c r="B195" s="350" t="s">
        <v>1238</v>
      </c>
      <c r="C195" s="343">
        <f>+IFERROR(_xlfn.XLOOKUP($A195,'CONSOLIDATED CY Cash Flows'!$B:$B,'CONSOLIDATED CY Cash Flows'!I:I)/$S195,0)</f>
        <v>0</v>
      </c>
      <c r="D195" s="344">
        <f>+IFERROR(_xlfn.XLOOKUP($A195,'CONSOLIDATED CY Cash Flows'!$B:$B,'CONSOLIDATED CY Cash Flows'!J:J)/$S195,0)</f>
        <v>0</v>
      </c>
      <c r="E195" s="344">
        <f>+IFERROR(_xlfn.XLOOKUP($A195,'CONSOLIDATED CY Cash Flows'!$B:$B,'CONSOLIDATED CY Cash Flows'!K:K)/$S195,0)</f>
        <v>0</v>
      </c>
      <c r="F195" s="344">
        <f>+IFERROR(_xlfn.XLOOKUP($A195,'CONSOLIDATED CY Cash Flows'!$B:$B,'CONSOLIDATED CY Cash Flows'!L:L)/$S195,0)</f>
        <v>0</v>
      </c>
      <c r="G195" s="344">
        <f>+IFERROR(_xlfn.XLOOKUP($A195,'CONSOLIDATED CY Cash Flows'!$B:$B,'CONSOLIDATED CY Cash Flows'!M:M)/$S195,0)</f>
        <v>0</v>
      </c>
      <c r="H195" s="344">
        <f>+IFERROR(_xlfn.XLOOKUP($A195,'CONSOLIDATED CY Cash Flows'!$B:$B,'CONSOLIDATED CY Cash Flows'!N:N)/$S195,0)</f>
        <v>0.79309518363963405</v>
      </c>
      <c r="I195" s="344">
        <f>+IFERROR(_xlfn.XLOOKUP($A195,'CONSOLIDATED CY Cash Flows'!$B:$B,'CONSOLIDATED CY Cash Flows'!O:O)/$S195,0)</f>
        <v>0.19961614526595783</v>
      </c>
      <c r="J195" s="344">
        <f>+IFERROR(_xlfn.XLOOKUP($A195,'CONSOLIDATED CY Cash Flows'!$B:$B,'CONSOLIDATED CY Cash Flows'!P:P)/$S195,0)</f>
        <v>2.4295570314693837E-3</v>
      </c>
      <c r="K195" s="344">
        <f>+IFERROR(_xlfn.XLOOKUP($A195,'CONSOLIDATED CY Cash Flows'!$B:$B,'CONSOLIDATED CY Cash Flows'!Q:Q)/$S195,0)</f>
        <v>0</v>
      </c>
      <c r="L195" s="344">
        <f>+IFERROR(_xlfn.XLOOKUP($A195,'CONSOLIDATED CY Cash Flows'!$B:$B,'CONSOLIDATED CY Cash Flows'!R:R)/$S195,0)</f>
        <v>0</v>
      </c>
      <c r="M195" s="344">
        <f>+IFERROR(_xlfn.XLOOKUP($A195,'CONSOLIDATED CY Cash Flows'!$B:$B,'CONSOLIDATED CY Cash Flows'!S:S)/$S195,0)</f>
        <v>0</v>
      </c>
      <c r="N195" s="344">
        <f>+IFERROR(_xlfn.XLOOKUP($A195,'CONSOLIDATED CY Cash Flows'!$B:$B,'CONSOLIDATED CY Cash Flows'!T:T)/$S195,0)</f>
        <v>2.4295570314693837E-3</v>
      </c>
      <c r="O195" s="344">
        <f>+IFERROR(_xlfn.XLOOKUP($A195,'CONSOLIDATED CY Cash Flows'!$B:$B,'CONSOLIDATED CY Cash Flows'!U:U)/$S195,0)</f>
        <v>2.4295570314693837E-3</v>
      </c>
      <c r="P195" s="344">
        <f>+IFERROR(_xlfn.XLOOKUP($A195,'CONSOLIDATED CY Cash Flows'!$B:$B,'CONSOLIDATED CY Cash Flows'!V:V)/$S195,0)</f>
        <v>0</v>
      </c>
      <c r="Q195" s="344">
        <f>+IFERROR(_xlfn.XLOOKUP($A195,'CONSOLIDATED CY Cash Flows'!$B:$B,'CONSOLIDATED CY Cash Flows'!W:W)/$S195,0)</f>
        <v>0</v>
      </c>
      <c r="R195" s="340">
        <f t="shared" si="22"/>
        <v>1</v>
      </c>
      <c r="S195" s="501">
        <f>IFERROR(_xlfn.XLOOKUP($A195,'CONSOLIDATED CY Cash Flows'!$B:$B,'CONSOLIDATED CY Cash Flows'!$H:$H),0)</f>
        <v>65370.463810000001</v>
      </c>
      <c r="T195" s="501">
        <f t="shared" si="20"/>
        <v>64894</v>
      </c>
      <c r="U195" s="501">
        <f t="shared" si="24"/>
        <v>476.4638100000011</v>
      </c>
    </row>
    <row r="196" spans="1:21" ht="15" customHeight="1" x14ac:dyDescent="0.75">
      <c r="A196" s="349">
        <v>8561</v>
      </c>
      <c r="B196" s="350" t="s">
        <v>779</v>
      </c>
      <c r="C196" s="343">
        <f>+IFERROR(_xlfn.XLOOKUP($A196,'CONSOLIDATED CY Cash Flows'!$B:$B,'CONSOLIDATED CY Cash Flows'!I:I)/$S196,0)</f>
        <v>0</v>
      </c>
      <c r="D196" s="344">
        <f>+IFERROR(_xlfn.XLOOKUP($A196,'CONSOLIDATED CY Cash Flows'!$B:$B,'CONSOLIDATED CY Cash Flows'!J:J)/$S196,0)</f>
        <v>0</v>
      </c>
      <c r="E196" s="344">
        <f>+IFERROR(_xlfn.XLOOKUP($A196,'CONSOLIDATED CY Cash Flows'!$B:$B,'CONSOLIDATED CY Cash Flows'!K:K)/$S196,0)</f>
        <v>0</v>
      </c>
      <c r="F196" s="344">
        <f>+IFERROR(_xlfn.XLOOKUP($A196,'CONSOLIDATED CY Cash Flows'!$B:$B,'CONSOLIDATED CY Cash Flows'!L:L)/$S196,0)</f>
        <v>0</v>
      </c>
      <c r="G196" s="344">
        <f>+IFERROR(_xlfn.XLOOKUP($A196,'CONSOLIDATED CY Cash Flows'!$B:$B,'CONSOLIDATED CY Cash Flows'!M:M)/$S196,0)</f>
        <v>0</v>
      </c>
      <c r="H196" s="344">
        <f>+IFERROR(_xlfn.XLOOKUP($A196,'CONSOLIDATED CY Cash Flows'!$B:$B,'CONSOLIDATED CY Cash Flows'!N:N)/$S196,0)</f>
        <v>0</v>
      </c>
      <c r="I196" s="344">
        <f>+IFERROR(_xlfn.XLOOKUP($A196,'CONSOLIDATED CY Cash Flows'!$B:$B,'CONSOLIDATED CY Cash Flows'!O:O)/$S196,0)</f>
        <v>0.27240585014508656</v>
      </c>
      <c r="J196" s="344">
        <f>+IFERROR(_xlfn.XLOOKUP($A196,'CONSOLIDATED CY Cash Flows'!$B:$B,'CONSOLIDATED CY Cash Flows'!P:P)/$S196,0)</f>
        <v>0</v>
      </c>
      <c r="K196" s="344">
        <f>+IFERROR(_xlfn.XLOOKUP($A196,'CONSOLIDATED CY Cash Flows'!$B:$B,'CONSOLIDATED CY Cash Flows'!Q:Q)/$S196,0)</f>
        <v>0.36379707492745672</v>
      </c>
      <c r="L196" s="344">
        <f>+IFERROR(_xlfn.XLOOKUP($A196,'CONSOLIDATED CY Cash Flows'!$B:$B,'CONSOLIDATED CY Cash Flows'!R:R)/$S196,0)</f>
        <v>0</v>
      </c>
      <c r="M196" s="344">
        <f>+IFERROR(_xlfn.XLOOKUP($A196,'CONSOLIDATED CY Cash Flows'!$B:$B,'CONSOLIDATED CY Cash Flows'!S:S)/$S196,0)</f>
        <v>0</v>
      </c>
      <c r="N196" s="344">
        <f>+IFERROR(_xlfn.XLOOKUP($A196,'CONSOLIDATED CY Cash Flows'!$B:$B,'CONSOLIDATED CY Cash Flows'!T:T)/$S196,0)</f>
        <v>0.36379707492745672</v>
      </c>
      <c r="O196" s="344">
        <f>+IFERROR(_xlfn.XLOOKUP($A196,'CONSOLIDATED CY Cash Flows'!$B:$B,'CONSOLIDATED CY Cash Flows'!U:U)/$S196,0)</f>
        <v>0</v>
      </c>
      <c r="P196" s="344">
        <f>+IFERROR(_xlfn.XLOOKUP($A196,'CONSOLIDATED CY Cash Flows'!$B:$B,'CONSOLIDATED CY Cash Flows'!V:V)/$S196,0)</f>
        <v>0</v>
      </c>
      <c r="Q196" s="344">
        <f>+IFERROR(_xlfn.XLOOKUP($A196,'CONSOLIDATED CY Cash Flows'!$B:$B,'CONSOLIDATED CY Cash Flows'!W:W)/$S196,0)</f>
        <v>0</v>
      </c>
      <c r="R196" s="340">
        <f t="shared" si="22"/>
        <v>1</v>
      </c>
      <c r="S196" s="501">
        <f>IFERROR(_xlfn.XLOOKUP($A196,'CONSOLIDATED CY Cash Flows'!$B:$B,'CONSOLIDATED CY Cash Flows'!$H:$H),0)</f>
        <v>564150.43920000014</v>
      </c>
      <c r="T196" s="501">
        <f t="shared" si="20"/>
        <v>153677.88</v>
      </c>
      <c r="U196" s="501">
        <f t="shared" si="24"/>
        <v>410472.55920000013</v>
      </c>
    </row>
    <row r="197" spans="1:21" ht="15" customHeight="1" x14ac:dyDescent="0.75">
      <c r="A197" s="349">
        <v>8562</v>
      </c>
      <c r="B197" s="350" t="s">
        <v>1347</v>
      </c>
      <c r="C197" s="343">
        <f>+IFERROR(_xlfn.XLOOKUP($A197,'CONSOLIDATED CY Cash Flows'!$B:$B,'CONSOLIDATED CY Cash Flows'!I:I)/$S197,0)</f>
        <v>0</v>
      </c>
      <c r="D197" s="344">
        <f>+IFERROR(_xlfn.XLOOKUP($A197,'CONSOLIDATED CY Cash Flows'!$B:$B,'CONSOLIDATED CY Cash Flows'!J:J)/$S197,0)</f>
        <v>0</v>
      </c>
      <c r="E197" s="344">
        <f>+IFERROR(_xlfn.XLOOKUP($A197,'CONSOLIDATED CY Cash Flows'!$B:$B,'CONSOLIDATED CY Cash Flows'!K:K)/$S197,0)</f>
        <v>0</v>
      </c>
      <c r="F197" s="344">
        <f>+IFERROR(_xlfn.XLOOKUP($A197,'CONSOLIDATED CY Cash Flows'!$B:$B,'CONSOLIDATED CY Cash Flows'!L:L)/$S197,0)</f>
        <v>0</v>
      </c>
      <c r="G197" s="344">
        <f>+IFERROR(_xlfn.XLOOKUP($A197,'CONSOLIDATED CY Cash Flows'!$B:$B,'CONSOLIDATED CY Cash Flows'!M:M)/$S197,0)</f>
        <v>0</v>
      </c>
      <c r="H197" s="344">
        <f>+IFERROR(_xlfn.XLOOKUP($A197,'CONSOLIDATED CY Cash Flows'!$B:$B,'CONSOLIDATED CY Cash Flows'!N:N)/$S197,0)</f>
        <v>0</v>
      </c>
      <c r="I197" s="344">
        <f>+IFERROR(_xlfn.XLOOKUP($A197,'CONSOLIDATED CY Cash Flows'!$B:$B,'CONSOLIDATED CY Cash Flows'!O:O)/$S197,0)</f>
        <v>0</v>
      </c>
      <c r="J197" s="344">
        <f>+IFERROR(_xlfn.XLOOKUP($A197,'CONSOLIDATED CY Cash Flows'!$B:$B,'CONSOLIDATED CY Cash Flows'!P:P)/$S197,0)</f>
        <v>0</v>
      </c>
      <c r="K197" s="344">
        <f>+IFERROR(_xlfn.XLOOKUP($A197,'CONSOLIDATED CY Cash Flows'!$B:$B,'CONSOLIDATED CY Cash Flows'!Q:Q)/$S197,0)</f>
        <v>0</v>
      </c>
      <c r="L197" s="344">
        <f>+IFERROR(_xlfn.XLOOKUP($A197,'CONSOLIDATED CY Cash Flows'!$B:$B,'CONSOLIDATED CY Cash Flows'!R:R)/$S197,0)</f>
        <v>0</v>
      </c>
      <c r="M197" s="344">
        <f>+IFERROR(_xlfn.XLOOKUP($A197,'CONSOLIDATED CY Cash Flows'!$B:$B,'CONSOLIDATED CY Cash Flows'!S:S)/$S197,0)</f>
        <v>0</v>
      </c>
      <c r="N197" s="344">
        <f>+IFERROR(_xlfn.XLOOKUP($A197,'CONSOLIDATED CY Cash Flows'!$B:$B,'CONSOLIDATED CY Cash Flows'!T:T)/$S197,0)</f>
        <v>0</v>
      </c>
      <c r="O197" s="344">
        <f>+IFERROR(_xlfn.XLOOKUP($A197,'CONSOLIDATED CY Cash Flows'!$B:$B,'CONSOLIDATED CY Cash Flows'!U:U)/$S197,0)</f>
        <v>0</v>
      </c>
      <c r="P197" s="344">
        <f>+IFERROR(_xlfn.XLOOKUP($A197,'CONSOLIDATED CY Cash Flows'!$B:$B,'CONSOLIDATED CY Cash Flows'!V:V)/$S197,0)</f>
        <v>0</v>
      </c>
      <c r="Q197" s="344">
        <f>+IFERROR(_xlfn.XLOOKUP($A197,'CONSOLIDATED CY Cash Flows'!$B:$B,'CONSOLIDATED CY Cash Flows'!W:W)/$S197,0)</f>
        <v>0</v>
      </c>
      <c r="R197" s="340">
        <f t="shared" si="22"/>
        <v>0</v>
      </c>
      <c r="S197" s="501">
        <f>IFERROR(_xlfn.XLOOKUP($A197,'CONSOLIDATED CY Cash Flows'!$B:$B,'CONSOLIDATED CY Cash Flows'!$H:$H),0)</f>
        <v>0</v>
      </c>
      <c r="T197" s="501">
        <f t="shared" si="20"/>
        <v>0</v>
      </c>
      <c r="U197" s="501">
        <f t="shared" si="24"/>
        <v>0</v>
      </c>
    </row>
    <row r="198" spans="1:21" ht="15" customHeight="1" x14ac:dyDescent="0.75">
      <c r="A198" s="349">
        <v>8590</v>
      </c>
      <c r="B198" s="350" t="s">
        <v>1502</v>
      </c>
      <c r="C198" s="344">
        <f>+IFERROR(_xlfn.XLOOKUP($A198,'CONSOLIDATED CY Cash Flows'!$B:$B,'CONSOLIDATED CY Cash Flows'!I:I)/$S198,0)</f>
        <v>0</v>
      </c>
      <c r="D198" s="344">
        <f>+IFERROR(_xlfn.XLOOKUP($A198,'CONSOLIDATED CY Cash Flows'!$B:$B,'CONSOLIDATED CY Cash Flows'!J:J)/$S198,0)</f>
        <v>0</v>
      </c>
      <c r="E198" s="344">
        <f>+IFERROR(_xlfn.XLOOKUP($A198,'CONSOLIDATED CY Cash Flows'!$B:$B,'CONSOLIDATED CY Cash Flows'!K:K)/$S198,0)</f>
        <v>4.9274020505807294E-2</v>
      </c>
      <c r="F198" s="344">
        <f>+IFERROR(_xlfn.XLOOKUP($A198,'CONSOLIDATED CY Cash Flows'!$B:$B,'CONSOLIDATED CY Cash Flows'!L:L)/$S198,0)</f>
        <v>1.6969435253173949E-2</v>
      </c>
      <c r="G198" s="344">
        <f>+IFERROR(_xlfn.XLOOKUP($A198,'CONSOLIDATED CY Cash Flows'!$B:$B,'CONSOLIDATED CY Cash Flows'!M:M)/$S198,0)</f>
        <v>0</v>
      </c>
      <c r="H198" s="344">
        <f>+IFERROR(_xlfn.XLOOKUP($A198,'CONSOLIDATED CY Cash Flows'!$B:$B,'CONSOLIDATED CY Cash Flows'!N:N)/$S198,0)</f>
        <v>0</v>
      </c>
      <c r="I198" s="344">
        <f>+IFERROR(_xlfn.XLOOKUP($A198,'CONSOLIDATED CY Cash Flows'!$B:$B,'CONSOLIDATED CY Cash Flows'!O:O)/$S198,0)</f>
        <v>0.23934850993296114</v>
      </c>
      <c r="J198" s="344">
        <f>+IFERROR(_xlfn.XLOOKUP($A198,'CONSOLIDATED CY Cash Flows'!$B:$B,'CONSOLIDATED CY Cash Flows'!P:P)/$S198,0)</f>
        <v>0</v>
      </c>
      <c r="K198" s="344">
        <f>+IFERROR(_xlfn.XLOOKUP($A198,'CONSOLIDATED CY Cash Flows'!$B:$B,'CONSOLIDATED CY Cash Flows'!Q:Q)/$S198,0)</f>
        <v>0</v>
      </c>
      <c r="L198" s="344">
        <f>+IFERROR(_xlfn.XLOOKUP($A198,'CONSOLIDATED CY Cash Flows'!$B:$B,'CONSOLIDATED CY Cash Flows'!R:R)/$S198,0)</f>
        <v>0.23756064331591442</v>
      </c>
      <c r="M198" s="344">
        <f>+IFERROR(_xlfn.XLOOKUP($A198,'CONSOLIDATED CY Cash Flows'!$B:$B,'CONSOLIDATED CY Cash Flows'!S:S)/$S198,0)</f>
        <v>0</v>
      </c>
      <c r="N198" s="344">
        <f>+IFERROR(_xlfn.XLOOKUP($A198,'CONSOLIDATED CY Cash Flows'!$B:$B,'CONSOLIDATED CY Cash Flows'!T:T)/$S198,0)</f>
        <v>0.45684739099214317</v>
      </c>
      <c r="O198" s="344">
        <f>+IFERROR(_xlfn.XLOOKUP($A198,'CONSOLIDATED CY Cash Flows'!$B:$B,'CONSOLIDATED CY Cash Flows'!U:U)/$S198,0)</f>
        <v>0</v>
      </c>
      <c r="P198" s="344">
        <f>+IFERROR(_xlfn.XLOOKUP($A198,'CONSOLIDATED CY Cash Flows'!$B:$B,'CONSOLIDATED CY Cash Flows'!V:V)/$S198,0)</f>
        <v>0</v>
      </c>
      <c r="Q198" s="344">
        <f>+IFERROR(_xlfn.XLOOKUP($A198,'CONSOLIDATED CY Cash Flows'!$B:$B,'CONSOLIDATED CY Cash Flows'!W:W)/$S198,0)</f>
        <v>0</v>
      </c>
      <c r="R198" s="340">
        <f t="shared" si="22"/>
        <v>1</v>
      </c>
      <c r="S198" s="501">
        <f>IFERROR(_xlfn.XLOOKUP($A198,'CONSOLIDATED CY Cash Flows'!$B:$B,'CONSOLIDATED CY Cash Flows'!$H:$H),0)</f>
        <v>1526055.5</v>
      </c>
      <c r="T198" s="501">
        <f t="shared" si="20"/>
        <v>466350.29999999993</v>
      </c>
      <c r="U198" s="501">
        <f t="shared" si="24"/>
        <v>1059705.2000000002</v>
      </c>
    </row>
    <row r="199" spans="1:21" ht="15" hidden="1" customHeight="1" x14ac:dyDescent="0.75">
      <c r="A199" s="349">
        <v>8591</v>
      </c>
      <c r="B199" s="350" t="s">
        <v>1408</v>
      </c>
      <c r="C199" s="343">
        <f>+IFERROR(_xlfn.XLOOKUP($A199,'CONSOLIDATED CY Cash Flows'!$B:$B,'CONSOLIDATED CY Cash Flows'!I:I)/$S199,0)</f>
        <v>0</v>
      </c>
      <c r="D199" s="344">
        <f>+IFERROR(_xlfn.XLOOKUP($A199,'CONSOLIDATED CY Cash Flows'!$B:$B,'CONSOLIDATED CY Cash Flows'!J:J)/$S199,0)</f>
        <v>0</v>
      </c>
      <c r="E199" s="344">
        <f>+IFERROR(_xlfn.XLOOKUP($A199,'CONSOLIDATED CY Cash Flows'!$B:$B,'CONSOLIDATED CY Cash Flows'!K:K)/$S199,0)</f>
        <v>0</v>
      </c>
      <c r="F199" s="344">
        <f>+IFERROR(_xlfn.XLOOKUP($A199,'CONSOLIDATED CY Cash Flows'!$B:$B,'CONSOLIDATED CY Cash Flows'!L:L)/$S199,0)</f>
        <v>0</v>
      </c>
      <c r="G199" s="344">
        <f>+IFERROR(_xlfn.XLOOKUP($A199,'CONSOLIDATED CY Cash Flows'!$B:$B,'CONSOLIDATED CY Cash Flows'!M:M)/$S199,0)</f>
        <v>0</v>
      </c>
      <c r="H199" s="344">
        <f>+IFERROR(_xlfn.XLOOKUP($A199,'CONSOLIDATED CY Cash Flows'!$B:$B,'CONSOLIDATED CY Cash Flows'!N:N)/$S199,0)</f>
        <v>0</v>
      </c>
      <c r="I199" s="344">
        <f>+IFERROR(_xlfn.XLOOKUP($A199,'CONSOLIDATED CY Cash Flows'!$B:$B,'CONSOLIDATED CY Cash Flows'!O:O)/$S199,0)</f>
        <v>0</v>
      </c>
      <c r="J199" s="344">
        <f>+IFERROR(_xlfn.XLOOKUP($A199,'CONSOLIDATED CY Cash Flows'!$B:$B,'CONSOLIDATED CY Cash Flows'!P:P)/$S199,0)</f>
        <v>0</v>
      </c>
      <c r="K199" s="344">
        <f>+IFERROR(_xlfn.XLOOKUP($A199,'CONSOLIDATED CY Cash Flows'!$B:$B,'CONSOLIDATED CY Cash Flows'!Q:Q)/$S199,0)</f>
        <v>0</v>
      </c>
      <c r="L199" s="344">
        <f>+IFERROR(_xlfn.XLOOKUP($A199,'CONSOLIDATED CY Cash Flows'!$B:$B,'CONSOLIDATED CY Cash Flows'!R:R)/$S199,0)</f>
        <v>0</v>
      </c>
      <c r="M199" s="344">
        <f>+IFERROR(_xlfn.XLOOKUP($A199,'CONSOLIDATED CY Cash Flows'!$B:$B,'CONSOLIDATED CY Cash Flows'!S:S)/$S199,0)</f>
        <v>0</v>
      </c>
      <c r="N199" s="344">
        <f>+IFERROR(_xlfn.XLOOKUP($A199,'CONSOLIDATED CY Cash Flows'!$B:$B,'CONSOLIDATED CY Cash Flows'!T:T)/$S199,0)</f>
        <v>0</v>
      </c>
      <c r="O199" s="344">
        <f>+IFERROR(_xlfn.XLOOKUP($A199,'CONSOLIDATED CY Cash Flows'!$B:$B,'CONSOLIDATED CY Cash Flows'!U:U)/$S199,0)</f>
        <v>0</v>
      </c>
      <c r="P199" s="344">
        <f>+IFERROR(_xlfn.XLOOKUP($A199,'CONSOLIDATED CY Cash Flows'!$B:$B,'CONSOLIDATED CY Cash Flows'!V:V)/$S199,0)</f>
        <v>0</v>
      </c>
      <c r="Q199" s="344">
        <f>+IFERROR(_xlfn.XLOOKUP($A199,'CONSOLIDATED CY Cash Flows'!$B:$B,'CONSOLIDATED CY Cash Flows'!W:W)/$S199,0)</f>
        <v>0</v>
      </c>
      <c r="R199" s="340">
        <f t="shared" si="22"/>
        <v>0</v>
      </c>
      <c r="S199" s="501">
        <f>IFERROR(_xlfn.XLOOKUP($A199,'CONSOLIDATED CY Cash Flows'!$B:$B,'CONSOLIDATED CY Cash Flows'!$H:$H),0)</f>
        <v>0</v>
      </c>
      <c r="T199" s="501">
        <f t="shared" si="20"/>
        <v>0</v>
      </c>
      <c r="U199" s="501">
        <f t="shared" si="24"/>
        <v>0</v>
      </c>
    </row>
    <row r="200" spans="1:21" ht="15" customHeight="1" x14ac:dyDescent="0.75">
      <c r="A200" s="349">
        <v>8599</v>
      </c>
      <c r="B200" s="350" t="s">
        <v>1409</v>
      </c>
      <c r="C200" s="343">
        <f>+IFERROR(_xlfn.XLOOKUP($A200,'CONSOLIDATED CY Cash Flows'!$B:$B,'CONSOLIDATED CY Cash Flows'!I:I)/$S200,0)</f>
        <v>0</v>
      </c>
      <c r="D200" s="344">
        <f>+IFERROR(_xlfn.XLOOKUP($A200,'CONSOLIDATED CY Cash Flows'!$B:$B,'CONSOLIDATED CY Cash Flows'!J:J)/$S200,0)</f>
        <v>0</v>
      </c>
      <c r="E200" s="344">
        <f>+IFERROR(_xlfn.XLOOKUP($A200,'CONSOLIDATED CY Cash Flows'!$B:$B,'CONSOLIDATED CY Cash Flows'!K:K)/$S200,0)</f>
        <v>0</v>
      </c>
      <c r="F200" s="344">
        <f>+IFERROR(_xlfn.XLOOKUP($A200,'CONSOLIDATED CY Cash Flows'!$B:$B,'CONSOLIDATED CY Cash Flows'!L:L)/$S200,0)</f>
        <v>0</v>
      </c>
      <c r="G200" s="344">
        <f>+IFERROR(_xlfn.XLOOKUP($A200,'CONSOLIDATED CY Cash Flows'!$B:$B,'CONSOLIDATED CY Cash Flows'!M:M)/$S200,0)</f>
        <v>0</v>
      </c>
      <c r="H200" s="344">
        <f>+IFERROR(_xlfn.XLOOKUP($A200,'CONSOLIDATED CY Cash Flows'!$B:$B,'CONSOLIDATED CY Cash Flows'!N:N)/$S200,0)</f>
        <v>0</v>
      </c>
      <c r="I200" s="344">
        <f>+IFERROR(_xlfn.XLOOKUP($A200,'CONSOLIDATED CY Cash Flows'!$B:$B,'CONSOLIDATED CY Cash Flows'!O:O)/$S200,0)</f>
        <v>0</v>
      </c>
      <c r="J200" s="344">
        <f>+IFERROR(_xlfn.XLOOKUP($A200,'CONSOLIDATED CY Cash Flows'!$B:$B,'CONSOLIDATED CY Cash Flows'!P:P)/$S200,0)</f>
        <v>0</v>
      </c>
      <c r="K200" s="344">
        <f>+IFERROR(_xlfn.XLOOKUP($A200,'CONSOLIDATED CY Cash Flows'!$B:$B,'CONSOLIDATED CY Cash Flows'!Q:Q)/$S200,0)</f>
        <v>0</v>
      </c>
      <c r="L200" s="344">
        <f>+IFERROR(_xlfn.XLOOKUP($A200,'CONSOLIDATED CY Cash Flows'!$B:$B,'CONSOLIDATED CY Cash Flows'!R:R)/$S200,0)</f>
        <v>0</v>
      </c>
      <c r="M200" s="344">
        <f>+IFERROR(_xlfn.XLOOKUP($A200,'CONSOLIDATED CY Cash Flows'!$B:$B,'CONSOLIDATED CY Cash Flows'!S:S)/$S200,0)</f>
        <v>0</v>
      </c>
      <c r="N200" s="344">
        <f>+IFERROR(_xlfn.XLOOKUP($A200,'CONSOLIDATED CY Cash Flows'!$B:$B,'CONSOLIDATED CY Cash Flows'!T:T)/$S200,0)</f>
        <v>0</v>
      </c>
      <c r="O200" s="344">
        <f>+IFERROR(_xlfn.XLOOKUP($A200,'CONSOLIDATED CY Cash Flows'!$B:$B,'CONSOLIDATED CY Cash Flows'!U:U)/$S200,0)</f>
        <v>0</v>
      </c>
      <c r="P200" s="344">
        <f>+IFERROR(_xlfn.XLOOKUP($A200,'CONSOLIDATED CY Cash Flows'!$B:$B,'CONSOLIDATED CY Cash Flows'!V:V)/$S200,0)</f>
        <v>0</v>
      </c>
      <c r="Q200" s="344">
        <f>+IFERROR(_xlfn.XLOOKUP($A200,'CONSOLIDATED CY Cash Flows'!$B:$B,'CONSOLIDATED CY Cash Flows'!W:W)/$S200,0)</f>
        <v>0</v>
      </c>
      <c r="R200" s="340">
        <f t="shared" si="22"/>
        <v>0</v>
      </c>
      <c r="S200" s="501">
        <f>IFERROR(_xlfn.XLOOKUP($A200,'CONSOLIDATED CY Cash Flows'!$B:$B,'CONSOLIDATED CY Cash Flows'!$H:$H),0)</f>
        <v>0</v>
      </c>
      <c r="T200" s="501">
        <f t="shared" si="20"/>
        <v>0</v>
      </c>
      <c r="U200" s="501">
        <f t="shared" si="24"/>
        <v>0</v>
      </c>
    </row>
    <row r="201" spans="1:21" ht="15" customHeight="1" x14ac:dyDescent="0.75">
      <c r="A201" s="349">
        <v>8792</v>
      </c>
      <c r="B201" s="350" t="s">
        <v>1410</v>
      </c>
      <c r="C201" s="344">
        <f>+IFERROR(_xlfn.XLOOKUP($A201,'CONSOLIDATED CY Cash Flows'!$B:$B,'CONSOLIDATED CY Cash Flows'!I:I)/$S201,0)</f>
        <v>3.9669200987739982E-2</v>
      </c>
      <c r="D201" s="344">
        <f>+IFERROR(_xlfn.XLOOKUP($A201,'CONSOLIDATED CY Cash Flows'!$B:$B,'CONSOLIDATED CY Cash Flows'!J:J)/$S201,0)</f>
        <v>3.9669200987739982E-2</v>
      </c>
      <c r="E201" s="344">
        <f>+IFERROR(_xlfn.XLOOKUP($A201,'CONSOLIDATED CY Cash Flows'!$B:$B,'CONSOLIDATED CY Cash Flows'!K:K)/$S201,0)</f>
        <v>7.1404818805464468E-2</v>
      </c>
      <c r="F201" s="344">
        <f>+IFERROR(_xlfn.XLOOKUP($A201,'CONSOLIDATED CY Cash Flows'!$B:$B,'CONSOLIDATED CY Cash Flows'!L:L)/$S201,0)</f>
        <v>7.1404818805464468E-2</v>
      </c>
      <c r="G201" s="344">
        <f>+IFERROR(_xlfn.XLOOKUP($A201,'CONSOLIDATED CY Cash Flows'!$B:$B,'CONSOLIDATED CY Cash Flows'!M:M)/$S201,0)</f>
        <v>7.1404818805464468E-2</v>
      </c>
      <c r="H201" s="344">
        <f>+IFERROR(_xlfn.XLOOKUP($A201,'CONSOLIDATED CY Cash Flows'!$B:$B,'CONSOLIDATED CY Cash Flows'!N:N)/$S201,0)</f>
        <v>7.1404818805464468E-2</v>
      </c>
      <c r="I201" s="344">
        <f>+IFERROR(_xlfn.XLOOKUP($A201,'CONSOLIDATED CY Cash Flows'!$B:$B,'CONSOLIDATED CY Cash Flows'!O:O)/$S201,0)</f>
        <v>7.1404818805464468E-2</v>
      </c>
      <c r="J201" s="344">
        <f>+IFERROR(_xlfn.XLOOKUP($A201,'CONSOLIDATED CY Cash Flows'!$B:$B,'CONSOLIDATED CY Cash Flows'!P:P)/$S201,0)</f>
        <v>5.5987992063721632E-2</v>
      </c>
      <c r="K201" s="344">
        <f>+IFERROR(_xlfn.XLOOKUP($A201,'CONSOLIDATED CY Cash Flows'!$B:$B,'CONSOLIDATED CY Cash Flows'!Q:Q)/$S201,0)</f>
        <v>2.7430358527863619E-2</v>
      </c>
      <c r="L201" s="344">
        <f>+IFERROR(_xlfn.XLOOKUP($A201,'CONSOLIDATED CY Cash Flows'!$B:$B,'CONSOLIDATED CY Cash Flows'!R:R)/$S201,0)</f>
        <v>2.642833629853527E-2</v>
      </c>
      <c r="M201" s="344">
        <f>+IFERROR(_xlfn.XLOOKUP($A201,'CONSOLIDATED CY Cash Flows'!$B:$B,'CONSOLIDATED CY Cash Flows'!S:S)/$S201,0)</f>
        <v>2.6052577962537134E-2</v>
      </c>
      <c r="N201" s="344">
        <f>+IFERROR(_xlfn.XLOOKUP($A201,'CONSOLIDATED CY Cash Flows'!$B:$B,'CONSOLIDATED CY Cash Flows'!T:T)/$S201,0)</f>
        <v>0</v>
      </c>
      <c r="O201" s="344">
        <f>+IFERROR(_xlfn.XLOOKUP($A201,'CONSOLIDATED CY Cash Flows'!$B:$B,'CONSOLIDATED CY Cash Flows'!U:U)/$S201,0)</f>
        <v>0.11272750079943952</v>
      </c>
      <c r="P201" s="344">
        <f>+IFERROR(_xlfn.XLOOKUP($A201,'CONSOLIDATED CY Cash Flows'!$B:$B,'CONSOLIDATED CY Cash Flows'!V:V)/$S201,0)</f>
        <v>8.2165822804924821E-2</v>
      </c>
      <c r="Q201" s="344">
        <f>+IFERROR(_xlfn.XLOOKUP($A201,'CONSOLIDATED CY Cash Flows'!$B:$B,'CONSOLIDATED CY Cash Flows'!W:W)/$S201,0)</f>
        <v>0.23284491554017567</v>
      </c>
      <c r="R201" s="340">
        <f t="shared" si="22"/>
        <v>0.99999999999999978</v>
      </c>
      <c r="S201" s="501">
        <f>IFERROR(_xlfn.XLOOKUP($A201,'CONSOLIDATED CY Cash Flows'!$B:$B,'CONSOLIDATED CY Cash Flows'!$H:$H),0)</f>
        <v>2334380.2671654401</v>
      </c>
      <c r="T201" s="501">
        <f t="shared" si="20"/>
        <v>1018635.9999999998</v>
      </c>
      <c r="U201" s="501">
        <f t="shared" si="24"/>
        <v>1315744.2671654404</v>
      </c>
    </row>
    <row r="202" spans="1:21" ht="15" hidden="1" customHeight="1" x14ac:dyDescent="0.75">
      <c r="A202" s="349" t="s">
        <v>1397</v>
      </c>
      <c r="B202" s="350">
        <v>0</v>
      </c>
      <c r="C202" s="344">
        <f>+IFERROR(_xlfn.XLOOKUP($A202,'CONSOLIDATED CY Cash Flows'!$B:$B,'CONSOLIDATED CY Cash Flows'!I:I)/$S202,0)</f>
        <v>0</v>
      </c>
      <c r="D202" s="344">
        <f>+IFERROR(_xlfn.XLOOKUP($A202,'CONSOLIDATED CY Cash Flows'!$B:$B,'CONSOLIDATED CY Cash Flows'!J:J)/$S202,0)</f>
        <v>0</v>
      </c>
      <c r="E202" s="344">
        <f>+IFERROR(_xlfn.XLOOKUP($A202,'CONSOLIDATED CY Cash Flows'!$B:$B,'CONSOLIDATED CY Cash Flows'!K:K)/$S202,0)</f>
        <v>0</v>
      </c>
      <c r="F202" s="344">
        <f>+IFERROR(_xlfn.XLOOKUP($A202,'CONSOLIDATED CY Cash Flows'!$B:$B,'CONSOLIDATED CY Cash Flows'!L:L)/$S202,0)</f>
        <v>0</v>
      </c>
      <c r="G202" s="344">
        <f>+IFERROR(_xlfn.XLOOKUP($A202,'CONSOLIDATED CY Cash Flows'!$B:$B,'CONSOLIDATED CY Cash Flows'!M:M)/$S202,0)</f>
        <v>0</v>
      </c>
      <c r="H202" s="344">
        <f>+IFERROR(_xlfn.XLOOKUP($A202,'CONSOLIDATED CY Cash Flows'!$B:$B,'CONSOLIDATED CY Cash Flows'!N:N)/$S202,0)</f>
        <v>0</v>
      </c>
      <c r="I202" s="344">
        <f>+IFERROR(_xlfn.XLOOKUP($A202,'CONSOLIDATED CY Cash Flows'!$B:$B,'CONSOLIDATED CY Cash Flows'!O:O)/$S202,0)</f>
        <v>0</v>
      </c>
      <c r="J202" s="344">
        <f>+IFERROR(_xlfn.XLOOKUP($A202,'CONSOLIDATED CY Cash Flows'!$B:$B,'CONSOLIDATED CY Cash Flows'!P:P)/$S202,0)</f>
        <v>0</v>
      </c>
      <c r="K202" s="344">
        <f>+IFERROR(_xlfn.XLOOKUP($A202,'CONSOLIDATED CY Cash Flows'!$B:$B,'CONSOLIDATED CY Cash Flows'!Q:Q)/$S202,0)</f>
        <v>0</v>
      </c>
      <c r="L202" s="344">
        <f>+IFERROR(_xlfn.XLOOKUP($A202,'CONSOLIDATED CY Cash Flows'!$B:$B,'CONSOLIDATED CY Cash Flows'!R:R)/$S202,0)</f>
        <v>0</v>
      </c>
      <c r="M202" s="344">
        <f>+IFERROR(_xlfn.XLOOKUP($A202,'CONSOLIDATED CY Cash Flows'!$B:$B,'CONSOLIDATED CY Cash Flows'!S:S)/$S202,0)</f>
        <v>0</v>
      </c>
      <c r="N202" s="344">
        <f>+IFERROR(_xlfn.XLOOKUP($A202,'CONSOLIDATED CY Cash Flows'!$B:$B,'CONSOLIDATED CY Cash Flows'!T:T)/$S202,0)</f>
        <v>0</v>
      </c>
      <c r="O202" s="344">
        <f>+IFERROR(_xlfn.XLOOKUP($A202,'CONSOLIDATED CY Cash Flows'!$B:$B,'CONSOLIDATED CY Cash Flows'!U:U)/$S202,0)</f>
        <v>0</v>
      </c>
      <c r="P202" s="344">
        <f>+IFERROR(_xlfn.XLOOKUP($A202,'CONSOLIDATED CY Cash Flows'!$B:$B,'CONSOLIDATED CY Cash Flows'!V:V)/$S202,0)</f>
        <v>0</v>
      </c>
      <c r="Q202" s="344">
        <f>+IFERROR(_xlfn.XLOOKUP($A202,'CONSOLIDATED CY Cash Flows'!$B:$B,'CONSOLIDATED CY Cash Flows'!W:W)/$S202,0)</f>
        <v>0</v>
      </c>
      <c r="R202" s="340">
        <f t="shared" si="22"/>
        <v>0</v>
      </c>
      <c r="S202" s="501">
        <f>IFERROR(_xlfn.XLOOKUP($A202,'CONSOLIDATED CY Cash Flows'!$B:$B,'CONSOLIDATED CY Cash Flows'!$H:$H),0)</f>
        <v>0</v>
      </c>
      <c r="T202" s="501">
        <f t="shared" si="20"/>
        <v>0</v>
      </c>
      <c r="U202" s="501">
        <f t="shared" si="24"/>
        <v>0</v>
      </c>
    </row>
    <row r="203" spans="1:21" ht="15" hidden="1" customHeight="1" x14ac:dyDescent="0.75">
      <c r="A203" s="349" t="s">
        <v>1397</v>
      </c>
      <c r="B203" s="350">
        <v>0</v>
      </c>
      <c r="C203" s="344">
        <f>+IFERROR(_xlfn.XLOOKUP($A203,'CONSOLIDATED CY Cash Flows'!$B:$B,'CONSOLIDATED CY Cash Flows'!I:I)/$S203,0)</f>
        <v>0</v>
      </c>
      <c r="D203" s="344">
        <f>+IFERROR(_xlfn.XLOOKUP($A203,'CONSOLIDATED CY Cash Flows'!$B:$B,'CONSOLIDATED CY Cash Flows'!J:J)/$S203,0)</f>
        <v>0</v>
      </c>
      <c r="E203" s="344">
        <f>+IFERROR(_xlfn.XLOOKUP($A203,'CONSOLIDATED CY Cash Flows'!$B:$B,'CONSOLIDATED CY Cash Flows'!K:K)/$S203,0)</f>
        <v>0</v>
      </c>
      <c r="F203" s="344">
        <f>+IFERROR(_xlfn.XLOOKUP($A203,'CONSOLIDATED CY Cash Flows'!$B:$B,'CONSOLIDATED CY Cash Flows'!L:L)/$S203,0)</f>
        <v>0</v>
      </c>
      <c r="G203" s="344">
        <f>+IFERROR(_xlfn.XLOOKUP($A203,'CONSOLIDATED CY Cash Flows'!$B:$B,'CONSOLIDATED CY Cash Flows'!M:M)/$S203,0)</f>
        <v>0</v>
      </c>
      <c r="H203" s="344">
        <f>+IFERROR(_xlfn.XLOOKUP($A203,'CONSOLIDATED CY Cash Flows'!$B:$B,'CONSOLIDATED CY Cash Flows'!N:N)/$S203,0)</f>
        <v>0</v>
      </c>
      <c r="I203" s="344">
        <f>+IFERROR(_xlfn.XLOOKUP($A203,'CONSOLIDATED CY Cash Flows'!$B:$B,'CONSOLIDATED CY Cash Flows'!O:O)/$S203,0)</f>
        <v>0</v>
      </c>
      <c r="J203" s="344">
        <f>+IFERROR(_xlfn.XLOOKUP($A203,'CONSOLIDATED CY Cash Flows'!$B:$B,'CONSOLIDATED CY Cash Flows'!P:P)/$S203,0)</f>
        <v>0</v>
      </c>
      <c r="K203" s="344">
        <f>+IFERROR(_xlfn.XLOOKUP($A203,'CONSOLIDATED CY Cash Flows'!$B:$B,'CONSOLIDATED CY Cash Flows'!Q:Q)/$S203,0)</f>
        <v>0</v>
      </c>
      <c r="L203" s="344">
        <f>+IFERROR(_xlfn.XLOOKUP($A203,'CONSOLIDATED CY Cash Flows'!$B:$B,'CONSOLIDATED CY Cash Flows'!R:R)/$S203,0)</f>
        <v>0</v>
      </c>
      <c r="M203" s="344">
        <f>+IFERROR(_xlfn.XLOOKUP($A203,'CONSOLIDATED CY Cash Flows'!$B:$B,'CONSOLIDATED CY Cash Flows'!S:S)/$S203,0)</f>
        <v>0</v>
      </c>
      <c r="N203" s="344">
        <f>+IFERROR(_xlfn.XLOOKUP($A203,'CONSOLIDATED CY Cash Flows'!$B:$B,'CONSOLIDATED CY Cash Flows'!T:T)/$S203,0)</f>
        <v>0</v>
      </c>
      <c r="O203" s="344">
        <f>+IFERROR(_xlfn.XLOOKUP($A203,'CONSOLIDATED CY Cash Flows'!$B:$B,'CONSOLIDATED CY Cash Flows'!U:U)/$S203,0)</f>
        <v>0</v>
      </c>
      <c r="P203" s="344">
        <f>+IFERROR(_xlfn.XLOOKUP($A203,'CONSOLIDATED CY Cash Flows'!$B:$B,'CONSOLIDATED CY Cash Flows'!V:V)/$S203,0)</f>
        <v>0</v>
      </c>
      <c r="Q203" s="344">
        <f>+IFERROR(_xlfn.XLOOKUP($A203,'CONSOLIDATED CY Cash Flows'!$B:$B,'CONSOLIDATED CY Cash Flows'!W:W)/$S203,0)</f>
        <v>0</v>
      </c>
      <c r="R203" s="340">
        <f t="shared" si="22"/>
        <v>0</v>
      </c>
      <c r="S203" s="501">
        <f>IFERROR(_xlfn.XLOOKUP($A203,'CONSOLIDATED CY Cash Flows'!$B:$B,'CONSOLIDATED CY Cash Flows'!$H:$H),0)</f>
        <v>0</v>
      </c>
      <c r="T203" s="501">
        <f t="shared" si="20"/>
        <v>0</v>
      </c>
      <c r="U203" s="501">
        <f t="shared" si="24"/>
        <v>0</v>
      </c>
    </row>
    <row r="204" spans="1:21" ht="15" hidden="1" customHeight="1" x14ac:dyDescent="0.75">
      <c r="A204" s="349" t="s">
        <v>1397</v>
      </c>
      <c r="B204" s="350">
        <v>0</v>
      </c>
      <c r="C204" s="344">
        <f>+IFERROR(_xlfn.XLOOKUP($A204,'CONSOLIDATED CY Cash Flows'!$B:$B,'CONSOLIDATED CY Cash Flows'!I:I)/$S204,0)</f>
        <v>0</v>
      </c>
      <c r="D204" s="344">
        <f>+IFERROR(_xlfn.XLOOKUP($A204,'CONSOLIDATED CY Cash Flows'!$B:$B,'CONSOLIDATED CY Cash Flows'!J:J)/$S204,0)</f>
        <v>0</v>
      </c>
      <c r="E204" s="344">
        <f>+IFERROR(_xlfn.XLOOKUP($A204,'CONSOLIDATED CY Cash Flows'!$B:$B,'CONSOLIDATED CY Cash Flows'!K:K)/$S204,0)</f>
        <v>0</v>
      </c>
      <c r="F204" s="344">
        <f>+IFERROR(_xlfn.XLOOKUP($A204,'CONSOLIDATED CY Cash Flows'!$B:$B,'CONSOLIDATED CY Cash Flows'!L:L)/$S204,0)</f>
        <v>0</v>
      </c>
      <c r="G204" s="344">
        <f>+IFERROR(_xlfn.XLOOKUP($A204,'CONSOLIDATED CY Cash Flows'!$B:$B,'CONSOLIDATED CY Cash Flows'!M:M)/$S204,0)</f>
        <v>0</v>
      </c>
      <c r="H204" s="344">
        <f>+IFERROR(_xlfn.XLOOKUP($A204,'CONSOLIDATED CY Cash Flows'!$B:$B,'CONSOLIDATED CY Cash Flows'!N:N)/$S204,0)</f>
        <v>0</v>
      </c>
      <c r="I204" s="344">
        <f>+IFERROR(_xlfn.XLOOKUP($A204,'CONSOLIDATED CY Cash Flows'!$B:$B,'CONSOLIDATED CY Cash Flows'!O:O)/$S204,0)</f>
        <v>0</v>
      </c>
      <c r="J204" s="344">
        <f>+IFERROR(_xlfn.XLOOKUP($A204,'CONSOLIDATED CY Cash Flows'!$B:$B,'CONSOLIDATED CY Cash Flows'!P:P)/$S204,0)</f>
        <v>0</v>
      </c>
      <c r="K204" s="344">
        <f>+IFERROR(_xlfn.XLOOKUP($A204,'CONSOLIDATED CY Cash Flows'!$B:$B,'CONSOLIDATED CY Cash Flows'!Q:Q)/$S204,0)</f>
        <v>0</v>
      </c>
      <c r="L204" s="344">
        <f>+IFERROR(_xlfn.XLOOKUP($A204,'CONSOLIDATED CY Cash Flows'!$B:$B,'CONSOLIDATED CY Cash Flows'!R:R)/$S204,0)</f>
        <v>0</v>
      </c>
      <c r="M204" s="344">
        <f>+IFERROR(_xlfn.XLOOKUP($A204,'CONSOLIDATED CY Cash Flows'!$B:$B,'CONSOLIDATED CY Cash Flows'!S:S)/$S204,0)</f>
        <v>0</v>
      </c>
      <c r="N204" s="344">
        <f>+IFERROR(_xlfn.XLOOKUP($A204,'CONSOLIDATED CY Cash Flows'!$B:$B,'CONSOLIDATED CY Cash Flows'!T:T)/$S204,0)</f>
        <v>0</v>
      </c>
      <c r="O204" s="344">
        <f>+IFERROR(_xlfn.XLOOKUP($A204,'CONSOLIDATED CY Cash Flows'!$B:$B,'CONSOLIDATED CY Cash Flows'!U:U)/$S204,0)</f>
        <v>0</v>
      </c>
      <c r="P204" s="344">
        <f>+IFERROR(_xlfn.XLOOKUP($A204,'CONSOLIDATED CY Cash Flows'!$B:$B,'CONSOLIDATED CY Cash Flows'!V:V)/$S204,0)</f>
        <v>0</v>
      </c>
      <c r="Q204" s="344">
        <f>+IFERROR(_xlfn.XLOOKUP($A204,'CONSOLIDATED CY Cash Flows'!$B:$B,'CONSOLIDATED CY Cash Flows'!W:W)/$S204,0)</f>
        <v>0</v>
      </c>
      <c r="R204" s="340">
        <f t="shared" si="22"/>
        <v>0</v>
      </c>
      <c r="S204" s="501">
        <f>IFERROR(_xlfn.XLOOKUP($A204,'CONSOLIDATED CY Cash Flows'!$B:$B,'CONSOLIDATED CY Cash Flows'!$H:$H),0)</f>
        <v>0</v>
      </c>
      <c r="T204" s="501">
        <f t="shared" si="20"/>
        <v>0</v>
      </c>
      <c r="U204" s="501">
        <f t="shared" si="24"/>
        <v>0</v>
      </c>
    </row>
    <row r="205" spans="1:21" ht="15" hidden="1" customHeight="1" x14ac:dyDescent="0.75">
      <c r="A205" s="349" t="s">
        <v>1397</v>
      </c>
      <c r="B205" s="350">
        <v>0</v>
      </c>
      <c r="C205" s="344">
        <f>+IFERROR(_xlfn.XLOOKUP($A205,'CONSOLIDATED CY Cash Flows'!$B:$B,'CONSOLIDATED CY Cash Flows'!I:I)/$S205,0)</f>
        <v>0</v>
      </c>
      <c r="D205" s="344">
        <f>+IFERROR(_xlfn.XLOOKUP($A205,'CONSOLIDATED CY Cash Flows'!$B:$B,'CONSOLIDATED CY Cash Flows'!J:J)/$S205,0)</f>
        <v>0</v>
      </c>
      <c r="E205" s="344">
        <f>+IFERROR(_xlfn.XLOOKUP($A205,'CONSOLIDATED CY Cash Flows'!$B:$B,'CONSOLIDATED CY Cash Flows'!K:K)/$S205,0)</f>
        <v>0</v>
      </c>
      <c r="F205" s="344">
        <f>+IFERROR(_xlfn.XLOOKUP($A205,'CONSOLIDATED CY Cash Flows'!$B:$B,'CONSOLIDATED CY Cash Flows'!L:L)/$S205,0)</f>
        <v>0</v>
      </c>
      <c r="G205" s="344">
        <f>+IFERROR(_xlfn.XLOOKUP($A205,'CONSOLIDATED CY Cash Flows'!$B:$B,'CONSOLIDATED CY Cash Flows'!M:M)/$S205,0)</f>
        <v>0</v>
      </c>
      <c r="H205" s="344">
        <f>+IFERROR(_xlfn.XLOOKUP($A205,'CONSOLIDATED CY Cash Flows'!$B:$B,'CONSOLIDATED CY Cash Flows'!N:N)/$S205,0)</f>
        <v>0</v>
      </c>
      <c r="I205" s="344">
        <f>+IFERROR(_xlfn.XLOOKUP($A205,'CONSOLIDATED CY Cash Flows'!$B:$B,'CONSOLIDATED CY Cash Flows'!O:O)/$S205,0)</f>
        <v>0</v>
      </c>
      <c r="J205" s="344">
        <f>+IFERROR(_xlfn.XLOOKUP($A205,'CONSOLIDATED CY Cash Flows'!$B:$B,'CONSOLIDATED CY Cash Flows'!P:P)/$S205,0)</f>
        <v>0</v>
      </c>
      <c r="K205" s="344">
        <f>+IFERROR(_xlfn.XLOOKUP($A205,'CONSOLIDATED CY Cash Flows'!$B:$B,'CONSOLIDATED CY Cash Flows'!Q:Q)/$S205,0)</f>
        <v>0</v>
      </c>
      <c r="L205" s="344">
        <f>+IFERROR(_xlfn.XLOOKUP($A205,'CONSOLIDATED CY Cash Flows'!$B:$B,'CONSOLIDATED CY Cash Flows'!R:R)/$S205,0)</f>
        <v>0</v>
      </c>
      <c r="M205" s="344">
        <f>+IFERROR(_xlfn.XLOOKUP($A205,'CONSOLIDATED CY Cash Flows'!$B:$B,'CONSOLIDATED CY Cash Flows'!S:S)/$S205,0)</f>
        <v>0</v>
      </c>
      <c r="N205" s="344">
        <f>+IFERROR(_xlfn.XLOOKUP($A205,'CONSOLIDATED CY Cash Flows'!$B:$B,'CONSOLIDATED CY Cash Flows'!T:T)/$S205,0)</f>
        <v>0</v>
      </c>
      <c r="O205" s="344">
        <f>+IFERROR(_xlfn.XLOOKUP($A205,'CONSOLIDATED CY Cash Flows'!$B:$B,'CONSOLIDATED CY Cash Flows'!U:U)/$S205,0)</f>
        <v>0</v>
      </c>
      <c r="P205" s="344">
        <f>+IFERROR(_xlfn.XLOOKUP($A205,'CONSOLIDATED CY Cash Flows'!$B:$B,'CONSOLIDATED CY Cash Flows'!V:V)/$S205,0)</f>
        <v>0</v>
      </c>
      <c r="Q205" s="344">
        <f>+IFERROR(_xlfn.XLOOKUP($A205,'CONSOLIDATED CY Cash Flows'!$B:$B,'CONSOLIDATED CY Cash Flows'!W:W)/$S205,0)</f>
        <v>0</v>
      </c>
      <c r="R205" s="340">
        <f t="shared" si="22"/>
        <v>0</v>
      </c>
      <c r="S205" s="501">
        <f>IFERROR(_xlfn.XLOOKUP($A205,'CONSOLIDATED CY Cash Flows'!$B:$B,'CONSOLIDATED CY Cash Flows'!$H:$H),0)</f>
        <v>0</v>
      </c>
      <c r="T205" s="501">
        <f t="shared" si="20"/>
        <v>0</v>
      </c>
      <c r="U205" s="501">
        <f t="shared" si="24"/>
        <v>0</v>
      </c>
    </row>
    <row r="206" spans="1:21" ht="15" hidden="1" customHeight="1" x14ac:dyDescent="0.75">
      <c r="A206" s="349" t="s">
        <v>1397</v>
      </c>
      <c r="B206" s="350">
        <v>0</v>
      </c>
      <c r="C206" s="344">
        <f>+IFERROR(_xlfn.XLOOKUP($A206,'CONSOLIDATED CY Cash Flows'!$B:$B,'CONSOLIDATED CY Cash Flows'!I:I)/$S206,0)</f>
        <v>0</v>
      </c>
      <c r="D206" s="344">
        <f>+IFERROR(_xlfn.XLOOKUP($A206,'CONSOLIDATED CY Cash Flows'!$B:$B,'CONSOLIDATED CY Cash Flows'!J:J)/$S206,0)</f>
        <v>0</v>
      </c>
      <c r="E206" s="344">
        <f>+IFERROR(_xlfn.XLOOKUP($A206,'CONSOLIDATED CY Cash Flows'!$B:$B,'CONSOLIDATED CY Cash Flows'!K:K)/$S206,0)</f>
        <v>0</v>
      </c>
      <c r="F206" s="344">
        <f>+IFERROR(_xlfn.XLOOKUP($A206,'CONSOLIDATED CY Cash Flows'!$B:$B,'CONSOLIDATED CY Cash Flows'!L:L)/$S206,0)</f>
        <v>0</v>
      </c>
      <c r="G206" s="344">
        <f>+IFERROR(_xlfn.XLOOKUP($A206,'CONSOLIDATED CY Cash Flows'!$B:$B,'CONSOLIDATED CY Cash Flows'!M:M)/$S206,0)</f>
        <v>0</v>
      </c>
      <c r="H206" s="344">
        <f>+IFERROR(_xlfn.XLOOKUP($A206,'CONSOLIDATED CY Cash Flows'!$B:$B,'CONSOLIDATED CY Cash Flows'!N:N)/$S206,0)</f>
        <v>0</v>
      </c>
      <c r="I206" s="344">
        <f>+IFERROR(_xlfn.XLOOKUP($A206,'CONSOLIDATED CY Cash Flows'!$B:$B,'CONSOLIDATED CY Cash Flows'!O:O)/$S206,0)</f>
        <v>0</v>
      </c>
      <c r="J206" s="344">
        <f>+IFERROR(_xlfn.XLOOKUP($A206,'CONSOLIDATED CY Cash Flows'!$B:$B,'CONSOLIDATED CY Cash Flows'!P:P)/$S206,0)</f>
        <v>0</v>
      </c>
      <c r="K206" s="344">
        <f>+IFERROR(_xlfn.XLOOKUP($A206,'CONSOLIDATED CY Cash Flows'!$B:$B,'CONSOLIDATED CY Cash Flows'!Q:Q)/$S206,0)</f>
        <v>0</v>
      </c>
      <c r="L206" s="344">
        <f>+IFERROR(_xlfn.XLOOKUP($A206,'CONSOLIDATED CY Cash Flows'!$B:$B,'CONSOLIDATED CY Cash Flows'!R:R)/$S206,0)</f>
        <v>0</v>
      </c>
      <c r="M206" s="344">
        <f>+IFERROR(_xlfn.XLOOKUP($A206,'CONSOLIDATED CY Cash Flows'!$B:$B,'CONSOLIDATED CY Cash Flows'!S:S)/$S206,0)</f>
        <v>0</v>
      </c>
      <c r="N206" s="344">
        <f>+IFERROR(_xlfn.XLOOKUP($A206,'CONSOLIDATED CY Cash Flows'!$B:$B,'CONSOLIDATED CY Cash Flows'!T:T)/$S206,0)</f>
        <v>0</v>
      </c>
      <c r="O206" s="344">
        <f>+IFERROR(_xlfn.XLOOKUP($A206,'CONSOLIDATED CY Cash Flows'!$B:$B,'CONSOLIDATED CY Cash Flows'!U:U)/$S206,0)</f>
        <v>0</v>
      </c>
      <c r="P206" s="344">
        <f>+IFERROR(_xlfn.XLOOKUP($A206,'CONSOLIDATED CY Cash Flows'!$B:$B,'CONSOLIDATED CY Cash Flows'!V:V)/$S206,0)</f>
        <v>0</v>
      </c>
      <c r="Q206" s="344">
        <f>+IFERROR(_xlfn.XLOOKUP($A206,'CONSOLIDATED CY Cash Flows'!$B:$B,'CONSOLIDATED CY Cash Flows'!W:W)/$S206,0)</f>
        <v>0</v>
      </c>
      <c r="R206" s="340">
        <f t="shared" si="22"/>
        <v>0</v>
      </c>
      <c r="S206" s="501">
        <f>IFERROR(_xlfn.XLOOKUP($A206,'CONSOLIDATED CY Cash Flows'!$B:$B,'CONSOLIDATED CY Cash Flows'!$H:$H),0)</f>
        <v>0</v>
      </c>
      <c r="T206" s="501">
        <f t="shared" si="20"/>
        <v>0</v>
      </c>
      <c r="U206" s="501">
        <f t="shared" si="24"/>
        <v>0</v>
      </c>
    </row>
    <row r="207" spans="1:21" ht="15" hidden="1" customHeight="1" x14ac:dyDescent="0.75">
      <c r="A207" s="349" t="s">
        <v>1397</v>
      </c>
      <c r="B207" s="350">
        <v>0</v>
      </c>
      <c r="C207" s="344">
        <f>+IFERROR(_xlfn.XLOOKUP($A207,'CONSOLIDATED CY Cash Flows'!$B:$B,'CONSOLIDATED CY Cash Flows'!I:I)/$S207,0)</f>
        <v>0</v>
      </c>
      <c r="D207" s="344">
        <f>+IFERROR(_xlfn.XLOOKUP($A207,'CONSOLIDATED CY Cash Flows'!$B:$B,'CONSOLIDATED CY Cash Flows'!J:J)/$S207,0)</f>
        <v>0</v>
      </c>
      <c r="E207" s="344">
        <f>+IFERROR(_xlfn.XLOOKUP($A207,'CONSOLIDATED CY Cash Flows'!$B:$B,'CONSOLIDATED CY Cash Flows'!K:K)/$S207,0)</f>
        <v>0</v>
      </c>
      <c r="F207" s="344">
        <f>+IFERROR(_xlfn.XLOOKUP($A207,'CONSOLIDATED CY Cash Flows'!$B:$B,'CONSOLIDATED CY Cash Flows'!L:L)/$S207,0)</f>
        <v>0</v>
      </c>
      <c r="G207" s="344">
        <f>+IFERROR(_xlfn.XLOOKUP($A207,'CONSOLIDATED CY Cash Flows'!$B:$B,'CONSOLIDATED CY Cash Flows'!M:M)/$S207,0)</f>
        <v>0</v>
      </c>
      <c r="H207" s="344">
        <f>+IFERROR(_xlfn.XLOOKUP($A207,'CONSOLIDATED CY Cash Flows'!$B:$B,'CONSOLIDATED CY Cash Flows'!N:N)/$S207,0)</f>
        <v>0</v>
      </c>
      <c r="I207" s="344">
        <f>+IFERROR(_xlfn.XLOOKUP($A207,'CONSOLIDATED CY Cash Flows'!$B:$B,'CONSOLIDATED CY Cash Flows'!O:O)/$S207,0)</f>
        <v>0</v>
      </c>
      <c r="J207" s="344">
        <f>+IFERROR(_xlfn.XLOOKUP($A207,'CONSOLIDATED CY Cash Flows'!$B:$B,'CONSOLIDATED CY Cash Flows'!P:P)/$S207,0)</f>
        <v>0</v>
      </c>
      <c r="K207" s="344">
        <f>+IFERROR(_xlfn.XLOOKUP($A207,'CONSOLIDATED CY Cash Flows'!$B:$B,'CONSOLIDATED CY Cash Flows'!Q:Q)/$S207,0)</f>
        <v>0</v>
      </c>
      <c r="L207" s="344">
        <f>+IFERROR(_xlfn.XLOOKUP($A207,'CONSOLIDATED CY Cash Flows'!$B:$B,'CONSOLIDATED CY Cash Flows'!R:R)/$S207,0)</f>
        <v>0</v>
      </c>
      <c r="M207" s="344">
        <f>+IFERROR(_xlfn.XLOOKUP($A207,'CONSOLIDATED CY Cash Flows'!$B:$B,'CONSOLIDATED CY Cash Flows'!S:S)/$S207,0)</f>
        <v>0</v>
      </c>
      <c r="N207" s="344">
        <f>+IFERROR(_xlfn.XLOOKUP($A207,'CONSOLIDATED CY Cash Flows'!$B:$B,'CONSOLIDATED CY Cash Flows'!T:T)/$S207,0)</f>
        <v>0</v>
      </c>
      <c r="O207" s="344">
        <f>+IFERROR(_xlfn.XLOOKUP($A207,'CONSOLIDATED CY Cash Flows'!$B:$B,'CONSOLIDATED CY Cash Flows'!U:U)/$S207,0)</f>
        <v>0</v>
      </c>
      <c r="P207" s="344">
        <f>+IFERROR(_xlfn.XLOOKUP($A207,'CONSOLIDATED CY Cash Flows'!$B:$B,'CONSOLIDATED CY Cash Flows'!V:V)/$S207,0)</f>
        <v>0</v>
      </c>
      <c r="Q207" s="344">
        <f>+IFERROR(_xlfn.XLOOKUP($A207,'CONSOLIDATED CY Cash Flows'!$B:$B,'CONSOLIDATED CY Cash Flows'!W:W)/$S207,0)</f>
        <v>0</v>
      </c>
      <c r="R207" s="340">
        <f t="shared" si="22"/>
        <v>0</v>
      </c>
      <c r="S207" s="501">
        <f>IFERROR(_xlfn.XLOOKUP($A207,'CONSOLIDATED CY Cash Flows'!$B:$B,'CONSOLIDATED CY Cash Flows'!$H:$H),0)</f>
        <v>0</v>
      </c>
      <c r="T207" s="501">
        <f t="shared" si="20"/>
        <v>0</v>
      </c>
      <c r="U207" s="501">
        <f t="shared" si="24"/>
        <v>0</v>
      </c>
    </row>
    <row r="208" spans="1:21" ht="15" hidden="1" customHeight="1" x14ac:dyDescent="0.75">
      <c r="A208" s="349" t="s">
        <v>1397</v>
      </c>
      <c r="B208" s="350">
        <v>0</v>
      </c>
      <c r="C208" s="344">
        <f>+IFERROR(_xlfn.XLOOKUP($A208,'CONSOLIDATED CY Cash Flows'!$B:$B,'CONSOLIDATED CY Cash Flows'!I:I)/$S208,0)</f>
        <v>0</v>
      </c>
      <c r="D208" s="344">
        <f>+IFERROR(_xlfn.XLOOKUP($A208,'CONSOLIDATED CY Cash Flows'!$B:$B,'CONSOLIDATED CY Cash Flows'!J:J)/$S208,0)</f>
        <v>0</v>
      </c>
      <c r="E208" s="344">
        <f>+IFERROR(_xlfn.XLOOKUP($A208,'CONSOLIDATED CY Cash Flows'!$B:$B,'CONSOLIDATED CY Cash Flows'!K:K)/$S208,0)</f>
        <v>0</v>
      </c>
      <c r="F208" s="344">
        <f>+IFERROR(_xlfn.XLOOKUP($A208,'CONSOLIDATED CY Cash Flows'!$B:$B,'CONSOLIDATED CY Cash Flows'!L:L)/$S208,0)</f>
        <v>0</v>
      </c>
      <c r="G208" s="344">
        <f>+IFERROR(_xlfn.XLOOKUP($A208,'CONSOLIDATED CY Cash Flows'!$B:$B,'CONSOLIDATED CY Cash Flows'!M:M)/$S208,0)</f>
        <v>0</v>
      </c>
      <c r="H208" s="344">
        <f>+IFERROR(_xlfn.XLOOKUP($A208,'CONSOLIDATED CY Cash Flows'!$B:$B,'CONSOLIDATED CY Cash Flows'!N:N)/$S208,0)</f>
        <v>0</v>
      </c>
      <c r="I208" s="344">
        <f>+IFERROR(_xlfn.XLOOKUP($A208,'CONSOLIDATED CY Cash Flows'!$B:$B,'CONSOLIDATED CY Cash Flows'!O:O)/$S208,0)</f>
        <v>0</v>
      </c>
      <c r="J208" s="344">
        <f>+IFERROR(_xlfn.XLOOKUP($A208,'CONSOLIDATED CY Cash Flows'!$B:$B,'CONSOLIDATED CY Cash Flows'!P:P)/$S208,0)</f>
        <v>0</v>
      </c>
      <c r="K208" s="344">
        <f>+IFERROR(_xlfn.XLOOKUP($A208,'CONSOLIDATED CY Cash Flows'!$B:$B,'CONSOLIDATED CY Cash Flows'!Q:Q)/$S208,0)</f>
        <v>0</v>
      </c>
      <c r="L208" s="344">
        <f>+IFERROR(_xlfn.XLOOKUP($A208,'CONSOLIDATED CY Cash Flows'!$B:$B,'CONSOLIDATED CY Cash Flows'!R:R)/$S208,0)</f>
        <v>0</v>
      </c>
      <c r="M208" s="344">
        <f>+IFERROR(_xlfn.XLOOKUP($A208,'CONSOLIDATED CY Cash Flows'!$B:$B,'CONSOLIDATED CY Cash Flows'!S:S)/$S208,0)</f>
        <v>0</v>
      </c>
      <c r="N208" s="344">
        <f>+IFERROR(_xlfn.XLOOKUP($A208,'CONSOLIDATED CY Cash Flows'!$B:$B,'CONSOLIDATED CY Cash Flows'!T:T)/$S208,0)</f>
        <v>0</v>
      </c>
      <c r="O208" s="344">
        <f>+IFERROR(_xlfn.XLOOKUP($A208,'CONSOLIDATED CY Cash Flows'!$B:$B,'CONSOLIDATED CY Cash Flows'!U:U)/$S208,0)</f>
        <v>0</v>
      </c>
      <c r="P208" s="344">
        <f>+IFERROR(_xlfn.XLOOKUP($A208,'CONSOLIDATED CY Cash Flows'!$B:$B,'CONSOLIDATED CY Cash Flows'!V:V)/$S208,0)</f>
        <v>0</v>
      </c>
      <c r="Q208" s="344">
        <f>+IFERROR(_xlfn.XLOOKUP($A208,'CONSOLIDATED CY Cash Flows'!$B:$B,'CONSOLIDATED CY Cash Flows'!W:W)/$S208,0)</f>
        <v>0</v>
      </c>
      <c r="R208" s="340">
        <f t="shared" si="22"/>
        <v>0</v>
      </c>
      <c r="S208" s="501">
        <f>IFERROR(_xlfn.XLOOKUP($A208,'CONSOLIDATED CY Cash Flows'!$B:$B,'CONSOLIDATED CY Cash Flows'!$H:$H),0)</f>
        <v>0</v>
      </c>
      <c r="T208" s="501">
        <f t="shared" si="20"/>
        <v>0</v>
      </c>
      <c r="U208" s="501">
        <f t="shared" si="24"/>
        <v>0</v>
      </c>
    </row>
    <row r="209" spans="1:21" ht="15" hidden="1" customHeight="1" x14ac:dyDescent="0.75">
      <c r="A209" s="349" t="s">
        <v>1397</v>
      </c>
      <c r="B209" s="350">
        <v>0</v>
      </c>
      <c r="C209" s="344">
        <f>+IFERROR(_xlfn.XLOOKUP($A209,'CONSOLIDATED CY Cash Flows'!$B:$B,'CONSOLIDATED CY Cash Flows'!I:I)/$S209,0)</f>
        <v>0</v>
      </c>
      <c r="D209" s="344">
        <f>+IFERROR(_xlfn.XLOOKUP($A209,'CONSOLIDATED CY Cash Flows'!$B:$B,'CONSOLIDATED CY Cash Flows'!J:J)/$S209,0)</f>
        <v>0</v>
      </c>
      <c r="E209" s="344">
        <f>+IFERROR(_xlfn.XLOOKUP($A209,'CONSOLIDATED CY Cash Flows'!$B:$B,'CONSOLIDATED CY Cash Flows'!K:K)/$S209,0)</f>
        <v>0</v>
      </c>
      <c r="F209" s="344">
        <f>+IFERROR(_xlfn.XLOOKUP($A209,'CONSOLIDATED CY Cash Flows'!$B:$B,'CONSOLIDATED CY Cash Flows'!L:L)/$S209,0)</f>
        <v>0</v>
      </c>
      <c r="G209" s="344">
        <f>+IFERROR(_xlfn.XLOOKUP($A209,'CONSOLIDATED CY Cash Flows'!$B:$B,'CONSOLIDATED CY Cash Flows'!M:M)/$S209,0)</f>
        <v>0</v>
      </c>
      <c r="H209" s="344">
        <f>+IFERROR(_xlfn.XLOOKUP($A209,'CONSOLIDATED CY Cash Flows'!$B:$B,'CONSOLIDATED CY Cash Flows'!N:N)/$S209,0)</f>
        <v>0</v>
      </c>
      <c r="I209" s="344">
        <f>+IFERROR(_xlfn.XLOOKUP($A209,'CONSOLIDATED CY Cash Flows'!$B:$B,'CONSOLIDATED CY Cash Flows'!O:O)/$S209,0)</f>
        <v>0</v>
      </c>
      <c r="J209" s="344">
        <f>+IFERROR(_xlfn.XLOOKUP($A209,'CONSOLIDATED CY Cash Flows'!$B:$B,'CONSOLIDATED CY Cash Flows'!P:P)/$S209,0)</f>
        <v>0</v>
      </c>
      <c r="K209" s="344">
        <f>+IFERROR(_xlfn.XLOOKUP($A209,'CONSOLIDATED CY Cash Flows'!$B:$B,'CONSOLIDATED CY Cash Flows'!Q:Q)/$S209,0)</f>
        <v>0</v>
      </c>
      <c r="L209" s="344">
        <f>+IFERROR(_xlfn.XLOOKUP($A209,'CONSOLIDATED CY Cash Flows'!$B:$B,'CONSOLIDATED CY Cash Flows'!R:R)/$S209,0)</f>
        <v>0</v>
      </c>
      <c r="M209" s="344">
        <f>+IFERROR(_xlfn.XLOOKUP($A209,'CONSOLIDATED CY Cash Flows'!$B:$B,'CONSOLIDATED CY Cash Flows'!S:S)/$S209,0)</f>
        <v>0</v>
      </c>
      <c r="N209" s="344">
        <f>+IFERROR(_xlfn.XLOOKUP($A209,'CONSOLIDATED CY Cash Flows'!$B:$B,'CONSOLIDATED CY Cash Flows'!T:T)/$S209,0)</f>
        <v>0</v>
      </c>
      <c r="O209" s="344">
        <f>+IFERROR(_xlfn.XLOOKUP($A209,'CONSOLIDATED CY Cash Flows'!$B:$B,'CONSOLIDATED CY Cash Flows'!U:U)/$S209,0)</f>
        <v>0</v>
      </c>
      <c r="P209" s="344">
        <f>+IFERROR(_xlfn.XLOOKUP($A209,'CONSOLIDATED CY Cash Flows'!$B:$B,'CONSOLIDATED CY Cash Flows'!V:V)/$S209,0)</f>
        <v>0</v>
      </c>
      <c r="Q209" s="344">
        <f>+IFERROR(_xlfn.XLOOKUP($A209,'CONSOLIDATED CY Cash Flows'!$B:$B,'CONSOLIDATED CY Cash Flows'!W:W)/$S209,0)</f>
        <v>0</v>
      </c>
      <c r="R209" s="340">
        <f t="shared" si="22"/>
        <v>0</v>
      </c>
      <c r="S209" s="501">
        <f>IFERROR(_xlfn.XLOOKUP($A209,'CONSOLIDATED CY Cash Flows'!$B:$B,'CONSOLIDATED CY Cash Flows'!$H:$H),0)</f>
        <v>0</v>
      </c>
      <c r="T209" s="501">
        <f t="shared" si="20"/>
        <v>0</v>
      </c>
      <c r="U209" s="501">
        <f t="shared" si="24"/>
        <v>0</v>
      </c>
    </row>
    <row r="210" spans="1:21" ht="15" hidden="1" customHeight="1" x14ac:dyDescent="0.75">
      <c r="A210" s="349" t="s">
        <v>1397</v>
      </c>
      <c r="B210" s="350">
        <v>0</v>
      </c>
      <c r="C210" s="344">
        <f>+IFERROR(_xlfn.XLOOKUP($A210,'CONSOLIDATED CY Cash Flows'!$B:$B,'CONSOLIDATED CY Cash Flows'!I:I)/$S210,0)</f>
        <v>0</v>
      </c>
      <c r="D210" s="344">
        <f>+IFERROR(_xlfn.XLOOKUP($A210,'CONSOLIDATED CY Cash Flows'!$B:$B,'CONSOLIDATED CY Cash Flows'!J:J)/$S210,0)</f>
        <v>0</v>
      </c>
      <c r="E210" s="344">
        <f>+IFERROR(_xlfn.XLOOKUP($A210,'CONSOLIDATED CY Cash Flows'!$B:$B,'CONSOLIDATED CY Cash Flows'!K:K)/$S210,0)</f>
        <v>0</v>
      </c>
      <c r="F210" s="344">
        <f>+IFERROR(_xlfn.XLOOKUP($A210,'CONSOLIDATED CY Cash Flows'!$B:$B,'CONSOLIDATED CY Cash Flows'!L:L)/$S210,0)</f>
        <v>0</v>
      </c>
      <c r="G210" s="344">
        <f>+IFERROR(_xlfn.XLOOKUP($A210,'CONSOLIDATED CY Cash Flows'!$B:$B,'CONSOLIDATED CY Cash Flows'!M:M)/$S210,0)</f>
        <v>0</v>
      </c>
      <c r="H210" s="344">
        <f>+IFERROR(_xlfn.XLOOKUP($A210,'CONSOLIDATED CY Cash Flows'!$B:$B,'CONSOLIDATED CY Cash Flows'!N:N)/$S210,0)</f>
        <v>0</v>
      </c>
      <c r="I210" s="344">
        <f>+IFERROR(_xlfn.XLOOKUP($A210,'CONSOLIDATED CY Cash Flows'!$B:$B,'CONSOLIDATED CY Cash Flows'!O:O)/$S210,0)</f>
        <v>0</v>
      </c>
      <c r="J210" s="344">
        <f>+IFERROR(_xlfn.XLOOKUP($A210,'CONSOLIDATED CY Cash Flows'!$B:$B,'CONSOLIDATED CY Cash Flows'!P:P)/$S210,0)</f>
        <v>0</v>
      </c>
      <c r="K210" s="344">
        <f>+IFERROR(_xlfn.XLOOKUP($A210,'CONSOLIDATED CY Cash Flows'!$B:$B,'CONSOLIDATED CY Cash Flows'!Q:Q)/$S210,0)</f>
        <v>0</v>
      </c>
      <c r="L210" s="344">
        <f>+IFERROR(_xlfn.XLOOKUP($A210,'CONSOLIDATED CY Cash Flows'!$B:$B,'CONSOLIDATED CY Cash Flows'!R:R)/$S210,0)</f>
        <v>0</v>
      </c>
      <c r="M210" s="344">
        <f>+IFERROR(_xlfn.XLOOKUP($A210,'CONSOLIDATED CY Cash Flows'!$B:$B,'CONSOLIDATED CY Cash Flows'!S:S)/$S210,0)</f>
        <v>0</v>
      </c>
      <c r="N210" s="344">
        <f>+IFERROR(_xlfn.XLOOKUP($A210,'CONSOLIDATED CY Cash Flows'!$B:$B,'CONSOLIDATED CY Cash Flows'!T:T)/$S210,0)</f>
        <v>0</v>
      </c>
      <c r="O210" s="344">
        <f>+IFERROR(_xlfn.XLOOKUP($A210,'CONSOLIDATED CY Cash Flows'!$B:$B,'CONSOLIDATED CY Cash Flows'!U:U)/$S210,0)</f>
        <v>0</v>
      </c>
      <c r="P210" s="344">
        <f>+IFERROR(_xlfn.XLOOKUP($A210,'CONSOLIDATED CY Cash Flows'!$B:$B,'CONSOLIDATED CY Cash Flows'!V:V)/$S210,0)</f>
        <v>0</v>
      </c>
      <c r="Q210" s="344">
        <f>+IFERROR(_xlfn.XLOOKUP($A210,'CONSOLIDATED CY Cash Flows'!$B:$B,'CONSOLIDATED CY Cash Flows'!W:W)/$S210,0)</f>
        <v>0</v>
      </c>
      <c r="R210" s="340">
        <f t="shared" si="22"/>
        <v>0</v>
      </c>
      <c r="S210" s="501">
        <f>IFERROR(_xlfn.XLOOKUP($A210,'CONSOLIDATED CY Cash Flows'!$B:$B,'CONSOLIDATED CY Cash Flows'!$H:$H),0)</f>
        <v>0</v>
      </c>
      <c r="T210" s="501">
        <f t="shared" ref="T210:T231" si="25">+SUMIF($C$1:$Q$1,"ACTUAL",$C210:$Q210)*S210</f>
        <v>0</v>
      </c>
      <c r="U210" s="501">
        <f t="shared" si="24"/>
        <v>0</v>
      </c>
    </row>
    <row r="211" spans="1:21" ht="15" hidden="1" customHeight="1" thickBot="1" x14ac:dyDescent="0.9">
      <c r="A211" s="351" t="s">
        <v>1397</v>
      </c>
      <c r="B211" s="352">
        <v>0</v>
      </c>
      <c r="C211" s="348">
        <f>+IFERROR(_xlfn.XLOOKUP($A211,'CONSOLIDATED CY Cash Flows'!$B:$B,'CONSOLIDATED CY Cash Flows'!I:I)/$S211,0)</f>
        <v>0</v>
      </c>
      <c r="D211" s="348">
        <f>+IFERROR(_xlfn.XLOOKUP($A211,'CONSOLIDATED CY Cash Flows'!$B:$B,'CONSOLIDATED CY Cash Flows'!J:J)/$S211,0)</f>
        <v>0</v>
      </c>
      <c r="E211" s="348">
        <f>+IFERROR(_xlfn.XLOOKUP($A211,'CONSOLIDATED CY Cash Flows'!$B:$B,'CONSOLIDATED CY Cash Flows'!K:K)/$S211,0)</f>
        <v>0</v>
      </c>
      <c r="F211" s="348">
        <f>+IFERROR(_xlfn.XLOOKUP($A211,'CONSOLIDATED CY Cash Flows'!$B:$B,'CONSOLIDATED CY Cash Flows'!L:L)/$S211,0)</f>
        <v>0</v>
      </c>
      <c r="G211" s="348">
        <f>+IFERROR(_xlfn.XLOOKUP($A211,'CONSOLIDATED CY Cash Flows'!$B:$B,'CONSOLIDATED CY Cash Flows'!M:M)/$S211,0)</f>
        <v>0</v>
      </c>
      <c r="H211" s="348">
        <f>+IFERROR(_xlfn.XLOOKUP($A211,'CONSOLIDATED CY Cash Flows'!$B:$B,'CONSOLIDATED CY Cash Flows'!N:N)/$S211,0)</f>
        <v>0</v>
      </c>
      <c r="I211" s="348">
        <f>+IFERROR(_xlfn.XLOOKUP($A211,'CONSOLIDATED CY Cash Flows'!$B:$B,'CONSOLIDATED CY Cash Flows'!O:O)/$S211,0)</f>
        <v>0</v>
      </c>
      <c r="J211" s="348">
        <f>+IFERROR(_xlfn.XLOOKUP($A211,'CONSOLIDATED CY Cash Flows'!$B:$B,'CONSOLIDATED CY Cash Flows'!P:P)/$S211,0)</f>
        <v>0</v>
      </c>
      <c r="K211" s="348">
        <f>+IFERROR(_xlfn.XLOOKUP($A211,'CONSOLIDATED CY Cash Flows'!$B:$B,'CONSOLIDATED CY Cash Flows'!Q:Q)/$S211,0)</f>
        <v>0</v>
      </c>
      <c r="L211" s="348">
        <f>+IFERROR(_xlfn.XLOOKUP($A211,'CONSOLIDATED CY Cash Flows'!$B:$B,'CONSOLIDATED CY Cash Flows'!R:R)/$S211,0)</f>
        <v>0</v>
      </c>
      <c r="M211" s="348">
        <f>+IFERROR(_xlfn.XLOOKUP($A211,'CONSOLIDATED CY Cash Flows'!$B:$B,'CONSOLIDATED CY Cash Flows'!S:S)/$S211,0)</f>
        <v>0</v>
      </c>
      <c r="N211" s="348">
        <f>+IFERROR(_xlfn.XLOOKUP($A211,'CONSOLIDATED CY Cash Flows'!$B:$B,'CONSOLIDATED CY Cash Flows'!T:T)/$S211,0)</f>
        <v>0</v>
      </c>
      <c r="O211" s="348">
        <f>+IFERROR(_xlfn.XLOOKUP($A211,'CONSOLIDATED CY Cash Flows'!$B:$B,'CONSOLIDATED CY Cash Flows'!U:U)/$S211,0)</f>
        <v>0</v>
      </c>
      <c r="P211" s="348">
        <f>+IFERROR(_xlfn.XLOOKUP($A211,'CONSOLIDATED CY Cash Flows'!$B:$B,'CONSOLIDATED CY Cash Flows'!V:V)/$S211,0)</f>
        <v>0</v>
      </c>
      <c r="Q211" s="348">
        <f>+IFERROR(_xlfn.XLOOKUP($A211,'CONSOLIDATED CY Cash Flows'!$B:$B,'CONSOLIDATED CY Cash Flows'!W:W)/$S211,0)</f>
        <v>0</v>
      </c>
      <c r="R211" s="340">
        <f t="shared" ref="R211:R231" si="26">SUM(C211:Q211)</f>
        <v>0</v>
      </c>
      <c r="S211" s="501">
        <f>IFERROR(_xlfn.XLOOKUP($A211,'CONSOLIDATED CY Cash Flows'!$B:$B,'CONSOLIDATED CY Cash Flows'!$H:$H),0)</f>
        <v>0</v>
      </c>
      <c r="T211" s="501">
        <f t="shared" si="25"/>
        <v>0</v>
      </c>
      <c r="U211" s="501">
        <f t="shared" si="24"/>
        <v>0</v>
      </c>
    </row>
    <row r="212" spans="1:21" ht="15" hidden="1" customHeight="1" x14ac:dyDescent="0.75">
      <c r="A212" s="349">
        <v>8639</v>
      </c>
      <c r="B212" s="350" t="s">
        <v>628</v>
      </c>
      <c r="C212" s="344">
        <f>+IFERROR(_xlfn.XLOOKUP($A212,'CONSOLIDATED CY Cash Flows'!$B:$B,'CONSOLIDATED CY Cash Flows'!I:I)/$S212,0)</f>
        <v>0</v>
      </c>
      <c r="D212" s="344">
        <f>+IFERROR(_xlfn.XLOOKUP($A212,'CONSOLIDATED CY Cash Flows'!$B:$B,'CONSOLIDATED CY Cash Flows'!J:J)/$S212,0)</f>
        <v>0</v>
      </c>
      <c r="E212" s="344">
        <f>+IFERROR(_xlfn.XLOOKUP($A212,'CONSOLIDATED CY Cash Flows'!$B:$B,'CONSOLIDATED CY Cash Flows'!K:K)/$S212,0)</f>
        <v>0</v>
      </c>
      <c r="F212" s="344">
        <f>+IFERROR(_xlfn.XLOOKUP($A212,'CONSOLIDATED CY Cash Flows'!$B:$B,'CONSOLIDATED CY Cash Flows'!L:L)/$S212,0)</f>
        <v>0</v>
      </c>
      <c r="G212" s="344">
        <f>+IFERROR(_xlfn.XLOOKUP($A212,'CONSOLIDATED CY Cash Flows'!$B:$B,'CONSOLIDATED CY Cash Flows'!M:M)/$S212,0)</f>
        <v>0</v>
      </c>
      <c r="H212" s="344">
        <f>+IFERROR(_xlfn.XLOOKUP($A212,'CONSOLIDATED CY Cash Flows'!$B:$B,'CONSOLIDATED CY Cash Flows'!N:N)/$S212,0)</f>
        <v>0</v>
      </c>
      <c r="I212" s="344">
        <f>+IFERROR(_xlfn.XLOOKUP($A212,'CONSOLIDATED CY Cash Flows'!$B:$B,'CONSOLIDATED CY Cash Flows'!O:O)/$S212,0)</f>
        <v>0</v>
      </c>
      <c r="J212" s="344">
        <f>+IFERROR(_xlfn.XLOOKUP($A212,'CONSOLIDATED CY Cash Flows'!$B:$B,'CONSOLIDATED CY Cash Flows'!P:P)/$S212,0)</f>
        <v>0</v>
      </c>
      <c r="K212" s="344">
        <f>+IFERROR(_xlfn.XLOOKUP($A212,'CONSOLIDATED CY Cash Flows'!$B:$B,'CONSOLIDATED CY Cash Flows'!Q:Q)/$S212,0)</f>
        <v>0</v>
      </c>
      <c r="L212" s="344">
        <f>+IFERROR(_xlfn.XLOOKUP($A212,'CONSOLIDATED CY Cash Flows'!$B:$B,'CONSOLIDATED CY Cash Flows'!R:R)/$S212,0)</f>
        <v>0</v>
      </c>
      <c r="M212" s="344">
        <f>+IFERROR(_xlfn.XLOOKUP($A212,'CONSOLIDATED CY Cash Flows'!$B:$B,'CONSOLIDATED CY Cash Flows'!S:S)/$S212,0)</f>
        <v>0</v>
      </c>
      <c r="N212" s="344">
        <f>+IFERROR(_xlfn.XLOOKUP($A212,'CONSOLIDATED CY Cash Flows'!$B:$B,'CONSOLIDATED CY Cash Flows'!T:T)/$S212,0)</f>
        <v>0</v>
      </c>
      <c r="O212" s="344">
        <f>+IFERROR(_xlfn.XLOOKUP($A212,'CONSOLIDATED CY Cash Flows'!$B:$B,'CONSOLIDATED CY Cash Flows'!U:U)/$S212,0)</f>
        <v>0</v>
      </c>
      <c r="P212" s="344">
        <f>+IFERROR(_xlfn.XLOOKUP($A212,'CONSOLIDATED CY Cash Flows'!$B:$B,'CONSOLIDATED CY Cash Flows'!V:V)/$S212,0)</f>
        <v>0</v>
      </c>
      <c r="Q212" s="344">
        <f>+IFERROR(_xlfn.XLOOKUP($A212,'CONSOLIDATED CY Cash Flows'!$B:$B,'CONSOLIDATED CY Cash Flows'!W:W)/$S212,0)</f>
        <v>0</v>
      </c>
      <c r="R212" s="340">
        <f t="shared" si="26"/>
        <v>0</v>
      </c>
      <c r="S212" s="501">
        <f>IFERROR(_xlfn.XLOOKUP($A212,'CONSOLIDATED CY Cash Flows'!$B:$B,'CONSOLIDATED CY Cash Flows'!$H:$H),0)</f>
        <v>0</v>
      </c>
      <c r="T212" s="501">
        <f t="shared" si="25"/>
        <v>0</v>
      </c>
      <c r="U212" s="501">
        <f t="shared" si="24"/>
        <v>0</v>
      </c>
    </row>
    <row r="213" spans="1:21" ht="15" customHeight="1" x14ac:dyDescent="0.75">
      <c r="A213" s="349">
        <v>8660</v>
      </c>
      <c r="B213" s="350" t="s">
        <v>624</v>
      </c>
      <c r="C213" s="344">
        <f>+IFERROR(_xlfn.XLOOKUP($A213,'CONSOLIDATED CY Cash Flows'!$B:$B,'CONSOLIDATED CY Cash Flows'!I:I)/$S213,0)</f>
        <v>0.20142035309483861</v>
      </c>
      <c r="D213" s="344">
        <f>+IFERROR(_xlfn.XLOOKUP($A213,'CONSOLIDATED CY Cash Flows'!$B:$B,'CONSOLIDATED CY Cash Flows'!J:J)/$S213,0)</f>
        <v>1.6132882629475449E-2</v>
      </c>
      <c r="E213" s="344">
        <f>+IFERROR(_xlfn.XLOOKUP($A213,'CONSOLIDATED CY Cash Flows'!$B:$B,'CONSOLIDATED CY Cash Flows'!K:K)/$S213,0)</f>
        <v>1.6461126792257158E-4</v>
      </c>
      <c r="F213" s="344">
        <f>+IFERROR(_xlfn.XLOOKUP($A213,'CONSOLIDATED CY Cash Flows'!$B:$B,'CONSOLIDATED CY Cash Flows'!L:L)/$S213,0)</f>
        <v>0.14434549287989004</v>
      </c>
      <c r="G213" s="344">
        <f>+IFERROR(_xlfn.XLOOKUP($A213,'CONSOLIDATED CY Cash Flows'!$B:$B,'CONSOLIDATED CY Cash Flows'!M:M)/$S213,0)</f>
        <v>2.2845011031156291E-4</v>
      </c>
      <c r="H213" s="344">
        <f>+IFERROR(_xlfn.XLOOKUP($A213,'CONSOLIDATED CY Cash Flows'!$B:$B,'CONSOLIDATED CY Cash Flows'!N:N)/$S213,0)</f>
        <v>2.3652168808488368E-4</v>
      </c>
      <c r="I213" s="344">
        <f>+IFERROR(_xlfn.XLOOKUP($A213,'CONSOLIDATED CY Cash Flows'!$B:$B,'CONSOLIDATED CY Cash Flows'!O:O)/$S213,0)</f>
        <v>0.26299059294299509</v>
      </c>
      <c r="J213" s="344">
        <f>+IFERROR(_xlfn.XLOOKUP($A213,'CONSOLIDATED CY Cash Flows'!$B:$B,'CONSOLIDATED CY Cash Flows'!P:P)/$S213,0)</f>
        <v>7.4181219372501175E-2</v>
      </c>
      <c r="K213" s="344">
        <f>+IFERROR(_xlfn.XLOOKUP($A213,'CONSOLIDATED CY Cash Flows'!$B:$B,'CONSOLIDATED CY Cash Flows'!Q:Q)/$S213,0)</f>
        <v>7.5074969003495182E-2</v>
      </c>
      <c r="L213" s="344">
        <f>+IFERROR(_xlfn.XLOOKUP($A213,'CONSOLIDATED CY Cash Flows'!$B:$B,'CONSOLIDATED CY Cash Flows'!R:R)/$S213,0)</f>
        <v>7.5074969003495182E-2</v>
      </c>
      <c r="M213" s="344">
        <f>+IFERROR(_xlfn.XLOOKUP($A213,'CONSOLIDATED CY Cash Flows'!$B:$B,'CONSOLIDATED CY Cash Flows'!S:S)/$S213,0)</f>
        <v>7.5074969003495182E-2</v>
      </c>
      <c r="N213" s="344">
        <f>+IFERROR(_xlfn.XLOOKUP($A213,'CONSOLIDATED CY Cash Flows'!$B:$B,'CONSOLIDATED CY Cash Flows'!T:T)/$S213,0)</f>
        <v>7.5074969003495182E-2</v>
      </c>
      <c r="O213" s="344">
        <f>+IFERROR(_xlfn.XLOOKUP($A213,'CONSOLIDATED CY Cash Flows'!$B:$B,'CONSOLIDATED CY Cash Flows'!U:U)/$S213,0)</f>
        <v>0</v>
      </c>
      <c r="P213" s="344">
        <f>+IFERROR(_xlfn.XLOOKUP($A213,'CONSOLIDATED CY Cash Flows'!$B:$B,'CONSOLIDATED CY Cash Flows'!V:V)/$S213,0)</f>
        <v>0</v>
      </c>
      <c r="Q213" s="344">
        <f>+IFERROR(_xlfn.XLOOKUP($A213,'CONSOLIDATED CY Cash Flows'!$B:$B,'CONSOLIDATED CY Cash Flows'!W:W)/$S213,0)</f>
        <v>0</v>
      </c>
      <c r="R213" s="340">
        <f t="shared" si="26"/>
        <v>1.0000000000000002</v>
      </c>
      <c r="S213" s="501">
        <f>IFERROR(_xlfn.XLOOKUP($A213,'CONSOLIDATED CY Cash Flows'!$B:$B,'CONSOLIDATED CY Cash Flows'!$H:$H),0)</f>
        <v>40884.199999999997</v>
      </c>
      <c r="T213" s="501">
        <f t="shared" si="25"/>
        <v>25573.84</v>
      </c>
      <c r="U213" s="501">
        <f t="shared" si="24"/>
        <v>15310.359999999997</v>
      </c>
    </row>
    <row r="214" spans="1:21" ht="15" customHeight="1" x14ac:dyDescent="0.75">
      <c r="A214" s="349">
        <v>8682</v>
      </c>
      <c r="B214" s="350" t="s">
        <v>1411</v>
      </c>
      <c r="C214" s="344">
        <f>+IFERROR(_xlfn.XLOOKUP($A214,'CONSOLIDATED CY Cash Flows'!$B:$B,'CONSOLIDATED CY Cash Flows'!I:I)/$S214,0)</f>
        <v>3.7784041532218454E-2</v>
      </c>
      <c r="D214" s="344">
        <f>+IFERROR(_xlfn.XLOOKUP($A214,'CONSOLIDATED CY Cash Flows'!$B:$B,'CONSOLIDATED CY Cash Flows'!J:J)/$S214,0)</f>
        <v>0.32116435302385687</v>
      </c>
      <c r="E214" s="344">
        <f>+IFERROR(_xlfn.XLOOKUP($A214,'CONSOLIDATED CY Cash Flows'!$B:$B,'CONSOLIDATED CY Cash Flows'!K:K)/$S214,0)</f>
        <v>0</v>
      </c>
      <c r="F214" s="344">
        <f>+IFERROR(_xlfn.XLOOKUP($A214,'CONSOLIDATED CY Cash Flows'!$B:$B,'CONSOLIDATED CY Cash Flows'!L:L)/$S214,0)</f>
        <v>0</v>
      </c>
      <c r="G214" s="344">
        <f>+IFERROR(_xlfn.XLOOKUP($A214,'CONSOLIDATED CY Cash Flows'!$B:$B,'CONSOLIDATED CY Cash Flows'!M:M)/$S214,0)</f>
        <v>0</v>
      </c>
      <c r="H214" s="344">
        <f>+IFERROR(_xlfn.XLOOKUP($A214,'CONSOLIDATED CY Cash Flows'!$B:$B,'CONSOLIDATED CY Cash Flows'!N:N)/$S214,0)</f>
        <v>0.12353492378958823</v>
      </c>
      <c r="I214" s="344">
        <f>+IFERROR(_xlfn.XLOOKUP($A214,'CONSOLIDATED CY Cash Flows'!$B:$B,'CONSOLIDATED CY Cash Flows'!O:O)/$S214,0)</f>
        <v>1.8888242361956006E-2</v>
      </c>
      <c r="J214" s="344">
        <f>+IFERROR(_xlfn.XLOOKUP($A214,'CONSOLIDATED CY Cash Flows'!$B:$B,'CONSOLIDATED CY Cash Flows'!P:P)/$S214,0)</f>
        <v>9.9725687858476089E-2</v>
      </c>
      <c r="K214" s="344">
        <f>+IFERROR(_xlfn.XLOOKUP($A214,'CONSOLIDATED CY Cash Flows'!$B:$B,'CONSOLIDATED CY Cash Flows'!Q:Q)/$S214,0)</f>
        <v>9.9725687858476089E-2</v>
      </c>
      <c r="L214" s="344">
        <f>+IFERROR(_xlfn.XLOOKUP($A214,'CONSOLIDATED CY Cash Flows'!$B:$B,'CONSOLIDATED CY Cash Flows'!R:R)/$S214,0)</f>
        <v>9.9725687858476089E-2</v>
      </c>
      <c r="M214" s="344">
        <f>+IFERROR(_xlfn.XLOOKUP($A214,'CONSOLIDATED CY Cash Flows'!$B:$B,'CONSOLIDATED CY Cash Flows'!S:S)/$S214,0)</f>
        <v>9.9725687858476089E-2</v>
      </c>
      <c r="N214" s="344">
        <f>+IFERROR(_xlfn.XLOOKUP($A214,'CONSOLIDATED CY Cash Flows'!$B:$B,'CONSOLIDATED CY Cash Flows'!T:T)/$S214,0)</f>
        <v>9.9725687858476089E-2</v>
      </c>
      <c r="O214" s="344">
        <f>+IFERROR(_xlfn.XLOOKUP($A214,'CONSOLIDATED CY Cash Flows'!$B:$B,'CONSOLIDATED CY Cash Flows'!U:U)/$S214,0)</f>
        <v>0</v>
      </c>
      <c r="P214" s="344">
        <f>+IFERROR(_xlfn.XLOOKUP($A214,'CONSOLIDATED CY Cash Flows'!$B:$B,'CONSOLIDATED CY Cash Flows'!V:V)/$S214,0)</f>
        <v>0</v>
      </c>
      <c r="Q214" s="344">
        <f>+IFERROR(_xlfn.XLOOKUP($A214,'CONSOLIDATED CY Cash Flows'!$B:$B,'CONSOLIDATED CY Cash Flows'!W:W)/$S214,0)</f>
        <v>0</v>
      </c>
      <c r="R214" s="340">
        <f t="shared" si="26"/>
        <v>1.0000000000000002</v>
      </c>
      <c r="S214" s="501">
        <f>IFERROR(_xlfn.XLOOKUP($A214,'CONSOLIDATED CY Cash Flows'!$B:$B,'CONSOLIDATED CY Cash Flows'!$H:$H),0)</f>
        <v>2646.62</v>
      </c>
      <c r="T214" s="501">
        <f t="shared" si="25"/>
        <v>1326.94</v>
      </c>
      <c r="U214" s="501">
        <f t="shared" si="24"/>
        <v>1319.6799999999998</v>
      </c>
    </row>
    <row r="215" spans="1:21" ht="15" hidden="1" customHeight="1" x14ac:dyDescent="0.75">
      <c r="A215" s="349">
        <v>8684</v>
      </c>
      <c r="B215" s="350" t="s">
        <v>629</v>
      </c>
      <c r="C215" s="344">
        <f>+IFERROR(_xlfn.XLOOKUP($A215,'CONSOLIDATED CY Cash Flows'!$B:$B,'CONSOLIDATED CY Cash Flows'!I:I)/$S215,0)</f>
        <v>0</v>
      </c>
      <c r="D215" s="344">
        <f>+IFERROR(_xlfn.XLOOKUP($A215,'CONSOLIDATED CY Cash Flows'!$B:$B,'CONSOLIDATED CY Cash Flows'!J:J)/$S215,0)</f>
        <v>0</v>
      </c>
      <c r="E215" s="344">
        <f>+IFERROR(_xlfn.XLOOKUP($A215,'CONSOLIDATED CY Cash Flows'!$B:$B,'CONSOLIDATED CY Cash Flows'!K:K)/$S215,0)</f>
        <v>0</v>
      </c>
      <c r="F215" s="344">
        <f>+IFERROR(_xlfn.XLOOKUP($A215,'CONSOLIDATED CY Cash Flows'!$B:$B,'CONSOLIDATED CY Cash Flows'!L:L)/$S215,0)</f>
        <v>0</v>
      </c>
      <c r="G215" s="344">
        <f>+IFERROR(_xlfn.XLOOKUP($A215,'CONSOLIDATED CY Cash Flows'!$B:$B,'CONSOLIDATED CY Cash Flows'!M:M)/$S215,0)</f>
        <v>0</v>
      </c>
      <c r="H215" s="344">
        <f>+IFERROR(_xlfn.XLOOKUP($A215,'CONSOLIDATED CY Cash Flows'!$B:$B,'CONSOLIDATED CY Cash Flows'!N:N)/$S215,0)</f>
        <v>0</v>
      </c>
      <c r="I215" s="344">
        <f>+IFERROR(_xlfn.XLOOKUP($A215,'CONSOLIDATED CY Cash Flows'!$B:$B,'CONSOLIDATED CY Cash Flows'!O:O)/$S215,0)</f>
        <v>0</v>
      </c>
      <c r="J215" s="344">
        <f>+IFERROR(_xlfn.XLOOKUP($A215,'CONSOLIDATED CY Cash Flows'!$B:$B,'CONSOLIDATED CY Cash Flows'!P:P)/$S215,0)</f>
        <v>0</v>
      </c>
      <c r="K215" s="344">
        <f>+IFERROR(_xlfn.XLOOKUP($A215,'CONSOLIDATED CY Cash Flows'!$B:$B,'CONSOLIDATED CY Cash Flows'!Q:Q)/$S215,0)</f>
        <v>0</v>
      </c>
      <c r="L215" s="344">
        <f>+IFERROR(_xlfn.XLOOKUP($A215,'CONSOLIDATED CY Cash Flows'!$B:$B,'CONSOLIDATED CY Cash Flows'!R:R)/$S215,0)</f>
        <v>0</v>
      </c>
      <c r="M215" s="344">
        <f>+IFERROR(_xlfn.XLOOKUP($A215,'CONSOLIDATED CY Cash Flows'!$B:$B,'CONSOLIDATED CY Cash Flows'!S:S)/$S215,0)</f>
        <v>0</v>
      </c>
      <c r="N215" s="344">
        <f>+IFERROR(_xlfn.XLOOKUP($A215,'CONSOLIDATED CY Cash Flows'!$B:$B,'CONSOLIDATED CY Cash Flows'!T:T)/$S215,0)</f>
        <v>0</v>
      </c>
      <c r="O215" s="344">
        <f>+IFERROR(_xlfn.XLOOKUP($A215,'CONSOLIDATED CY Cash Flows'!$B:$B,'CONSOLIDATED CY Cash Flows'!U:U)/$S215,0)</f>
        <v>0</v>
      </c>
      <c r="P215" s="344">
        <f>+IFERROR(_xlfn.XLOOKUP($A215,'CONSOLIDATED CY Cash Flows'!$B:$B,'CONSOLIDATED CY Cash Flows'!V:V)/$S215,0)</f>
        <v>0</v>
      </c>
      <c r="Q215" s="344">
        <f>+IFERROR(_xlfn.XLOOKUP($A215,'CONSOLIDATED CY Cash Flows'!$B:$B,'CONSOLIDATED CY Cash Flows'!W:W)/$S215,0)</f>
        <v>0</v>
      </c>
      <c r="R215" s="340">
        <f t="shared" si="26"/>
        <v>0</v>
      </c>
      <c r="S215" s="501">
        <f>IFERROR(_xlfn.XLOOKUP($A215,'CONSOLIDATED CY Cash Flows'!$B:$B,'CONSOLIDATED CY Cash Flows'!$H:$H),0)</f>
        <v>0</v>
      </c>
      <c r="T215" s="501">
        <f t="shared" si="25"/>
        <v>0</v>
      </c>
      <c r="U215" s="501">
        <f t="shared" si="24"/>
        <v>0</v>
      </c>
    </row>
    <row r="216" spans="1:21" ht="15" hidden="1" customHeight="1" x14ac:dyDescent="0.75">
      <c r="A216" s="349">
        <v>8685</v>
      </c>
      <c r="B216" s="350" t="s">
        <v>630</v>
      </c>
      <c r="C216" s="344">
        <f>+IFERROR(_xlfn.XLOOKUP($A216,'CONSOLIDATED CY Cash Flows'!$B:$B,'CONSOLIDATED CY Cash Flows'!I:I)/$S216,0)</f>
        <v>0</v>
      </c>
      <c r="D216" s="344">
        <f>+IFERROR(_xlfn.XLOOKUP($A216,'CONSOLIDATED CY Cash Flows'!$B:$B,'CONSOLIDATED CY Cash Flows'!J:J)/$S216,0)</f>
        <v>0</v>
      </c>
      <c r="E216" s="344">
        <f>+IFERROR(_xlfn.XLOOKUP($A216,'CONSOLIDATED CY Cash Flows'!$B:$B,'CONSOLIDATED CY Cash Flows'!K:K)/$S216,0)</f>
        <v>0</v>
      </c>
      <c r="F216" s="344">
        <f>+IFERROR(_xlfn.XLOOKUP($A216,'CONSOLIDATED CY Cash Flows'!$B:$B,'CONSOLIDATED CY Cash Flows'!L:L)/$S216,0)</f>
        <v>0</v>
      </c>
      <c r="G216" s="344">
        <f>+IFERROR(_xlfn.XLOOKUP($A216,'CONSOLIDATED CY Cash Flows'!$B:$B,'CONSOLIDATED CY Cash Flows'!M:M)/$S216,0)</f>
        <v>0</v>
      </c>
      <c r="H216" s="344">
        <f>+IFERROR(_xlfn.XLOOKUP($A216,'CONSOLIDATED CY Cash Flows'!$B:$B,'CONSOLIDATED CY Cash Flows'!N:N)/$S216,0)</f>
        <v>0</v>
      </c>
      <c r="I216" s="344">
        <f>+IFERROR(_xlfn.XLOOKUP($A216,'CONSOLIDATED CY Cash Flows'!$B:$B,'CONSOLIDATED CY Cash Flows'!O:O)/$S216,0)</f>
        <v>0</v>
      </c>
      <c r="J216" s="344">
        <f>+IFERROR(_xlfn.XLOOKUP($A216,'CONSOLIDATED CY Cash Flows'!$B:$B,'CONSOLIDATED CY Cash Flows'!P:P)/$S216,0)</f>
        <v>0</v>
      </c>
      <c r="K216" s="344">
        <f>+IFERROR(_xlfn.XLOOKUP($A216,'CONSOLIDATED CY Cash Flows'!$B:$B,'CONSOLIDATED CY Cash Flows'!Q:Q)/$S216,0)</f>
        <v>0</v>
      </c>
      <c r="L216" s="344">
        <f>+IFERROR(_xlfn.XLOOKUP($A216,'CONSOLIDATED CY Cash Flows'!$B:$B,'CONSOLIDATED CY Cash Flows'!R:R)/$S216,0)</f>
        <v>0</v>
      </c>
      <c r="M216" s="344">
        <f>+IFERROR(_xlfn.XLOOKUP($A216,'CONSOLIDATED CY Cash Flows'!$B:$B,'CONSOLIDATED CY Cash Flows'!S:S)/$S216,0)</f>
        <v>0</v>
      </c>
      <c r="N216" s="344">
        <f>+IFERROR(_xlfn.XLOOKUP($A216,'CONSOLIDATED CY Cash Flows'!$B:$B,'CONSOLIDATED CY Cash Flows'!T:T)/$S216,0)</f>
        <v>0</v>
      </c>
      <c r="O216" s="344">
        <f>+IFERROR(_xlfn.XLOOKUP($A216,'CONSOLIDATED CY Cash Flows'!$B:$B,'CONSOLIDATED CY Cash Flows'!U:U)/$S216,0)</f>
        <v>0</v>
      </c>
      <c r="P216" s="344">
        <f>+IFERROR(_xlfn.XLOOKUP($A216,'CONSOLIDATED CY Cash Flows'!$B:$B,'CONSOLIDATED CY Cash Flows'!V:V)/$S216,0)</f>
        <v>0</v>
      </c>
      <c r="Q216" s="344">
        <f>+IFERROR(_xlfn.XLOOKUP($A216,'CONSOLIDATED CY Cash Flows'!$B:$B,'CONSOLIDATED CY Cash Flows'!W:W)/$S216,0)</f>
        <v>0</v>
      </c>
      <c r="R216" s="340">
        <f t="shared" si="26"/>
        <v>0</v>
      </c>
      <c r="S216" s="501">
        <f>IFERROR(_xlfn.XLOOKUP($A216,'CONSOLIDATED CY Cash Flows'!$B:$B,'CONSOLIDATED CY Cash Flows'!$H:$H),0)</f>
        <v>0</v>
      </c>
      <c r="T216" s="501">
        <f t="shared" si="25"/>
        <v>0</v>
      </c>
      <c r="U216" s="501">
        <f t="shared" si="24"/>
        <v>0</v>
      </c>
    </row>
    <row r="217" spans="1:21" ht="15" hidden="1" customHeight="1" x14ac:dyDescent="0.75">
      <c r="A217" s="349">
        <v>8693</v>
      </c>
      <c r="B217" s="350" t="s">
        <v>1412</v>
      </c>
      <c r="C217" s="344">
        <f>+IFERROR(_xlfn.XLOOKUP($A217,'CONSOLIDATED CY Cash Flows'!$B:$B,'CONSOLIDATED CY Cash Flows'!I:I)/$S217,0)</f>
        <v>0</v>
      </c>
      <c r="D217" s="344">
        <f>+IFERROR(_xlfn.XLOOKUP($A217,'CONSOLIDATED CY Cash Flows'!$B:$B,'CONSOLIDATED CY Cash Flows'!J:J)/$S217,0)</f>
        <v>0</v>
      </c>
      <c r="E217" s="344">
        <f>+IFERROR(_xlfn.XLOOKUP($A217,'CONSOLIDATED CY Cash Flows'!$B:$B,'CONSOLIDATED CY Cash Flows'!K:K)/$S217,0)</f>
        <v>0</v>
      </c>
      <c r="F217" s="344">
        <f>+IFERROR(_xlfn.XLOOKUP($A217,'CONSOLIDATED CY Cash Flows'!$B:$B,'CONSOLIDATED CY Cash Flows'!L:L)/$S217,0)</f>
        <v>0</v>
      </c>
      <c r="G217" s="344">
        <f>+IFERROR(_xlfn.XLOOKUP($A217,'CONSOLIDATED CY Cash Flows'!$B:$B,'CONSOLIDATED CY Cash Flows'!M:M)/$S217,0)</f>
        <v>0</v>
      </c>
      <c r="H217" s="344">
        <f>+IFERROR(_xlfn.XLOOKUP($A217,'CONSOLIDATED CY Cash Flows'!$B:$B,'CONSOLIDATED CY Cash Flows'!N:N)/$S217,0)</f>
        <v>0</v>
      </c>
      <c r="I217" s="344">
        <f>+IFERROR(_xlfn.XLOOKUP($A217,'CONSOLIDATED CY Cash Flows'!$B:$B,'CONSOLIDATED CY Cash Flows'!O:O)/$S217,0)</f>
        <v>0</v>
      </c>
      <c r="J217" s="344">
        <f>+IFERROR(_xlfn.XLOOKUP($A217,'CONSOLIDATED CY Cash Flows'!$B:$B,'CONSOLIDATED CY Cash Flows'!P:P)/$S217,0)</f>
        <v>0</v>
      </c>
      <c r="K217" s="344">
        <f>+IFERROR(_xlfn.XLOOKUP($A217,'CONSOLIDATED CY Cash Flows'!$B:$B,'CONSOLIDATED CY Cash Flows'!Q:Q)/$S217,0)</f>
        <v>0</v>
      </c>
      <c r="L217" s="344">
        <f>+IFERROR(_xlfn.XLOOKUP($A217,'CONSOLIDATED CY Cash Flows'!$B:$B,'CONSOLIDATED CY Cash Flows'!R:R)/$S217,0)</f>
        <v>0</v>
      </c>
      <c r="M217" s="344">
        <f>+IFERROR(_xlfn.XLOOKUP($A217,'CONSOLIDATED CY Cash Flows'!$B:$B,'CONSOLIDATED CY Cash Flows'!S:S)/$S217,0)</f>
        <v>0</v>
      </c>
      <c r="N217" s="344">
        <f>+IFERROR(_xlfn.XLOOKUP($A217,'CONSOLIDATED CY Cash Flows'!$B:$B,'CONSOLIDATED CY Cash Flows'!T:T)/$S217,0)</f>
        <v>0</v>
      </c>
      <c r="O217" s="344">
        <f>+IFERROR(_xlfn.XLOOKUP($A217,'CONSOLIDATED CY Cash Flows'!$B:$B,'CONSOLIDATED CY Cash Flows'!U:U)/$S217,0)</f>
        <v>0</v>
      </c>
      <c r="P217" s="344">
        <f>+IFERROR(_xlfn.XLOOKUP($A217,'CONSOLIDATED CY Cash Flows'!$B:$B,'CONSOLIDATED CY Cash Flows'!V:V)/$S217,0)</f>
        <v>0</v>
      </c>
      <c r="Q217" s="344">
        <f>+IFERROR(_xlfn.XLOOKUP($A217,'CONSOLIDATED CY Cash Flows'!$B:$B,'CONSOLIDATED CY Cash Flows'!W:W)/$S217,0)</f>
        <v>0</v>
      </c>
      <c r="R217" s="340">
        <f t="shared" si="26"/>
        <v>0</v>
      </c>
      <c r="S217" s="501">
        <f>IFERROR(_xlfn.XLOOKUP($A217,'CONSOLIDATED CY Cash Flows'!$B:$B,'CONSOLIDATED CY Cash Flows'!$H:$H),0)</f>
        <v>0</v>
      </c>
      <c r="T217" s="501">
        <f t="shared" si="25"/>
        <v>0</v>
      </c>
      <c r="U217" s="501">
        <f t="shared" si="24"/>
        <v>0</v>
      </c>
    </row>
    <row r="218" spans="1:21" ht="15" hidden="1" customHeight="1" x14ac:dyDescent="0.75">
      <c r="A218" s="349">
        <v>8698</v>
      </c>
      <c r="B218" s="350" t="s">
        <v>1413</v>
      </c>
      <c r="C218" s="344">
        <f>+IFERROR(_xlfn.XLOOKUP($A218,'CONSOLIDATED CY Cash Flows'!$B:$B,'CONSOLIDATED CY Cash Flows'!I:I)/$S218,0)</f>
        <v>0</v>
      </c>
      <c r="D218" s="344">
        <f>+IFERROR(_xlfn.XLOOKUP($A218,'CONSOLIDATED CY Cash Flows'!$B:$B,'CONSOLIDATED CY Cash Flows'!J:J)/$S218,0)</f>
        <v>0</v>
      </c>
      <c r="E218" s="344">
        <f>+IFERROR(_xlfn.XLOOKUP($A218,'CONSOLIDATED CY Cash Flows'!$B:$B,'CONSOLIDATED CY Cash Flows'!K:K)/$S218,0)</f>
        <v>0</v>
      </c>
      <c r="F218" s="344">
        <f>+IFERROR(_xlfn.XLOOKUP($A218,'CONSOLIDATED CY Cash Flows'!$B:$B,'CONSOLIDATED CY Cash Flows'!L:L)/$S218,0)</f>
        <v>0</v>
      </c>
      <c r="G218" s="344">
        <f>+IFERROR(_xlfn.XLOOKUP($A218,'CONSOLIDATED CY Cash Flows'!$B:$B,'CONSOLIDATED CY Cash Flows'!M:M)/$S218,0)</f>
        <v>0</v>
      </c>
      <c r="H218" s="344">
        <f>+IFERROR(_xlfn.XLOOKUP($A218,'CONSOLIDATED CY Cash Flows'!$B:$B,'CONSOLIDATED CY Cash Flows'!N:N)/$S218,0)</f>
        <v>0</v>
      </c>
      <c r="I218" s="344">
        <f>+IFERROR(_xlfn.XLOOKUP($A218,'CONSOLIDATED CY Cash Flows'!$B:$B,'CONSOLIDATED CY Cash Flows'!O:O)/$S218,0)</f>
        <v>0</v>
      </c>
      <c r="J218" s="344">
        <f>+IFERROR(_xlfn.XLOOKUP($A218,'CONSOLIDATED CY Cash Flows'!$B:$B,'CONSOLIDATED CY Cash Flows'!P:P)/$S218,0)</f>
        <v>0</v>
      </c>
      <c r="K218" s="344">
        <f>+IFERROR(_xlfn.XLOOKUP($A218,'CONSOLIDATED CY Cash Flows'!$B:$B,'CONSOLIDATED CY Cash Flows'!Q:Q)/$S218,0)</f>
        <v>0</v>
      </c>
      <c r="L218" s="344">
        <f>+IFERROR(_xlfn.XLOOKUP($A218,'CONSOLIDATED CY Cash Flows'!$B:$B,'CONSOLIDATED CY Cash Flows'!R:R)/$S218,0)</f>
        <v>0</v>
      </c>
      <c r="M218" s="344">
        <f>+IFERROR(_xlfn.XLOOKUP($A218,'CONSOLIDATED CY Cash Flows'!$B:$B,'CONSOLIDATED CY Cash Flows'!S:S)/$S218,0)</f>
        <v>0</v>
      </c>
      <c r="N218" s="344">
        <f>+IFERROR(_xlfn.XLOOKUP($A218,'CONSOLIDATED CY Cash Flows'!$B:$B,'CONSOLIDATED CY Cash Flows'!T:T)/$S218,0)</f>
        <v>0</v>
      </c>
      <c r="O218" s="344">
        <f>+IFERROR(_xlfn.XLOOKUP($A218,'CONSOLIDATED CY Cash Flows'!$B:$B,'CONSOLIDATED CY Cash Flows'!U:U)/$S218,0)</f>
        <v>0</v>
      </c>
      <c r="P218" s="344">
        <f>+IFERROR(_xlfn.XLOOKUP($A218,'CONSOLIDATED CY Cash Flows'!$B:$B,'CONSOLIDATED CY Cash Flows'!V:V)/$S218,0)</f>
        <v>0</v>
      </c>
      <c r="Q218" s="344">
        <f>+IFERROR(_xlfn.XLOOKUP($A218,'CONSOLIDATED CY Cash Flows'!$B:$B,'CONSOLIDATED CY Cash Flows'!W:W)/$S218,0)</f>
        <v>0</v>
      </c>
      <c r="R218" s="340">
        <f t="shared" si="26"/>
        <v>0</v>
      </c>
      <c r="S218" s="501">
        <f>IFERROR(_xlfn.XLOOKUP($A218,'CONSOLIDATED CY Cash Flows'!$B:$B,'CONSOLIDATED CY Cash Flows'!$H:$H),0)</f>
        <v>0</v>
      </c>
      <c r="T218" s="501">
        <f t="shared" si="25"/>
        <v>0</v>
      </c>
      <c r="U218" s="501">
        <f t="shared" si="24"/>
        <v>0</v>
      </c>
    </row>
    <row r="219" spans="1:21" ht="15" customHeight="1" x14ac:dyDescent="0.75">
      <c r="A219" s="349">
        <v>8699</v>
      </c>
      <c r="B219" s="350" t="s">
        <v>1090</v>
      </c>
      <c r="C219" s="344">
        <f>+IFERROR(_xlfn.XLOOKUP($A219,'CONSOLIDATED CY Cash Flows'!$B:$B,'CONSOLIDATED CY Cash Flows'!I:I)/$S219,0)</f>
        <v>2.135943798885263E-2</v>
      </c>
      <c r="D219" s="344">
        <f>+IFERROR(_xlfn.XLOOKUP($A219,'CONSOLIDATED CY Cash Flows'!$B:$B,'CONSOLIDATED CY Cash Flows'!J:J)/$S219,0)</f>
        <v>0.11759453244153388</v>
      </c>
      <c r="E219" s="344">
        <f>+IFERROR(_xlfn.XLOOKUP($A219,'CONSOLIDATED CY Cash Flows'!$B:$B,'CONSOLIDATED CY Cash Flows'!K:K)/$S219,0)</f>
        <v>0.17918597568466416</v>
      </c>
      <c r="F219" s="344">
        <f>+IFERROR(_xlfn.XLOOKUP($A219,'CONSOLIDATED CY Cash Flows'!$B:$B,'CONSOLIDATED CY Cash Flows'!L:L)/$S219,0)</f>
        <v>4.1701978165117365E-2</v>
      </c>
      <c r="G219" s="344">
        <f>+IFERROR(_xlfn.XLOOKUP($A219,'CONSOLIDATED CY Cash Flows'!$B:$B,'CONSOLIDATED CY Cash Flows'!M:M)/$S219,0)</f>
        <v>0.13711636677410163</v>
      </c>
      <c r="H219" s="344">
        <f>+IFERROR(_xlfn.XLOOKUP($A219,'CONSOLIDATED CY Cash Flows'!$B:$B,'CONSOLIDATED CY Cash Flows'!N:N)/$S219,0)</f>
        <v>0.15390123146215093</v>
      </c>
      <c r="I219" s="344">
        <f>+IFERROR(_xlfn.XLOOKUP($A219,'CONSOLIDATED CY Cash Flows'!$B:$B,'CONSOLIDATED CY Cash Flows'!O:O)/$S219,0)</f>
        <v>4.1235518007305676E-2</v>
      </c>
      <c r="J219" s="344">
        <f>+IFERROR(_xlfn.XLOOKUP($A219,'CONSOLIDATED CY Cash Flows'!$B:$B,'CONSOLIDATED CY Cash Flows'!P:P)/$S219,0)</f>
        <v>6.1580991895254775E-2</v>
      </c>
      <c r="K219" s="344">
        <f>+IFERROR(_xlfn.XLOOKUP($A219,'CONSOLIDATED CY Cash Flows'!$B:$B,'CONSOLIDATED CY Cash Flows'!Q:Q)/$S219,0)</f>
        <v>6.1580991895254775E-2</v>
      </c>
      <c r="L219" s="344">
        <f>+IFERROR(_xlfn.XLOOKUP($A219,'CONSOLIDATED CY Cash Flows'!$B:$B,'CONSOLIDATED CY Cash Flows'!R:R)/$S219,0)</f>
        <v>6.1580991895254775E-2</v>
      </c>
      <c r="M219" s="344">
        <f>+IFERROR(_xlfn.XLOOKUP($A219,'CONSOLIDATED CY Cash Flows'!$B:$B,'CONSOLIDATED CY Cash Flows'!S:S)/$S219,0)</f>
        <v>6.1580991895254775E-2</v>
      </c>
      <c r="N219" s="344">
        <f>+IFERROR(_xlfn.XLOOKUP($A219,'CONSOLIDATED CY Cash Flows'!$B:$B,'CONSOLIDATED CY Cash Flows'!T:T)/$S219,0)</f>
        <v>6.1580991895254775E-2</v>
      </c>
      <c r="O219" s="344">
        <f>+IFERROR(_xlfn.XLOOKUP($A219,'CONSOLIDATED CY Cash Flows'!$B:$B,'CONSOLIDATED CY Cash Flows'!U:U)/$S219,0)</f>
        <v>0</v>
      </c>
      <c r="P219" s="344">
        <f>+IFERROR(_xlfn.XLOOKUP($A219,'CONSOLIDATED CY Cash Flows'!$B:$B,'CONSOLIDATED CY Cash Flows'!V:V)/$S219,0)</f>
        <v>0</v>
      </c>
      <c r="Q219" s="344">
        <f>+IFERROR(_xlfn.XLOOKUP($A219,'CONSOLIDATED CY Cash Flows'!$B:$B,'CONSOLIDATED CY Cash Flows'!W:W)/$S219,0)</f>
        <v>0</v>
      </c>
      <c r="R219" s="340">
        <f t="shared" si="26"/>
        <v>1.0000000000000002</v>
      </c>
      <c r="S219" s="501">
        <f>IFERROR(_xlfn.XLOOKUP($A219,'CONSOLIDATED CY Cash Flows'!$B:$B,'CONSOLIDATED CY Cash Flows'!$H:$H),0)</f>
        <v>54538.42</v>
      </c>
      <c r="T219" s="501">
        <f t="shared" si="25"/>
        <v>37745.770000000004</v>
      </c>
      <c r="U219" s="501">
        <f t="shared" si="24"/>
        <v>16792.649999999994</v>
      </c>
    </row>
    <row r="220" spans="1:21" ht="15" hidden="1" customHeight="1" x14ac:dyDescent="0.75">
      <c r="A220" s="349">
        <v>8701</v>
      </c>
      <c r="B220" s="350" t="s">
        <v>1414</v>
      </c>
      <c r="C220" s="344">
        <f>+IFERROR(_xlfn.XLOOKUP($A220,'CONSOLIDATED CY Cash Flows'!$B:$B,'CONSOLIDATED CY Cash Flows'!I:I)/$S220,0)</f>
        <v>0</v>
      </c>
      <c r="D220" s="344">
        <f>+IFERROR(_xlfn.XLOOKUP($A220,'CONSOLIDATED CY Cash Flows'!$B:$B,'CONSOLIDATED CY Cash Flows'!J:J)/$S220,0)</f>
        <v>0</v>
      </c>
      <c r="E220" s="344">
        <f>+IFERROR(_xlfn.XLOOKUP($A220,'CONSOLIDATED CY Cash Flows'!$B:$B,'CONSOLIDATED CY Cash Flows'!K:K)/$S220,0)</f>
        <v>0</v>
      </c>
      <c r="F220" s="344">
        <f>+IFERROR(_xlfn.XLOOKUP($A220,'CONSOLIDATED CY Cash Flows'!$B:$B,'CONSOLIDATED CY Cash Flows'!L:L)/$S220,0)</f>
        <v>0</v>
      </c>
      <c r="G220" s="344">
        <f>+IFERROR(_xlfn.XLOOKUP($A220,'CONSOLIDATED CY Cash Flows'!$B:$B,'CONSOLIDATED CY Cash Flows'!M:M)/$S220,0)</f>
        <v>0</v>
      </c>
      <c r="H220" s="344">
        <f>+IFERROR(_xlfn.XLOOKUP($A220,'CONSOLIDATED CY Cash Flows'!$B:$B,'CONSOLIDATED CY Cash Flows'!N:N)/$S220,0)</f>
        <v>0</v>
      </c>
      <c r="I220" s="344">
        <f>+IFERROR(_xlfn.XLOOKUP($A220,'CONSOLIDATED CY Cash Flows'!$B:$B,'CONSOLIDATED CY Cash Flows'!O:O)/$S220,0)</f>
        <v>0</v>
      </c>
      <c r="J220" s="344">
        <f>+IFERROR(_xlfn.XLOOKUP($A220,'CONSOLIDATED CY Cash Flows'!$B:$B,'CONSOLIDATED CY Cash Flows'!P:P)/$S220,0)</f>
        <v>0</v>
      </c>
      <c r="K220" s="344">
        <f>+IFERROR(_xlfn.XLOOKUP($A220,'CONSOLIDATED CY Cash Flows'!$B:$B,'CONSOLIDATED CY Cash Flows'!Q:Q)/$S220,0)</f>
        <v>0</v>
      </c>
      <c r="L220" s="344">
        <f>+IFERROR(_xlfn.XLOOKUP($A220,'CONSOLIDATED CY Cash Flows'!$B:$B,'CONSOLIDATED CY Cash Flows'!R:R)/$S220,0)</f>
        <v>0</v>
      </c>
      <c r="M220" s="344">
        <f>+IFERROR(_xlfn.XLOOKUP($A220,'CONSOLIDATED CY Cash Flows'!$B:$B,'CONSOLIDATED CY Cash Flows'!S:S)/$S220,0)</f>
        <v>0</v>
      </c>
      <c r="N220" s="344">
        <f>+IFERROR(_xlfn.XLOOKUP($A220,'CONSOLIDATED CY Cash Flows'!$B:$B,'CONSOLIDATED CY Cash Flows'!T:T)/$S220,0)</f>
        <v>0</v>
      </c>
      <c r="O220" s="344">
        <f>+IFERROR(_xlfn.XLOOKUP($A220,'CONSOLIDATED CY Cash Flows'!$B:$B,'CONSOLIDATED CY Cash Flows'!U:U)/$S220,0)</f>
        <v>0</v>
      </c>
      <c r="P220" s="344">
        <f>+IFERROR(_xlfn.XLOOKUP($A220,'CONSOLIDATED CY Cash Flows'!$B:$B,'CONSOLIDATED CY Cash Flows'!V:V)/$S220,0)</f>
        <v>0</v>
      </c>
      <c r="Q220" s="344">
        <f>+IFERROR(_xlfn.XLOOKUP($A220,'CONSOLIDATED CY Cash Flows'!$B:$B,'CONSOLIDATED CY Cash Flows'!W:W)/$S220,0)</f>
        <v>0</v>
      </c>
      <c r="R220" s="340">
        <f t="shared" si="26"/>
        <v>0</v>
      </c>
      <c r="S220" s="501">
        <f>IFERROR(_xlfn.XLOOKUP($A220,'CONSOLIDATED CY Cash Flows'!$B:$B,'CONSOLIDATED CY Cash Flows'!$H:$H),0)</f>
        <v>0</v>
      </c>
      <c r="T220" s="501">
        <f t="shared" si="25"/>
        <v>0</v>
      </c>
      <c r="U220" s="501">
        <f t="shared" si="24"/>
        <v>0</v>
      </c>
    </row>
    <row r="221" spans="1:21" ht="15" hidden="1" customHeight="1" x14ac:dyDescent="0.75">
      <c r="A221" s="349">
        <v>8910</v>
      </c>
      <c r="B221" s="350" t="s">
        <v>1415</v>
      </c>
      <c r="C221" s="344">
        <f>+IFERROR(_xlfn.XLOOKUP($A221,'CONSOLIDATED CY Cash Flows'!$B:$B,'CONSOLIDATED CY Cash Flows'!I:I)/$S221,0)</f>
        <v>0</v>
      </c>
      <c r="D221" s="344">
        <f>+IFERROR(_xlfn.XLOOKUP($A221,'CONSOLIDATED CY Cash Flows'!$B:$B,'CONSOLIDATED CY Cash Flows'!J:J)/$S221,0)</f>
        <v>0</v>
      </c>
      <c r="E221" s="344">
        <f>+IFERROR(_xlfn.XLOOKUP($A221,'CONSOLIDATED CY Cash Flows'!$B:$B,'CONSOLIDATED CY Cash Flows'!K:K)/$S221,0)</f>
        <v>0</v>
      </c>
      <c r="F221" s="344">
        <f>+IFERROR(_xlfn.XLOOKUP($A221,'CONSOLIDATED CY Cash Flows'!$B:$B,'CONSOLIDATED CY Cash Flows'!L:L)/$S221,0)</f>
        <v>0</v>
      </c>
      <c r="G221" s="344">
        <f>+IFERROR(_xlfn.XLOOKUP($A221,'CONSOLIDATED CY Cash Flows'!$B:$B,'CONSOLIDATED CY Cash Flows'!M:M)/$S221,0)</f>
        <v>0</v>
      </c>
      <c r="H221" s="344">
        <f>+IFERROR(_xlfn.XLOOKUP($A221,'CONSOLIDATED CY Cash Flows'!$B:$B,'CONSOLIDATED CY Cash Flows'!N:N)/$S221,0)</f>
        <v>0</v>
      </c>
      <c r="I221" s="344">
        <f>+IFERROR(_xlfn.XLOOKUP($A221,'CONSOLIDATED CY Cash Flows'!$B:$B,'CONSOLIDATED CY Cash Flows'!O:O)/$S221,0)</f>
        <v>0</v>
      </c>
      <c r="J221" s="344">
        <f>+IFERROR(_xlfn.XLOOKUP($A221,'CONSOLIDATED CY Cash Flows'!$B:$B,'CONSOLIDATED CY Cash Flows'!P:P)/$S221,0)</f>
        <v>0</v>
      </c>
      <c r="K221" s="344">
        <f>+IFERROR(_xlfn.XLOOKUP($A221,'CONSOLIDATED CY Cash Flows'!$B:$B,'CONSOLIDATED CY Cash Flows'!Q:Q)/$S221,0)</f>
        <v>0</v>
      </c>
      <c r="L221" s="344">
        <f>+IFERROR(_xlfn.XLOOKUP($A221,'CONSOLIDATED CY Cash Flows'!$B:$B,'CONSOLIDATED CY Cash Flows'!R:R)/$S221,0)</f>
        <v>0</v>
      </c>
      <c r="M221" s="344">
        <f>+IFERROR(_xlfn.XLOOKUP($A221,'CONSOLIDATED CY Cash Flows'!$B:$B,'CONSOLIDATED CY Cash Flows'!S:S)/$S221,0)</f>
        <v>0</v>
      </c>
      <c r="N221" s="344">
        <f>+IFERROR(_xlfn.XLOOKUP($A221,'CONSOLIDATED CY Cash Flows'!$B:$B,'CONSOLIDATED CY Cash Flows'!T:T)/$S221,0)</f>
        <v>0</v>
      </c>
      <c r="O221" s="344">
        <f>+IFERROR(_xlfn.XLOOKUP($A221,'CONSOLIDATED CY Cash Flows'!$B:$B,'CONSOLIDATED CY Cash Flows'!U:U)/$S221,0)</f>
        <v>0</v>
      </c>
      <c r="P221" s="344">
        <f>+IFERROR(_xlfn.XLOOKUP($A221,'CONSOLIDATED CY Cash Flows'!$B:$B,'CONSOLIDATED CY Cash Flows'!V:V)/$S221,0)</f>
        <v>0</v>
      </c>
      <c r="Q221" s="344">
        <f>+IFERROR(_xlfn.XLOOKUP($A221,'CONSOLIDATED CY Cash Flows'!$B:$B,'CONSOLIDATED CY Cash Flows'!W:W)/$S221,0)</f>
        <v>0</v>
      </c>
      <c r="R221" s="340">
        <f t="shared" si="26"/>
        <v>0</v>
      </c>
      <c r="S221" s="501">
        <f>IFERROR(_xlfn.XLOOKUP($A221,'CONSOLIDATED CY Cash Flows'!$B:$B,'CONSOLIDATED CY Cash Flows'!$H:$H),0)</f>
        <v>0</v>
      </c>
      <c r="T221" s="501">
        <f t="shared" si="25"/>
        <v>0</v>
      </c>
      <c r="U221" s="501">
        <f t="shared" si="24"/>
        <v>0</v>
      </c>
    </row>
    <row r="222" spans="1:21" ht="15" hidden="1" customHeight="1" x14ac:dyDescent="0.75">
      <c r="A222" s="349">
        <v>8986</v>
      </c>
      <c r="B222" s="350" t="s">
        <v>631</v>
      </c>
      <c r="C222" s="344">
        <f>+IFERROR(_xlfn.XLOOKUP($A222,'CONSOLIDATED CY Cash Flows'!$B:$B,'CONSOLIDATED CY Cash Flows'!I:I)/$S222,0)</f>
        <v>0</v>
      </c>
      <c r="D222" s="344">
        <f>+IFERROR(_xlfn.XLOOKUP($A222,'CONSOLIDATED CY Cash Flows'!$B:$B,'CONSOLIDATED CY Cash Flows'!J:J)/$S222,0)</f>
        <v>0</v>
      </c>
      <c r="E222" s="344">
        <f>+IFERROR(_xlfn.XLOOKUP($A222,'CONSOLIDATED CY Cash Flows'!$B:$B,'CONSOLIDATED CY Cash Flows'!K:K)/$S222,0)</f>
        <v>0</v>
      </c>
      <c r="F222" s="344">
        <f>+IFERROR(_xlfn.XLOOKUP($A222,'CONSOLIDATED CY Cash Flows'!$B:$B,'CONSOLIDATED CY Cash Flows'!L:L)/$S222,0)</f>
        <v>0</v>
      </c>
      <c r="G222" s="344">
        <f>+IFERROR(_xlfn.XLOOKUP($A222,'CONSOLIDATED CY Cash Flows'!$B:$B,'CONSOLIDATED CY Cash Flows'!M:M)/$S222,0)</f>
        <v>0</v>
      </c>
      <c r="H222" s="344">
        <f>+IFERROR(_xlfn.XLOOKUP($A222,'CONSOLIDATED CY Cash Flows'!$B:$B,'CONSOLIDATED CY Cash Flows'!N:N)/$S222,0)</f>
        <v>0</v>
      </c>
      <c r="I222" s="344">
        <f>+IFERROR(_xlfn.XLOOKUP($A222,'CONSOLIDATED CY Cash Flows'!$B:$B,'CONSOLIDATED CY Cash Flows'!O:O)/$S222,0)</f>
        <v>0</v>
      </c>
      <c r="J222" s="344">
        <f>+IFERROR(_xlfn.XLOOKUP($A222,'CONSOLIDATED CY Cash Flows'!$B:$B,'CONSOLIDATED CY Cash Flows'!P:P)/$S222,0)</f>
        <v>0</v>
      </c>
      <c r="K222" s="344">
        <f>+IFERROR(_xlfn.XLOOKUP($A222,'CONSOLIDATED CY Cash Flows'!$B:$B,'CONSOLIDATED CY Cash Flows'!Q:Q)/$S222,0)</f>
        <v>0</v>
      </c>
      <c r="L222" s="344">
        <f>+IFERROR(_xlfn.XLOOKUP($A222,'CONSOLIDATED CY Cash Flows'!$B:$B,'CONSOLIDATED CY Cash Flows'!R:R)/$S222,0)</f>
        <v>0</v>
      </c>
      <c r="M222" s="344">
        <f>+IFERROR(_xlfn.XLOOKUP($A222,'CONSOLIDATED CY Cash Flows'!$B:$B,'CONSOLIDATED CY Cash Flows'!S:S)/$S222,0)</f>
        <v>0</v>
      </c>
      <c r="N222" s="344">
        <f>+IFERROR(_xlfn.XLOOKUP($A222,'CONSOLIDATED CY Cash Flows'!$B:$B,'CONSOLIDATED CY Cash Flows'!T:T)/$S222,0)</f>
        <v>0</v>
      </c>
      <c r="O222" s="344">
        <f>+IFERROR(_xlfn.XLOOKUP($A222,'CONSOLIDATED CY Cash Flows'!$B:$B,'CONSOLIDATED CY Cash Flows'!U:U)/$S222,0)</f>
        <v>0</v>
      </c>
      <c r="P222" s="344">
        <f>+IFERROR(_xlfn.XLOOKUP($A222,'CONSOLIDATED CY Cash Flows'!$B:$B,'CONSOLIDATED CY Cash Flows'!V:V)/$S222,0)</f>
        <v>0</v>
      </c>
      <c r="Q222" s="344">
        <f>+IFERROR(_xlfn.XLOOKUP($A222,'CONSOLIDATED CY Cash Flows'!$B:$B,'CONSOLIDATED CY Cash Flows'!W:W)/$S222,0)</f>
        <v>0</v>
      </c>
      <c r="R222" s="340">
        <f t="shared" si="26"/>
        <v>0</v>
      </c>
      <c r="S222" s="501">
        <f>IFERROR(_xlfn.XLOOKUP($A222,'CONSOLIDATED CY Cash Flows'!$B:$B,'CONSOLIDATED CY Cash Flows'!$H:$H),0)</f>
        <v>0</v>
      </c>
      <c r="T222" s="501">
        <f t="shared" si="25"/>
        <v>0</v>
      </c>
      <c r="U222" s="501">
        <f t="shared" si="24"/>
        <v>0</v>
      </c>
    </row>
    <row r="223" spans="1:21" ht="15" hidden="1" customHeight="1" x14ac:dyDescent="0.75">
      <c r="A223" s="355">
        <v>8999</v>
      </c>
      <c r="B223" s="350" t="s">
        <v>1093</v>
      </c>
      <c r="C223" s="344">
        <f>+IFERROR(_xlfn.XLOOKUP($A223,'CONSOLIDATED CY Cash Flows'!$B:$B,'CONSOLIDATED CY Cash Flows'!I:I)/$S223,0)</f>
        <v>0</v>
      </c>
      <c r="D223" s="344">
        <f>+IFERROR(_xlfn.XLOOKUP($A223,'CONSOLIDATED CY Cash Flows'!$B:$B,'CONSOLIDATED CY Cash Flows'!J:J)/$S223,0)</f>
        <v>0</v>
      </c>
      <c r="E223" s="344">
        <f>+IFERROR(_xlfn.XLOOKUP($A223,'CONSOLIDATED CY Cash Flows'!$B:$B,'CONSOLIDATED CY Cash Flows'!K:K)/$S223,0)</f>
        <v>0</v>
      </c>
      <c r="F223" s="344">
        <f>+IFERROR(_xlfn.XLOOKUP($A223,'CONSOLIDATED CY Cash Flows'!$B:$B,'CONSOLIDATED CY Cash Flows'!L:L)/$S223,0)</f>
        <v>0</v>
      </c>
      <c r="G223" s="344">
        <f>+IFERROR(_xlfn.XLOOKUP($A223,'CONSOLIDATED CY Cash Flows'!$B:$B,'CONSOLIDATED CY Cash Flows'!M:M)/$S223,0)</f>
        <v>0</v>
      </c>
      <c r="H223" s="344">
        <f>+IFERROR(_xlfn.XLOOKUP($A223,'CONSOLIDATED CY Cash Flows'!$B:$B,'CONSOLIDATED CY Cash Flows'!N:N)/$S223,0)</f>
        <v>0</v>
      </c>
      <c r="I223" s="344">
        <f>+IFERROR(_xlfn.XLOOKUP($A223,'CONSOLIDATED CY Cash Flows'!$B:$B,'CONSOLIDATED CY Cash Flows'!O:O)/$S223,0)</f>
        <v>0</v>
      </c>
      <c r="J223" s="344">
        <f>+IFERROR(_xlfn.XLOOKUP($A223,'CONSOLIDATED CY Cash Flows'!$B:$B,'CONSOLIDATED CY Cash Flows'!P:P)/$S223,0)</f>
        <v>0</v>
      </c>
      <c r="K223" s="344">
        <f>+IFERROR(_xlfn.XLOOKUP($A223,'CONSOLIDATED CY Cash Flows'!$B:$B,'CONSOLIDATED CY Cash Flows'!Q:Q)/$S223,0)</f>
        <v>0</v>
      </c>
      <c r="L223" s="344">
        <f>+IFERROR(_xlfn.XLOOKUP($A223,'CONSOLIDATED CY Cash Flows'!$B:$B,'CONSOLIDATED CY Cash Flows'!R:R)/$S223,0)</f>
        <v>0</v>
      </c>
      <c r="M223" s="344">
        <f>+IFERROR(_xlfn.XLOOKUP($A223,'CONSOLIDATED CY Cash Flows'!$B:$B,'CONSOLIDATED CY Cash Flows'!S:S)/$S223,0)</f>
        <v>0</v>
      </c>
      <c r="N223" s="344">
        <f>+IFERROR(_xlfn.XLOOKUP($A223,'CONSOLIDATED CY Cash Flows'!$B:$B,'CONSOLIDATED CY Cash Flows'!T:T)/$S223,0)</f>
        <v>0</v>
      </c>
      <c r="O223" s="344">
        <f>+IFERROR(_xlfn.XLOOKUP($A223,'CONSOLIDATED CY Cash Flows'!$B:$B,'CONSOLIDATED CY Cash Flows'!U:U)/$S223,0)</f>
        <v>0</v>
      </c>
      <c r="P223" s="344">
        <f>+IFERROR(_xlfn.XLOOKUP($A223,'CONSOLIDATED CY Cash Flows'!$B:$B,'CONSOLIDATED CY Cash Flows'!V:V)/$S223,0)</f>
        <v>0</v>
      </c>
      <c r="Q223" s="344">
        <f>+IFERROR(_xlfn.XLOOKUP($A223,'CONSOLIDATED CY Cash Flows'!$B:$B,'CONSOLIDATED CY Cash Flows'!W:W)/$S223,0)</f>
        <v>0</v>
      </c>
      <c r="R223" s="340">
        <f t="shared" si="26"/>
        <v>0</v>
      </c>
      <c r="S223" s="501">
        <f>IFERROR(_xlfn.XLOOKUP($A223,'CONSOLIDATED CY Cash Flows'!$B:$B,'CONSOLIDATED CY Cash Flows'!$H:$H),0)</f>
        <v>0</v>
      </c>
      <c r="T223" s="501">
        <f t="shared" si="25"/>
        <v>0</v>
      </c>
      <c r="U223" s="501">
        <f t="shared" si="24"/>
        <v>0</v>
      </c>
    </row>
    <row r="224" spans="1:21" ht="15" hidden="1" customHeight="1" x14ac:dyDescent="0.75">
      <c r="A224" s="349">
        <v>8688</v>
      </c>
      <c r="B224" s="350" t="s">
        <v>1416</v>
      </c>
      <c r="C224" s="344">
        <f>+IFERROR(_xlfn.XLOOKUP($A224,'CONSOLIDATED CY Cash Flows'!$B:$B,'CONSOLIDATED CY Cash Flows'!I:I)/$S224,0)</f>
        <v>0</v>
      </c>
      <c r="D224" s="344">
        <f>+IFERROR(_xlfn.XLOOKUP($A224,'CONSOLIDATED CY Cash Flows'!$B:$B,'CONSOLIDATED CY Cash Flows'!J:J)/$S224,0)</f>
        <v>0</v>
      </c>
      <c r="E224" s="344">
        <f>+IFERROR(_xlfn.XLOOKUP($A224,'CONSOLIDATED CY Cash Flows'!$B:$B,'CONSOLIDATED CY Cash Flows'!K:K)/$S224,0)</f>
        <v>0</v>
      </c>
      <c r="F224" s="344">
        <f>+IFERROR(_xlfn.XLOOKUP($A224,'CONSOLIDATED CY Cash Flows'!$B:$B,'CONSOLIDATED CY Cash Flows'!L:L)/$S224,0)</f>
        <v>0</v>
      </c>
      <c r="G224" s="344">
        <f>+IFERROR(_xlfn.XLOOKUP($A224,'CONSOLIDATED CY Cash Flows'!$B:$B,'CONSOLIDATED CY Cash Flows'!M:M)/$S224,0)</f>
        <v>0</v>
      </c>
      <c r="H224" s="344">
        <f>+IFERROR(_xlfn.XLOOKUP($A224,'CONSOLIDATED CY Cash Flows'!$B:$B,'CONSOLIDATED CY Cash Flows'!N:N)/$S224,0)</f>
        <v>0</v>
      </c>
      <c r="I224" s="344">
        <f>+IFERROR(_xlfn.XLOOKUP($A224,'CONSOLIDATED CY Cash Flows'!$B:$B,'CONSOLIDATED CY Cash Flows'!O:O)/$S224,0)</f>
        <v>0</v>
      </c>
      <c r="J224" s="344">
        <f>+IFERROR(_xlfn.XLOOKUP($A224,'CONSOLIDATED CY Cash Flows'!$B:$B,'CONSOLIDATED CY Cash Flows'!P:P)/$S224,0)</f>
        <v>0</v>
      </c>
      <c r="K224" s="344">
        <f>+IFERROR(_xlfn.XLOOKUP($A224,'CONSOLIDATED CY Cash Flows'!$B:$B,'CONSOLIDATED CY Cash Flows'!Q:Q)/$S224,0)</f>
        <v>0</v>
      </c>
      <c r="L224" s="344">
        <f>+IFERROR(_xlfn.XLOOKUP($A224,'CONSOLIDATED CY Cash Flows'!$B:$B,'CONSOLIDATED CY Cash Flows'!R:R)/$S224,0)</f>
        <v>0</v>
      </c>
      <c r="M224" s="344">
        <f>+IFERROR(_xlfn.XLOOKUP($A224,'CONSOLIDATED CY Cash Flows'!$B:$B,'CONSOLIDATED CY Cash Flows'!S:S)/$S224,0)</f>
        <v>0</v>
      </c>
      <c r="N224" s="344">
        <f>+IFERROR(_xlfn.XLOOKUP($A224,'CONSOLIDATED CY Cash Flows'!$B:$B,'CONSOLIDATED CY Cash Flows'!T:T)/$S224,0)</f>
        <v>0</v>
      </c>
      <c r="O224" s="344">
        <f>+IFERROR(_xlfn.XLOOKUP($A224,'CONSOLIDATED CY Cash Flows'!$B:$B,'CONSOLIDATED CY Cash Flows'!U:U)/$S224,0)</f>
        <v>0</v>
      </c>
      <c r="P224" s="344">
        <f>+IFERROR(_xlfn.XLOOKUP($A224,'CONSOLIDATED CY Cash Flows'!$B:$B,'CONSOLIDATED CY Cash Flows'!V:V)/$S224,0)</f>
        <v>0</v>
      </c>
      <c r="Q224" s="344">
        <f>+IFERROR(_xlfn.XLOOKUP($A224,'CONSOLIDATED CY Cash Flows'!$B:$B,'CONSOLIDATED CY Cash Flows'!W:W)/$S224,0)</f>
        <v>0</v>
      </c>
      <c r="R224" s="340">
        <f t="shared" si="26"/>
        <v>0</v>
      </c>
      <c r="S224" s="501">
        <f>IFERROR(_xlfn.XLOOKUP($A224,'CONSOLIDATED CY Cash Flows'!$B:$B,'CONSOLIDATED CY Cash Flows'!$H:$H),0)</f>
        <v>0</v>
      </c>
      <c r="T224" s="501">
        <f t="shared" si="25"/>
        <v>0</v>
      </c>
      <c r="U224" s="501">
        <f t="shared" si="24"/>
        <v>0</v>
      </c>
    </row>
    <row r="225" spans="1:21" ht="15" hidden="1" customHeight="1" x14ac:dyDescent="0.75">
      <c r="A225" s="349">
        <v>8982</v>
      </c>
      <c r="B225" s="350" t="s">
        <v>1474</v>
      </c>
      <c r="C225" s="344">
        <f>+IFERROR(_xlfn.XLOOKUP($A225,'CONSOLIDATED CY Cash Flows'!$B:$B,'CONSOLIDATED CY Cash Flows'!I:I)/$S225,0)</f>
        <v>0</v>
      </c>
      <c r="D225" s="344">
        <f>+IFERROR(_xlfn.XLOOKUP($A225,'CONSOLIDATED CY Cash Flows'!$B:$B,'CONSOLIDATED CY Cash Flows'!J:J)/$S225,0)</f>
        <v>0</v>
      </c>
      <c r="E225" s="344">
        <f>+IFERROR(_xlfn.XLOOKUP($A225,'CONSOLIDATED CY Cash Flows'!$B:$B,'CONSOLIDATED CY Cash Flows'!K:K)/$S225,0)</f>
        <v>0</v>
      </c>
      <c r="F225" s="344">
        <f>+IFERROR(_xlfn.XLOOKUP($A225,'CONSOLIDATED CY Cash Flows'!$B:$B,'CONSOLIDATED CY Cash Flows'!L:L)/$S225,0)</f>
        <v>0</v>
      </c>
      <c r="G225" s="344">
        <f>+IFERROR(_xlfn.XLOOKUP($A225,'CONSOLIDATED CY Cash Flows'!$B:$B,'CONSOLIDATED CY Cash Flows'!M:M)/$S225,0)</f>
        <v>0</v>
      </c>
      <c r="H225" s="344">
        <f>+IFERROR(_xlfn.XLOOKUP($A225,'CONSOLIDATED CY Cash Flows'!$B:$B,'CONSOLIDATED CY Cash Flows'!N:N)/$S225,0)</f>
        <v>0</v>
      </c>
      <c r="I225" s="344">
        <f>+IFERROR(_xlfn.XLOOKUP($A225,'CONSOLIDATED CY Cash Flows'!$B:$B,'CONSOLIDATED CY Cash Flows'!O:O)/$S225,0)</f>
        <v>0</v>
      </c>
      <c r="J225" s="344">
        <f>+IFERROR(_xlfn.XLOOKUP($A225,'CONSOLIDATED CY Cash Flows'!$B:$B,'CONSOLIDATED CY Cash Flows'!P:P)/$S225,0)</f>
        <v>0</v>
      </c>
      <c r="K225" s="344">
        <f>+IFERROR(_xlfn.XLOOKUP($A225,'CONSOLIDATED CY Cash Flows'!$B:$B,'CONSOLIDATED CY Cash Flows'!Q:Q)/$S225,0)</f>
        <v>0</v>
      </c>
      <c r="L225" s="344">
        <f>+IFERROR(_xlfn.XLOOKUP($A225,'CONSOLIDATED CY Cash Flows'!$B:$B,'CONSOLIDATED CY Cash Flows'!R:R)/$S225,0)</f>
        <v>0</v>
      </c>
      <c r="M225" s="344">
        <f>+IFERROR(_xlfn.XLOOKUP($A225,'CONSOLIDATED CY Cash Flows'!$B:$B,'CONSOLIDATED CY Cash Flows'!S:S)/$S225,0)</f>
        <v>0</v>
      </c>
      <c r="N225" s="344">
        <f>+IFERROR(_xlfn.XLOOKUP($A225,'CONSOLIDATED CY Cash Flows'!$B:$B,'CONSOLIDATED CY Cash Flows'!T:T)/$S225,0)</f>
        <v>0</v>
      </c>
      <c r="O225" s="344">
        <f>+IFERROR(_xlfn.XLOOKUP($A225,'CONSOLIDATED CY Cash Flows'!$B:$B,'CONSOLIDATED CY Cash Flows'!U:U)/$S225,0)</f>
        <v>0</v>
      </c>
      <c r="P225" s="344">
        <f>+IFERROR(_xlfn.XLOOKUP($A225,'CONSOLIDATED CY Cash Flows'!$B:$B,'CONSOLIDATED CY Cash Flows'!V:V)/$S225,0)</f>
        <v>0</v>
      </c>
      <c r="Q225" s="344">
        <f>+IFERROR(_xlfn.XLOOKUP($A225,'CONSOLIDATED CY Cash Flows'!$B:$B,'CONSOLIDATED CY Cash Flows'!W:W)/$S225,0)</f>
        <v>0</v>
      </c>
      <c r="R225" s="340">
        <f t="shared" si="26"/>
        <v>0</v>
      </c>
      <c r="S225" s="501">
        <f>IFERROR(_xlfn.XLOOKUP($A225,'CONSOLIDATED CY Cash Flows'!$B:$B,'CONSOLIDATED CY Cash Flows'!$H:$H),0)</f>
        <v>0</v>
      </c>
      <c r="T225" s="501">
        <f t="shared" si="25"/>
        <v>0</v>
      </c>
      <c r="U225" s="501">
        <f t="shared" si="24"/>
        <v>0</v>
      </c>
    </row>
    <row r="226" spans="1:21" ht="15" customHeight="1" x14ac:dyDescent="0.75">
      <c r="A226" s="349">
        <v>8662</v>
      </c>
      <c r="B226" s="350" t="s">
        <v>1635</v>
      </c>
      <c r="C226" s="344">
        <f>+IFERROR(_xlfn.XLOOKUP($A226,'CONSOLIDATED CY Cash Flows'!$B:$B,'CONSOLIDATED CY Cash Flows'!I:I)/$S226,0)</f>
        <v>6.7995988236694042E-4</v>
      </c>
      <c r="D226" s="344">
        <f>+IFERROR(_xlfn.XLOOKUP($A226,'CONSOLIDATED CY Cash Flows'!$B:$B,'CONSOLIDATED CY Cash Flows'!J:J)/$S226,0)</f>
        <v>0</v>
      </c>
      <c r="E226" s="344">
        <f>+IFERROR(_xlfn.XLOOKUP($A226,'CONSOLIDATED CY Cash Flows'!$B:$B,'CONSOLIDATED CY Cash Flows'!K:K)/$S226,0)</f>
        <v>0</v>
      </c>
      <c r="F226" s="344">
        <f>+IFERROR(_xlfn.XLOOKUP($A226,'CONSOLIDATED CY Cash Flows'!$B:$B,'CONSOLIDATED CY Cash Flows'!L:L)/$S226,0)</f>
        <v>0</v>
      </c>
      <c r="G226" s="344">
        <f>+IFERROR(_xlfn.XLOOKUP($A226,'CONSOLIDATED CY Cash Flows'!$B:$B,'CONSOLIDATED CY Cash Flows'!M:M)/$S226,0)</f>
        <v>0</v>
      </c>
      <c r="H226" s="344">
        <f>+IFERROR(_xlfn.XLOOKUP($A226,'CONSOLIDATED CY Cash Flows'!$B:$B,'CONSOLIDATED CY Cash Flows'!N:N)/$S226,0)</f>
        <v>0</v>
      </c>
      <c r="I226" s="344">
        <f>+IFERROR(_xlfn.XLOOKUP($A226,'CONSOLIDATED CY Cash Flows'!$B:$B,'CONSOLIDATED CY Cash Flows'!O:O)/$S226,0)</f>
        <v>0</v>
      </c>
      <c r="J226" s="344">
        <f>+IFERROR(_xlfn.XLOOKUP($A226,'CONSOLIDATED CY Cash Flows'!$B:$B,'CONSOLIDATED CY Cash Flows'!P:P)/$S226,0)</f>
        <v>0.19986400802352661</v>
      </c>
      <c r="K226" s="344">
        <f>+IFERROR(_xlfn.XLOOKUP($A226,'CONSOLIDATED CY Cash Flows'!$B:$B,'CONSOLIDATED CY Cash Flows'!Q:Q)/$S226,0)</f>
        <v>0.19986400802352661</v>
      </c>
      <c r="L226" s="344">
        <f>+IFERROR(_xlfn.XLOOKUP($A226,'CONSOLIDATED CY Cash Flows'!$B:$B,'CONSOLIDATED CY Cash Flows'!R:R)/$S226,0)</f>
        <v>0.19986400802352661</v>
      </c>
      <c r="M226" s="344">
        <f>+IFERROR(_xlfn.XLOOKUP($A226,'CONSOLIDATED CY Cash Flows'!$B:$B,'CONSOLIDATED CY Cash Flows'!S:S)/$S226,0)</f>
        <v>0.19986400802352661</v>
      </c>
      <c r="N226" s="344">
        <f>+IFERROR(_xlfn.XLOOKUP($A226,'CONSOLIDATED CY Cash Flows'!$B:$B,'CONSOLIDATED CY Cash Flows'!T:T)/$S226,0)</f>
        <v>0.19986400802352661</v>
      </c>
      <c r="O226" s="344">
        <f>+IFERROR(_xlfn.XLOOKUP($A226,'CONSOLIDATED CY Cash Flows'!$B:$B,'CONSOLIDATED CY Cash Flows'!U:U)/$S226,0)</f>
        <v>0</v>
      </c>
      <c r="P226" s="344">
        <f>+IFERROR(_xlfn.XLOOKUP($A226,'CONSOLIDATED CY Cash Flows'!$B:$B,'CONSOLIDATED CY Cash Flows'!V:V)/$S226,0)</f>
        <v>0</v>
      </c>
      <c r="Q226" s="344">
        <f>+IFERROR(_xlfn.XLOOKUP($A226,'CONSOLIDATED CY Cash Flows'!$B:$B,'CONSOLIDATED CY Cash Flows'!W:W)/$S226,0)</f>
        <v>0</v>
      </c>
      <c r="R226" s="340">
        <f t="shared" si="26"/>
        <v>0.99999999999999978</v>
      </c>
      <c r="S226" s="501">
        <f>IFERROR(_xlfn.XLOOKUP($A226,'CONSOLIDATED CY Cash Flows'!$B:$B,'CONSOLIDATED CY Cash Flows'!$H:$H),0)</f>
        <v>15000.884999999998</v>
      </c>
      <c r="T226" s="501">
        <f t="shared" si="25"/>
        <v>10.199999999999999</v>
      </c>
      <c r="U226" s="501">
        <f t="shared" si="24"/>
        <v>14990.684999999998</v>
      </c>
    </row>
    <row r="227" spans="1:21" ht="15" hidden="1" customHeight="1" x14ac:dyDescent="0.75">
      <c r="A227" s="349" t="s">
        <v>1397</v>
      </c>
      <c r="B227" s="350">
        <v>0</v>
      </c>
      <c r="C227" s="344">
        <f>+IFERROR(_xlfn.XLOOKUP($A227,'CONSOLIDATED CY Cash Flows'!$B:$B,'CONSOLIDATED CY Cash Flows'!I:I)/$S227,0)</f>
        <v>0</v>
      </c>
      <c r="D227" s="344">
        <f>+IFERROR(_xlfn.XLOOKUP($A227,'CONSOLIDATED CY Cash Flows'!$B:$B,'CONSOLIDATED CY Cash Flows'!J:J)/$S227,0)</f>
        <v>0</v>
      </c>
      <c r="E227" s="344">
        <f>+IFERROR(_xlfn.XLOOKUP($A227,'CONSOLIDATED CY Cash Flows'!$B:$B,'CONSOLIDATED CY Cash Flows'!K:K)/$S227,0)</f>
        <v>0</v>
      </c>
      <c r="F227" s="344">
        <f>+IFERROR(_xlfn.XLOOKUP($A227,'CONSOLIDATED CY Cash Flows'!$B:$B,'CONSOLIDATED CY Cash Flows'!L:L)/$S227,0)</f>
        <v>0</v>
      </c>
      <c r="G227" s="344">
        <f>+IFERROR(_xlfn.XLOOKUP($A227,'CONSOLIDATED CY Cash Flows'!$B:$B,'CONSOLIDATED CY Cash Flows'!M:M)/$S227,0)</f>
        <v>0</v>
      </c>
      <c r="H227" s="344">
        <f>+IFERROR(_xlfn.XLOOKUP($A227,'CONSOLIDATED CY Cash Flows'!$B:$B,'CONSOLIDATED CY Cash Flows'!N:N)/$S227,0)</f>
        <v>0</v>
      </c>
      <c r="I227" s="344">
        <f>+IFERROR(_xlfn.XLOOKUP($A227,'CONSOLIDATED CY Cash Flows'!$B:$B,'CONSOLIDATED CY Cash Flows'!O:O)/$S227,0)</f>
        <v>0</v>
      </c>
      <c r="J227" s="344">
        <f>+IFERROR(_xlfn.XLOOKUP($A227,'CONSOLIDATED CY Cash Flows'!$B:$B,'CONSOLIDATED CY Cash Flows'!P:P)/$S227,0)</f>
        <v>0</v>
      </c>
      <c r="K227" s="344">
        <f>+IFERROR(_xlfn.XLOOKUP($A227,'CONSOLIDATED CY Cash Flows'!$B:$B,'CONSOLIDATED CY Cash Flows'!Q:Q)/$S227,0)</f>
        <v>0</v>
      </c>
      <c r="L227" s="344">
        <f>+IFERROR(_xlfn.XLOOKUP($A227,'CONSOLIDATED CY Cash Flows'!$B:$B,'CONSOLIDATED CY Cash Flows'!R:R)/$S227,0)</f>
        <v>0</v>
      </c>
      <c r="M227" s="344">
        <f>+IFERROR(_xlfn.XLOOKUP($A227,'CONSOLIDATED CY Cash Flows'!$B:$B,'CONSOLIDATED CY Cash Flows'!S:S)/$S227,0)</f>
        <v>0</v>
      </c>
      <c r="N227" s="344">
        <f>+IFERROR(_xlfn.XLOOKUP($A227,'CONSOLIDATED CY Cash Flows'!$B:$B,'CONSOLIDATED CY Cash Flows'!T:T)/$S227,0)</f>
        <v>0</v>
      </c>
      <c r="O227" s="344">
        <f>+IFERROR(_xlfn.XLOOKUP($A227,'CONSOLIDATED CY Cash Flows'!$B:$B,'CONSOLIDATED CY Cash Flows'!U:U)/$S227,0)</f>
        <v>0</v>
      </c>
      <c r="P227" s="344">
        <f>+IFERROR(_xlfn.XLOOKUP($A227,'CONSOLIDATED CY Cash Flows'!$B:$B,'CONSOLIDATED CY Cash Flows'!V:V)/$S227,0)</f>
        <v>0</v>
      </c>
      <c r="Q227" s="344">
        <f>+IFERROR(_xlfn.XLOOKUP($A227,'CONSOLIDATED CY Cash Flows'!$B:$B,'CONSOLIDATED CY Cash Flows'!W:W)/$S227,0)</f>
        <v>0</v>
      </c>
      <c r="R227" s="340">
        <f t="shared" si="26"/>
        <v>0</v>
      </c>
      <c r="S227" s="501">
        <f>IFERROR(_xlfn.XLOOKUP($A227,'CONSOLIDATED CY Cash Flows'!$B:$B,'CONSOLIDATED CY Cash Flows'!$H:$H),0)</f>
        <v>0</v>
      </c>
      <c r="T227" s="501">
        <f t="shared" si="25"/>
        <v>0</v>
      </c>
      <c r="U227" s="501">
        <f t="shared" si="24"/>
        <v>0</v>
      </c>
    </row>
    <row r="228" spans="1:21" ht="15" hidden="1" customHeight="1" x14ac:dyDescent="0.75">
      <c r="A228" s="349" t="s">
        <v>1397</v>
      </c>
      <c r="B228" s="350">
        <v>0</v>
      </c>
      <c r="C228" s="344">
        <f>+IFERROR(_xlfn.XLOOKUP($A228,'CONSOLIDATED CY Cash Flows'!$B:$B,'CONSOLIDATED CY Cash Flows'!I:I)/$S228,0)</f>
        <v>0</v>
      </c>
      <c r="D228" s="344">
        <f>+IFERROR(_xlfn.XLOOKUP($A228,'CONSOLIDATED CY Cash Flows'!$B:$B,'CONSOLIDATED CY Cash Flows'!J:J)/$S228,0)</f>
        <v>0</v>
      </c>
      <c r="E228" s="344">
        <f>+IFERROR(_xlfn.XLOOKUP($A228,'CONSOLIDATED CY Cash Flows'!$B:$B,'CONSOLIDATED CY Cash Flows'!K:K)/$S228,0)</f>
        <v>0</v>
      </c>
      <c r="F228" s="344">
        <f>+IFERROR(_xlfn.XLOOKUP($A228,'CONSOLIDATED CY Cash Flows'!$B:$B,'CONSOLIDATED CY Cash Flows'!L:L)/$S228,0)</f>
        <v>0</v>
      </c>
      <c r="G228" s="344">
        <f>+IFERROR(_xlfn.XLOOKUP($A228,'CONSOLIDATED CY Cash Flows'!$B:$B,'CONSOLIDATED CY Cash Flows'!M:M)/$S228,0)</f>
        <v>0</v>
      </c>
      <c r="H228" s="344">
        <f>+IFERROR(_xlfn.XLOOKUP($A228,'CONSOLIDATED CY Cash Flows'!$B:$B,'CONSOLIDATED CY Cash Flows'!N:N)/$S228,0)</f>
        <v>0</v>
      </c>
      <c r="I228" s="344">
        <f>+IFERROR(_xlfn.XLOOKUP($A228,'CONSOLIDATED CY Cash Flows'!$B:$B,'CONSOLIDATED CY Cash Flows'!O:O)/$S228,0)</f>
        <v>0</v>
      </c>
      <c r="J228" s="344">
        <f>+IFERROR(_xlfn.XLOOKUP($A228,'CONSOLIDATED CY Cash Flows'!$B:$B,'CONSOLIDATED CY Cash Flows'!P:P)/$S228,0)</f>
        <v>0</v>
      </c>
      <c r="K228" s="344">
        <f>+IFERROR(_xlfn.XLOOKUP($A228,'CONSOLIDATED CY Cash Flows'!$B:$B,'CONSOLIDATED CY Cash Flows'!Q:Q)/$S228,0)</f>
        <v>0</v>
      </c>
      <c r="L228" s="344">
        <f>+IFERROR(_xlfn.XLOOKUP($A228,'CONSOLIDATED CY Cash Flows'!$B:$B,'CONSOLIDATED CY Cash Flows'!R:R)/$S228,0)</f>
        <v>0</v>
      </c>
      <c r="M228" s="344">
        <f>+IFERROR(_xlfn.XLOOKUP($A228,'CONSOLIDATED CY Cash Flows'!$B:$B,'CONSOLIDATED CY Cash Flows'!S:S)/$S228,0)</f>
        <v>0</v>
      </c>
      <c r="N228" s="344">
        <f>+IFERROR(_xlfn.XLOOKUP($A228,'CONSOLIDATED CY Cash Flows'!$B:$B,'CONSOLIDATED CY Cash Flows'!T:T)/$S228,0)</f>
        <v>0</v>
      </c>
      <c r="O228" s="344">
        <f>+IFERROR(_xlfn.XLOOKUP($A228,'CONSOLIDATED CY Cash Flows'!$B:$B,'CONSOLIDATED CY Cash Flows'!U:U)/$S228,0)</f>
        <v>0</v>
      </c>
      <c r="P228" s="344">
        <f>+IFERROR(_xlfn.XLOOKUP($A228,'CONSOLIDATED CY Cash Flows'!$B:$B,'CONSOLIDATED CY Cash Flows'!V:V)/$S228,0)</f>
        <v>0</v>
      </c>
      <c r="Q228" s="344">
        <f>+IFERROR(_xlfn.XLOOKUP($A228,'CONSOLIDATED CY Cash Flows'!$B:$B,'CONSOLIDATED CY Cash Flows'!W:W)/$S228,0)</f>
        <v>0</v>
      </c>
      <c r="R228" s="340">
        <f t="shared" si="26"/>
        <v>0</v>
      </c>
      <c r="S228" s="501">
        <f>IFERROR(_xlfn.XLOOKUP($A228,'CONSOLIDATED CY Cash Flows'!$B:$B,'CONSOLIDATED CY Cash Flows'!$H:$H),0)</f>
        <v>0</v>
      </c>
      <c r="T228" s="501">
        <f t="shared" si="25"/>
        <v>0</v>
      </c>
      <c r="U228" s="501">
        <f t="shared" si="24"/>
        <v>0</v>
      </c>
    </row>
    <row r="229" spans="1:21" ht="15" hidden="1" customHeight="1" x14ac:dyDescent="0.75">
      <c r="A229" s="349" t="s">
        <v>1397</v>
      </c>
      <c r="B229" s="350">
        <v>0</v>
      </c>
      <c r="C229" s="344">
        <f>+IFERROR(_xlfn.XLOOKUP($A229,'CONSOLIDATED CY Cash Flows'!$B:$B,'CONSOLIDATED CY Cash Flows'!I:I)/$S229,0)</f>
        <v>0</v>
      </c>
      <c r="D229" s="344">
        <f>+IFERROR(_xlfn.XLOOKUP($A229,'CONSOLIDATED CY Cash Flows'!$B:$B,'CONSOLIDATED CY Cash Flows'!J:J)/$S229,0)</f>
        <v>0</v>
      </c>
      <c r="E229" s="344">
        <f>+IFERROR(_xlfn.XLOOKUP($A229,'CONSOLIDATED CY Cash Flows'!$B:$B,'CONSOLIDATED CY Cash Flows'!K:K)/$S229,0)</f>
        <v>0</v>
      </c>
      <c r="F229" s="344">
        <f>+IFERROR(_xlfn.XLOOKUP($A229,'CONSOLIDATED CY Cash Flows'!$B:$B,'CONSOLIDATED CY Cash Flows'!L:L)/$S229,0)</f>
        <v>0</v>
      </c>
      <c r="G229" s="344">
        <f>+IFERROR(_xlfn.XLOOKUP($A229,'CONSOLIDATED CY Cash Flows'!$B:$B,'CONSOLIDATED CY Cash Flows'!M:M)/$S229,0)</f>
        <v>0</v>
      </c>
      <c r="H229" s="344">
        <f>+IFERROR(_xlfn.XLOOKUP($A229,'CONSOLIDATED CY Cash Flows'!$B:$B,'CONSOLIDATED CY Cash Flows'!N:N)/$S229,0)</f>
        <v>0</v>
      </c>
      <c r="I229" s="344">
        <f>+IFERROR(_xlfn.XLOOKUP($A229,'CONSOLIDATED CY Cash Flows'!$B:$B,'CONSOLIDATED CY Cash Flows'!O:O)/$S229,0)</f>
        <v>0</v>
      </c>
      <c r="J229" s="344">
        <f>+IFERROR(_xlfn.XLOOKUP($A229,'CONSOLIDATED CY Cash Flows'!$B:$B,'CONSOLIDATED CY Cash Flows'!P:P)/$S229,0)</f>
        <v>0</v>
      </c>
      <c r="K229" s="344">
        <f>+IFERROR(_xlfn.XLOOKUP($A229,'CONSOLIDATED CY Cash Flows'!$B:$B,'CONSOLIDATED CY Cash Flows'!Q:Q)/$S229,0)</f>
        <v>0</v>
      </c>
      <c r="L229" s="344">
        <f>+IFERROR(_xlfn.XLOOKUP($A229,'CONSOLIDATED CY Cash Flows'!$B:$B,'CONSOLIDATED CY Cash Flows'!R:R)/$S229,0)</f>
        <v>0</v>
      </c>
      <c r="M229" s="344">
        <f>+IFERROR(_xlfn.XLOOKUP($A229,'CONSOLIDATED CY Cash Flows'!$B:$B,'CONSOLIDATED CY Cash Flows'!S:S)/$S229,0)</f>
        <v>0</v>
      </c>
      <c r="N229" s="344">
        <f>+IFERROR(_xlfn.XLOOKUP($A229,'CONSOLIDATED CY Cash Flows'!$B:$B,'CONSOLIDATED CY Cash Flows'!T:T)/$S229,0)</f>
        <v>0</v>
      </c>
      <c r="O229" s="344">
        <f>+IFERROR(_xlfn.XLOOKUP($A229,'CONSOLIDATED CY Cash Flows'!$B:$B,'CONSOLIDATED CY Cash Flows'!U:U)/$S229,0)</f>
        <v>0</v>
      </c>
      <c r="P229" s="344">
        <f>+IFERROR(_xlfn.XLOOKUP($A229,'CONSOLIDATED CY Cash Flows'!$B:$B,'CONSOLIDATED CY Cash Flows'!V:V)/$S229,0)</f>
        <v>0</v>
      </c>
      <c r="Q229" s="344">
        <f>+IFERROR(_xlfn.XLOOKUP($A229,'CONSOLIDATED CY Cash Flows'!$B:$B,'CONSOLIDATED CY Cash Flows'!W:W)/$S229,0)</f>
        <v>0</v>
      </c>
      <c r="R229" s="340">
        <f t="shared" si="26"/>
        <v>0</v>
      </c>
      <c r="S229" s="501">
        <f>IFERROR(_xlfn.XLOOKUP($A229,'CONSOLIDATED CY Cash Flows'!$B:$B,'CONSOLIDATED CY Cash Flows'!$H:$H),0)</f>
        <v>0</v>
      </c>
      <c r="T229" s="501">
        <f t="shared" si="25"/>
        <v>0</v>
      </c>
      <c r="U229" s="501">
        <f t="shared" si="24"/>
        <v>0</v>
      </c>
    </row>
    <row r="230" spans="1:21" ht="15" hidden="1" customHeight="1" x14ac:dyDescent="0.75">
      <c r="A230" s="349" t="s">
        <v>1397</v>
      </c>
      <c r="B230" s="350">
        <v>0</v>
      </c>
      <c r="C230" s="344">
        <f>+IFERROR(_xlfn.XLOOKUP($A230,'CONSOLIDATED CY Cash Flows'!$B:$B,'CONSOLIDATED CY Cash Flows'!I:I)/$S230,0)</f>
        <v>0</v>
      </c>
      <c r="D230" s="344">
        <f>+IFERROR(_xlfn.XLOOKUP($A230,'CONSOLIDATED CY Cash Flows'!$B:$B,'CONSOLIDATED CY Cash Flows'!J:J)/$S230,0)</f>
        <v>0</v>
      </c>
      <c r="E230" s="344">
        <f>+IFERROR(_xlfn.XLOOKUP($A230,'CONSOLIDATED CY Cash Flows'!$B:$B,'CONSOLIDATED CY Cash Flows'!K:K)/$S230,0)</f>
        <v>0</v>
      </c>
      <c r="F230" s="344">
        <f>+IFERROR(_xlfn.XLOOKUP($A230,'CONSOLIDATED CY Cash Flows'!$B:$B,'CONSOLIDATED CY Cash Flows'!L:L)/$S230,0)</f>
        <v>0</v>
      </c>
      <c r="G230" s="344">
        <f>+IFERROR(_xlfn.XLOOKUP($A230,'CONSOLIDATED CY Cash Flows'!$B:$B,'CONSOLIDATED CY Cash Flows'!M:M)/$S230,0)</f>
        <v>0</v>
      </c>
      <c r="H230" s="344">
        <f>+IFERROR(_xlfn.XLOOKUP($A230,'CONSOLIDATED CY Cash Flows'!$B:$B,'CONSOLIDATED CY Cash Flows'!N:N)/$S230,0)</f>
        <v>0</v>
      </c>
      <c r="I230" s="344">
        <f>+IFERROR(_xlfn.XLOOKUP($A230,'CONSOLIDATED CY Cash Flows'!$B:$B,'CONSOLIDATED CY Cash Flows'!O:O)/$S230,0)</f>
        <v>0</v>
      </c>
      <c r="J230" s="344">
        <f>+IFERROR(_xlfn.XLOOKUP($A230,'CONSOLIDATED CY Cash Flows'!$B:$B,'CONSOLIDATED CY Cash Flows'!P:P)/$S230,0)</f>
        <v>0</v>
      </c>
      <c r="K230" s="344">
        <f>+IFERROR(_xlfn.XLOOKUP($A230,'CONSOLIDATED CY Cash Flows'!$B:$B,'CONSOLIDATED CY Cash Flows'!Q:Q)/$S230,0)</f>
        <v>0</v>
      </c>
      <c r="L230" s="344">
        <f>+IFERROR(_xlfn.XLOOKUP($A230,'CONSOLIDATED CY Cash Flows'!$B:$B,'CONSOLIDATED CY Cash Flows'!R:R)/$S230,0)</f>
        <v>0</v>
      </c>
      <c r="M230" s="344">
        <f>+IFERROR(_xlfn.XLOOKUP($A230,'CONSOLIDATED CY Cash Flows'!$B:$B,'CONSOLIDATED CY Cash Flows'!S:S)/$S230,0)</f>
        <v>0</v>
      </c>
      <c r="N230" s="344">
        <f>+IFERROR(_xlfn.XLOOKUP($A230,'CONSOLIDATED CY Cash Flows'!$B:$B,'CONSOLIDATED CY Cash Flows'!T:T)/$S230,0)</f>
        <v>0</v>
      </c>
      <c r="O230" s="344">
        <f>+IFERROR(_xlfn.XLOOKUP($A230,'CONSOLIDATED CY Cash Flows'!$B:$B,'CONSOLIDATED CY Cash Flows'!U:U)/$S230,0)</f>
        <v>0</v>
      </c>
      <c r="P230" s="344">
        <f>+IFERROR(_xlfn.XLOOKUP($A230,'CONSOLIDATED CY Cash Flows'!$B:$B,'CONSOLIDATED CY Cash Flows'!V:V)/$S230,0)</f>
        <v>0</v>
      </c>
      <c r="Q230" s="344">
        <f>+IFERROR(_xlfn.XLOOKUP($A230,'CONSOLIDATED CY Cash Flows'!$B:$B,'CONSOLIDATED CY Cash Flows'!W:W)/$S230,0)</f>
        <v>0</v>
      </c>
      <c r="R230" s="340">
        <f t="shared" si="26"/>
        <v>0</v>
      </c>
      <c r="S230" s="501">
        <f>IFERROR(_xlfn.XLOOKUP($A230,'CONSOLIDATED CY Cash Flows'!$B:$B,'CONSOLIDATED CY Cash Flows'!$H:$H),0)</f>
        <v>0</v>
      </c>
      <c r="T230" s="501">
        <f t="shared" si="25"/>
        <v>0</v>
      </c>
      <c r="U230" s="501">
        <f t="shared" si="24"/>
        <v>0</v>
      </c>
    </row>
    <row r="231" spans="1:21" ht="15" hidden="1" customHeight="1" thickBot="1" x14ac:dyDescent="0.9">
      <c r="A231" s="351" t="s">
        <v>1397</v>
      </c>
      <c r="B231" s="352">
        <v>0</v>
      </c>
      <c r="C231" s="347">
        <f>+IFERROR(_xlfn.XLOOKUP($A231,'CONSOLIDATED CY Cash Flows'!$B:$B,'CONSOLIDATED CY Cash Flows'!I:I)/$S231,0)</f>
        <v>0</v>
      </c>
      <c r="D231" s="348">
        <f>+IFERROR(_xlfn.XLOOKUP($A231,'CONSOLIDATED CY Cash Flows'!$B:$B,'CONSOLIDATED CY Cash Flows'!J:J)/$S231,0)</f>
        <v>0</v>
      </c>
      <c r="E231" s="348">
        <f>+IFERROR(_xlfn.XLOOKUP($A231,'CONSOLIDATED CY Cash Flows'!$B:$B,'CONSOLIDATED CY Cash Flows'!K:K)/$S231,0)</f>
        <v>0</v>
      </c>
      <c r="F231" s="348">
        <f>+IFERROR(_xlfn.XLOOKUP($A231,'CONSOLIDATED CY Cash Flows'!$B:$B,'CONSOLIDATED CY Cash Flows'!L:L)/$S231,0)</f>
        <v>0</v>
      </c>
      <c r="G231" s="348">
        <f>+IFERROR(_xlfn.XLOOKUP($A231,'CONSOLIDATED CY Cash Flows'!$B:$B,'CONSOLIDATED CY Cash Flows'!M:M)/$S231,0)</f>
        <v>0</v>
      </c>
      <c r="H231" s="348">
        <f>+IFERROR(_xlfn.XLOOKUP($A231,'CONSOLIDATED CY Cash Flows'!$B:$B,'CONSOLIDATED CY Cash Flows'!N:N)/$S231,0)</f>
        <v>0</v>
      </c>
      <c r="I231" s="348">
        <f>+IFERROR(_xlfn.XLOOKUP($A231,'CONSOLIDATED CY Cash Flows'!$B:$B,'CONSOLIDATED CY Cash Flows'!O:O)/$S231,0)</f>
        <v>0</v>
      </c>
      <c r="J231" s="348">
        <f>+IFERROR(_xlfn.XLOOKUP($A231,'CONSOLIDATED CY Cash Flows'!$B:$B,'CONSOLIDATED CY Cash Flows'!P:P)/$S231,0)</f>
        <v>0</v>
      </c>
      <c r="K231" s="348">
        <f>+IFERROR(_xlfn.XLOOKUP($A231,'CONSOLIDATED CY Cash Flows'!$B:$B,'CONSOLIDATED CY Cash Flows'!Q:Q)/$S231,0)</f>
        <v>0</v>
      </c>
      <c r="L231" s="348">
        <f>+IFERROR(_xlfn.XLOOKUP($A231,'CONSOLIDATED CY Cash Flows'!$B:$B,'CONSOLIDATED CY Cash Flows'!R:R)/$S231,0)</f>
        <v>0</v>
      </c>
      <c r="M231" s="348">
        <f>+IFERROR(_xlfn.XLOOKUP($A231,'CONSOLIDATED CY Cash Flows'!$B:$B,'CONSOLIDATED CY Cash Flows'!S:S)/$S231,0)</f>
        <v>0</v>
      </c>
      <c r="N231" s="348">
        <f>+IFERROR(_xlfn.XLOOKUP($A231,'CONSOLIDATED CY Cash Flows'!$B:$B,'CONSOLIDATED CY Cash Flows'!T:T)/$S231,0)</f>
        <v>0</v>
      </c>
      <c r="O231" s="348">
        <f>+IFERROR(_xlfn.XLOOKUP($A231,'CONSOLIDATED CY Cash Flows'!$B:$B,'CONSOLIDATED CY Cash Flows'!U:U)/$S231,0)</f>
        <v>0</v>
      </c>
      <c r="P231" s="348">
        <f>+IFERROR(_xlfn.XLOOKUP($A231,'CONSOLIDATED CY Cash Flows'!$B:$B,'CONSOLIDATED CY Cash Flows'!V:V)/$S231,0)</f>
        <v>0</v>
      </c>
      <c r="Q231" s="348">
        <f>+IFERROR(_xlfn.XLOOKUP($A231,'CONSOLIDATED CY Cash Flows'!$B:$B,'CONSOLIDATED CY Cash Flows'!W:W)/$S231,0)</f>
        <v>0</v>
      </c>
      <c r="R231" s="340">
        <f t="shared" si="26"/>
        <v>0</v>
      </c>
      <c r="S231" s="501">
        <f>IFERROR(_xlfn.XLOOKUP($A231,'CONSOLIDATED CY Cash Flows'!$B:$B,'CONSOLIDATED CY Cash Flows'!$H:$H),0)</f>
        <v>0</v>
      </c>
      <c r="T231" s="501">
        <f t="shared" si="25"/>
        <v>0</v>
      </c>
      <c r="U231" s="501">
        <f t="shared" si="24"/>
        <v>0</v>
      </c>
    </row>
  </sheetData>
  <autoFilter ref="A3:U231" xr:uid="{B5974892-CEE8-469E-A0B3-875F648F69FB}">
    <filterColumn colId="18">
      <filters>
        <filter val="1,080,796.41"/>
        <filter val="1,100,000.00"/>
        <filter val="1,299,485.49"/>
        <filter val="1,491,308.88"/>
        <filter val="1,491,551.17"/>
        <filter val="1,619,199.56"/>
        <filter val="1,746,401.86"/>
        <filter val="1,965,952.86"/>
        <filter val="10,616.00"/>
        <filter val="100,000.00"/>
        <filter val="11,783.00"/>
        <filter val="110,000.00"/>
        <filter val="12,000.00"/>
        <filter val="126,648.26"/>
        <filter val="131,510.90"/>
        <filter val="15,000.00"/>
        <filter val="15,000.89"/>
        <filter val="150,000.00"/>
        <filter val="156,687.62"/>
        <filter val="16,563,536.70"/>
        <filter val="168,477.05"/>
        <filter val="2,500.00"/>
        <filter val="20,000.00"/>
        <filter val="200,000.00"/>
        <filter val="220,000.00"/>
        <filter val="234,463.11"/>
        <filter val="250,000.00"/>
        <filter val="26,332.00"/>
        <filter val="260,067.69"/>
        <filter val="27,035.20"/>
        <filter val="290,000.00"/>
        <filter val="290,084.00"/>
        <filter val="292,282.67"/>
        <filter val="3,000.00"/>
        <filter val="3,033.00"/>
        <filter val="3,210,288.71"/>
        <filter val="3,672,485.30"/>
        <filter val="30,000.00"/>
        <filter val="30,200.00"/>
        <filter val="326,628.00"/>
        <filter val="37,055.40"/>
        <filter val="375,000.00"/>
        <filter val="38,823.40"/>
        <filter val="382,984.00"/>
        <filter val="392,924.33"/>
        <filter val="4,018,000.00"/>
        <filter val="412,020.80"/>
        <filter val="412,804.00"/>
        <filter val="432,377.08"/>
        <filter val="5,000.00"/>
        <filter val="50,000.00"/>
        <filter val="500.00"/>
        <filter val="527,541.99"/>
        <filter val="56,483.35"/>
        <filter val="578,438.00"/>
        <filter val="6,000.00"/>
        <filter val="640,435.24"/>
        <filter val="65,837.00"/>
        <filter val="7,500.00"/>
        <filter val="70,000.00"/>
        <filter val="700,886.80"/>
        <filter val="74,002.00"/>
        <filter val="75,000.00"/>
        <filter val="750.00"/>
        <filter val="79,158.00"/>
        <filter val="9,238,824.83"/>
        <filter val="91,616.85"/>
      </filters>
    </filterColumn>
  </autoFilter>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51F36-0DC9-4B78-8772-90B48C2D720D}">
  <sheetPr codeName="Sheet39">
    <tabColor theme="5"/>
    <pageSetUpPr fitToPage="1"/>
  </sheetPr>
  <dimension ref="A1:AC1517"/>
  <sheetViews>
    <sheetView topLeftCell="B1" zoomScale="85" zoomScaleNormal="85" workbookViewId="0">
      <pane xSplit="7" ySplit="5" topLeftCell="I6" activePane="bottomRight" state="frozen"/>
      <selection activeCell="B1" sqref="B1"/>
      <selection pane="topRight" activeCell="I1" sqref="I1"/>
      <selection pane="bottomLeft" activeCell="B6" sqref="B6"/>
      <selection pane="bottomRight" activeCell="F9" sqref="F9"/>
    </sheetView>
  </sheetViews>
  <sheetFormatPr defaultColWidth="8.86328125" defaultRowHeight="14.75" x14ac:dyDescent="0.75"/>
  <cols>
    <col min="1" max="1" width="2.453125" style="379" customWidth="1"/>
    <col min="2" max="2" width="7.76953125" style="379" customWidth="1"/>
    <col min="3" max="6" width="8.86328125" style="379"/>
    <col min="7" max="7" width="10.86328125" style="379" customWidth="1"/>
    <col min="8" max="8" width="31.08984375" style="426" customWidth="1"/>
    <col min="9" max="9" width="13.08984375" style="387" customWidth="1"/>
    <col min="10" max="10" width="13.08984375" style="387" bestFit="1" customWidth="1"/>
    <col min="11" max="20" width="13.2265625" style="387" bestFit="1" customWidth="1"/>
    <col min="21" max="21" width="11.6796875" style="379" bestFit="1" customWidth="1"/>
    <col min="22" max="22" width="11.453125" style="379" bestFit="1" customWidth="1"/>
    <col min="23" max="23" width="11.6796875" style="379" bestFit="1" customWidth="1"/>
    <col min="24" max="24" width="14" style="379" bestFit="1" customWidth="1"/>
    <col min="25" max="25" width="9" style="379" bestFit="1" customWidth="1"/>
    <col min="26" max="26" width="13.08984375" style="386" bestFit="1" customWidth="1"/>
    <col min="27" max="28" width="8.86328125" style="379"/>
    <col min="29" max="29" width="10.453125" style="379" bestFit="1" customWidth="1"/>
    <col min="30" max="16384" width="8.86328125" style="379"/>
  </cols>
  <sheetData>
    <row r="1" spans="1:29" s="364" customFormat="1" x14ac:dyDescent="0.75">
      <c r="A1" s="356"/>
      <c r="B1" s="357" t="s">
        <v>1353</v>
      </c>
      <c r="C1" s="358"/>
      <c r="D1" s="358" t="s">
        <v>1617</v>
      </c>
      <c r="E1" s="358"/>
      <c r="F1" s="358"/>
      <c r="G1" s="358"/>
      <c r="H1" s="359"/>
      <c r="I1" s="360" t="s">
        <v>1473</v>
      </c>
      <c r="J1" s="360" t="s">
        <v>1473</v>
      </c>
      <c r="K1" s="360" t="s">
        <v>1473</v>
      </c>
      <c r="L1" s="360" t="s">
        <v>1473</v>
      </c>
      <c r="M1" s="360" t="s">
        <v>1473</v>
      </c>
      <c r="N1" s="360" t="s">
        <v>1473</v>
      </c>
      <c r="O1" s="360" t="s">
        <v>1473</v>
      </c>
      <c r="P1" s="360" t="s">
        <v>1354</v>
      </c>
      <c r="Q1" s="360" t="s">
        <v>1354</v>
      </c>
      <c r="R1" s="360" t="s">
        <v>1354</v>
      </c>
      <c r="S1" s="360" t="s">
        <v>1354</v>
      </c>
      <c r="T1" s="360" t="s">
        <v>1354</v>
      </c>
      <c r="U1" s="331" t="s">
        <v>1354</v>
      </c>
      <c r="V1" s="331" t="s">
        <v>1354</v>
      </c>
      <c r="W1" s="331" t="s">
        <v>1354</v>
      </c>
      <c r="X1" s="361"/>
      <c r="Y1" s="362"/>
      <c r="Z1" s="363"/>
    </row>
    <row r="2" spans="1:29" s="364" customFormat="1" x14ac:dyDescent="0.75">
      <c r="A2" s="366"/>
      <c r="B2" s="365"/>
      <c r="D2" s="367"/>
      <c r="H2" s="359"/>
      <c r="I2" s="368">
        <v>1</v>
      </c>
      <c r="J2" s="368">
        <v>2</v>
      </c>
      <c r="K2" s="368">
        <v>3</v>
      </c>
      <c r="L2" s="368">
        <v>4</v>
      </c>
      <c r="M2" s="368">
        <v>5</v>
      </c>
      <c r="N2" s="368">
        <v>6</v>
      </c>
      <c r="O2" s="368">
        <v>7</v>
      </c>
      <c r="P2" s="368">
        <v>8</v>
      </c>
      <c r="Q2" s="368">
        <v>9</v>
      </c>
      <c r="R2" s="368">
        <v>10</v>
      </c>
      <c r="S2" s="368">
        <v>11</v>
      </c>
      <c r="T2" s="368">
        <v>12</v>
      </c>
      <c r="U2" s="331">
        <v>13</v>
      </c>
      <c r="V2" s="331">
        <v>14</v>
      </c>
      <c r="W2" s="331">
        <v>15</v>
      </c>
      <c r="X2" s="361"/>
      <c r="Y2" s="362"/>
      <c r="Z2" s="363"/>
    </row>
    <row r="3" spans="1:29" s="364" customFormat="1" x14ac:dyDescent="0.75">
      <c r="A3" s="366"/>
      <c r="B3" s="365"/>
      <c r="D3" s="367"/>
      <c r="H3" s="456"/>
      <c r="I3" s="457">
        <v>3</v>
      </c>
      <c r="J3" s="457">
        <v>4</v>
      </c>
      <c r="K3" s="457">
        <v>5</v>
      </c>
      <c r="L3" s="457">
        <v>6</v>
      </c>
      <c r="M3" s="457">
        <v>7</v>
      </c>
      <c r="N3" s="457">
        <v>8</v>
      </c>
      <c r="O3" s="457">
        <v>9</v>
      </c>
      <c r="P3" s="457">
        <v>10</v>
      </c>
      <c r="Q3" s="457">
        <v>11</v>
      </c>
      <c r="R3" s="457">
        <v>12</v>
      </c>
      <c r="S3" s="457">
        <v>13</v>
      </c>
      <c r="T3" s="457">
        <v>14</v>
      </c>
      <c r="U3" s="427">
        <v>15</v>
      </c>
      <c r="V3" s="427">
        <v>16</v>
      </c>
      <c r="W3" s="427">
        <v>17</v>
      </c>
      <c r="X3" s="458"/>
      <c r="Y3" s="459"/>
      <c r="Z3" s="363"/>
    </row>
    <row r="4" spans="1:29" s="364" customFormat="1" x14ac:dyDescent="0.75">
      <c r="A4" s="366"/>
      <c r="B4" s="365"/>
      <c r="D4" s="367"/>
      <c r="H4" s="369" t="s">
        <v>1355</v>
      </c>
      <c r="I4" s="370" t="s">
        <v>1356</v>
      </c>
      <c r="J4" s="370" t="s">
        <v>1357</v>
      </c>
      <c r="K4" s="370" t="s">
        <v>1358</v>
      </c>
      <c r="L4" s="370" t="s">
        <v>1359</v>
      </c>
      <c r="M4" s="370" t="s">
        <v>1360</v>
      </c>
      <c r="N4" s="370" t="s">
        <v>1361</v>
      </c>
      <c r="O4" s="370" t="s">
        <v>1362</v>
      </c>
      <c r="P4" s="370" t="s">
        <v>1363</v>
      </c>
      <c r="Q4" s="370" t="s">
        <v>1364</v>
      </c>
      <c r="R4" s="370" t="s">
        <v>1365</v>
      </c>
      <c r="S4" s="370" t="s">
        <v>1366</v>
      </c>
      <c r="T4" s="370" t="s">
        <v>1367</v>
      </c>
      <c r="U4" s="371" t="s">
        <v>1356</v>
      </c>
      <c r="V4" s="371" t="s">
        <v>1357</v>
      </c>
      <c r="W4" s="371" t="s">
        <v>1396</v>
      </c>
      <c r="X4" s="825"/>
      <c r="Y4" s="825"/>
      <c r="Z4" s="372"/>
    </row>
    <row r="5" spans="1:29" s="364" customFormat="1" x14ac:dyDescent="0.75">
      <c r="A5" s="373"/>
      <c r="B5" s="374"/>
      <c r="C5" s="374"/>
      <c r="D5" s="374"/>
      <c r="E5" s="374"/>
      <c r="F5" s="374"/>
      <c r="G5" s="374"/>
      <c r="H5" s="375"/>
      <c r="I5" s="376">
        <v>2021</v>
      </c>
      <c r="J5" s="376">
        <f>+I5</f>
        <v>2021</v>
      </c>
      <c r="K5" s="376">
        <f>+J5</f>
        <v>2021</v>
      </c>
      <c r="L5" s="376">
        <f>+K5</f>
        <v>2021</v>
      </c>
      <c r="M5" s="376">
        <f>+L5</f>
        <v>2021</v>
      </c>
      <c r="N5" s="376">
        <f>+M5</f>
        <v>2021</v>
      </c>
      <c r="O5" s="376">
        <f t="shared" ref="O5:W5" si="0">+$N5+1</f>
        <v>2022</v>
      </c>
      <c r="P5" s="376">
        <f t="shared" si="0"/>
        <v>2022</v>
      </c>
      <c r="Q5" s="376">
        <f t="shared" si="0"/>
        <v>2022</v>
      </c>
      <c r="R5" s="376">
        <f t="shared" si="0"/>
        <v>2022</v>
      </c>
      <c r="S5" s="376">
        <f t="shared" si="0"/>
        <v>2022</v>
      </c>
      <c r="T5" s="376">
        <f t="shared" si="0"/>
        <v>2022</v>
      </c>
      <c r="U5" s="376">
        <f t="shared" si="0"/>
        <v>2022</v>
      </c>
      <c r="V5" s="376">
        <f t="shared" si="0"/>
        <v>2022</v>
      </c>
      <c r="W5" s="376">
        <f t="shared" si="0"/>
        <v>2022</v>
      </c>
      <c r="X5" s="377" t="s">
        <v>675</v>
      </c>
      <c r="Y5" s="378"/>
      <c r="Z5" s="372"/>
    </row>
    <row r="6" spans="1:29" x14ac:dyDescent="0.75">
      <c r="A6" s="366" t="s">
        <v>789</v>
      </c>
      <c r="B6" s="364"/>
      <c r="H6" s="380"/>
      <c r="I6" s="381"/>
      <c r="J6" s="382"/>
      <c r="K6" s="382"/>
      <c r="L6" s="382"/>
      <c r="M6" s="382"/>
      <c r="N6" s="382"/>
      <c r="O6" s="382"/>
      <c r="P6" s="382"/>
      <c r="Q6" s="382"/>
      <c r="R6" s="382"/>
      <c r="S6" s="383"/>
      <c r="T6" s="383"/>
      <c r="U6" s="384"/>
      <c r="V6" s="428"/>
      <c r="W6" s="385"/>
    </row>
    <row r="7" spans="1:29" x14ac:dyDescent="0.75">
      <c r="A7" s="366"/>
      <c r="B7" s="364" t="s">
        <v>1368</v>
      </c>
      <c r="H7" s="380"/>
      <c r="I7" s="388"/>
      <c r="J7" s="389"/>
      <c r="K7" s="389"/>
      <c r="L7" s="389"/>
      <c r="M7" s="389"/>
      <c r="N7" s="389"/>
      <c r="O7" s="389"/>
      <c r="P7" s="389"/>
      <c r="Q7" s="389"/>
      <c r="R7" s="389"/>
      <c r="S7" s="390"/>
      <c r="T7" s="390"/>
      <c r="W7" s="391"/>
      <c r="AC7" s="392"/>
    </row>
    <row r="8" spans="1:29" x14ac:dyDescent="0.75">
      <c r="C8" s="364"/>
      <c r="D8" s="364"/>
      <c r="E8" s="364"/>
      <c r="F8" s="364"/>
      <c r="G8" s="364"/>
      <c r="H8" s="393"/>
      <c r="I8" s="388"/>
      <c r="J8" s="389"/>
      <c r="K8" s="389"/>
      <c r="L8" s="389"/>
      <c r="M8" s="389"/>
      <c r="N8" s="389"/>
      <c r="O8" s="389"/>
      <c r="P8" s="389"/>
      <c r="Q8" s="389"/>
      <c r="R8" s="389"/>
      <c r="S8" s="390"/>
      <c r="T8" s="390"/>
      <c r="U8" s="386"/>
      <c r="V8" s="386"/>
      <c r="W8" s="394"/>
      <c r="X8" s="386"/>
      <c r="Y8" s="395"/>
    </row>
    <row r="9" spans="1:29" x14ac:dyDescent="0.75">
      <c r="B9" s="396">
        <v>8011</v>
      </c>
      <c r="C9" s="379" t="s">
        <v>1402</v>
      </c>
      <c r="F9" s="379" t="str">
        <f>IF(ISERROR(VLOOKUP(B9,'Distribution %'!A:A,1,FALSE)),"NO","YES")</f>
        <v>YES</v>
      </c>
      <c r="G9" s="392"/>
      <c r="H9" s="430">
        <f>IFERROR(VLOOKUP(B9,'Revenue w MYP'!$A$8:$J$52,10,FALSE),"0")+0</f>
        <v>21367179.920000002</v>
      </c>
      <c r="I9" s="388">
        <f>IF(VLOOKUP("Net Income",'FY ACTUALS'!$A$1:$X$996,I$3,FALSE)&lt;&gt;0,IFERROR(VLOOKUP($B9,'FY ACTUALS'!$A$1:$X$996,I$3,FALSE),"0")+0,IFERROR(($H9-SUMIF($I$1:$W$1,"ACTUAL",$I9:$W9))*(VLOOKUP($B9,'Distribution %'!$A$2:$Q$232,MATCH(I$2,'Distribution %'!$A$2:$Q$2,0),FALSE)/(SUMIF('Distribution %'!$C$1:$Q$1,"BUDGET",'Distribution %'!$C170:$Q170))),"0")+0)</f>
        <v>536205</v>
      </c>
      <c r="J9" s="389">
        <f>IF(VLOOKUP("Net Income",'FY ACTUALS'!$A$1:$X$996,J$3,FALSE)&lt;&gt;0,IFERROR(VLOOKUP($B9,'FY ACTUALS'!$A$1:$X$996,J$3,FALSE),"0")+0,IFERROR(($H9-SUMIF($I$1:$W$1,"ACTUAL",$I9:$W9))*(VLOOKUP($B9,'Distribution %'!$A$2:$Q$232,MATCH(J$2,'Distribution %'!$A$2:$Q$2,0),FALSE)/(SUMIF('Distribution %'!$C$1:$Q$1,"BUDGET",'Distribution %'!$C170:$Q170))),"0")+0)</f>
        <v>928658</v>
      </c>
      <c r="K9" s="389">
        <f>IF(VLOOKUP("Net Income",'FY ACTUALS'!$A$1:$X$996,K$3,FALSE)&lt;&gt;0,IFERROR(VLOOKUP($B9,'FY ACTUALS'!$A$1:$X$996,K$3,FALSE),"0")+0,IFERROR(($H9-SUMIF($I$1:$W$1,"ACTUAL",$I9:$W9))*(VLOOKUP($B9,'Distribution %'!$A$2:$Q$232,MATCH(K$2,'Distribution %'!$A$2:$Q$2,0),FALSE)/(SUMIF('Distribution %'!$C$1:$Q$1,"BUDGET",'Distribution %'!$C170:$Q170))),"0")+0)</f>
        <v>1357622</v>
      </c>
      <c r="L9" s="389">
        <f>IF(VLOOKUP("Net Income",'FY ACTUALS'!$A$1:$X$996,L$3,FALSE)&lt;&gt;0,IFERROR(VLOOKUP($B9,'FY ACTUALS'!$A$1:$X$996,L$3,FALSE),"0")+0,IFERROR(($H9-SUMIF($I$1:$W$1,"ACTUAL",$I9:$W9))*(VLOOKUP($B9,'Distribution %'!$A$2:$Q$232,MATCH(L$2,'Distribution %'!$A$2:$Q$2,0),FALSE)/(SUMIF('Distribution %'!$C$1:$Q$1,"BUDGET",'Distribution %'!$C170:$Q170))),"0")+0)</f>
        <v>1671584</v>
      </c>
      <c r="M9" s="389">
        <f>IF(VLOOKUP("Net Income",'FY ACTUALS'!$A$1:$X$996,M$3,FALSE)&lt;&gt;0,IFERROR(VLOOKUP($B9,'FY ACTUALS'!$A$1:$X$996,M$3,FALSE),"0")+0,IFERROR(($H9-SUMIF($I$1:$W$1,"ACTUAL",$I9:$W9))*(VLOOKUP($B9,'Distribution %'!$A$2:$Q$232,MATCH(M$2,'Distribution %'!$A$2:$Q$2,0),FALSE)/(SUMIF('Distribution %'!$C$1:$Q$1,"BUDGET",'Distribution %'!$C170:$Q170))),"0")+0)</f>
        <v>1671584</v>
      </c>
      <c r="N9" s="389">
        <f>IF(VLOOKUP("Net Income",'FY ACTUALS'!$A$1:$X$996,N$3,FALSE)&lt;&gt;0,IFERROR(VLOOKUP($B9,'FY ACTUALS'!$A$1:$X$996,N$3,FALSE),"0")+0,IFERROR(($H9-SUMIF($I$1:$W$1,"ACTUAL",$I9:$W9))*(VLOOKUP($B9,'Distribution %'!$A$2:$Q$232,MATCH(N$2,'Distribution %'!$A$2:$Q$2,0),FALSE)/(SUMIF('Distribution %'!$C$1:$Q$1,"BUDGET",'Distribution %'!$C170:$Q170))),"0")+0)</f>
        <v>1256610</v>
      </c>
      <c r="O9" s="389">
        <f>IF(VLOOKUP("Net Income",'FY ACTUALS'!$A$1:$X$996,O$3,FALSE)&lt;&gt;0,IFERROR(VLOOKUP($B9,'FY ACTUALS'!$A$1:$X$996,O$3,FALSE),"0")+0,IFERROR(($H9-SUMIF($I$1:$W$1,"ACTUAL",$I9:$W9))*(VLOOKUP($B9,'Distribution %'!$A$2:$Q$232,MATCH(O$2,'Distribution %'!$A$2:$Q$2,0),FALSE)/(SUMIF('Distribution %'!$C$1:$Q$1,"BUDGET",'Distribution %'!$C170:$Q170))),"0")+0)</f>
        <v>1961195</v>
      </c>
      <c r="P9" s="389">
        <f>IF(VLOOKUP("Net Income",'FY ACTUALS'!$A$1:$X$996,P$3,FALSE)&lt;&gt;0,IFERROR(VLOOKUP($B9,'FY ACTUALS'!$A$1:$X$996,P$3,FALSE),"0")+0,IFERROR(($H9-SUMIF($I$1:$W$1,"ACTUAL",$I9:$W9))*(VLOOKUP($B9,'Distribution %'!$A$2:$Q$232,MATCH(P$2,'Distribution %'!$A$2:$Q$2,0),FALSE)/(SUMIF('Distribution %'!$C$1:$Q$1,"BUDGET",'Distribution %'!$C170:$Q170))),"0")+0)</f>
        <v>2396744.3840000005</v>
      </c>
      <c r="Q9" s="389">
        <f>IF(VLOOKUP("Net Income",'FY ACTUALS'!$A$1:$X$996,Q$3,FALSE)&lt;&gt;0,IFERROR(VLOOKUP($B9,'FY ACTUALS'!$A$1:$X$996,Q$3,FALSE),"0")+0,IFERROR(($H9-SUMIF($I$1:$W$1,"ACTUAL",$I9:$W9))*(VLOOKUP($B9,'Distribution %'!$A$2:$Q$232,MATCH(Q$2,'Distribution %'!$A$2:$Q$2,0),FALSE)/(SUMIF('Distribution %'!$C$1:$Q$1,"BUDGET",'Distribution %'!$C170:$Q170))),"0")+0)</f>
        <v>2396744.3840000005</v>
      </c>
      <c r="R9" s="389">
        <f>IF(VLOOKUP("Net Income",'FY ACTUALS'!$A$1:$X$996,R$3,FALSE)&lt;&gt;0,IFERROR(VLOOKUP($B9,'FY ACTUALS'!$A$1:$X$996,R$3,FALSE),"0")+0,IFERROR(($H9-SUMIF($I$1:$W$1,"ACTUAL",$I9:$W9))*(VLOOKUP($B9,'Distribution %'!$A$2:$Q$232,MATCH(R$2,'Distribution %'!$A$2:$Q$2,0),FALSE)/(SUMIF('Distribution %'!$C$1:$Q$1,"BUDGET",'Distribution %'!$C170:$Q170))),"0")+0)</f>
        <v>2396744.3840000005</v>
      </c>
      <c r="S9" s="389">
        <f>IF(VLOOKUP("Net Income",'FY ACTUALS'!$A$1:$X$996,S$3,FALSE)&lt;&gt;0,IFERROR(VLOOKUP($B9,'FY ACTUALS'!$A$1:$X$996,S$3,FALSE),"0")+0,IFERROR(($H9-SUMIF($I$1:$W$1,"ACTUAL",$I9:$W9))*(VLOOKUP($B9,'Distribution %'!$A$2:$Q$232,MATCH(S$2,'Distribution %'!$A$2:$Q$2,0),FALSE)/(SUMIF('Distribution %'!$C$1:$Q$1,"BUDGET",'Distribution %'!$C170:$Q170))),"0")+0)</f>
        <v>2396744.3840000005</v>
      </c>
      <c r="T9" s="389">
        <f>IF(VLOOKUP("Net Income",'FY ACTUALS'!$A$1:$X$996,T$3,FALSE)&lt;&gt;0,IFERROR(VLOOKUP($B9,'FY ACTUALS'!$A$1:$X$996,T$3,FALSE),"0")+0,IFERROR(($H9-SUMIF($I$1:$W$1,"ACTUAL",$I9:$W9))*(VLOOKUP($B9,'Distribution %'!$A$2:$Q$232,MATCH(T$2,'Distribution %'!$A$2:$Q$2,0),FALSE)/(SUMIF('Distribution %'!$C$1:$Q$1,"BUDGET",'Distribution %'!$C170:$Q170))),"0")+0)</f>
        <v>2396744.3840000005</v>
      </c>
      <c r="U9" s="389">
        <f>IF(VLOOKUP("Net Income",'FY ACTUALS'!$A$1:$X$996,U$3,FALSE)&lt;&gt;0,IFERROR(VLOOKUP($B9,'FY ACTUALS'!$A$1:$X$996,U$3,FALSE),"0")+0,IFERROR(($H9-SUMIF($I$1:$W$1,"ACTUAL",$I9:$W9))*(VLOOKUP($B9,'Distribution %'!$A$2:$Q$232,MATCH(U$2,'Distribution %'!$A$2:$Q$2,0),FALSE)/(SUMIF('Distribution %'!$C$1:$Q$1,"BUDGET",'Distribution %'!$C170:$Q170))),"0")+0)</f>
        <v>0</v>
      </c>
      <c r="V9" s="389">
        <f>IF(VLOOKUP("Net Income",'FY ACTUALS'!$A$1:$X$996,V$3,FALSE)&lt;&gt;0,IFERROR(VLOOKUP($B9,'FY ACTUALS'!$A$1:$X$996,V$3,FALSE),"0")+0,IFERROR(($H9-SUMIF($I$1:$W$1,"ACTUAL",$I9:$W9))*(VLOOKUP($B9,'Distribution %'!$A$2:$Q$232,MATCH(V$2,'Distribution %'!$A$2:$Q$2,0),FALSE)/(SUMIF('Distribution %'!$C$1:$Q$1,"BUDGET",'Distribution %'!$C170:$Q170))),"0")+0)</f>
        <v>0</v>
      </c>
      <c r="W9" s="460">
        <f>IF(VLOOKUP("Net Income",'FY ACTUALS'!$A$1:$X$996,W$3,FALSE)&lt;&gt;0,IFERROR(VLOOKUP($B9,'FY ACTUALS'!$A$1:$X$996,W$3,FALSE),"0")+0,IFERROR(($H9-SUMIF($I$1:$W$1,"ACTUAL",$I9:$W9))*(VLOOKUP($B9,'Distribution %'!$A$2:$Q$232,MATCH(W$2,'Distribution %'!$A$2:$Q$2,0),FALSE)/(SUMIF('Distribution %'!$C$1:$Q$1,"BUDGET",'Distribution %'!$C170:$Q170))),"0")+0)</f>
        <v>0</v>
      </c>
      <c r="X9" s="390">
        <f>+ROUND(SUM(I9:W9),)</f>
        <v>21367180</v>
      </c>
      <c r="Y9" s="387"/>
      <c r="Z9" s="387">
        <f>+H9-X9</f>
        <v>-7.9999998211860657E-2</v>
      </c>
      <c r="AA9" s="397"/>
    </row>
    <row r="10" spans="1:29" x14ac:dyDescent="0.75">
      <c r="B10" s="396">
        <v>8012</v>
      </c>
      <c r="C10" s="379" t="s">
        <v>1403</v>
      </c>
      <c r="F10" s="379" t="str">
        <f>IF(ISERROR(VLOOKUP(B10,'Distribution %'!A:A,1,FALSE)),"NO","YES")</f>
        <v>YES</v>
      </c>
      <c r="G10" s="392"/>
      <c r="H10" s="430">
        <f>IFERROR(VLOOKUP(B10,'Revenue w MYP'!$A$8:$J$52,10,FALSE),"0")+0</f>
        <v>2907774.08</v>
      </c>
      <c r="I10" s="388">
        <f>IF(VLOOKUP("Net Income",'FY ACTUALS'!$A$1:$X$996,I$3,FALSE)&lt;&gt;0,IFERROR(VLOOKUP($B10,'FY ACTUALS'!$A$1:$X$996,I$3,FALSE),"0")+0,IFERROR(($H10-SUMIF($I$1:$W$1,"ACTUAL",$I10:$W10))*(VLOOKUP($B10,'Distribution %'!$A$2:$Q$232,MATCH(I$2,'Distribution %'!$A$2:$Q$2,0),FALSE)/(SUMIF('Distribution %'!$C$1:$Q$1,"BUDGET",'Distribution %'!$C171:$Q171))),"0")+0)</f>
        <v>0</v>
      </c>
      <c r="J10" s="389">
        <f>IF(VLOOKUP("Net Income",'FY ACTUALS'!$A$1:$X$996,J$3,FALSE)&lt;&gt;0,IFERROR(VLOOKUP($B10,'FY ACTUALS'!$A$1:$X$996,J$3,FALSE),"0")+0,IFERROR(($H10-SUMIF($I$1:$W$1,"ACTUAL",$I10:$W10))*(VLOOKUP($B10,'Distribution %'!$A$2:$Q$232,MATCH(J$2,'Distribution %'!$A$2:$Q$2,0),FALSE)/(SUMIF('Distribution %'!$C$1:$Q$1,"BUDGET",'Distribution %'!$C171:$Q171))),"0")+0)</f>
        <v>0</v>
      </c>
      <c r="K10" s="389">
        <f>IF(VLOOKUP("Net Income",'FY ACTUALS'!$A$1:$X$996,K$3,FALSE)&lt;&gt;0,IFERROR(VLOOKUP($B10,'FY ACTUALS'!$A$1:$X$996,K$3,FALSE),"0")+0,IFERROR(($H10-SUMIF($I$1:$W$1,"ACTUAL",$I10:$W10))*(VLOOKUP($B10,'Distribution %'!$A$2:$Q$232,MATCH(K$2,'Distribution %'!$A$2:$Q$2,0),FALSE)/(SUMIF('Distribution %'!$C$1:$Q$1,"BUDGET",'Distribution %'!$C171:$Q171))),"0")+0)</f>
        <v>824135</v>
      </c>
      <c r="L10" s="389">
        <f>IF(VLOOKUP("Net Income",'FY ACTUALS'!$A$1:$X$996,L$3,FALSE)&lt;&gt;0,IFERROR(VLOOKUP($B10,'FY ACTUALS'!$A$1:$X$996,L$3,FALSE),"0")+0,IFERROR(($H10-SUMIF($I$1:$W$1,"ACTUAL",$I10:$W10))*(VLOOKUP($B10,'Distribution %'!$A$2:$Q$232,MATCH(L$2,'Distribution %'!$A$2:$Q$2,0),FALSE)/(SUMIF('Distribution %'!$C$1:$Q$1,"BUDGET",'Distribution %'!$C171:$Q171))),"0")+0)</f>
        <v>73293</v>
      </c>
      <c r="M10" s="389">
        <f>IF(VLOOKUP("Net Income",'FY ACTUALS'!$A$1:$X$996,M$3,FALSE)&lt;&gt;0,IFERROR(VLOOKUP($B10,'FY ACTUALS'!$A$1:$X$996,M$3,FALSE),"0")+0,IFERROR(($H10-SUMIF($I$1:$W$1,"ACTUAL",$I10:$W10))*(VLOOKUP($B10,'Distribution %'!$A$2:$Q$232,MATCH(M$2,'Distribution %'!$A$2:$Q$2,0),FALSE)/(SUMIF('Distribution %'!$C$1:$Q$1,"BUDGET",'Distribution %'!$C171:$Q171))),"0")+0)</f>
        <v>0</v>
      </c>
      <c r="N10" s="389">
        <f>IF(VLOOKUP("Net Income",'FY ACTUALS'!$A$1:$X$996,N$3,FALSE)&lt;&gt;0,IFERROR(VLOOKUP($B10,'FY ACTUALS'!$A$1:$X$996,N$3,FALSE),"0")+0,IFERROR(($H10-SUMIF($I$1:$W$1,"ACTUAL",$I10:$W10))*(VLOOKUP($B10,'Distribution %'!$A$2:$Q$232,MATCH(N$2,'Distribution %'!$A$2:$Q$2,0),FALSE)/(SUMIF('Distribution %'!$C$1:$Q$1,"BUDGET",'Distribution %'!$C171:$Q171))),"0")+0)</f>
        <v>824135</v>
      </c>
      <c r="O10" s="389">
        <f>IF(VLOOKUP("Net Income",'FY ACTUALS'!$A$1:$X$996,O$3,FALSE)&lt;&gt;0,IFERROR(VLOOKUP($B10,'FY ACTUALS'!$A$1:$X$996,O$3,FALSE),"0")+0,IFERROR(($H10-SUMIF($I$1:$W$1,"ACTUAL",$I10:$W10))*(VLOOKUP($B10,'Distribution %'!$A$2:$Q$232,MATCH(O$2,'Distribution %'!$A$2:$Q$2,0),FALSE)/(SUMIF('Distribution %'!$C$1:$Q$1,"BUDGET",'Distribution %'!$C171:$Q171))),"0")+0)</f>
        <v>73292</v>
      </c>
      <c r="P10" s="389">
        <f>IF(VLOOKUP("Net Income",'FY ACTUALS'!$A$1:$X$996,P$3,FALSE)&lt;&gt;0,IFERROR(VLOOKUP($B10,'FY ACTUALS'!$A$1:$X$996,P$3,FALSE),"0")+0,IFERROR(($H10-SUMIF($I$1:$W$1,"ACTUAL",$I10:$W10))*(VLOOKUP($B10,'Distribution %'!$A$2:$Q$232,MATCH(P$2,'Distribution %'!$A$2:$Q$2,0),FALSE)/(SUMIF('Distribution %'!$C$1:$Q$1,"BUDGET",'Distribution %'!$C171:$Q171))),"0")+0)</f>
        <v>0</v>
      </c>
      <c r="Q10" s="389">
        <f>IF(VLOOKUP("Net Income",'FY ACTUALS'!$A$1:$X$996,Q$3,FALSE)&lt;&gt;0,IFERROR(VLOOKUP($B10,'FY ACTUALS'!$A$1:$X$996,Q$3,FALSE),"0")+0,IFERROR(($H10-SUMIF($I$1:$W$1,"ACTUAL",$I10:$W10))*(VLOOKUP($B10,'Distribution %'!$A$2:$Q$232,MATCH(Q$2,'Distribution %'!$A$2:$Q$2,0),FALSE)/(SUMIF('Distribution %'!$C$1:$Q$1,"BUDGET",'Distribution %'!$C171:$Q171))),"0")+0)</f>
        <v>556459.54</v>
      </c>
      <c r="R10" s="389">
        <f>IF(VLOOKUP("Net Income",'FY ACTUALS'!$A$1:$X$996,R$3,FALSE)&lt;&gt;0,IFERROR(VLOOKUP($B10,'FY ACTUALS'!$A$1:$X$996,R$3,FALSE),"0")+0,IFERROR(($H10-SUMIF($I$1:$W$1,"ACTUAL",$I10:$W10))*(VLOOKUP($B10,'Distribution %'!$A$2:$Q$232,MATCH(R$2,'Distribution %'!$A$2:$Q$2,0),FALSE)/(SUMIF('Distribution %'!$C$1:$Q$1,"BUDGET",'Distribution %'!$C171:$Q171))),"0")+0)</f>
        <v>0</v>
      </c>
      <c r="S10" s="389">
        <f>IF(VLOOKUP("Net Income",'FY ACTUALS'!$A$1:$X$996,S$3,FALSE)&lt;&gt;0,IFERROR(VLOOKUP($B10,'FY ACTUALS'!$A$1:$X$996,S$3,FALSE),"0")+0,IFERROR(($H10-SUMIF($I$1:$W$1,"ACTUAL",$I10:$W10))*(VLOOKUP($B10,'Distribution %'!$A$2:$Q$232,MATCH(S$2,'Distribution %'!$A$2:$Q$2,0),FALSE)/(SUMIF('Distribution %'!$C$1:$Q$1,"BUDGET",'Distribution %'!$C171:$Q171))),"0")+0)</f>
        <v>0</v>
      </c>
      <c r="T10" s="389">
        <f>IF(VLOOKUP("Net Income",'FY ACTUALS'!$A$1:$X$996,T$3,FALSE)&lt;&gt;0,IFERROR(VLOOKUP($B10,'FY ACTUALS'!$A$1:$X$996,T$3,FALSE),"0")+0,IFERROR(($H10-SUMIF($I$1:$W$1,"ACTUAL",$I10:$W10))*(VLOOKUP($B10,'Distribution %'!$A$2:$Q$232,MATCH(T$2,'Distribution %'!$A$2:$Q$2,0),FALSE)/(SUMIF('Distribution %'!$C$1:$Q$1,"BUDGET",'Distribution %'!$C171:$Q171))),"0")+0)</f>
        <v>556459.54</v>
      </c>
      <c r="U10" s="389">
        <f>IF(VLOOKUP("Net Income",'FY ACTUALS'!$A$1:$X$996,U$3,FALSE)&lt;&gt;0,IFERROR(VLOOKUP($B10,'FY ACTUALS'!$A$1:$X$996,U$3,FALSE),"0")+0,IFERROR(($H10-SUMIF($I$1:$W$1,"ACTUAL",$I10:$W10))*(VLOOKUP($B10,'Distribution %'!$A$2:$Q$232,MATCH(U$2,'Distribution %'!$A$2:$Q$2,0),FALSE)/(SUMIF('Distribution %'!$C$1:$Q$1,"BUDGET",'Distribution %'!$C171:$Q171))),"0")+0)</f>
        <v>0</v>
      </c>
      <c r="V10" s="389">
        <f>IF(VLOOKUP("Net Income",'FY ACTUALS'!$A$1:$X$996,V$3,FALSE)&lt;&gt;0,IFERROR(VLOOKUP($B10,'FY ACTUALS'!$A$1:$X$996,V$3,FALSE),"0")+0,IFERROR(($H10-SUMIF($I$1:$W$1,"ACTUAL",$I10:$W10))*(VLOOKUP($B10,'Distribution %'!$A$2:$Q$232,MATCH(V$2,'Distribution %'!$A$2:$Q$2,0),FALSE)/(SUMIF('Distribution %'!$C$1:$Q$1,"BUDGET",'Distribution %'!$C171:$Q171))),"0")+0)</f>
        <v>0</v>
      </c>
      <c r="W10" s="460">
        <f>IF(VLOOKUP("Net Income",'FY ACTUALS'!$A$1:$X$996,W$3,FALSE)&lt;&gt;0,IFERROR(VLOOKUP($B10,'FY ACTUALS'!$A$1:$X$996,W$3,FALSE),"0")+0,IFERROR(($H10-SUMIF($I$1:$W$1,"ACTUAL",$I10:$W10))*(VLOOKUP($B10,'Distribution %'!$A$2:$Q$232,MATCH(W$2,'Distribution %'!$A$2:$Q$2,0),FALSE)/(SUMIF('Distribution %'!$C$1:$Q$1,"BUDGET",'Distribution %'!$C171:$Q171))),"0")+0)</f>
        <v>0</v>
      </c>
      <c r="X10" s="390">
        <f>+ROUND(SUM(I10:W10),)</f>
        <v>2907774</v>
      </c>
      <c r="Y10" s="387"/>
      <c r="Z10" s="387">
        <f>+H10-X10</f>
        <v>8.0000000074505806E-2</v>
      </c>
    </row>
    <row r="11" spans="1:29" x14ac:dyDescent="0.75">
      <c r="B11" s="396">
        <v>8096</v>
      </c>
      <c r="C11" s="379" t="s">
        <v>1404</v>
      </c>
      <c r="F11" s="379" t="str">
        <f>IF(ISERROR(VLOOKUP(B11,'Distribution %'!A:A,1,FALSE)),"NO","YES")</f>
        <v>YES</v>
      </c>
      <c r="G11" s="392"/>
      <c r="H11" s="430">
        <f>IFERROR(VLOOKUP(B11,'Revenue w MYP'!$A$8:$J$52,10,FALSE),"0")+0</f>
        <v>3578106.9655879997</v>
      </c>
      <c r="I11" s="388">
        <f>IF(VLOOKUP("Net Income",'FY ACTUALS'!$A$1:$X$996,I$3,FALSE)&lt;&gt;0,IFERROR(VLOOKUP($B11,'FY ACTUALS'!$A$1:$X$996,I$3,FALSE),"0")+0,IFERROR(($H11-SUMIF($I$1:$W$1,"ACTUAL",$I11:$W11))*(VLOOKUP($B11,'Distribution %'!$A$2:$Q$232,MATCH(I$2,'Distribution %'!$A$2:$Q$2,0),FALSE)/(SUMIF('Distribution %'!$C$1:$Q$1,"BUDGET",'Distribution %'!$C172:$Q172))),"0")+0)</f>
        <v>0</v>
      </c>
      <c r="J11" s="389">
        <f>IF(VLOOKUP("Net Income",'FY ACTUALS'!$A$1:$X$996,J$3,FALSE)&lt;&gt;0,IFERROR(VLOOKUP($B11,'FY ACTUALS'!$A$1:$X$996,J$3,FALSE),"0")+0,IFERROR(($H11-SUMIF($I$1:$W$1,"ACTUAL",$I11:$W11))*(VLOOKUP($B11,'Distribution %'!$A$2:$Q$232,MATCH(J$2,'Distribution %'!$A$2:$Q$2,0),FALSE)/(SUMIF('Distribution %'!$C$1:$Q$1,"BUDGET",'Distribution %'!$C172:$Q172))),"0")+0)</f>
        <v>149763</v>
      </c>
      <c r="K11" s="389">
        <f>IF(VLOOKUP("Net Income",'FY ACTUALS'!$A$1:$X$996,K$3,FALSE)&lt;&gt;0,IFERROR(VLOOKUP($B11,'FY ACTUALS'!$A$1:$X$996,K$3,FALSE),"0")+0,IFERROR(($H11-SUMIF($I$1:$W$1,"ACTUAL",$I11:$W11))*(VLOOKUP($B11,'Distribution %'!$A$2:$Q$232,MATCH(K$2,'Distribution %'!$A$2:$Q$2,0),FALSE)/(SUMIF('Distribution %'!$C$1:$Q$1,"BUDGET",'Distribution %'!$C172:$Q172))),"0")+0)</f>
        <v>495927</v>
      </c>
      <c r="L11" s="389">
        <f>IF(VLOOKUP("Net Income",'FY ACTUALS'!$A$1:$X$996,L$3,FALSE)&lt;&gt;0,IFERROR(VLOOKUP($B11,'FY ACTUALS'!$A$1:$X$996,L$3,FALSE),"0")+0,IFERROR(($H11-SUMIF($I$1:$W$1,"ACTUAL",$I11:$W11))*(VLOOKUP($B11,'Distribution %'!$A$2:$Q$232,MATCH(L$2,'Distribution %'!$A$2:$Q$2,0),FALSE)/(SUMIF('Distribution %'!$C$1:$Q$1,"BUDGET",'Distribution %'!$C172:$Q172))),"0")+0)</f>
        <v>343839</v>
      </c>
      <c r="M11" s="389">
        <f>IF(VLOOKUP("Net Income",'FY ACTUALS'!$A$1:$X$996,M$3,FALSE)&lt;&gt;0,IFERROR(VLOOKUP($B11,'FY ACTUALS'!$A$1:$X$996,M$3,FALSE),"0")+0,IFERROR(($H11-SUMIF($I$1:$W$1,"ACTUAL",$I11:$W11))*(VLOOKUP($B11,'Distribution %'!$A$2:$Q$232,MATCH(M$2,'Distribution %'!$A$2:$Q$2,0),FALSE)/(SUMIF('Distribution %'!$C$1:$Q$1,"BUDGET",'Distribution %'!$C172:$Q172))),"0")+0)</f>
        <v>343927</v>
      </c>
      <c r="N11" s="389">
        <f>IF(VLOOKUP("Net Income",'FY ACTUALS'!$A$1:$X$996,N$3,FALSE)&lt;&gt;0,IFERROR(VLOOKUP($B11,'FY ACTUALS'!$A$1:$X$996,N$3,FALSE),"0")+0,IFERROR(($H11-SUMIF($I$1:$W$1,"ACTUAL",$I11:$W11))*(VLOOKUP($B11,'Distribution %'!$A$2:$Q$232,MATCH(N$2,'Distribution %'!$A$2:$Q$2,0),FALSE)/(SUMIF('Distribution %'!$C$1:$Q$1,"BUDGET",'Distribution %'!$C172:$Q172))),"0")+0)</f>
        <v>202655</v>
      </c>
      <c r="O11" s="389">
        <f>IF(VLOOKUP("Net Income",'FY ACTUALS'!$A$1:$X$996,O$3,FALSE)&lt;&gt;0,IFERROR(VLOOKUP($B11,'FY ACTUALS'!$A$1:$X$996,O$3,FALSE),"0")+0,IFERROR(($H11-SUMIF($I$1:$W$1,"ACTUAL",$I11:$W11))*(VLOOKUP($B11,'Distribution %'!$A$2:$Q$232,MATCH(O$2,'Distribution %'!$A$2:$Q$2,0),FALSE)/(SUMIF('Distribution %'!$C$1:$Q$1,"BUDGET",'Distribution %'!$C172:$Q172))),"0")+0)</f>
        <v>440595</v>
      </c>
      <c r="P11" s="389">
        <f>IF(VLOOKUP("Net Income",'FY ACTUALS'!$A$1:$X$996,P$3,FALSE)&lt;&gt;0,IFERROR(VLOOKUP($B11,'FY ACTUALS'!$A$1:$X$996,P$3,FALSE),"0")+0,IFERROR(($H11-SUMIF($I$1:$W$1,"ACTUAL",$I11:$W11))*(VLOOKUP($B11,'Distribution %'!$A$2:$Q$232,MATCH(P$2,'Distribution %'!$A$2:$Q$2,0),FALSE)/(SUMIF('Distribution %'!$C$1:$Q$1,"BUDGET",'Distribution %'!$C172:$Q172))),"0")+0)</f>
        <v>256224.15449407996</v>
      </c>
      <c r="Q11" s="389">
        <f>IF(VLOOKUP("Net Income",'FY ACTUALS'!$A$1:$X$996,Q$3,FALSE)&lt;&gt;0,IFERROR(VLOOKUP($B11,'FY ACTUALS'!$A$1:$X$996,Q$3,FALSE),"0")+0,IFERROR(($H11-SUMIF($I$1:$W$1,"ACTUAL",$I11:$W11))*(VLOOKUP($B11,'Distribution %'!$A$2:$Q$232,MATCH(Q$2,'Distribution %'!$A$2:$Q$2,0),FALSE)/(SUMIF('Distribution %'!$C$1:$Q$1,"BUDGET",'Distribution %'!$C172:$Q172))),"0")+0)</f>
        <v>448392.27036463993</v>
      </c>
      <c r="R11" s="389">
        <f>IF(VLOOKUP("Net Income",'FY ACTUALS'!$A$1:$X$996,R$3,FALSE)&lt;&gt;0,IFERROR(VLOOKUP($B11,'FY ACTUALS'!$A$1:$X$996,R$3,FALSE),"0")+0,IFERROR(($H11-SUMIF($I$1:$W$1,"ACTUAL",$I11:$W11))*(VLOOKUP($B11,'Distribution %'!$A$2:$Q$232,MATCH(R$2,'Distribution %'!$A$2:$Q$2,0),FALSE)/(SUMIF('Distribution %'!$C$1:$Q$1,"BUDGET",'Distribution %'!$C172:$Q172))),"0")+0)</f>
        <v>224196.13518231997</v>
      </c>
      <c r="S11" s="389">
        <f>IF(VLOOKUP("Net Income",'FY ACTUALS'!$A$1:$X$996,S$3,FALSE)&lt;&gt;0,IFERROR(VLOOKUP($B11,'FY ACTUALS'!$A$1:$X$996,S$3,FALSE),"0")+0,IFERROR(($H11-SUMIF($I$1:$W$1,"ACTUAL",$I11:$W11))*(VLOOKUP($B11,'Distribution %'!$A$2:$Q$232,MATCH(S$2,'Distribution %'!$A$2:$Q$2,0),FALSE)/(SUMIF('Distribution %'!$C$1:$Q$1,"BUDGET",'Distribution %'!$C172:$Q172))),"0")+0)</f>
        <v>224196.13518231997</v>
      </c>
      <c r="T11" s="389">
        <f>IF(VLOOKUP("Net Income",'FY ACTUALS'!$A$1:$X$996,T$3,FALSE)&lt;&gt;0,IFERROR(VLOOKUP($B11,'FY ACTUALS'!$A$1:$X$996,T$3,FALSE),"0")+0,IFERROR(($H11-SUMIF($I$1:$W$1,"ACTUAL",$I11:$W11))*(VLOOKUP($B11,'Distribution %'!$A$2:$Q$232,MATCH(T$2,'Distribution %'!$A$2:$Q$2,0),FALSE)/(SUMIF('Distribution %'!$C$1:$Q$1,"BUDGET",'Distribution %'!$C172:$Q172))),"0")+0)</f>
        <v>224196.13518231997</v>
      </c>
      <c r="U11" s="389">
        <f>IF(VLOOKUP("Net Income",'FY ACTUALS'!$A$1:$X$996,U$3,FALSE)&lt;&gt;0,IFERROR(VLOOKUP($B11,'FY ACTUALS'!$A$1:$X$996,U$3,FALSE),"0")+0,IFERROR(($H11-SUMIF($I$1:$W$1,"ACTUAL",$I11:$W11))*(VLOOKUP($B11,'Distribution %'!$A$2:$Q$232,MATCH(U$2,'Distribution %'!$A$2:$Q$2,0),FALSE)/(SUMIF('Distribution %'!$C$1:$Q$1,"BUDGET",'Distribution %'!$C172:$Q172))),"0")+0)</f>
        <v>224196.13518231997</v>
      </c>
      <c r="V11" s="389">
        <f>IF(VLOOKUP("Net Income",'FY ACTUALS'!$A$1:$X$996,V$3,FALSE)&lt;&gt;0,IFERROR(VLOOKUP($B11,'FY ACTUALS'!$A$1:$X$996,V$3,FALSE),"0")+0,IFERROR(($H11-SUMIF($I$1:$W$1,"ACTUAL",$I11:$W11))*(VLOOKUP($B11,'Distribution %'!$A$2:$Q$232,MATCH(V$2,'Distribution %'!$A$2:$Q$2,0),FALSE)/(SUMIF('Distribution %'!$C$1:$Q$1,"BUDGET",'Distribution %'!$C172:$Q172))),"0")+0)</f>
        <v>0</v>
      </c>
      <c r="W11" s="460">
        <f>IF(VLOOKUP("Net Income",'FY ACTUALS'!$A$1:$X$996,W$3,FALSE)&lt;&gt;0,IFERROR(VLOOKUP($B11,'FY ACTUALS'!$A$1:$X$996,W$3,FALSE),"0")+0,IFERROR(($H11-SUMIF($I$1:$W$1,"ACTUAL",$I11:$W11))*(VLOOKUP($B11,'Distribution %'!$A$2:$Q$232,MATCH(W$2,'Distribution %'!$A$2:$Q$2,0),FALSE)/(SUMIF('Distribution %'!$C$1:$Q$1,"BUDGET",'Distribution %'!$C172:$Q172))),"0")+0)</f>
        <v>0</v>
      </c>
      <c r="X11" s="390">
        <f>+ROUND(SUM(I11:W11),)</f>
        <v>3578107</v>
      </c>
      <c r="Y11" s="387"/>
      <c r="Z11" s="387">
        <f>+H11-X11</f>
        <v>-3.4412000328302383E-2</v>
      </c>
    </row>
    <row r="12" spans="1:29" x14ac:dyDescent="0.75">
      <c r="B12" s="396">
        <v>8019</v>
      </c>
      <c r="C12" s="379" t="s">
        <v>1139</v>
      </c>
      <c r="F12" s="379" t="str">
        <f>IF(ISERROR(VLOOKUP(B12,'Distribution %'!A:A,1,FALSE)),"NO","YES")</f>
        <v>YES</v>
      </c>
      <c r="G12" s="392"/>
      <c r="H12" s="432">
        <f>IFERROR(VLOOKUP(B12,'Revenue w MYP'!$A$8:$J$52,10,FALSE),"0")+0</f>
        <v>0</v>
      </c>
      <c r="I12" s="398"/>
      <c r="J12" s="399"/>
      <c r="K12" s="399"/>
      <c r="L12" s="399"/>
      <c r="M12" s="399"/>
      <c r="N12" s="399"/>
      <c r="O12" s="399"/>
      <c r="P12" s="399"/>
      <c r="Q12" s="399"/>
      <c r="R12" s="399"/>
      <c r="S12" s="400"/>
      <c r="T12" s="399"/>
      <c r="U12" s="399"/>
      <c r="V12" s="399"/>
      <c r="W12" s="433"/>
      <c r="X12" s="400">
        <f>+ROUND(SUM(I12:W12),)</f>
        <v>0</v>
      </c>
      <c r="Y12" s="400"/>
      <c r="Z12" s="400">
        <f>+H12-X12</f>
        <v>0</v>
      </c>
    </row>
    <row r="13" spans="1:29" x14ac:dyDescent="0.75">
      <c r="B13" s="364" t="s">
        <v>1369</v>
      </c>
      <c r="G13" s="392"/>
      <c r="H13" s="434">
        <f>SUM(H9:H12)</f>
        <v>27853060.965588</v>
      </c>
      <c r="I13" s="401">
        <f>SUM(I9:I12)</f>
        <v>536205</v>
      </c>
      <c r="J13" s="402">
        <f>SUM(J9:J12)</f>
        <v>1078421</v>
      </c>
      <c r="K13" s="402">
        <f>SUM(K9:K12)</f>
        <v>2677684</v>
      </c>
      <c r="L13" s="402">
        <f t="shared" ref="L13:X13" si="1">SUM(L9:L12)</f>
        <v>2088716</v>
      </c>
      <c r="M13" s="402">
        <f t="shared" si="1"/>
        <v>2015511</v>
      </c>
      <c r="N13" s="402">
        <f t="shared" si="1"/>
        <v>2283400</v>
      </c>
      <c r="O13" s="402">
        <f t="shared" si="1"/>
        <v>2475082</v>
      </c>
      <c r="P13" s="402">
        <f t="shared" si="1"/>
        <v>2652968.5384940803</v>
      </c>
      <c r="Q13" s="402">
        <f t="shared" si="1"/>
        <v>3401596.1943646404</v>
      </c>
      <c r="R13" s="402">
        <f t="shared" si="1"/>
        <v>2620940.5191823207</v>
      </c>
      <c r="S13" s="402">
        <f t="shared" si="1"/>
        <v>2620940.5191823207</v>
      </c>
      <c r="T13" s="402">
        <f t="shared" si="1"/>
        <v>3177400.0591823207</v>
      </c>
      <c r="U13" s="402">
        <f t="shared" si="1"/>
        <v>224196.13518231997</v>
      </c>
      <c r="V13" s="402">
        <f t="shared" ref="V13" si="2">SUM(V9:V12)</f>
        <v>0</v>
      </c>
      <c r="W13" s="435">
        <f t="shared" si="1"/>
        <v>0</v>
      </c>
      <c r="X13" s="436">
        <f t="shared" si="1"/>
        <v>27853061</v>
      </c>
      <c r="Y13" s="418"/>
      <c r="Z13" s="418">
        <f>+SUM(Z9:Z11)</f>
        <v>-3.4411998465657234E-2</v>
      </c>
    </row>
    <row r="14" spans="1:29" x14ac:dyDescent="0.75">
      <c r="G14" s="392"/>
      <c r="H14" s="430"/>
      <c r="I14" s="388"/>
      <c r="J14" s="389"/>
      <c r="K14" s="389"/>
      <c r="L14" s="389"/>
      <c r="M14" s="389"/>
      <c r="N14" s="389"/>
      <c r="O14" s="389"/>
      <c r="P14" s="389"/>
      <c r="Q14" s="389"/>
      <c r="R14" s="389"/>
      <c r="S14" s="390"/>
      <c r="T14" s="390"/>
      <c r="U14" s="387"/>
      <c r="V14" s="387"/>
      <c r="W14" s="431"/>
      <c r="X14" s="387"/>
      <c r="Y14" s="387"/>
      <c r="Z14" s="387"/>
    </row>
    <row r="15" spans="1:29" x14ac:dyDescent="0.75">
      <c r="B15" s="364" t="s">
        <v>792</v>
      </c>
      <c r="G15" s="392"/>
      <c r="H15" s="430"/>
      <c r="I15" s="388"/>
      <c r="J15" s="389"/>
      <c r="K15" s="389"/>
      <c r="L15" s="389"/>
      <c r="M15" s="389"/>
      <c r="N15" s="389"/>
      <c r="O15" s="389"/>
      <c r="P15" s="389"/>
      <c r="Q15" s="389"/>
      <c r="R15" s="389"/>
      <c r="S15" s="390"/>
      <c r="T15" s="390"/>
      <c r="U15" s="387"/>
      <c r="V15" s="387"/>
      <c r="W15" s="431"/>
      <c r="X15" s="387"/>
      <c r="Y15" s="387"/>
      <c r="Z15" s="387"/>
    </row>
    <row r="16" spans="1:29" x14ac:dyDescent="0.75">
      <c r="B16" s="403">
        <v>8181</v>
      </c>
      <c r="C16" s="379" t="s">
        <v>1405</v>
      </c>
      <c r="F16" s="379" t="str">
        <f>IF(ISERROR(VLOOKUP(B16,'Distribution %'!A:A,1,FALSE)),"NO","YES")</f>
        <v>YES</v>
      </c>
      <c r="G16" s="392"/>
      <c r="H16" s="430">
        <f>IFERROR(VLOOKUP(B16,'Revenue w MYP'!$A$8:$J$52,10,FALSE),"0")+0</f>
        <v>564820.27858224011</v>
      </c>
      <c r="I16" s="388">
        <f>IF(VLOOKUP("Net Income",'FY ACTUALS'!$A$1:$X$996,I$3,FALSE)&lt;&gt;0,IFERROR(VLOOKUP($B16,'FY ACTUALS'!$A$1:$X$996,I$3,FALSE),"0")+0,IFERROR(($H16-SUMIF($I$1:$W$1,"ACTUAL",$I16:$W16))*(VLOOKUP($B16,'Distribution %'!$A$2:$Q$232,MATCH(I$2,'Distribution %'!$A$2:$Q$2,0),FALSE)/(SUMIF('Distribution %'!$C$1:$Q$1,"BUDGET",'Distribution %'!$C180:$Q180))),"0")+0)</f>
        <v>0</v>
      </c>
      <c r="J16" s="389">
        <f>IF(VLOOKUP("Net Income",'FY ACTUALS'!$A$1:$X$996,J$3,FALSE)&lt;&gt;0,IFERROR(VLOOKUP($B16,'FY ACTUALS'!$A$1:$X$996,J$3,FALSE),"0")+0,IFERROR(($H16-SUMIF($I$1:$W$1,"ACTUAL",$I16:$W16))*(VLOOKUP($B16,'Distribution %'!$A$2:$Q$232,MATCH(J$2,'Distribution %'!$A$2:$Q$2,0),FALSE)/(SUMIF('Distribution %'!$C$1:$Q$1,"BUDGET",'Distribution %'!$C180:$Q180))),"0")+0)</f>
        <v>0</v>
      </c>
      <c r="K16" s="389">
        <f>IF(VLOOKUP("Net Income",'FY ACTUALS'!$A$1:$X$996,K$3,FALSE)&lt;&gt;0,IFERROR(VLOOKUP($B16,'FY ACTUALS'!$A$1:$X$996,K$3,FALSE),"0")+0,IFERROR(($H16-SUMIF($I$1:$W$1,"ACTUAL",$I16:$W16))*(VLOOKUP($B16,'Distribution %'!$A$2:$Q$232,MATCH(K$2,'Distribution %'!$A$2:$Q$2,0),FALSE)/(SUMIF('Distribution %'!$C$1:$Q$1,"BUDGET",'Distribution %'!$C180:$Q180))),"0")+0)</f>
        <v>0</v>
      </c>
      <c r="L16" s="389">
        <f>IF(VLOOKUP("Net Income",'FY ACTUALS'!$A$1:$X$996,L$3,FALSE)&lt;&gt;0,IFERROR(VLOOKUP($B16,'FY ACTUALS'!$A$1:$X$996,L$3,FALSE),"0")+0,IFERROR(($H16-SUMIF($I$1:$W$1,"ACTUAL",$I16:$W16))*(VLOOKUP($B16,'Distribution %'!$A$2:$Q$232,MATCH(L$2,'Distribution %'!$A$2:$Q$2,0),FALSE)/(SUMIF('Distribution %'!$C$1:$Q$1,"BUDGET",'Distribution %'!$C180:$Q180))),"0")+0)</f>
        <v>0</v>
      </c>
      <c r="M16" s="389">
        <f>IF(VLOOKUP("Net Income",'FY ACTUALS'!$A$1:$X$996,M$3,FALSE)&lt;&gt;0,IFERROR(VLOOKUP($B16,'FY ACTUALS'!$A$1:$X$996,M$3,FALSE),"0")+0,IFERROR(($H16-SUMIF($I$1:$W$1,"ACTUAL",$I16:$W16))*(VLOOKUP($B16,'Distribution %'!$A$2:$Q$232,MATCH(M$2,'Distribution %'!$A$2:$Q$2,0),FALSE)/(SUMIF('Distribution %'!$C$1:$Q$1,"BUDGET",'Distribution %'!$C180:$Q180))),"0")+0)</f>
        <v>0</v>
      </c>
      <c r="N16" s="389">
        <f>IF(VLOOKUP("Net Income",'FY ACTUALS'!$A$1:$X$996,N$3,FALSE)&lt;&gt;0,IFERROR(VLOOKUP($B16,'FY ACTUALS'!$A$1:$X$996,N$3,FALSE),"0")+0,IFERROR(($H16-SUMIF($I$1:$W$1,"ACTUAL",$I16:$W16))*(VLOOKUP($B16,'Distribution %'!$A$2:$Q$232,MATCH(N$2,'Distribution %'!$A$2:$Q$2,0),FALSE)/(SUMIF('Distribution %'!$C$1:$Q$1,"BUDGET",'Distribution %'!$C180:$Q180))),"0")+0)</f>
        <v>0</v>
      </c>
      <c r="O16" s="389">
        <f>IF(VLOOKUP("Net Income",'FY ACTUALS'!$A$1:$X$996,O$3,FALSE)&lt;&gt;0,IFERROR(VLOOKUP($B16,'FY ACTUALS'!$A$1:$X$996,O$3,FALSE),"0")+0,IFERROR(($H16-SUMIF($I$1:$W$1,"ACTUAL",$I16:$W16))*(VLOOKUP($B16,'Distribution %'!$A$2:$Q$232,MATCH(O$2,'Distribution %'!$A$2:$Q$2,0),FALSE)/(SUMIF('Distribution %'!$C$1:$Q$1,"BUDGET",'Distribution %'!$C180:$Q180))),"0")+0)</f>
        <v>0</v>
      </c>
      <c r="P16" s="389">
        <f>IF(VLOOKUP("Net Income",'FY ACTUALS'!$A$1:$X$996,P$3,FALSE)&lt;&gt;0,IFERROR(VLOOKUP($B16,'FY ACTUALS'!$A$1:$X$996,P$3,FALSE),"0")+0,IFERROR(($H16-SUMIF($I$1:$W$1,"ACTUAL",$I16:$W16))*(VLOOKUP($B16,'Distribution %'!$A$2:$Q$232,MATCH(P$2,'Distribution %'!$A$2:$Q$2,0),FALSE)/(SUMIF('Distribution %'!$C$1:$Q$1,"BUDGET",'Distribution %'!$C180:$Q180))),"0")+0)</f>
        <v>112964.05571644803</v>
      </c>
      <c r="Q16" s="389">
        <f>IF(VLOOKUP("Net Income",'FY ACTUALS'!$A$1:$X$996,Q$3,FALSE)&lt;&gt;0,IFERROR(VLOOKUP($B16,'FY ACTUALS'!$A$1:$X$996,Q$3,FALSE),"0")+0,IFERROR(($H16-SUMIF($I$1:$W$1,"ACTUAL",$I16:$W16))*(VLOOKUP($B16,'Distribution %'!$A$2:$Q$232,MATCH(Q$2,'Distribution %'!$A$2:$Q$2,0),FALSE)/(SUMIF('Distribution %'!$C$1:$Q$1,"BUDGET",'Distribution %'!$C180:$Q180))),"0")+0)</f>
        <v>112964.05571644803</v>
      </c>
      <c r="R16" s="389">
        <f>IF(VLOOKUP("Net Income",'FY ACTUALS'!$A$1:$X$996,R$3,FALSE)&lt;&gt;0,IFERROR(VLOOKUP($B16,'FY ACTUALS'!$A$1:$X$996,R$3,FALSE),"0")+0,IFERROR(($H16-SUMIF($I$1:$W$1,"ACTUAL",$I16:$W16))*(VLOOKUP($B16,'Distribution %'!$A$2:$Q$232,MATCH(R$2,'Distribution %'!$A$2:$Q$2,0),FALSE)/(SUMIF('Distribution %'!$C$1:$Q$1,"BUDGET",'Distribution %'!$C180:$Q180))),"0")+0)</f>
        <v>112964.05571644803</v>
      </c>
      <c r="S16" s="389">
        <f>IF(VLOOKUP("Net Income",'FY ACTUALS'!$A$1:$X$996,S$3,FALSE)&lt;&gt;0,IFERROR(VLOOKUP($B16,'FY ACTUALS'!$A$1:$X$996,S$3,FALSE),"0")+0,IFERROR(($H16-SUMIF($I$1:$W$1,"ACTUAL",$I16:$W16))*(VLOOKUP($B16,'Distribution %'!$A$2:$Q$232,MATCH(S$2,'Distribution %'!$A$2:$Q$2,0),FALSE)/(SUMIF('Distribution %'!$C$1:$Q$1,"BUDGET",'Distribution %'!$C180:$Q180))),"0")+0)</f>
        <v>112964.05571644803</v>
      </c>
      <c r="T16" s="389">
        <f>IF(VLOOKUP("Net Income",'FY ACTUALS'!$A$1:$X$996,T$3,FALSE)&lt;&gt;0,IFERROR(VLOOKUP($B16,'FY ACTUALS'!$A$1:$X$996,T$3,FALSE),"0")+0,IFERROR(($H16-SUMIF($I$1:$W$1,"ACTUAL",$I16:$W16))*(VLOOKUP($B16,'Distribution %'!$A$2:$Q$232,MATCH(T$2,'Distribution %'!$A$2:$Q$2,0),FALSE)/(SUMIF('Distribution %'!$C$1:$Q$1,"BUDGET",'Distribution %'!$C180:$Q180))),"0")+0)</f>
        <v>112964.05571644803</v>
      </c>
      <c r="U16" s="389">
        <f>IF(VLOOKUP("Net Income",'FY ACTUALS'!$A$1:$X$996,U$3,FALSE)&lt;&gt;0,IFERROR(VLOOKUP($B16,'FY ACTUALS'!$A$1:$X$996,U$3,FALSE),"0")+0,IFERROR(($H16-SUMIF($I$1:$W$1,"ACTUAL",$I16:$W16))*(VLOOKUP($B16,'Distribution %'!$A$2:$Q$232,MATCH(U$2,'Distribution %'!$A$2:$Q$2,0),FALSE)/(SUMIF('Distribution %'!$C$1:$Q$1,"BUDGET",'Distribution %'!$C180:$Q180))),"0")+0)</f>
        <v>0</v>
      </c>
      <c r="V16" s="389">
        <f>IF(VLOOKUP("Net Income",'FY ACTUALS'!$A$1:$X$996,V$3,FALSE)&lt;&gt;0,IFERROR(VLOOKUP($B16,'FY ACTUALS'!$A$1:$X$996,V$3,FALSE),"0")+0,IFERROR(($H16-SUMIF($I$1:$W$1,"ACTUAL",$I16:$W16))*(VLOOKUP($B16,'Distribution %'!$A$2:$Q$232,MATCH(V$2,'Distribution %'!$A$2:$Q$2,0),FALSE)/(SUMIF('Distribution %'!$C$1:$Q$1,"BUDGET",'Distribution %'!$C180:$Q180))),"0")+0)</f>
        <v>0</v>
      </c>
      <c r="W16" s="460">
        <f>IF(VLOOKUP("Net Income",'FY ACTUALS'!$A$1:$X$996,W$3,FALSE)&lt;&gt;0,IFERROR(VLOOKUP($B16,'FY ACTUALS'!$A$1:$X$996,W$3,FALSE),"0")+0,IFERROR(($H16-SUMIF($I$1:$W$1,"ACTUAL",$I16:$W16))*(VLOOKUP($B16,'Distribution %'!$A$2:$Q$232,MATCH(W$2,'Distribution %'!$A$2:$Q$2,0),FALSE)/(SUMIF('Distribution %'!$C$1:$Q$1,"BUDGET",'Distribution %'!$C180:$Q180))),"0")+0)</f>
        <v>0</v>
      </c>
      <c r="X16" s="387">
        <f t="shared" ref="X16:X22" si="3">+ROUND(SUM(I16:W16),)</f>
        <v>564820</v>
      </c>
      <c r="Y16" s="387"/>
      <c r="Z16" s="387">
        <f t="shared" ref="Z16:Z27" si="4">+H16-X16</f>
        <v>0.27858224010560662</v>
      </c>
    </row>
    <row r="17" spans="2:26" x14ac:dyDescent="0.75">
      <c r="B17" s="403">
        <v>8220</v>
      </c>
      <c r="C17" s="379" t="s">
        <v>1406</v>
      </c>
      <c r="F17" s="379" t="str">
        <f>IF(ISERROR(VLOOKUP(B17,'Distribution %'!A:A,1,FALSE)),"NO","YES")</f>
        <v>YES</v>
      </c>
      <c r="G17" s="392"/>
      <c r="H17" s="430">
        <f>IFERROR(VLOOKUP(B17,'Revenue w MYP'!$A$8:$J$52,10,FALSE),"0")+0</f>
        <v>0</v>
      </c>
      <c r="I17" s="388">
        <f>IF(VLOOKUP("Net Income",'FY ACTUALS'!$A$1:$X$996,I$3,FALSE)&lt;&gt;0,IFERROR(VLOOKUP($B17,'FY ACTUALS'!$A$1:$X$996,I$3,FALSE),"0")+0,IFERROR(($H17-SUMIF($I$1:$W$1,"ACTUAL",$I17:$W17))*(VLOOKUP($B17,'Distribution %'!$A$2:$Q$232,MATCH(I$2,'Distribution %'!$A$2:$Q$2,0),FALSE)/(SUMIF('Distribution %'!$C$1:$Q$1,"BUDGET",'Distribution %'!$C181:$Q181))),"0")+0)</f>
        <v>0</v>
      </c>
      <c r="J17" s="389">
        <f>IF(VLOOKUP("Net Income",'FY ACTUALS'!$A$1:$X$996,J$3,FALSE)&lt;&gt;0,IFERROR(VLOOKUP($B17,'FY ACTUALS'!$A$1:$X$996,J$3,FALSE),"0")+0,IFERROR(($H17-SUMIF($I$1:$W$1,"ACTUAL",$I17:$W17))*(VLOOKUP($B17,'Distribution %'!$A$2:$Q$232,MATCH(J$2,'Distribution %'!$A$2:$Q$2,0),FALSE)/(SUMIF('Distribution %'!$C$1:$Q$1,"BUDGET",'Distribution %'!$C181:$Q181))),"0")+0)</f>
        <v>0</v>
      </c>
      <c r="K17" s="389">
        <f>IF(VLOOKUP("Net Income",'FY ACTUALS'!$A$1:$X$996,K$3,FALSE)&lt;&gt;0,IFERROR(VLOOKUP($B17,'FY ACTUALS'!$A$1:$X$996,K$3,FALSE),"0")+0,IFERROR(($H17-SUMIF($I$1:$W$1,"ACTUAL",$I17:$W17))*(VLOOKUP($B17,'Distribution %'!$A$2:$Q$232,MATCH(K$2,'Distribution %'!$A$2:$Q$2,0),FALSE)/(SUMIF('Distribution %'!$C$1:$Q$1,"BUDGET",'Distribution %'!$C181:$Q181))),"0")+0)</f>
        <v>0</v>
      </c>
      <c r="L17" s="389">
        <f>IF(VLOOKUP("Net Income",'FY ACTUALS'!$A$1:$X$996,L$3,FALSE)&lt;&gt;0,IFERROR(VLOOKUP($B17,'FY ACTUALS'!$A$1:$X$996,L$3,FALSE),"0")+0,IFERROR(($H17-SUMIF($I$1:$W$1,"ACTUAL",$I17:$W17))*(VLOOKUP($B17,'Distribution %'!$A$2:$Q$232,MATCH(L$2,'Distribution %'!$A$2:$Q$2,0),FALSE)/(SUMIF('Distribution %'!$C$1:$Q$1,"BUDGET",'Distribution %'!$C181:$Q181))),"0")+0)</f>
        <v>0</v>
      </c>
      <c r="M17" s="389">
        <f>IF(VLOOKUP("Net Income",'FY ACTUALS'!$A$1:$X$996,M$3,FALSE)&lt;&gt;0,IFERROR(VLOOKUP($B17,'FY ACTUALS'!$A$1:$X$996,M$3,FALSE),"0")+0,IFERROR(($H17-SUMIF($I$1:$W$1,"ACTUAL",$I17:$W17))*(VLOOKUP($B17,'Distribution %'!$A$2:$Q$232,MATCH(M$2,'Distribution %'!$A$2:$Q$2,0),FALSE)/(SUMIF('Distribution %'!$C$1:$Q$1,"BUDGET",'Distribution %'!$C181:$Q181))),"0")+0)</f>
        <v>0</v>
      </c>
      <c r="N17" s="389">
        <f>IF(VLOOKUP("Net Income",'FY ACTUALS'!$A$1:$X$996,N$3,FALSE)&lt;&gt;0,IFERROR(VLOOKUP($B17,'FY ACTUALS'!$A$1:$X$996,N$3,FALSE),"0")+0,IFERROR(($H17-SUMIF($I$1:$W$1,"ACTUAL",$I17:$W17))*(VLOOKUP($B17,'Distribution %'!$A$2:$Q$232,MATCH(N$2,'Distribution %'!$A$2:$Q$2,0),FALSE)/(SUMIF('Distribution %'!$C$1:$Q$1,"BUDGET",'Distribution %'!$C181:$Q181))),"0")+0)</f>
        <v>0</v>
      </c>
      <c r="O17" s="389">
        <f>IF(VLOOKUP("Net Income",'FY ACTUALS'!$A$1:$X$996,O$3,FALSE)&lt;&gt;0,IFERROR(VLOOKUP($B17,'FY ACTUALS'!$A$1:$X$996,O$3,FALSE),"0")+0,IFERROR(($H17-SUMIF($I$1:$W$1,"ACTUAL",$I17:$W17))*(VLOOKUP($B17,'Distribution %'!$A$2:$Q$232,MATCH(O$2,'Distribution %'!$A$2:$Q$2,0),FALSE)/(SUMIF('Distribution %'!$C$1:$Q$1,"BUDGET",'Distribution %'!$C181:$Q181))),"0")+0)</f>
        <v>0</v>
      </c>
      <c r="P17" s="389">
        <f>IF(VLOOKUP("Net Income",'FY ACTUALS'!$A$1:$X$996,P$3,FALSE)&lt;&gt;0,IFERROR(VLOOKUP($B17,'FY ACTUALS'!$A$1:$X$996,P$3,FALSE),"0")+0,IFERROR(($H17-SUMIF($I$1:$W$1,"ACTUAL",$I17:$W17))*(VLOOKUP($B17,'Distribution %'!$A$2:$Q$232,MATCH(P$2,'Distribution %'!$A$2:$Q$2,0),FALSE)/(SUMIF('Distribution %'!$C$1:$Q$1,"BUDGET",'Distribution %'!$C181:$Q181))),"0")+0)</f>
        <v>0</v>
      </c>
      <c r="Q17" s="389">
        <f>IF(VLOOKUP("Net Income",'FY ACTUALS'!$A$1:$X$996,Q$3,FALSE)&lt;&gt;0,IFERROR(VLOOKUP($B17,'FY ACTUALS'!$A$1:$X$996,Q$3,FALSE),"0")+0,IFERROR(($H17-SUMIF($I$1:$W$1,"ACTUAL",$I17:$W17))*(VLOOKUP($B17,'Distribution %'!$A$2:$Q$232,MATCH(Q$2,'Distribution %'!$A$2:$Q$2,0),FALSE)/(SUMIF('Distribution %'!$C$1:$Q$1,"BUDGET",'Distribution %'!$C181:$Q181))),"0")+0)</f>
        <v>0</v>
      </c>
      <c r="R17" s="389">
        <f>IF(VLOOKUP("Net Income",'FY ACTUALS'!$A$1:$X$996,R$3,FALSE)&lt;&gt;0,IFERROR(VLOOKUP($B17,'FY ACTUALS'!$A$1:$X$996,R$3,FALSE),"0")+0,IFERROR(($H17-SUMIF($I$1:$W$1,"ACTUAL",$I17:$W17))*(VLOOKUP($B17,'Distribution %'!$A$2:$Q$232,MATCH(R$2,'Distribution %'!$A$2:$Q$2,0),FALSE)/(SUMIF('Distribution %'!$C$1:$Q$1,"BUDGET",'Distribution %'!$C181:$Q181))),"0")+0)</f>
        <v>0</v>
      </c>
      <c r="S17" s="389">
        <f>IF(VLOOKUP("Net Income",'FY ACTUALS'!$A$1:$X$996,S$3,FALSE)&lt;&gt;0,IFERROR(VLOOKUP($B17,'FY ACTUALS'!$A$1:$X$996,S$3,FALSE),"0")+0,IFERROR(($H17-SUMIF($I$1:$W$1,"ACTUAL",$I17:$W17))*(VLOOKUP($B17,'Distribution %'!$A$2:$Q$232,MATCH(S$2,'Distribution %'!$A$2:$Q$2,0),FALSE)/(SUMIF('Distribution %'!$C$1:$Q$1,"BUDGET",'Distribution %'!$C181:$Q181))),"0")+0)</f>
        <v>0</v>
      </c>
      <c r="T17" s="389">
        <f>IF(VLOOKUP("Net Income",'FY ACTUALS'!$A$1:$X$996,T$3,FALSE)&lt;&gt;0,IFERROR(VLOOKUP($B17,'FY ACTUALS'!$A$1:$X$996,T$3,FALSE),"0")+0,IFERROR(($H17-SUMIF($I$1:$W$1,"ACTUAL",$I17:$W17))*(VLOOKUP($B17,'Distribution %'!$A$2:$Q$232,MATCH(T$2,'Distribution %'!$A$2:$Q$2,0),FALSE)/(SUMIF('Distribution %'!$C$1:$Q$1,"BUDGET",'Distribution %'!$C181:$Q181))),"0")+0)</f>
        <v>0</v>
      </c>
      <c r="U17" s="389">
        <f>IF(VLOOKUP("Net Income",'FY ACTUALS'!$A$1:$X$996,U$3,FALSE)&lt;&gt;0,IFERROR(VLOOKUP($B17,'FY ACTUALS'!$A$1:$X$996,U$3,FALSE),"0")+0,IFERROR(($H17-SUMIF($I$1:$W$1,"ACTUAL",$I17:$W17))*(VLOOKUP($B17,'Distribution %'!$A$2:$Q$232,MATCH(U$2,'Distribution %'!$A$2:$Q$2,0),FALSE)/(SUMIF('Distribution %'!$C$1:$Q$1,"BUDGET",'Distribution %'!$C181:$Q181))),"0")+0)</f>
        <v>0</v>
      </c>
      <c r="V17" s="389">
        <f>IF(VLOOKUP("Net Income",'FY ACTUALS'!$A$1:$X$996,V$3,FALSE)&lt;&gt;0,IFERROR(VLOOKUP($B17,'FY ACTUALS'!$A$1:$X$996,V$3,FALSE),"0")+0,IFERROR(($H17-SUMIF($I$1:$W$1,"ACTUAL",$I17:$W17))*(VLOOKUP($B17,'Distribution %'!$A$2:$Q$232,MATCH(V$2,'Distribution %'!$A$2:$Q$2,0),FALSE)/(SUMIF('Distribution %'!$C$1:$Q$1,"BUDGET",'Distribution %'!$C181:$Q181))),"0")+0)</f>
        <v>0</v>
      </c>
      <c r="W17" s="460">
        <f>IF(VLOOKUP("Net Income",'FY ACTUALS'!$A$1:$X$996,W$3,FALSE)&lt;&gt;0,IFERROR(VLOOKUP($B17,'FY ACTUALS'!$A$1:$X$996,W$3,FALSE),"0")+0,IFERROR(($H17-SUMIF($I$1:$W$1,"ACTUAL",$I17:$W17))*(VLOOKUP($B17,'Distribution %'!$A$2:$Q$232,MATCH(W$2,'Distribution %'!$A$2:$Q$2,0),FALSE)/(SUMIF('Distribution %'!$C$1:$Q$1,"BUDGET",'Distribution %'!$C181:$Q181))),"0")+0)</f>
        <v>0</v>
      </c>
      <c r="X17" s="387">
        <f t="shared" si="3"/>
        <v>0</v>
      </c>
      <c r="Y17" s="387"/>
      <c r="Z17" s="387">
        <f t="shared" si="4"/>
        <v>0</v>
      </c>
    </row>
    <row r="18" spans="2:26" x14ac:dyDescent="0.75">
      <c r="B18" s="403">
        <v>8290</v>
      </c>
      <c r="C18" s="379" t="s">
        <v>619</v>
      </c>
      <c r="F18" s="379" t="str">
        <f>IF(ISERROR(VLOOKUP(B18,'Distribution %'!A:A,1,FALSE)),"NO","YES")</f>
        <v>YES</v>
      </c>
      <c r="G18" s="392"/>
      <c r="H18" s="430">
        <f>IFERROR(VLOOKUP(B18,'Revenue w MYP'!$A$8:$J$52,10,FALSE),"0")+0</f>
        <v>1515534.28</v>
      </c>
      <c r="I18" s="388">
        <f>IF(VLOOKUP("Net Income",'FY ACTUALS'!$A$1:$X$996,I$3,FALSE)&lt;&gt;0,IFERROR(VLOOKUP($B18,'FY ACTUALS'!$A$1:$X$996,I$3,FALSE),"0")+0,IFERROR(($H18-SUMIF($I$1:$W$1,"ACTUAL",$I18:$W18))*(VLOOKUP($B18,'Distribution %'!$A$2:$Q$232,MATCH(I$2,'Distribution %'!$A$2:$Q$2,0),FALSE)/(SUMIF('Distribution %'!$C$1:$Q$1,"BUDGET",'Distribution %'!$C182:$Q182))),"0")+0)</f>
        <v>78268.789999999994</v>
      </c>
      <c r="J18" s="389">
        <f>IF(VLOOKUP("Net Income",'FY ACTUALS'!$A$1:$X$996,J$3,FALSE)&lt;&gt;0,IFERROR(VLOOKUP($B18,'FY ACTUALS'!$A$1:$X$996,J$3,FALSE),"0")+0,IFERROR(($H18-SUMIF($I$1:$W$1,"ACTUAL",$I18:$W18))*(VLOOKUP($B18,'Distribution %'!$A$2:$Q$232,MATCH(J$2,'Distribution %'!$A$2:$Q$2,0),FALSE)/(SUMIF('Distribution %'!$C$1:$Q$1,"BUDGET",'Distribution %'!$C182:$Q182))),"0")+0)</f>
        <v>73562</v>
      </c>
      <c r="K18" s="389">
        <f>IF(VLOOKUP("Net Income",'FY ACTUALS'!$A$1:$X$996,K$3,FALSE)&lt;&gt;0,IFERROR(VLOOKUP($B18,'FY ACTUALS'!$A$1:$X$996,K$3,FALSE),"0")+0,IFERROR(($H18-SUMIF($I$1:$W$1,"ACTUAL",$I18:$W18))*(VLOOKUP($B18,'Distribution %'!$A$2:$Q$232,MATCH(K$2,'Distribution %'!$A$2:$Q$2,0),FALSE)/(SUMIF('Distribution %'!$C$1:$Q$1,"BUDGET",'Distribution %'!$C182:$Q182))),"0")+0)</f>
        <v>12873.06</v>
      </c>
      <c r="L18" s="389">
        <f>IF(VLOOKUP("Net Income",'FY ACTUALS'!$A$1:$X$996,L$3,FALSE)&lt;&gt;0,IFERROR(VLOOKUP($B18,'FY ACTUALS'!$A$1:$X$996,L$3,FALSE),"0")+0,IFERROR(($H18-SUMIF($I$1:$W$1,"ACTUAL",$I18:$W18))*(VLOOKUP($B18,'Distribution %'!$A$2:$Q$232,MATCH(L$2,'Distribution %'!$A$2:$Q$2,0),FALSE)/(SUMIF('Distribution %'!$C$1:$Q$1,"BUDGET",'Distribution %'!$C182:$Q182))),"0")+0)</f>
        <v>17386</v>
      </c>
      <c r="M18" s="389">
        <f>IF(VLOOKUP("Net Income",'FY ACTUALS'!$A$1:$X$996,M$3,FALSE)&lt;&gt;0,IFERROR(VLOOKUP($B18,'FY ACTUALS'!$A$1:$X$996,M$3,FALSE),"0")+0,IFERROR(($H18-SUMIF($I$1:$W$1,"ACTUAL",$I18:$W18))*(VLOOKUP($B18,'Distribution %'!$A$2:$Q$232,MATCH(M$2,'Distribution %'!$A$2:$Q$2,0),FALSE)/(SUMIF('Distribution %'!$C$1:$Q$1,"BUDGET",'Distribution %'!$C182:$Q182))),"0")+0)</f>
        <v>0</v>
      </c>
      <c r="N18" s="389">
        <f>IF(VLOOKUP("Net Income",'FY ACTUALS'!$A$1:$X$996,N$3,FALSE)&lt;&gt;0,IFERROR(VLOOKUP($B18,'FY ACTUALS'!$A$1:$X$996,N$3,FALSE),"0")+0,IFERROR(($H18-SUMIF($I$1:$W$1,"ACTUAL",$I18:$W18))*(VLOOKUP($B18,'Distribution %'!$A$2:$Q$232,MATCH(N$2,'Distribution %'!$A$2:$Q$2,0),FALSE)/(SUMIF('Distribution %'!$C$1:$Q$1,"BUDGET",'Distribution %'!$C182:$Q182))),"0")+0)</f>
        <v>0</v>
      </c>
      <c r="O18" s="389">
        <f>IF(VLOOKUP("Net Income",'FY ACTUALS'!$A$1:$X$996,O$3,FALSE)&lt;&gt;0,IFERROR(VLOOKUP($B18,'FY ACTUALS'!$A$1:$X$996,O$3,FALSE),"0")+0,IFERROR(($H18-SUMIF($I$1:$W$1,"ACTUAL",$I18:$W18))*(VLOOKUP($B18,'Distribution %'!$A$2:$Q$232,MATCH(O$2,'Distribution %'!$A$2:$Q$2,0),FALSE)/(SUMIF('Distribution %'!$C$1:$Q$1,"BUDGET",'Distribution %'!$C182:$Q182))),"0")+0)</f>
        <v>417288</v>
      </c>
      <c r="P18" s="389">
        <f>IF(VLOOKUP("Net Income",'FY ACTUALS'!$A$1:$X$996,P$3,FALSE)&lt;&gt;0,IFERROR(VLOOKUP($B18,'FY ACTUALS'!$A$1:$X$996,P$3,FALSE),"0")+0,IFERROR(($H18-SUMIF($I$1:$W$1,"ACTUAL",$I18:$W18))*(VLOOKUP($B18,'Distribution %'!$A$2:$Q$232,MATCH(P$2,'Distribution %'!$A$2:$Q$2,0),FALSE)/(SUMIF('Distribution %'!$C$1:$Q$1,"BUDGET",'Distribution %'!$C182:$Q182))),"0")+0)</f>
        <v>0</v>
      </c>
      <c r="Q18" s="389">
        <f>IF(VLOOKUP("Net Income",'FY ACTUALS'!$A$1:$X$996,Q$3,FALSE)&lt;&gt;0,IFERROR(VLOOKUP($B18,'FY ACTUALS'!$A$1:$X$996,Q$3,FALSE),"0")+0,IFERROR(($H18-SUMIF($I$1:$W$1,"ACTUAL",$I18:$W18))*(VLOOKUP($B18,'Distribution %'!$A$2:$Q$232,MATCH(Q$2,'Distribution %'!$A$2:$Q$2,0),FALSE)/(SUMIF('Distribution %'!$C$1:$Q$1,"BUDGET",'Distribution %'!$C182:$Q182))),"0")+0)</f>
        <v>0</v>
      </c>
      <c r="R18" s="389">
        <f>IF(VLOOKUP("Net Income",'FY ACTUALS'!$A$1:$X$996,R$3,FALSE)&lt;&gt;0,IFERROR(VLOOKUP($B18,'FY ACTUALS'!$A$1:$X$996,R$3,FALSE),"0")+0,IFERROR(($H18-SUMIF($I$1:$W$1,"ACTUAL",$I18:$W18))*(VLOOKUP($B18,'Distribution %'!$A$2:$Q$232,MATCH(R$2,'Distribution %'!$A$2:$Q$2,0),FALSE)/(SUMIF('Distribution %'!$C$1:$Q$1,"BUDGET",'Distribution %'!$C182:$Q182))),"0")+0)</f>
        <v>313421.93657894741</v>
      </c>
      <c r="S18" s="389">
        <f>IF(VLOOKUP("Net Income",'FY ACTUALS'!$A$1:$X$996,S$3,FALSE)&lt;&gt;0,IFERROR(VLOOKUP($B18,'FY ACTUALS'!$A$1:$X$996,S$3,FALSE),"0")+0,IFERROR(($H18-SUMIF($I$1:$W$1,"ACTUAL",$I18:$W18))*(VLOOKUP($B18,'Distribution %'!$A$2:$Q$232,MATCH(S$2,'Distribution %'!$A$2:$Q$2,0),FALSE)/(SUMIF('Distribution %'!$C$1:$Q$1,"BUDGET",'Distribution %'!$C182:$Q182))),"0")+0)</f>
        <v>0</v>
      </c>
      <c r="T18" s="389">
        <f>IF(VLOOKUP("Net Income",'FY ACTUALS'!$A$1:$X$996,T$3,FALSE)&lt;&gt;0,IFERROR(VLOOKUP($B18,'FY ACTUALS'!$A$1:$X$996,T$3,FALSE),"0")+0,IFERROR(($H18-SUMIF($I$1:$W$1,"ACTUAL",$I18:$W18))*(VLOOKUP($B18,'Distribution %'!$A$2:$Q$232,MATCH(T$2,'Distribution %'!$A$2:$Q$2,0),FALSE)/(SUMIF('Distribution %'!$C$1:$Q$1,"BUDGET",'Distribution %'!$C182:$Q182))),"0")+0)</f>
        <v>602734.4934210527</v>
      </c>
      <c r="U18" s="389">
        <f>IF(VLOOKUP("Net Income",'FY ACTUALS'!$A$1:$X$996,U$3,FALSE)&lt;&gt;0,IFERROR(VLOOKUP($B18,'FY ACTUALS'!$A$1:$X$996,U$3,FALSE),"0")+0,IFERROR(($H18-SUMIF($I$1:$W$1,"ACTUAL",$I18:$W18))*(VLOOKUP($B18,'Distribution %'!$A$2:$Q$232,MATCH(U$2,'Distribution %'!$A$2:$Q$2,0),FALSE)/(SUMIF('Distribution %'!$C$1:$Q$1,"BUDGET",'Distribution %'!$C182:$Q182))),"0")+0)</f>
        <v>0</v>
      </c>
      <c r="V18" s="389">
        <f>IF(VLOOKUP("Net Income",'FY ACTUALS'!$A$1:$X$996,V$3,FALSE)&lt;&gt;0,IFERROR(VLOOKUP($B18,'FY ACTUALS'!$A$1:$X$996,V$3,FALSE),"0")+0,IFERROR(($H18-SUMIF($I$1:$W$1,"ACTUAL",$I18:$W18))*(VLOOKUP($B18,'Distribution %'!$A$2:$Q$232,MATCH(V$2,'Distribution %'!$A$2:$Q$2,0),FALSE)/(SUMIF('Distribution %'!$C$1:$Q$1,"BUDGET",'Distribution %'!$C182:$Q182))),"0")+0)</f>
        <v>0</v>
      </c>
      <c r="W18" s="460">
        <f>IF(VLOOKUP("Net Income",'FY ACTUALS'!$A$1:$X$996,W$3,FALSE)&lt;&gt;0,IFERROR(VLOOKUP($B18,'FY ACTUALS'!$A$1:$X$996,W$3,FALSE),"0")+0,IFERROR(($H18-SUMIF($I$1:$W$1,"ACTUAL",$I18:$W18))*(VLOOKUP($B18,'Distribution %'!$A$2:$Q$232,MATCH(W$2,'Distribution %'!$A$2:$Q$2,0),FALSE)/(SUMIF('Distribution %'!$C$1:$Q$1,"BUDGET",'Distribution %'!$C182:$Q182))),"0")+0)</f>
        <v>0</v>
      </c>
      <c r="X18" s="387">
        <f t="shared" si="3"/>
        <v>1515534</v>
      </c>
      <c r="Y18" s="387"/>
      <c r="Z18" s="387">
        <f t="shared" si="4"/>
        <v>0.28000000002793968</v>
      </c>
    </row>
    <row r="19" spans="2:26" x14ac:dyDescent="0.75">
      <c r="B19" s="403">
        <v>8291</v>
      </c>
      <c r="C19" s="379" t="s">
        <v>783</v>
      </c>
      <c r="F19" s="379" t="str">
        <f>IF(ISERROR(VLOOKUP(B19,'Distribution %'!A:A,1,FALSE)),"NO","YES")</f>
        <v>YES</v>
      </c>
      <c r="G19" s="392"/>
      <c r="H19" s="430">
        <f>IFERROR(VLOOKUP(B19,'Revenue w MYP'!$A$8:$J$52,10,FALSE),"0")+0</f>
        <v>382984</v>
      </c>
      <c r="I19" s="388">
        <f>IF(VLOOKUP("Net Income",'FY ACTUALS'!$A$1:$X$996,I$3,FALSE)&lt;&gt;0,IFERROR(VLOOKUP($B19,'FY ACTUALS'!$A$1:$X$996,I$3,FALSE),"0")+0,IFERROR(($H19-SUMIF($I$1:$W$1,"ACTUAL",$I19:$W19))*(VLOOKUP($B19,'Distribution %'!$A$2:$Q$232,MATCH(I$2,'Distribution %'!$A$2:$Q$2,0),FALSE)/(SUMIF('Distribution %'!$C$1:$Q$1,"BUDGET",'Distribution %'!$C183:$Q183))),"0")+0)</f>
        <v>0</v>
      </c>
      <c r="J19" s="389">
        <f>IF(VLOOKUP("Net Income",'FY ACTUALS'!$A$1:$X$996,J$3,FALSE)&lt;&gt;0,IFERROR(VLOOKUP($B19,'FY ACTUALS'!$A$1:$X$996,J$3,FALSE),"0")+0,IFERROR(($H19-SUMIF($I$1:$W$1,"ACTUAL",$I19:$W19))*(VLOOKUP($B19,'Distribution %'!$A$2:$Q$232,MATCH(J$2,'Distribution %'!$A$2:$Q$2,0),FALSE)/(SUMIF('Distribution %'!$C$1:$Q$1,"BUDGET",'Distribution %'!$C183:$Q183))),"0")+0)</f>
        <v>0</v>
      </c>
      <c r="K19" s="389">
        <f>IF(VLOOKUP("Net Income",'FY ACTUALS'!$A$1:$X$996,K$3,FALSE)&lt;&gt;0,IFERROR(VLOOKUP($B19,'FY ACTUALS'!$A$1:$X$996,K$3,FALSE),"0")+0,IFERROR(($H19-SUMIF($I$1:$W$1,"ACTUAL",$I19:$W19))*(VLOOKUP($B19,'Distribution %'!$A$2:$Q$232,MATCH(K$2,'Distribution %'!$A$2:$Q$2,0),FALSE)/(SUMIF('Distribution %'!$C$1:$Q$1,"BUDGET",'Distribution %'!$C183:$Q183))),"0")+0)</f>
        <v>0</v>
      </c>
      <c r="L19" s="389">
        <f>IF(VLOOKUP("Net Income",'FY ACTUALS'!$A$1:$X$996,L$3,FALSE)&lt;&gt;0,IFERROR(VLOOKUP($B19,'FY ACTUALS'!$A$1:$X$996,L$3,FALSE),"0")+0,IFERROR(($H19-SUMIF($I$1:$W$1,"ACTUAL",$I19:$W19))*(VLOOKUP($B19,'Distribution %'!$A$2:$Q$232,MATCH(L$2,'Distribution %'!$A$2:$Q$2,0),FALSE)/(SUMIF('Distribution %'!$C$1:$Q$1,"BUDGET",'Distribution %'!$C183:$Q183))),"0")+0)</f>
        <v>78721</v>
      </c>
      <c r="M19" s="389">
        <f>IF(VLOOKUP("Net Income",'FY ACTUALS'!$A$1:$X$996,M$3,FALSE)&lt;&gt;0,IFERROR(VLOOKUP($B19,'FY ACTUALS'!$A$1:$X$996,M$3,FALSE),"0")+0,IFERROR(($H19-SUMIF($I$1:$W$1,"ACTUAL",$I19:$W19))*(VLOOKUP($B19,'Distribution %'!$A$2:$Q$232,MATCH(M$2,'Distribution %'!$A$2:$Q$2,0),FALSE)/(SUMIF('Distribution %'!$C$1:$Q$1,"BUDGET",'Distribution %'!$C183:$Q183))),"0")+0)</f>
        <v>18196</v>
      </c>
      <c r="N19" s="389">
        <f>IF(VLOOKUP("Net Income",'FY ACTUALS'!$A$1:$X$996,N$3,FALSE)&lt;&gt;0,IFERROR(VLOOKUP($B19,'FY ACTUALS'!$A$1:$X$996,N$3,FALSE),"0")+0,IFERROR(($H19-SUMIF($I$1:$W$1,"ACTUAL",$I19:$W19))*(VLOOKUP($B19,'Distribution %'!$A$2:$Q$232,MATCH(N$2,'Distribution %'!$A$2:$Q$2,0),FALSE)/(SUMIF('Distribution %'!$C$1:$Q$1,"BUDGET",'Distribution %'!$C183:$Q183))),"0")+0)</f>
        <v>0</v>
      </c>
      <c r="O19" s="389">
        <f>IF(VLOOKUP("Net Income",'FY ACTUALS'!$A$1:$X$996,O$3,FALSE)&lt;&gt;0,IFERROR(VLOOKUP($B19,'FY ACTUALS'!$A$1:$X$996,O$3,FALSE),"0")+0,IFERROR(($H19-SUMIF($I$1:$W$1,"ACTUAL",$I19:$W19))*(VLOOKUP($B19,'Distribution %'!$A$2:$Q$232,MATCH(O$2,'Distribution %'!$A$2:$Q$2,0),FALSE)/(SUMIF('Distribution %'!$C$1:$Q$1,"BUDGET",'Distribution %'!$C183:$Q183))),"0")+0)</f>
        <v>112476</v>
      </c>
      <c r="P19" s="389">
        <f>IF(VLOOKUP("Net Income",'FY ACTUALS'!$A$1:$X$996,P$3,FALSE)&lt;&gt;0,IFERROR(VLOOKUP($B19,'FY ACTUALS'!$A$1:$X$996,P$3,FALSE),"0")+0,IFERROR(($H19-SUMIF($I$1:$W$1,"ACTUAL",$I19:$W19))*(VLOOKUP($B19,'Distribution %'!$A$2:$Q$232,MATCH(P$2,'Distribution %'!$A$2:$Q$2,0),FALSE)/(SUMIF('Distribution %'!$C$1:$Q$1,"BUDGET",'Distribution %'!$C183:$Q183))),"0")+0)</f>
        <v>0</v>
      </c>
      <c r="Q19" s="389">
        <f>IF(VLOOKUP("Net Income",'FY ACTUALS'!$A$1:$X$996,Q$3,FALSE)&lt;&gt;0,IFERROR(VLOOKUP($B19,'FY ACTUALS'!$A$1:$X$996,Q$3,FALSE),"0")+0,IFERROR(($H19-SUMIF($I$1:$W$1,"ACTUAL",$I19:$W19))*(VLOOKUP($B19,'Distribution %'!$A$2:$Q$232,MATCH(Q$2,'Distribution %'!$A$2:$Q$2,0),FALSE)/(SUMIF('Distribution %'!$C$1:$Q$1,"BUDGET",'Distribution %'!$C183:$Q183))),"0")+0)</f>
        <v>0</v>
      </c>
      <c r="R19" s="389">
        <f>IF(VLOOKUP("Net Income",'FY ACTUALS'!$A$1:$X$996,R$3,FALSE)&lt;&gt;0,IFERROR(VLOOKUP($B19,'FY ACTUALS'!$A$1:$X$996,R$3,FALSE),"0")+0,IFERROR(($H19-SUMIF($I$1:$W$1,"ACTUAL",$I19:$W19))*(VLOOKUP($B19,'Distribution %'!$A$2:$Q$232,MATCH(R$2,'Distribution %'!$A$2:$Q$2,0),FALSE)/(SUMIF('Distribution %'!$C$1:$Q$1,"BUDGET",'Distribution %'!$C183:$Q183))),"0")+0)</f>
        <v>115727.33333333333</v>
      </c>
      <c r="S19" s="389">
        <f>IF(VLOOKUP("Net Income",'FY ACTUALS'!$A$1:$X$996,S$3,FALSE)&lt;&gt;0,IFERROR(VLOOKUP($B19,'FY ACTUALS'!$A$1:$X$996,S$3,FALSE),"0")+0,IFERROR(($H19-SUMIF($I$1:$W$1,"ACTUAL",$I19:$W19))*(VLOOKUP($B19,'Distribution %'!$A$2:$Q$232,MATCH(S$2,'Distribution %'!$A$2:$Q$2,0),FALSE)/(SUMIF('Distribution %'!$C$1:$Q$1,"BUDGET",'Distribution %'!$C183:$Q183))),"0")+0)</f>
        <v>0</v>
      </c>
      <c r="T19" s="389">
        <f>IF(VLOOKUP("Net Income",'FY ACTUALS'!$A$1:$X$996,T$3,FALSE)&lt;&gt;0,IFERROR(VLOOKUP($B19,'FY ACTUALS'!$A$1:$X$996,T$3,FALSE),"0")+0,IFERROR(($H19-SUMIF($I$1:$W$1,"ACTUAL",$I19:$W19))*(VLOOKUP($B19,'Distribution %'!$A$2:$Q$232,MATCH(T$2,'Distribution %'!$A$2:$Q$2,0),FALSE)/(SUMIF('Distribution %'!$C$1:$Q$1,"BUDGET",'Distribution %'!$C183:$Q183))),"0")+0)</f>
        <v>57863.666666666664</v>
      </c>
      <c r="U19" s="389">
        <f>IF(VLOOKUP("Net Income",'FY ACTUALS'!$A$1:$X$996,U$3,FALSE)&lt;&gt;0,IFERROR(VLOOKUP($B19,'FY ACTUALS'!$A$1:$X$996,U$3,FALSE),"0")+0,IFERROR(($H19-SUMIF($I$1:$W$1,"ACTUAL",$I19:$W19))*(VLOOKUP($B19,'Distribution %'!$A$2:$Q$232,MATCH(U$2,'Distribution %'!$A$2:$Q$2,0),FALSE)/(SUMIF('Distribution %'!$C$1:$Q$1,"BUDGET",'Distribution %'!$C183:$Q183))),"0")+0)</f>
        <v>0</v>
      </c>
      <c r="V19" s="389">
        <f>IF(VLOOKUP("Net Income",'FY ACTUALS'!$A$1:$X$996,V$3,FALSE)&lt;&gt;0,IFERROR(VLOOKUP($B19,'FY ACTUALS'!$A$1:$X$996,V$3,FALSE),"0")+0,IFERROR(($H19-SUMIF($I$1:$W$1,"ACTUAL",$I19:$W19))*(VLOOKUP($B19,'Distribution %'!$A$2:$Q$232,MATCH(V$2,'Distribution %'!$A$2:$Q$2,0),FALSE)/(SUMIF('Distribution %'!$C$1:$Q$1,"BUDGET",'Distribution %'!$C183:$Q183))),"0")+0)</f>
        <v>0</v>
      </c>
      <c r="W19" s="460">
        <f>IF(VLOOKUP("Net Income",'FY ACTUALS'!$A$1:$X$996,W$3,FALSE)&lt;&gt;0,IFERROR(VLOOKUP($B19,'FY ACTUALS'!$A$1:$X$996,W$3,FALSE),"0")+0,IFERROR(($H19-SUMIF($I$1:$W$1,"ACTUAL",$I19:$W19))*(VLOOKUP($B19,'Distribution %'!$A$2:$Q$232,MATCH(W$2,'Distribution %'!$A$2:$Q$2,0),FALSE)/(SUMIF('Distribution %'!$C$1:$Q$1,"BUDGET",'Distribution %'!$C183:$Q183))),"0")+0)</f>
        <v>0</v>
      </c>
      <c r="X19" s="387">
        <f t="shared" si="3"/>
        <v>382984</v>
      </c>
      <c r="Y19" s="387"/>
      <c r="Z19" s="387">
        <f t="shared" si="4"/>
        <v>0</v>
      </c>
    </row>
    <row r="20" spans="2:26" x14ac:dyDescent="0.75">
      <c r="B20" s="403">
        <v>8292</v>
      </c>
      <c r="C20" s="379" t="s">
        <v>784</v>
      </c>
      <c r="F20" s="379" t="str">
        <f>IF(ISERROR(VLOOKUP(B20,'Distribution %'!A:A,1,FALSE)),"NO","YES")</f>
        <v>YES</v>
      </c>
      <c r="G20" s="392"/>
      <c r="H20" s="430">
        <f>IFERROR(VLOOKUP(B20,'Revenue w MYP'!$A$8:$J$52,10,FALSE),"0")+0</f>
        <v>65837</v>
      </c>
      <c r="I20" s="388">
        <f>IF(VLOOKUP("Net Income",'FY ACTUALS'!$A$1:$X$996,I$3,FALSE)&lt;&gt;0,IFERROR(VLOOKUP($B20,'FY ACTUALS'!$A$1:$X$996,I$3,FALSE),"0")+0,IFERROR(($H20-SUMIF($I$1:$W$1,"ACTUAL",$I20:$W20))*(VLOOKUP($B20,'Distribution %'!$A$2:$Q$232,MATCH(I$2,'Distribution %'!$A$2:$Q$2,0),FALSE)/(SUMIF('Distribution %'!$C$1:$Q$1,"BUDGET",'Distribution %'!$C184:$Q184))),"0")+0)</f>
        <v>0</v>
      </c>
      <c r="J20" s="389">
        <f>IF(VLOOKUP("Net Income",'FY ACTUALS'!$A$1:$X$996,J$3,FALSE)&lt;&gt;0,IFERROR(VLOOKUP($B20,'FY ACTUALS'!$A$1:$X$996,J$3,FALSE),"0")+0,IFERROR(($H20-SUMIF($I$1:$W$1,"ACTUAL",$I20:$W20))*(VLOOKUP($B20,'Distribution %'!$A$2:$Q$232,MATCH(J$2,'Distribution %'!$A$2:$Q$2,0),FALSE)/(SUMIF('Distribution %'!$C$1:$Q$1,"BUDGET",'Distribution %'!$C184:$Q184))),"0")+0)</f>
        <v>0</v>
      </c>
      <c r="K20" s="389">
        <f>IF(VLOOKUP("Net Income",'FY ACTUALS'!$A$1:$X$996,K$3,FALSE)&lt;&gt;0,IFERROR(VLOOKUP($B20,'FY ACTUALS'!$A$1:$X$996,K$3,FALSE),"0")+0,IFERROR(($H20-SUMIF($I$1:$W$1,"ACTUAL",$I20:$W20))*(VLOOKUP($B20,'Distribution %'!$A$2:$Q$232,MATCH(K$2,'Distribution %'!$A$2:$Q$2,0),FALSE)/(SUMIF('Distribution %'!$C$1:$Q$1,"BUDGET",'Distribution %'!$C184:$Q184))),"0")+0)</f>
        <v>0</v>
      </c>
      <c r="L20" s="389">
        <f>IF(VLOOKUP("Net Income",'FY ACTUALS'!$A$1:$X$996,L$3,FALSE)&lt;&gt;0,IFERROR(VLOOKUP($B20,'FY ACTUALS'!$A$1:$X$996,L$3,FALSE),"0")+0,IFERROR(($H20-SUMIF($I$1:$W$1,"ACTUAL",$I20:$W20))*(VLOOKUP($B20,'Distribution %'!$A$2:$Q$232,MATCH(L$2,'Distribution %'!$A$2:$Q$2,0),FALSE)/(SUMIF('Distribution %'!$C$1:$Q$1,"BUDGET",'Distribution %'!$C184:$Q184))),"0")+0)</f>
        <v>0</v>
      </c>
      <c r="M20" s="389">
        <f>IF(VLOOKUP("Net Income",'FY ACTUALS'!$A$1:$X$996,M$3,FALSE)&lt;&gt;0,IFERROR(VLOOKUP($B20,'FY ACTUALS'!$A$1:$X$996,M$3,FALSE),"0")+0,IFERROR(($H20-SUMIF($I$1:$W$1,"ACTUAL",$I20:$W20))*(VLOOKUP($B20,'Distribution %'!$A$2:$Q$232,MATCH(M$2,'Distribution %'!$A$2:$Q$2,0),FALSE)/(SUMIF('Distribution %'!$C$1:$Q$1,"BUDGET",'Distribution %'!$C184:$Q184))),"0")+0)</f>
        <v>0</v>
      </c>
      <c r="N20" s="389">
        <f>IF(VLOOKUP("Net Income",'FY ACTUALS'!$A$1:$X$996,N$3,FALSE)&lt;&gt;0,IFERROR(VLOOKUP($B20,'FY ACTUALS'!$A$1:$X$996,N$3,FALSE),"0")+0,IFERROR(($H20-SUMIF($I$1:$W$1,"ACTUAL",$I20:$W20))*(VLOOKUP($B20,'Distribution %'!$A$2:$Q$232,MATCH(N$2,'Distribution %'!$A$2:$Q$2,0),FALSE)/(SUMIF('Distribution %'!$C$1:$Q$1,"BUDGET",'Distribution %'!$C184:$Q184))),"0")+0)</f>
        <v>0</v>
      </c>
      <c r="O20" s="389">
        <f>IF(VLOOKUP("Net Income",'FY ACTUALS'!$A$1:$X$996,O$3,FALSE)&lt;&gt;0,IFERROR(VLOOKUP($B20,'FY ACTUALS'!$A$1:$X$996,O$3,FALSE),"0")+0,IFERROR(($H20-SUMIF($I$1:$W$1,"ACTUAL",$I20:$W20))*(VLOOKUP($B20,'Distribution %'!$A$2:$Q$232,MATCH(O$2,'Distribution %'!$A$2:$Q$2,0),FALSE)/(SUMIF('Distribution %'!$C$1:$Q$1,"BUDGET",'Distribution %'!$C184:$Q184))),"0")+0)</f>
        <v>0</v>
      </c>
      <c r="P20" s="389">
        <f>IF(VLOOKUP("Net Income",'FY ACTUALS'!$A$1:$X$996,P$3,FALSE)&lt;&gt;0,IFERROR(VLOOKUP($B20,'FY ACTUALS'!$A$1:$X$996,P$3,FALSE),"0")+0,IFERROR(($H20-SUMIF($I$1:$W$1,"ACTUAL",$I20:$W20))*(VLOOKUP($B20,'Distribution %'!$A$2:$Q$232,MATCH(P$2,'Distribution %'!$A$2:$Q$2,0),FALSE)/(SUMIF('Distribution %'!$C$1:$Q$1,"BUDGET",'Distribution %'!$C184:$Q184))),"0")+0)</f>
        <v>0</v>
      </c>
      <c r="Q20" s="389">
        <f>IF(VLOOKUP("Net Income",'FY ACTUALS'!$A$1:$X$996,Q$3,FALSE)&lt;&gt;0,IFERROR(VLOOKUP($B20,'FY ACTUALS'!$A$1:$X$996,Q$3,FALSE),"0")+0,IFERROR(($H20-SUMIF($I$1:$W$1,"ACTUAL",$I20:$W20))*(VLOOKUP($B20,'Distribution %'!$A$2:$Q$232,MATCH(Q$2,'Distribution %'!$A$2:$Q$2,0),FALSE)/(SUMIF('Distribution %'!$C$1:$Q$1,"BUDGET",'Distribution %'!$C184:$Q184))),"0")+0)</f>
        <v>0</v>
      </c>
      <c r="R20" s="389">
        <f>IF(VLOOKUP("Net Income",'FY ACTUALS'!$A$1:$X$996,R$3,FALSE)&lt;&gt;0,IFERROR(VLOOKUP($B20,'FY ACTUALS'!$A$1:$X$996,R$3,FALSE),"0")+0,IFERROR(($H20-SUMIF($I$1:$W$1,"ACTUAL",$I20:$W20))*(VLOOKUP($B20,'Distribution %'!$A$2:$Q$232,MATCH(R$2,'Distribution %'!$A$2:$Q$2,0),FALSE)/(SUMIF('Distribution %'!$C$1:$Q$1,"BUDGET",'Distribution %'!$C184:$Q184))),"0")+0)</f>
        <v>43891.333333333328</v>
      </c>
      <c r="S20" s="389">
        <f>IF(VLOOKUP("Net Income",'FY ACTUALS'!$A$1:$X$996,S$3,FALSE)&lt;&gt;0,IFERROR(VLOOKUP($B20,'FY ACTUALS'!$A$1:$X$996,S$3,FALSE),"0")+0,IFERROR(($H20-SUMIF($I$1:$W$1,"ACTUAL",$I20:$W20))*(VLOOKUP($B20,'Distribution %'!$A$2:$Q$232,MATCH(S$2,'Distribution %'!$A$2:$Q$2,0),FALSE)/(SUMIF('Distribution %'!$C$1:$Q$1,"BUDGET",'Distribution %'!$C184:$Q184))),"0")+0)</f>
        <v>0</v>
      </c>
      <c r="T20" s="389">
        <f>IF(VLOOKUP("Net Income",'FY ACTUALS'!$A$1:$X$996,T$3,FALSE)&lt;&gt;0,IFERROR(VLOOKUP($B20,'FY ACTUALS'!$A$1:$X$996,T$3,FALSE),"0")+0,IFERROR(($H20-SUMIF($I$1:$W$1,"ACTUAL",$I20:$W20))*(VLOOKUP($B20,'Distribution %'!$A$2:$Q$232,MATCH(T$2,'Distribution %'!$A$2:$Q$2,0),FALSE)/(SUMIF('Distribution %'!$C$1:$Q$1,"BUDGET",'Distribution %'!$C184:$Q184))),"0")+0)</f>
        <v>21945.666666666664</v>
      </c>
      <c r="U20" s="389">
        <f>IF(VLOOKUP("Net Income",'FY ACTUALS'!$A$1:$X$996,U$3,FALSE)&lt;&gt;0,IFERROR(VLOOKUP($B20,'FY ACTUALS'!$A$1:$X$996,U$3,FALSE),"0")+0,IFERROR(($H20-SUMIF($I$1:$W$1,"ACTUAL",$I20:$W20))*(VLOOKUP($B20,'Distribution %'!$A$2:$Q$232,MATCH(U$2,'Distribution %'!$A$2:$Q$2,0),FALSE)/(SUMIF('Distribution %'!$C$1:$Q$1,"BUDGET",'Distribution %'!$C184:$Q184))),"0")+0)</f>
        <v>0</v>
      </c>
      <c r="V20" s="389">
        <f>IF(VLOOKUP("Net Income",'FY ACTUALS'!$A$1:$X$996,V$3,FALSE)&lt;&gt;0,IFERROR(VLOOKUP($B20,'FY ACTUALS'!$A$1:$X$996,V$3,FALSE),"0")+0,IFERROR(($H20-SUMIF($I$1:$W$1,"ACTUAL",$I20:$W20))*(VLOOKUP($B20,'Distribution %'!$A$2:$Q$232,MATCH(V$2,'Distribution %'!$A$2:$Q$2,0),FALSE)/(SUMIF('Distribution %'!$C$1:$Q$1,"BUDGET",'Distribution %'!$C184:$Q184))),"0")+0)</f>
        <v>0</v>
      </c>
      <c r="W20" s="460">
        <f>IF(VLOOKUP("Net Income",'FY ACTUALS'!$A$1:$X$996,W$3,FALSE)&lt;&gt;0,IFERROR(VLOOKUP($B20,'FY ACTUALS'!$A$1:$X$996,W$3,FALSE),"0")+0,IFERROR(($H20-SUMIF($I$1:$W$1,"ACTUAL",$I20:$W20))*(VLOOKUP($B20,'Distribution %'!$A$2:$Q$232,MATCH(W$2,'Distribution %'!$A$2:$Q$2,0),FALSE)/(SUMIF('Distribution %'!$C$1:$Q$1,"BUDGET",'Distribution %'!$C184:$Q184))),"0")+0)</f>
        <v>0</v>
      </c>
      <c r="X20" s="387">
        <f t="shared" si="3"/>
        <v>65837</v>
      </c>
      <c r="Y20" s="387"/>
      <c r="Z20" s="387">
        <f t="shared" si="4"/>
        <v>0</v>
      </c>
    </row>
    <row r="21" spans="2:26" x14ac:dyDescent="0.75">
      <c r="B21" s="403">
        <v>8293</v>
      </c>
      <c r="C21" s="379" t="s">
        <v>785</v>
      </c>
      <c r="F21" s="379" t="str">
        <f>IF(ISERROR(VLOOKUP(B21,'Distribution %'!A:A,1,FALSE)),"NO","YES")</f>
        <v>YES</v>
      </c>
      <c r="G21" s="392"/>
      <c r="H21" s="430">
        <f>IFERROR(VLOOKUP(B21,'Revenue w MYP'!$A$8:$J$52,10,FALSE),"0")+0</f>
        <v>0</v>
      </c>
      <c r="I21" s="388">
        <f>IF(VLOOKUP("Net Income",'FY ACTUALS'!$A$1:$X$996,I$3,FALSE)&lt;&gt;0,IFERROR(VLOOKUP($B21,'FY ACTUALS'!$A$1:$X$996,I$3,FALSE),"0")+0,IFERROR(($H21-SUMIF($I$1:$W$1,"ACTUAL",$I21:$W21))*(VLOOKUP($B21,'Distribution %'!$A$2:$Q$232,MATCH(I$2,'Distribution %'!$A$2:$Q$2,0),FALSE)/(SUMIF('Distribution %'!$C$1:$Q$1,"BUDGET",'Distribution %'!$C185:$Q185))),"0")+0)</f>
        <v>0</v>
      </c>
      <c r="J21" s="389">
        <f>IF(VLOOKUP("Net Income",'FY ACTUALS'!$A$1:$X$996,J$3,FALSE)&lt;&gt;0,IFERROR(VLOOKUP($B21,'FY ACTUALS'!$A$1:$X$996,J$3,FALSE),"0")+0,IFERROR(($H21-SUMIF($I$1:$W$1,"ACTUAL",$I21:$W21))*(VLOOKUP($B21,'Distribution %'!$A$2:$Q$232,MATCH(J$2,'Distribution %'!$A$2:$Q$2,0),FALSE)/(SUMIF('Distribution %'!$C$1:$Q$1,"BUDGET",'Distribution %'!$C185:$Q185))),"0")+0)</f>
        <v>0</v>
      </c>
      <c r="K21" s="389">
        <f>IF(VLOOKUP("Net Income",'FY ACTUALS'!$A$1:$X$996,K$3,FALSE)&lt;&gt;0,IFERROR(VLOOKUP($B21,'FY ACTUALS'!$A$1:$X$996,K$3,FALSE),"0")+0,IFERROR(($H21-SUMIF($I$1:$W$1,"ACTUAL",$I21:$W21))*(VLOOKUP($B21,'Distribution %'!$A$2:$Q$232,MATCH(K$2,'Distribution %'!$A$2:$Q$2,0),FALSE)/(SUMIF('Distribution %'!$C$1:$Q$1,"BUDGET",'Distribution %'!$C185:$Q185))),"0")+0)</f>
        <v>0</v>
      </c>
      <c r="L21" s="389">
        <f>IF(VLOOKUP("Net Income",'FY ACTUALS'!$A$1:$X$996,L$3,FALSE)&lt;&gt;0,IFERROR(VLOOKUP($B21,'FY ACTUALS'!$A$1:$X$996,L$3,FALSE),"0")+0,IFERROR(($H21-SUMIF($I$1:$W$1,"ACTUAL",$I21:$W21))*(VLOOKUP($B21,'Distribution %'!$A$2:$Q$232,MATCH(L$2,'Distribution %'!$A$2:$Q$2,0),FALSE)/(SUMIF('Distribution %'!$C$1:$Q$1,"BUDGET",'Distribution %'!$C185:$Q185))),"0")+0)</f>
        <v>0</v>
      </c>
      <c r="M21" s="389">
        <f>IF(VLOOKUP("Net Income",'FY ACTUALS'!$A$1:$X$996,M$3,FALSE)&lt;&gt;0,IFERROR(VLOOKUP($B21,'FY ACTUALS'!$A$1:$X$996,M$3,FALSE),"0")+0,IFERROR(($H21-SUMIF($I$1:$W$1,"ACTUAL",$I21:$W21))*(VLOOKUP($B21,'Distribution %'!$A$2:$Q$232,MATCH(M$2,'Distribution %'!$A$2:$Q$2,0),FALSE)/(SUMIF('Distribution %'!$C$1:$Q$1,"BUDGET",'Distribution %'!$C185:$Q185))),"0")+0)</f>
        <v>0</v>
      </c>
      <c r="N21" s="389">
        <f>IF(VLOOKUP("Net Income",'FY ACTUALS'!$A$1:$X$996,N$3,FALSE)&lt;&gt;0,IFERROR(VLOOKUP($B21,'FY ACTUALS'!$A$1:$X$996,N$3,FALSE),"0")+0,IFERROR(($H21-SUMIF($I$1:$W$1,"ACTUAL",$I21:$W21))*(VLOOKUP($B21,'Distribution %'!$A$2:$Q$232,MATCH(N$2,'Distribution %'!$A$2:$Q$2,0),FALSE)/(SUMIF('Distribution %'!$C$1:$Q$1,"BUDGET",'Distribution %'!$C185:$Q185))),"0")+0)</f>
        <v>0</v>
      </c>
      <c r="O21" s="389">
        <f>IF(VLOOKUP("Net Income",'FY ACTUALS'!$A$1:$X$996,O$3,FALSE)&lt;&gt;0,IFERROR(VLOOKUP($B21,'FY ACTUALS'!$A$1:$X$996,O$3,FALSE),"0")+0,IFERROR(($H21-SUMIF($I$1:$W$1,"ACTUAL",$I21:$W21))*(VLOOKUP($B21,'Distribution %'!$A$2:$Q$232,MATCH(O$2,'Distribution %'!$A$2:$Q$2,0),FALSE)/(SUMIF('Distribution %'!$C$1:$Q$1,"BUDGET",'Distribution %'!$C185:$Q185))),"0")+0)</f>
        <v>0</v>
      </c>
      <c r="P21" s="389">
        <f>IF(VLOOKUP("Net Income",'FY ACTUALS'!$A$1:$X$996,P$3,FALSE)&lt;&gt;0,IFERROR(VLOOKUP($B21,'FY ACTUALS'!$A$1:$X$996,P$3,FALSE),"0")+0,IFERROR(($H21-SUMIF($I$1:$W$1,"ACTUAL",$I21:$W21))*(VLOOKUP($B21,'Distribution %'!$A$2:$Q$232,MATCH(P$2,'Distribution %'!$A$2:$Q$2,0),FALSE)/(SUMIF('Distribution %'!$C$1:$Q$1,"BUDGET",'Distribution %'!$C185:$Q185))),"0")+0)</f>
        <v>0</v>
      </c>
      <c r="Q21" s="389">
        <f>IF(VLOOKUP("Net Income",'FY ACTUALS'!$A$1:$X$996,Q$3,FALSE)&lt;&gt;0,IFERROR(VLOOKUP($B21,'FY ACTUALS'!$A$1:$X$996,Q$3,FALSE),"0")+0,IFERROR(($H21-SUMIF($I$1:$W$1,"ACTUAL",$I21:$W21))*(VLOOKUP($B21,'Distribution %'!$A$2:$Q$232,MATCH(Q$2,'Distribution %'!$A$2:$Q$2,0),FALSE)/(SUMIF('Distribution %'!$C$1:$Q$1,"BUDGET",'Distribution %'!$C185:$Q185))),"0")+0)</f>
        <v>0</v>
      </c>
      <c r="R21" s="389">
        <f>IF(VLOOKUP("Net Income",'FY ACTUALS'!$A$1:$X$996,R$3,FALSE)&lt;&gt;0,IFERROR(VLOOKUP($B21,'FY ACTUALS'!$A$1:$X$996,R$3,FALSE),"0")+0,IFERROR(($H21-SUMIF($I$1:$W$1,"ACTUAL",$I21:$W21))*(VLOOKUP($B21,'Distribution %'!$A$2:$Q$232,MATCH(R$2,'Distribution %'!$A$2:$Q$2,0),FALSE)/(SUMIF('Distribution %'!$C$1:$Q$1,"BUDGET",'Distribution %'!$C185:$Q185))),"0")+0)</f>
        <v>0</v>
      </c>
      <c r="S21" s="389">
        <f>IF(VLOOKUP("Net Income",'FY ACTUALS'!$A$1:$X$996,S$3,FALSE)&lt;&gt;0,IFERROR(VLOOKUP($B21,'FY ACTUALS'!$A$1:$X$996,S$3,FALSE),"0")+0,IFERROR(($H21-SUMIF($I$1:$W$1,"ACTUAL",$I21:$W21))*(VLOOKUP($B21,'Distribution %'!$A$2:$Q$232,MATCH(S$2,'Distribution %'!$A$2:$Q$2,0),FALSE)/(SUMIF('Distribution %'!$C$1:$Q$1,"BUDGET",'Distribution %'!$C185:$Q185))),"0")+0)</f>
        <v>0</v>
      </c>
      <c r="T21" s="389">
        <f>IF(VLOOKUP("Net Income",'FY ACTUALS'!$A$1:$X$996,T$3,FALSE)&lt;&gt;0,IFERROR(VLOOKUP($B21,'FY ACTUALS'!$A$1:$X$996,T$3,FALSE),"0")+0,IFERROR(($H21-SUMIF($I$1:$W$1,"ACTUAL",$I21:$W21))*(VLOOKUP($B21,'Distribution %'!$A$2:$Q$232,MATCH(T$2,'Distribution %'!$A$2:$Q$2,0),FALSE)/(SUMIF('Distribution %'!$C$1:$Q$1,"BUDGET",'Distribution %'!$C185:$Q185))),"0")+0)</f>
        <v>0</v>
      </c>
      <c r="U21" s="389">
        <f>IF(VLOOKUP("Net Income",'FY ACTUALS'!$A$1:$X$996,U$3,FALSE)&lt;&gt;0,IFERROR(VLOOKUP($B21,'FY ACTUALS'!$A$1:$X$996,U$3,FALSE),"0")+0,IFERROR(($H21-SUMIF($I$1:$W$1,"ACTUAL",$I21:$W21))*(VLOOKUP($B21,'Distribution %'!$A$2:$Q$232,MATCH(U$2,'Distribution %'!$A$2:$Q$2,0),FALSE)/(SUMIF('Distribution %'!$C$1:$Q$1,"BUDGET",'Distribution %'!$C185:$Q185))),"0")+0)</f>
        <v>0</v>
      </c>
      <c r="V21" s="389">
        <f>IF(VLOOKUP("Net Income",'FY ACTUALS'!$A$1:$X$996,V$3,FALSE)&lt;&gt;0,IFERROR(VLOOKUP($B21,'FY ACTUALS'!$A$1:$X$996,V$3,FALSE),"0")+0,IFERROR(($H21-SUMIF($I$1:$W$1,"ACTUAL",$I21:$W21))*(VLOOKUP($B21,'Distribution %'!$A$2:$Q$232,MATCH(V$2,'Distribution %'!$A$2:$Q$2,0),FALSE)/(SUMIF('Distribution %'!$C$1:$Q$1,"BUDGET",'Distribution %'!$C185:$Q185))),"0")+0)</f>
        <v>0</v>
      </c>
      <c r="W21" s="460">
        <f>IF(VLOOKUP("Net Income",'FY ACTUALS'!$A$1:$X$996,W$3,FALSE)&lt;&gt;0,IFERROR(VLOOKUP($B21,'FY ACTUALS'!$A$1:$X$996,W$3,FALSE),"0")+0,IFERROR(($H21-SUMIF($I$1:$W$1,"ACTUAL",$I21:$W21))*(VLOOKUP($B21,'Distribution %'!$A$2:$Q$232,MATCH(W$2,'Distribution %'!$A$2:$Q$2,0),FALSE)/(SUMIF('Distribution %'!$C$1:$Q$1,"BUDGET",'Distribution %'!$C185:$Q185))),"0")+0)</f>
        <v>0</v>
      </c>
      <c r="X21" s="387">
        <f t="shared" si="3"/>
        <v>0</v>
      </c>
      <c r="Y21" s="387"/>
      <c r="Z21" s="387">
        <f t="shared" si="4"/>
        <v>0</v>
      </c>
    </row>
    <row r="22" spans="2:26" x14ac:dyDescent="0.75">
      <c r="B22" s="403">
        <v>8294</v>
      </c>
      <c r="C22" s="379" t="s">
        <v>786</v>
      </c>
      <c r="F22" s="379" t="str">
        <f>IF(ISERROR(VLOOKUP(B22,'Distribution %'!A:A,1,FALSE)),"NO","YES")</f>
        <v>YES</v>
      </c>
      <c r="G22" s="392"/>
      <c r="H22" s="430">
        <f>IFERROR(VLOOKUP(B22,'Revenue w MYP'!$A$8:$J$52,10,FALSE),"0")+0</f>
        <v>30000</v>
      </c>
      <c r="I22" s="388">
        <f>IF(VLOOKUP("Net Income",'FY ACTUALS'!$A$1:$X$996,I$3,FALSE)&lt;&gt;0,IFERROR(VLOOKUP($B22,'FY ACTUALS'!$A$1:$X$996,I$3,FALSE),"0")+0,IFERROR(($H22-SUMIF($I$1:$W$1,"ACTUAL",$I22:$W22))*(VLOOKUP($B22,'Distribution %'!$A$2:$Q$232,MATCH(I$2,'Distribution %'!$A$2:$Q$2,0),FALSE)/(SUMIF('Distribution %'!$C$1:$Q$1,"BUDGET",'Distribution %'!$C186:$Q186))),"0")+0)</f>
        <v>0</v>
      </c>
      <c r="J22" s="389">
        <f>IF(VLOOKUP("Net Income",'FY ACTUALS'!$A$1:$X$996,J$3,FALSE)&lt;&gt;0,IFERROR(VLOOKUP($B22,'FY ACTUALS'!$A$1:$X$996,J$3,FALSE),"0")+0,IFERROR(($H22-SUMIF($I$1:$W$1,"ACTUAL",$I22:$W22))*(VLOOKUP($B22,'Distribution %'!$A$2:$Q$232,MATCH(J$2,'Distribution %'!$A$2:$Q$2,0),FALSE)/(SUMIF('Distribution %'!$C$1:$Q$1,"BUDGET",'Distribution %'!$C186:$Q186))),"0")+0)</f>
        <v>0</v>
      </c>
      <c r="K22" s="389">
        <f>IF(VLOOKUP("Net Income",'FY ACTUALS'!$A$1:$X$996,K$3,FALSE)&lt;&gt;0,IFERROR(VLOOKUP($B22,'FY ACTUALS'!$A$1:$X$996,K$3,FALSE),"0")+0,IFERROR(($H22-SUMIF($I$1:$W$1,"ACTUAL",$I22:$W22))*(VLOOKUP($B22,'Distribution %'!$A$2:$Q$232,MATCH(K$2,'Distribution %'!$A$2:$Q$2,0),FALSE)/(SUMIF('Distribution %'!$C$1:$Q$1,"BUDGET",'Distribution %'!$C186:$Q186))),"0")+0)</f>
        <v>0</v>
      </c>
      <c r="L22" s="389">
        <f>IF(VLOOKUP("Net Income",'FY ACTUALS'!$A$1:$X$996,L$3,FALSE)&lt;&gt;0,IFERROR(VLOOKUP($B22,'FY ACTUALS'!$A$1:$X$996,L$3,FALSE),"0")+0,IFERROR(($H22-SUMIF($I$1:$W$1,"ACTUAL",$I22:$W22))*(VLOOKUP($B22,'Distribution %'!$A$2:$Q$232,MATCH(L$2,'Distribution %'!$A$2:$Q$2,0),FALSE)/(SUMIF('Distribution %'!$C$1:$Q$1,"BUDGET",'Distribution %'!$C186:$Q186))),"0")+0)</f>
        <v>2500</v>
      </c>
      <c r="M22" s="389">
        <f>IF(VLOOKUP("Net Income",'FY ACTUALS'!$A$1:$X$996,M$3,FALSE)&lt;&gt;0,IFERROR(VLOOKUP($B22,'FY ACTUALS'!$A$1:$X$996,M$3,FALSE),"0")+0,IFERROR(($H22-SUMIF($I$1:$W$1,"ACTUAL",$I22:$W22))*(VLOOKUP($B22,'Distribution %'!$A$2:$Q$232,MATCH(M$2,'Distribution %'!$A$2:$Q$2,0),FALSE)/(SUMIF('Distribution %'!$C$1:$Q$1,"BUDGET",'Distribution %'!$C186:$Q186))),"0")+0)</f>
        <v>0</v>
      </c>
      <c r="N22" s="389">
        <f>IF(VLOOKUP("Net Income",'FY ACTUALS'!$A$1:$X$996,N$3,FALSE)&lt;&gt;0,IFERROR(VLOOKUP($B22,'FY ACTUALS'!$A$1:$X$996,N$3,FALSE),"0")+0,IFERROR(($H22-SUMIF($I$1:$W$1,"ACTUAL",$I22:$W22))*(VLOOKUP($B22,'Distribution %'!$A$2:$Q$232,MATCH(N$2,'Distribution %'!$A$2:$Q$2,0),FALSE)/(SUMIF('Distribution %'!$C$1:$Q$1,"BUDGET",'Distribution %'!$C186:$Q186))),"0")+0)</f>
        <v>2500</v>
      </c>
      <c r="O22" s="389">
        <f>IF(VLOOKUP("Net Income",'FY ACTUALS'!$A$1:$X$996,O$3,FALSE)&lt;&gt;0,IFERROR(VLOOKUP($B22,'FY ACTUALS'!$A$1:$X$996,O$3,FALSE),"0")+0,IFERROR(($H22-SUMIF($I$1:$W$1,"ACTUAL",$I22:$W22))*(VLOOKUP($B22,'Distribution %'!$A$2:$Q$232,MATCH(O$2,'Distribution %'!$A$2:$Q$2,0),FALSE)/(SUMIF('Distribution %'!$C$1:$Q$1,"BUDGET",'Distribution %'!$C186:$Q186))),"0")+0)</f>
        <v>0</v>
      </c>
      <c r="P22" s="389">
        <f>IF(VLOOKUP("Net Income",'FY ACTUALS'!$A$1:$X$996,P$3,FALSE)&lt;&gt;0,IFERROR(VLOOKUP($B22,'FY ACTUALS'!$A$1:$X$996,P$3,FALSE),"0")+0,IFERROR(($H22-SUMIF($I$1:$W$1,"ACTUAL",$I22:$W22))*(VLOOKUP($B22,'Distribution %'!$A$2:$Q$232,MATCH(P$2,'Distribution %'!$A$2:$Q$2,0),FALSE)/(SUMIF('Distribution %'!$C$1:$Q$1,"BUDGET",'Distribution %'!$C186:$Q186))),"0")+0)</f>
        <v>0</v>
      </c>
      <c r="Q22" s="389">
        <f>IF(VLOOKUP("Net Income",'FY ACTUALS'!$A$1:$X$996,Q$3,FALSE)&lt;&gt;0,IFERROR(VLOOKUP($B22,'FY ACTUALS'!$A$1:$X$996,Q$3,FALSE),"0")+0,IFERROR(($H22-SUMIF($I$1:$W$1,"ACTUAL",$I22:$W22))*(VLOOKUP($B22,'Distribution %'!$A$2:$Q$232,MATCH(Q$2,'Distribution %'!$A$2:$Q$2,0),FALSE)/(SUMIF('Distribution %'!$C$1:$Q$1,"BUDGET",'Distribution %'!$C186:$Q186))),"0")+0)</f>
        <v>0</v>
      </c>
      <c r="R22" s="389">
        <f>IF(VLOOKUP("Net Income",'FY ACTUALS'!$A$1:$X$996,R$3,FALSE)&lt;&gt;0,IFERROR(VLOOKUP($B22,'FY ACTUALS'!$A$1:$X$996,R$3,FALSE),"0")+0,IFERROR(($H22-SUMIF($I$1:$W$1,"ACTUAL",$I22:$W22))*(VLOOKUP($B22,'Distribution %'!$A$2:$Q$232,MATCH(R$2,'Distribution %'!$A$2:$Q$2,0),FALSE)/(SUMIF('Distribution %'!$C$1:$Q$1,"BUDGET",'Distribution %'!$C186:$Q186))),"0")+0)</f>
        <v>16666.666666666664</v>
      </c>
      <c r="S22" s="389">
        <f>IF(VLOOKUP("Net Income",'FY ACTUALS'!$A$1:$X$996,S$3,FALSE)&lt;&gt;0,IFERROR(VLOOKUP($B22,'FY ACTUALS'!$A$1:$X$996,S$3,FALSE),"0")+0,IFERROR(($H22-SUMIF($I$1:$W$1,"ACTUAL",$I22:$W22))*(VLOOKUP($B22,'Distribution %'!$A$2:$Q$232,MATCH(S$2,'Distribution %'!$A$2:$Q$2,0),FALSE)/(SUMIF('Distribution %'!$C$1:$Q$1,"BUDGET",'Distribution %'!$C186:$Q186))),"0")+0)</f>
        <v>0</v>
      </c>
      <c r="T22" s="389">
        <f>IF(VLOOKUP("Net Income",'FY ACTUALS'!$A$1:$X$996,T$3,FALSE)&lt;&gt;0,IFERROR(VLOOKUP($B22,'FY ACTUALS'!$A$1:$X$996,T$3,FALSE),"0")+0,IFERROR(($H22-SUMIF($I$1:$W$1,"ACTUAL",$I22:$W22))*(VLOOKUP($B22,'Distribution %'!$A$2:$Q$232,MATCH(T$2,'Distribution %'!$A$2:$Q$2,0),FALSE)/(SUMIF('Distribution %'!$C$1:$Q$1,"BUDGET",'Distribution %'!$C186:$Q186))),"0")+0)</f>
        <v>8333.3333333333321</v>
      </c>
      <c r="U22" s="389">
        <f>IF(VLOOKUP("Net Income",'FY ACTUALS'!$A$1:$X$996,U$3,FALSE)&lt;&gt;0,IFERROR(VLOOKUP($B22,'FY ACTUALS'!$A$1:$X$996,U$3,FALSE),"0")+0,IFERROR(($H22-SUMIF($I$1:$W$1,"ACTUAL",$I22:$W22))*(VLOOKUP($B22,'Distribution %'!$A$2:$Q$232,MATCH(U$2,'Distribution %'!$A$2:$Q$2,0),FALSE)/(SUMIF('Distribution %'!$C$1:$Q$1,"BUDGET",'Distribution %'!$C186:$Q186))),"0")+0)</f>
        <v>0</v>
      </c>
      <c r="V22" s="389">
        <f>IF(VLOOKUP("Net Income",'FY ACTUALS'!$A$1:$X$996,V$3,FALSE)&lt;&gt;0,IFERROR(VLOOKUP($B22,'FY ACTUALS'!$A$1:$X$996,V$3,FALSE),"0")+0,IFERROR(($H22-SUMIF($I$1:$W$1,"ACTUAL",$I22:$W22))*(VLOOKUP($B22,'Distribution %'!$A$2:$Q$232,MATCH(V$2,'Distribution %'!$A$2:$Q$2,0),FALSE)/(SUMIF('Distribution %'!$C$1:$Q$1,"BUDGET",'Distribution %'!$C186:$Q186))),"0")+0)</f>
        <v>0</v>
      </c>
      <c r="W22" s="460">
        <f>IF(VLOOKUP("Net Income",'FY ACTUALS'!$A$1:$X$996,W$3,FALSE)&lt;&gt;0,IFERROR(VLOOKUP($B22,'FY ACTUALS'!$A$1:$X$996,W$3,FALSE),"0")+0,IFERROR(($H22-SUMIF($I$1:$W$1,"ACTUAL",$I22:$W22))*(VLOOKUP($B22,'Distribution %'!$A$2:$Q$232,MATCH(W$2,'Distribution %'!$A$2:$Q$2,0),FALSE)/(SUMIF('Distribution %'!$C$1:$Q$1,"BUDGET",'Distribution %'!$C186:$Q186))),"0")+0)</f>
        <v>0</v>
      </c>
      <c r="X22" s="387">
        <f t="shared" si="3"/>
        <v>30000</v>
      </c>
      <c r="Y22" s="387"/>
      <c r="Z22" s="387">
        <f t="shared" si="4"/>
        <v>0</v>
      </c>
    </row>
    <row r="23" spans="2:26" x14ac:dyDescent="0.75">
      <c r="B23" s="403">
        <v>8295</v>
      </c>
      <c r="C23" s="379" t="s">
        <v>787</v>
      </c>
      <c r="F23" s="379" t="str">
        <f>IF(ISERROR(VLOOKUP(B23,'Distribution %'!A:A,1,FALSE)),"NO","YES")</f>
        <v>YES</v>
      </c>
      <c r="G23" s="392"/>
      <c r="H23" s="430">
        <f>IFERROR(VLOOKUP(B23,'Revenue w MYP'!$A$8:$J$52,10,FALSE),"0")+0</f>
        <v>0</v>
      </c>
      <c r="I23" s="388">
        <f>IF(VLOOKUP("Net Income",'FY ACTUALS'!$A$1:$X$996,I$3,FALSE)&lt;&gt;0,IFERROR(VLOOKUP($B23,'FY ACTUALS'!$A$1:$X$996,I$3,FALSE),"0")+0,IFERROR(($H23-SUMIF($I$1:$W$1,"ACTUAL",$I23:$W23))*(VLOOKUP($B23,'Distribution %'!$A$2:$Q$232,MATCH(I$2,'Distribution %'!$A$2:$Q$2,0),FALSE)/(SUMIF('Distribution %'!$C$1:$Q$1,"BUDGET",'Distribution %'!$C187:$Q187))),"0")+0)</f>
        <v>0</v>
      </c>
      <c r="J23" s="389">
        <f>IF(VLOOKUP("Net Income",'FY ACTUALS'!$A$1:$X$996,J$3,FALSE)&lt;&gt;0,IFERROR(VLOOKUP($B23,'FY ACTUALS'!$A$1:$X$996,J$3,FALSE),"0")+0,IFERROR(($H23-SUMIF($I$1:$W$1,"ACTUAL",$I23:$W23))*(VLOOKUP($B23,'Distribution %'!$A$2:$Q$232,MATCH(J$2,'Distribution %'!$A$2:$Q$2,0),FALSE)/(SUMIF('Distribution %'!$C$1:$Q$1,"BUDGET",'Distribution %'!$C187:$Q187))),"0")+0)</f>
        <v>0</v>
      </c>
      <c r="K23" s="389">
        <f>IF(VLOOKUP("Net Income",'FY ACTUALS'!$A$1:$X$996,K$3,FALSE)&lt;&gt;0,IFERROR(VLOOKUP($B23,'FY ACTUALS'!$A$1:$X$996,K$3,FALSE),"0")+0,IFERROR(($H23-SUMIF($I$1:$W$1,"ACTUAL",$I23:$W23))*(VLOOKUP($B23,'Distribution %'!$A$2:$Q$232,MATCH(K$2,'Distribution %'!$A$2:$Q$2,0),FALSE)/(SUMIF('Distribution %'!$C$1:$Q$1,"BUDGET",'Distribution %'!$C187:$Q187))),"0")+0)</f>
        <v>0</v>
      </c>
      <c r="L23" s="389">
        <f>IF(VLOOKUP("Net Income",'FY ACTUALS'!$A$1:$X$996,L$3,FALSE)&lt;&gt;0,IFERROR(VLOOKUP($B23,'FY ACTUALS'!$A$1:$X$996,L$3,FALSE),"0")+0,IFERROR(($H23-SUMIF($I$1:$W$1,"ACTUAL",$I23:$W23))*(VLOOKUP($B23,'Distribution %'!$A$2:$Q$232,MATCH(L$2,'Distribution %'!$A$2:$Q$2,0),FALSE)/(SUMIF('Distribution %'!$C$1:$Q$1,"BUDGET",'Distribution %'!$C187:$Q187))),"0")+0)</f>
        <v>0</v>
      </c>
      <c r="M23" s="389">
        <f>IF(VLOOKUP("Net Income",'FY ACTUALS'!$A$1:$X$996,M$3,FALSE)&lt;&gt;0,IFERROR(VLOOKUP($B23,'FY ACTUALS'!$A$1:$X$996,M$3,FALSE),"0")+0,IFERROR(($H23-SUMIF($I$1:$W$1,"ACTUAL",$I23:$W23))*(VLOOKUP($B23,'Distribution %'!$A$2:$Q$232,MATCH(M$2,'Distribution %'!$A$2:$Q$2,0),FALSE)/(SUMIF('Distribution %'!$C$1:$Q$1,"BUDGET",'Distribution %'!$C187:$Q187))),"0")+0)</f>
        <v>0</v>
      </c>
      <c r="N23" s="389">
        <f>IF(VLOOKUP("Net Income",'FY ACTUALS'!$A$1:$X$996,N$3,FALSE)&lt;&gt;0,IFERROR(VLOOKUP($B23,'FY ACTUALS'!$A$1:$X$996,N$3,FALSE),"0")+0,IFERROR(($H23-SUMIF($I$1:$W$1,"ACTUAL",$I23:$W23))*(VLOOKUP($B23,'Distribution %'!$A$2:$Q$232,MATCH(N$2,'Distribution %'!$A$2:$Q$2,0),FALSE)/(SUMIF('Distribution %'!$C$1:$Q$1,"BUDGET",'Distribution %'!$C187:$Q187))),"0")+0)</f>
        <v>0</v>
      </c>
      <c r="O23" s="389">
        <f>IF(VLOOKUP("Net Income",'FY ACTUALS'!$A$1:$X$996,O$3,FALSE)&lt;&gt;0,IFERROR(VLOOKUP($B23,'FY ACTUALS'!$A$1:$X$996,O$3,FALSE),"0")+0,IFERROR(($H23-SUMIF($I$1:$W$1,"ACTUAL",$I23:$W23))*(VLOOKUP($B23,'Distribution %'!$A$2:$Q$232,MATCH(O$2,'Distribution %'!$A$2:$Q$2,0),FALSE)/(SUMIF('Distribution %'!$C$1:$Q$1,"BUDGET",'Distribution %'!$C187:$Q187))),"0")+0)</f>
        <v>0</v>
      </c>
      <c r="P23" s="389">
        <f>IF(VLOOKUP("Net Income",'FY ACTUALS'!$A$1:$X$996,P$3,FALSE)&lt;&gt;0,IFERROR(VLOOKUP($B23,'FY ACTUALS'!$A$1:$X$996,P$3,FALSE),"0")+0,IFERROR(($H23-SUMIF($I$1:$W$1,"ACTUAL",$I23:$W23))*(VLOOKUP($B23,'Distribution %'!$A$2:$Q$232,MATCH(P$2,'Distribution %'!$A$2:$Q$2,0),FALSE)/(SUMIF('Distribution %'!$C$1:$Q$1,"BUDGET",'Distribution %'!$C187:$Q187))),"0")+0)</f>
        <v>0</v>
      </c>
      <c r="Q23" s="389">
        <f>IF(VLOOKUP("Net Income",'FY ACTUALS'!$A$1:$X$996,Q$3,FALSE)&lt;&gt;0,IFERROR(VLOOKUP($B23,'FY ACTUALS'!$A$1:$X$996,Q$3,FALSE),"0")+0,IFERROR(($H23-SUMIF($I$1:$W$1,"ACTUAL",$I23:$W23))*(VLOOKUP($B23,'Distribution %'!$A$2:$Q$232,MATCH(Q$2,'Distribution %'!$A$2:$Q$2,0),FALSE)/(SUMIF('Distribution %'!$C$1:$Q$1,"BUDGET",'Distribution %'!$C187:$Q187))),"0")+0)</f>
        <v>0</v>
      </c>
      <c r="R23" s="389">
        <f>IF(VLOOKUP("Net Income",'FY ACTUALS'!$A$1:$X$996,R$3,FALSE)&lt;&gt;0,IFERROR(VLOOKUP($B23,'FY ACTUALS'!$A$1:$X$996,R$3,FALSE),"0")+0,IFERROR(($H23-SUMIF($I$1:$W$1,"ACTUAL",$I23:$W23))*(VLOOKUP($B23,'Distribution %'!$A$2:$Q$232,MATCH(R$2,'Distribution %'!$A$2:$Q$2,0),FALSE)/(SUMIF('Distribution %'!$C$1:$Q$1,"BUDGET",'Distribution %'!$C187:$Q187))),"0")+0)</f>
        <v>0</v>
      </c>
      <c r="S23" s="389">
        <f>IF(VLOOKUP("Net Income",'FY ACTUALS'!$A$1:$X$996,S$3,FALSE)&lt;&gt;0,IFERROR(VLOOKUP($B23,'FY ACTUALS'!$A$1:$X$996,S$3,FALSE),"0")+0,IFERROR(($H23-SUMIF($I$1:$W$1,"ACTUAL",$I23:$W23))*(VLOOKUP($B23,'Distribution %'!$A$2:$Q$232,MATCH(S$2,'Distribution %'!$A$2:$Q$2,0),FALSE)/(SUMIF('Distribution %'!$C$1:$Q$1,"BUDGET",'Distribution %'!$C187:$Q187))),"0")+0)</f>
        <v>0</v>
      </c>
      <c r="T23" s="389">
        <f>IF(VLOOKUP("Net Income",'FY ACTUALS'!$A$1:$X$996,T$3,FALSE)&lt;&gt;0,IFERROR(VLOOKUP($B23,'FY ACTUALS'!$A$1:$X$996,T$3,FALSE),"0")+0,IFERROR(($H23-SUMIF($I$1:$W$1,"ACTUAL",$I23:$W23))*(VLOOKUP($B23,'Distribution %'!$A$2:$Q$232,MATCH(T$2,'Distribution %'!$A$2:$Q$2,0),FALSE)/(SUMIF('Distribution %'!$C$1:$Q$1,"BUDGET",'Distribution %'!$C187:$Q187))),"0")+0)</f>
        <v>0</v>
      </c>
      <c r="U23" s="389">
        <f>IF(VLOOKUP("Net Income",'FY ACTUALS'!$A$1:$X$996,U$3,FALSE)&lt;&gt;0,IFERROR(VLOOKUP($B23,'FY ACTUALS'!$A$1:$X$996,U$3,FALSE),"0")+0,IFERROR(($H23-SUMIF($I$1:$W$1,"ACTUAL",$I23:$W23))*(VLOOKUP($B23,'Distribution %'!$A$2:$Q$232,MATCH(U$2,'Distribution %'!$A$2:$Q$2,0),FALSE)/(SUMIF('Distribution %'!$C$1:$Q$1,"BUDGET",'Distribution %'!$C187:$Q187))),"0")+0)</f>
        <v>0</v>
      </c>
      <c r="V23" s="389">
        <f>IF(VLOOKUP("Net Income",'FY ACTUALS'!$A$1:$X$996,V$3,FALSE)&lt;&gt;0,IFERROR(VLOOKUP($B23,'FY ACTUALS'!$A$1:$X$996,V$3,FALSE),"0")+0,IFERROR(($H23-SUMIF($I$1:$W$1,"ACTUAL",$I23:$W23))*(VLOOKUP($B23,'Distribution %'!$A$2:$Q$232,MATCH(V$2,'Distribution %'!$A$2:$Q$2,0),FALSE)/(SUMIF('Distribution %'!$C$1:$Q$1,"BUDGET",'Distribution %'!$C187:$Q187))),"0")+0)</f>
        <v>0</v>
      </c>
      <c r="W23" s="460">
        <f>IF(VLOOKUP("Net Income",'FY ACTUALS'!$A$1:$X$996,W$3,FALSE)&lt;&gt;0,IFERROR(VLOOKUP($B23,'FY ACTUALS'!$A$1:$X$996,W$3,FALSE),"0")+0,IFERROR(($H23-SUMIF($I$1:$W$1,"ACTUAL",$I23:$W23))*(VLOOKUP($B23,'Distribution %'!$A$2:$Q$232,MATCH(W$2,'Distribution %'!$A$2:$Q$2,0),FALSE)/(SUMIF('Distribution %'!$C$1:$Q$1,"BUDGET",'Distribution %'!$C187:$Q187))),"0")+0)</f>
        <v>0</v>
      </c>
      <c r="X23" s="387">
        <f t="shared" ref="X23:X27" si="5">+ROUND(SUM(I23:W23),)</f>
        <v>0</v>
      </c>
      <c r="Y23" s="387"/>
      <c r="Z23" s="387">
        <f t="shared" si="4"/>
        <v>0</v>
      </c>
    </row>
    <row r="24" spans="2:26" x14ac:dyDescent="0.75">
      <c r="B24" s="403">
        <v>8299</v>
      </c>
      <c r="C24" s="379" t="s">
        <v>1086</v>
      </c>
      <c r="F24" s="379" t="str">
        <f>IF(ISERROR(VLOOKUP(B24,'Distribution %'!A:A,1,FALSE)),"NO","YES")</f>
        <v>YES</v>
      </c>
      <c r="G24" s="392"/>
      <c r="H24" s="430">
        <f>IFERROR(VLOOKUP(B24,'Revenue w MYP'!$A$8:$J$52,10,FALSE),"0")+0</f>
        <v>0</v>
      </c>
      <c r="I24" s="388">
        <f>IF(VLOOKUP("Net Income",'FY ACTUALS'!$A$1:$X$996,I$3,FALSE)&lt;&gt;0,IFERROR(VLOOKUP($B24,'FY ACTUALS'!$A$1:$X$996,I$3,FALSE),"0")+0,IFERROR(($H24-SUMIF($I$1:$W$1,"ACTUAL",$I24:$W24))*(VLOOKUP($B24,'Distribution %'!$A$2:$Q$232,MATCH(I$2,'Distribution %'!$A$2:$Q$2,0),FALSE)/(SUMIF('Distribution %'!$C$1:$Q$1,"BUDGET",'Distribution %'!$C188:$Q188))),"0")+0)</f>
        <v>0</v>
      </c>
      <c r="J24" s="389">
        <f>IF(VLOOKUP("Net Income",'FY ACTUALS'!$A$1:$X$996,J$3,FALSE)&lt;&gt;0,IFERROR(VLOOKUP($B24,'FY ACTUALS'!$A$1:$X$996,J$3,FALSE),"0")+0,IFERROR(($H24-SUMIF($I$1:$W$1,"ACTUAL",$I24:$W24))*(VLOOKUP($B24,'Distribution %'!$A$2:$Q$232,MATCH(J$2,'Distribution %'!$A$2:$Q$2,0),FALSE)/(SUMIF('Distribution %'!$C$1:$Q$1,"BUDGET",'Distribution %'!$C188:$Q188))),"0")+0)</f>
        <v>58488</v>
      </c>
      <c r="K24" s="389">
        <f>IF(VLOOKUP("Net Income",'FY ACTUALS'!$A$1:$X$996,K$3,FALSE)&lt;&gt;0,IFERROR(VLOOKUP($B24,'FY ACTUALS'!$A$1:$X$996,K$3,FALSE),"0")+0,IFERROR(($H24-SUMIF($I$1:$W$1,"ACTUAL",$I24:$W24))*(VLOOKUP($B24,'Distribution %'!$A$2:$Q$232,MATCH(K$2,'Distribution %'!$A$2:$Q$2,0),FALSE)/(SUMIF('Distribution %'!$C$1:$Q$1,"BUDGET",'Distribution %'!$C188:$Q188))),"0")+0)</f>
        <v>0</v>
      </c>
      <c r="L24" s="389">
        <f>IF(VLOOKUP("Net Income",'FY ACTUALS'!$A$1:$X$996,L$3,FALSE)&lt;&gt;0,IFERROR(VLOOKUP($B24,'FY ACTUALS'!$A$1:$X$996,L$3,FALSE),"0")+0,IFERROR(($H24-SUMIF($I$1:$W$1,"ACTUAL",$I24:$W24))*(VLOOKUP($B24,'Distribution %'!$A$2:$Q$232,MATCH(L$2,'Distribution %'!$A$2:$Q$2,0),FALSE)/(SUMIF('Distribution %'!$C$1:$Q$1,"BUDGET",'Distribution %'!$C188:$Q188))),"0")+0)</f>
        <v>0</v>
      </c>
      <c r="M24" s="389">
        <f>IF(VLOOKUP("Net Income",'FY ACTUALS'!$A$1:$X$996,M$3,FALSE)&lt;&gt;0,IFERROR(VLOOKUP($B24,'FY ACTUALS'!$A$1:$X$996,M$3,FALSE),"0")+0,IFERROR(($H24-SUMIF($I$1:$W$1,"ACTUAL",$I24:$W24))*(VLOOKUP($B24,'Distribution %'!$A$2:$Q$232,MATCH(M$2,'Distribution %'!$A$2:$Q$2,0),FALSE)/(SUMIF('Distribution %'!$C$1:$Q$1,"BUDGET",'Distribution %'!$C188:$Q188))),"0")+0)</f>
        <v>0</v>
      </c>
      <c r="N24" s="389">
        <f>IF(VLOOKUP("Net Income",'FY ACTUALS'!$A$1:$X$996,N$3,FALSE)&lt;&gt;0,IFERROR(VLOOKUP($B24,'FY ACTUALS'!$A$1:$X$996,N$3,FALSE),"0")+0,IFERROR(($H24-SUMIF($I$1:$W$1,"ACTUAL",$I24:$W24))*(VLOOKUP($B24,'Distribution %'!$A$2:$Q$232,MATCH(N$2,'Distribution %'!$A$2:$Q$2,0),FALSE)/(SUMIF('Distribution %'!$C$1:$Q$1,"BUDGET",'Distribution %'!$C188:$Q188))),"0")+0)</f>
        <v>0</v>
      </c>
      <c r="O24" s="389">
        <f>IF(VLOOKUP("Net Income",'FY ACTUALS'!$A$1:$X$996,O$3,FALSE)&lt;&gt;0,IFERROR(VLOOKUP($B24,'FY ACTUALS'!$A$1:$X$996,O$3,FALSE),"0")+0,IFERROR(($H24-SUMIF($I$1:$W$1,"ACTUAL",$I24:$W24))*(VLOOKUP($B24,'Distribution %'!$A$2:$Q$232,MATCH(O$2,'Distribution %'!$A$2:$Q$2,0),FALSE)/(SUMIF('Distribution %'!$C$1:$Q$1,"BUDGET",'Distribution %'!$C188:$Q188))),"0")+0)</f>
        <v>20670</v>
      </c>
      <c r="P24" s="389">
        <f>IF(VLOOKUP("Net Income",'FY ACTUALS'!$A$1:$X$996,P$3,FALSE)&lt;&gt;0,IFERROR(VLOOKUP($B24,'FY ACTUALS'!$A$1:$X$996,P$3,FALSE),"0")+0,IFERROR(($H24-SUMIF($I$1:$W$1,"ACTUAL",$I24:$W24))*(VLOOKUP($B24,'Distribution %'!$A$2:$Q$232,MATCH(P$2,'Distribution %'!$A$2:$Q$2,0),FALSE)/(SUMIF('Distribution %'!$C$1:$Q$1,"BUDGET",'Distribution %'!$C188:$Q188))),"0")+0)</f>
        <v>0</v>
      </c>
      <c r="Q24" s="389">
        <f>IF(VLOOKUP("Net Income",'FY ACTUALS'!$A$1:$X$996,Q$3,FALSE)&lt;&gt;0,IFERROR(VLOOKUP($B24,'FY ACTUALS'!$A$1:$X$996,Q$3,FALSE),"0")+0,IFERROR(($H24-SUMIF($I$1:$W$1,"ACTUAL",$I24:$W24))*(VLOOKUP($B24,'Distribution %'!$A$2:$Q$232,MATCH(Q$2,'Distribution %'!$A$2:$Q$2,0),FALSE)/(SUMIF('Distribution %'!$C$1:$Q$1,"BUDGET",'Distribution %'!$C188:$Q188))),"0")+0)</f>
        <v>0</v>
      </c>
      <c r="R24" s="389">
        <f>IF(VLOOKUP("Net Income",'FY ACTUALS'!$A$1:$X$996,R$3,FALSE)&lt;&gt;0,IFERROR(VLOOKUP($B24,'FY ACTUALS'!$A$1:$X$996,R$3,FALSE),"0")+0,IFERROR(($H24-SUMIF($I$1:$W$1,"ACTUAL",$I24:$W24))*(VLOOKUP($B24,'Distribution %'!$A$2:$Q$232,MATCH(R$2,'Distribution %'!$A$2:$Q$2,0),FALSE)/(SUMIF('Distribution %'!$C$1:$Q$1,"BUDGET",'Distribution %'!$C188:$Q188))),"0")+0)</f>
        <v>0</v>
      </c>
      <c r="S24" s="389">
        <f>IF(VLOOKUP("Net Income",'FY ACTUALS'!$A$1:$X$996,S$3,FALSE)&lt;&gt;0,IFERROR(VLOOKUP($B24,'FY ACTUALS'!$A$1:$X$996,S$3,FALSE),"0")+0,IFERROR(($H24-SUMIF($I$1:$W$1,"ACTUAL",$I24:$W24))*(VLOOKUP($B24,'Distribution %'!$A$2:$Q$232,MATCH(S$2,'Distribution %'!$A$2:$Q$2,0),FALSE)/(SUMIF('Distribution %'!$C$1:$Q$1,"BUDGET",'Distribution %'!$C188:$Q188))),"0")+0)</f>
        <v>0</v>
      </c>
      <c r="T24" s="389">
        <f>IF(VLOOKUP("Net Income",'FY ACTUALS'!$A$1:$X$996,T$3,FALSE)&lt;&gt;0,IFERROR(VLOOKUP($B24,'FY ACTUALS'!$A$1:$X$996,T$3,FALSE),"0")+0,IFERROR(($H24-SUMIF($I$1:$W$1,"ACTUAL",$I24:$W24))*(VLOOKUP($B24,'Distribution %'!$A$2:$Q$232,MATCH(T$2,'Distribution %'!$A$2:$Q$2,0),FALSE)/(SUMIF('Distribution %'!$C$1:$Q$1,"BUDGET",'Distribution %'!$C188:$Q188))),"0")+0)</f>
        <v>0</v>
      </c>
      <c r="U24" s="389">
        <f>IF(VLOOKUP("Net Income",'FY ACTUALS'!$A$1:$X$996,U$3,FALSE)&lt;&gt;0,IFERROR(VLOOKUP($B24,'FY ACTUALS'!$A$1:$X$996,U$3,FALSE),"0")+0,IFERROR(($H24-SUMIF($I$1:$W$1,"ACTUAL",$I24:$W24))*(VLOOKUP($B24,'Distribution %'!$A$2:$Q$232,MATCH(U$2,'Distribution %'!$A$2:$Q$2,0),FALSE)/(SUMIF('Distribution %'!$C$1:$Q$1,"BUDGET",'Distribution %'!$C188:$Q188))),"0")+0)</f>
        <v>0</v>
      </c>
      <c r="V24" s="389">
        <f>IF(VLOOKUP("Net Income",'FY ACTUALS'!$A$1:$X$996,V$3,FALSE)&lt;&gt;0,IFERROR(VLOOKUP($B24,'FY ACTUALS'!$A$1:$X$996,V$3,FALSE),"0")+0,IFERROR(($H24-SUMIF($I$1:$W$1,"ACTUAL",$I24:$W24))*(VLOOKUP($B24,'Distribution %'!$A$2:$Q$232,MATCH(V$2,'Distribution %'!$A$2:$Q$2,0),FALSE)/(SUMIF('Distribution %'!$C$1:$Q$1,"BUDGET",'Distribution %'!$C188:$Q188))),"0")+0)</f>
        <v>0</v>
      </c>
      <c r="W24" s="460">
        <f>IF(VLOOKUP("Net Income",'FY ACTUALS'!$A$1:$X$996,W$3,FALSE)&lt;&gt;0,IFERROR(VLOOKUP($B24,'FY ACTUALS'!$A$1:$X$996,W$3,FALSE),"0")+0,IFERROR(($H24-SUMIF($I$1:$W$1,"ACTUAL",$I24:$W24))*(VLOOKUP($B24,'Distribution %'!$A$2:$Q$232,MATCH(W$2,'Distribution %'!$A$2:$Q$2,0),FALSE)/(SUMIF('Distribution %'!$C$1:$Q$1,"BUDGET",'Distribution %'!$C188:$Q188))),"0")+0)</f>
        <v>0</v>
      </c>
      <c r="X24" s="387">
        <f t="shared" si="5"/>
        <v>79158</v>
      </c>
      <c r="Y24" s="387"/>
      <c r="Z24" s="387">
        <f t="shared" si="4"/>
        <v>-79158</v>
      </c>
    </row>
    <row r="25" spans="2:26" x14ac:dyDescent="0.75">
      <c r="B25" s="403" t="s">
        <v>1397</v>
      </c>
      <c r="C25" s="379">
        <v>0</v>
      </c>
      <c r="G25" s="392"/>
      <c r="H25" s="430"/>
      <c r="I25" s="388"/>
      <c r="J25" s="389"/>
      <c r="K25" s="389"/>
      <c r="L25" s="389"/>
      <c r="M25" s="389"/>
      <c r="N25" s="389"/>
      <c r="O25" s="389"/>
      <c r="P25" s="389"/>
      <c r="Q25" s="389"/>
      <c r="R25" s="389"/>
      <c r="S25" s="389"/>
      <c r="T25" s="389"/>
      <c r="U25" s="389"/>
      <c r="V25" s="389"/>
      <c r="W25" s="431"/>
      <c r="X25" s="387">
        <f t="shared" si="5"/>
        <v>0</v>
      </c>
      <c r="Y25" s="387"/>
      <c r="Z25" s="387">
        <f t="shared" si="4"/>
        <v>0</v>
      </c>
    </row>
    <row r="26" spans="2:26" x14ac:dyDescent="0.75">
      <c r="B26" s="403" t="s">
        <v>1397</v>
      </c>
      <c r="C26" s="379">
        <v>0</v>
      </c>
      <c r="G26" s="392"/>
      <c r="H26" s="430"/>
      <c r="I26" s="388"/>
      <c r="J26" s="389"/>
      <c r="K26" s="389"/>
      <c r="L26" s="389"/>
      <c r="M26" s="389"/>
      <c r="N26" s="389"/>
      <c r="O26" s="389"/>
      <c r="P26" s="389"/>
      <c r="Q26" s="389"/>
      <c r="R26" s="389"/>
      <c r="S26" s="389"/>
      <c r="T26" s="389"/>
      <c r="U26" s="389"/>
      <c r="V26" s="389"/>
      <c r="W26" s="431"/>
      <c r="X26" s="387">
        <f t="shared" si="5"/>
        <v>0</v>
      </c>
      <c r="Y26" s="387"/>
      <c r="Z26" s="387">
        <f t="shared" si="4"/>
        <v>0</v>
      </c>
    </row>
    <row r="27" spans="2:26" x14ac:dyDescent="0.75">
      <c r="B27" s="403" t="s">
        <v>1397</v>
      </c>
      <c r="C27" s="379">
        <v>0</v>
      </c>
      <c r="G27" s="392"/>
      <c r="H27" s="430"/>
      <c r="I27" s="398"/>
      <c r="J27" s="399"/>
      <c r="K27" s="399"/>
      <c r="L27" s="399"/>
      <c r="M27" s="399"/>
      <c r="N27" s="399"/>
      <c r="O27" s="399"/>
      <c r="P27" s="399"/>
      <c r="Q27" s="399"/>
      <c r="R27" s="399"/>
      <c r="S27" s="400"/>
      <c r="T27" s="400"/>
      <c r="U27" s="400"/>
      <c r="V27" s="400"/>
      <c r="W27" s="433"/>
      <c r="X27" s="400">
        <f t="shared" si="5"/>
        <v>0</v>
      </c>
      <c r="Y27" s="400"/>
      <c r="Z27" s="400">
        <f t="shared" si="4"/>
        <v>0</v>
      </c>
    </row>
    <row r="28" spans="2:26" x14ac:dyDescent="0.75">
      <c r="B28" s="364" t="s">
        <v>1370</v>
      </c>
      <c r="G28" s="392"/>
      <c r="H28" s="437">
        <f>SUM(H16:H27)</f>
        <v>2559175.5585822402</v>
      </c>
      <c r="I28" s="404">
        <f t="shared" ref="I28:X28" si="6">+SUM(I16:I27)</f>
        <v>78268.789999999994</v>
      </c>
      <c r="J28" s="405">
        <f t="shared" si="6"/>
        <v>132050</v>
      </c>
      <c r="K28" s="405">
        <f t="shared" si="6"/>
        <v>12873.06</v>
      </c>
      <c r="L28" s="405">
        <f t="shared" si="6"/>
        <v>98607</v>
      </c>
      <c r="M28" s="405">
        <f t="shared" si="6"/>
        <v>18196</v>
      </c>
      <c r="N28" s="405">
        <f t="shared" si="6"/>
        <v>2500</v>
      </c>
      <c r="O28" s="405">
        <f t="shared" si="6"/>
        <v>550434</v>
      </c>
      <c r="P28" s="405">
        <f t="shared" si="6"/>
        <v>112964.05571644803</v>
      </c>
      <c r="Q28" s="405">
        <f t="shared" si="6"/>
        <v>112964.05571644803</v>
      </c>
      <c r="R28" s="405">
        <f t="shared" si="6"/>
        <v>602671.32562872884</v>
      </c>
      <c r="S28" s="406">
        <f t="shared" si="6"/>
        <v>112964.05571644803</v>
      </c>
      <c r="T28" s="406">
        <f t="shared" si="6"/>
        <v>803841.21580416732</v>
      </c>
      <c r="U28" s="418">
        <f t="shared" si="6"/>
        <v>0</v>
      </c>
      <c r="V28" s="418">
        <f t="shared" ref="V28" si="7">+SUM(V16:V27)</f>
        <v>0</v>
      </c>
      <c r="W28" s="438">
        <f t="shared" si="6"/>
        <v>0</v>
      </c>
      <c r="X28" s="418">
        <f t="shared" si="6"/>
        <v>2638333</v>
      </c>
      <c r="Y28" s="418"/>
      <c r="Z28" s="418">
        <f>+SUM(Z16:Z27)</f>
        <v>-79157.441417759866</v>
      </c>
    </row>
    <row r="29" spans="2:26" x14ac:dyDescent="0.75">
      <c r="G29" s="392"/>
      <c r="H29" s="430"/>
      <c r="I29" s="388"/>
      <c r="J29" s="389"/>
      <c r="K29" s="389"/>
      <c r="L29" s="389"/>
      <c r="M29" s="389"/>
      <c r="N29" s="389"/>
      <c r="O29" s="389"/>
      <c r="P29" s="389"/>
      <c r="Q29" s="389"/>
      <c r="R29" s="389"/>
      <c r="S29" s="390"/>
      <c r="T29" s="390"/>
      <c r="U29" s="387"/>
      <c r="V29" s="387"/>
      <c r="W29" s="431"/>
      <c r="X29" s="387"/>
      <c r="Y29" s="387"/>
      <c r="Z29" s="387"/>
    </row>
    <row r="30" spans="2:26" x14ac:dyDescent="0.75">
      <c r="B30" s="364" t="s">
        <v>791</v>
      </c>
      <c r="G30" s="392"/>
      <c r="H30" s="430"/>
      <c r="I30" s="388"/>
      <c r="J30" s="389"/>
      <c r="K30" s="389"/>
      <c r="L30" s="389"/>
      <c r="M30" s="389"/>
      <c r="N30" s="389"/>
      <c r="O30" s="389"/>
      <c r="P30" s="389"/>
      <c r="Q30" s="389"/>
      <c r="R30" s="389"/>
      <c r="S30" s="390"/>
      <c r="T30" s="390"/>
      <c r="U30" s="387"/>
      <c r="V30" s="387"/>
      <c r="W30" s="431"/>
      <c r="X30" s="387"/>
      <c r="Y30" s="387"/>
      <c r="Z30" s="387"/>
    </row>
    <row r="31" spans="2:26" x14ac:dyDescent="0.75">
      <c r="B31" s="403">
        <v>8520</v>
      </c>
      <c r="C31" s="379" t="s">
        <v>1407</v>
      </c>
      <c r="F31" s="379" t="str">
        <f>IF(ISERROR(VLOOKUP(B31,'Distribution %'!A:A,1,FALSE)),"NO","YES")</f>
        <v>YES</v>
      </c>
      <c r="G31" s="392"/>
      <c r="H31" s="430">
        <f>IFERROR(VLOOKUP(B31,'Revenue w MYP'!$A$8:$J$52,10,FALSE),"0")+0</f>
        <v>0</v>
      </c>
      <c r="I31" s="388">
        <f>IF(VLOOKUP("Net Income",'FY ACTUALS'!$A$1:$X$996,I$3,FALSE)&lt;&gt;0,IFERROR(VLOOKUP($B31,'FY ACTUALS'!$A$1:$X$996,I$3,FALSE),"0")+0,IFERROR(($H31-SUMIF($I$1:$W$1,"ACTUAL",$I31:$W31))*(VLOOKUP($B31,'Distribution %'!$A$2:$Q$232,MATCH(I$2,'Distribution %'!$A$2:$Q$2,0),FALSE)/(SUMIF('Distribution %'!$C$1:$Q$1,"BUDGET",'Distribution %'!$C195:$Q195))),"0")+0)</f>
        <v>0</v>
      </c>
      <c r="J31" s="389">
        <f>IF(VLOOKUP("Net Income",'FY ACTUALS'!$A$1:$X$996,J$3,FALSE)&lt;&gt;0,IFERROR(VLOOKUP($B31,'FY ACTUALS'!$A$1:$X$996,J$3,FALSE),"0")+0,IFERROR(($H31-SUMIF($I$1:$W$1,"ACTUAL",$I31:$W31))*(VLOOKUP($B31,'Distribution %'!$A$2:$Q$232,MATCH(J$2,'Distribution %'!$A$2:$Q$2,0),FALSE)/(SUMIF('Distribution %'!$C$1:$Q$1,"BUDGET",'Distribution %'!$C195:$Q195))),"0")+0)</f>
        <v>0</v>
      </c>
      <c r="K31" s="389">
        <f>IF(VLOOKUP("Net Income",'FY ACTUALS'!$A$1:$X$996,K$3,FALSE)&lt;&gt;0,IFERROR(VLOOKUP($B31,'FY ACTUALS'!$A$1:$X$996,K$3,FALSE),"0")+0,IFERROR(($H31-SUMIF($I$1:$W$1,"ACTUAL",$I31:$W31))*(VLOOKUP($B31,'Distribution %'!$A$2:$Q$232,MATCH(K$2,'Distribution %'!$A$2:$Q$2,0),FALSE)/(SUMIF('Distribution %'!$C$1:$Q$1,"BUDGET",'Distribution %'!$C195:$Q195))),"0")+0)</f>
        <v>0</v>
      </c>
      <c r="L31" s="389">
        <f>IF(VLOOKUP("Net Income",'FY ACTUALS'!$A$1:$X$996,L$3,FALSE)&lt;&gt;0,IFERROR(VLOOKUP($B31,'FY ACTUALS'!$A$1:$X$996,L$3,FALSE),"0")+0,IFERROR(($H31-SUMIF($I$1:$W$1,"ACTUAL",$I31:$W31))*(VLOOKUP($B31,'Distribution %'!$A$2:$Q$232,MATCH(L$2,'Distribution %'!$A$2:$Q$2,0),FALSE)/(SUMIF('Distribution %'!$C$1:$Q$1,"BUDGET",'Distribution %'!$C195:$Q195))),"0")+0)</f>
        <v>0</v>
      </c>
      <c r="M31" s="389">
        <f>IF(VLOOKUP("Net Income",'FY ACTUALS'!$A$1:$X$996,M$3,FALSE)&lt;&gt;0,IFERROR(VLOOKUP($B31,'FY ACTUALS'!$A$1:$X$996,M$3,FALSE),"0")+0,IFERROR(($H31-SUMIF($I$1:$W$1,"ACTUAL",$I31:$W31))*(VLOOKUP($B31,'Distribution %'!$A$2:$Q$232,MATCH(M$2,'Distribution %'!$A$2:$Q$2,0),FALSE)/(SUMIF('Distribution %'!$C$1:$Q$1,"BUDGET",'Distribution %'!$C195:$Q195))),"0")+0)</f>
        <v>0</v>
      </c>
      <c r="N31" s="389">
        <f>IF(VLOOKUP("Net Income",'FY ACTUALS'!$A$1:$X$996,N$3,FALSE)&lt;&gt;0,IFERROR(VLOOKUP($B31,'FY ACTUALS'!$A$1:$X$996,N$3,FALSE),"0")+0,IFERROR(($H31-SUMIF($I$1:$W$1,"ACTUAL",$I31:$W31))*(VLOOKUP($B31,'Distribution %'!$A$2:$Q$232,MATCH(N$2,'Distribution %'!$A$2:$Q$2,0),FALSE)/(SUMIF('Distribution %'!$C$1:$Q$1,"BUDGET",'Distribution %'!$C195:$Q195))),"0")+0)</f>
        <v>0</v>
      </c>
      <c r="O31" s="389">
        <f>IF(VLOOKUP("Net Income",'FY ACTUALS'!$A$1:$X$996,O$3,FALSE)&lt;&gt;0,IFERROR(VLOOKUP($B31,'FY ACTUALS'!$A$1:$X$996,O$3,FALSE),"0")+0,IFERROR(($H31-SUMIF($I$1:$W$1,"ACTUAL",$I31:$W31))*(VLOOKUP($B31,'Distribution %'!$A$2:$Q$232,MATCH(O$2,'Distribution %'!$A$2:$Q$2,0),FALSE)/(SUMIF('Distribution %'!$C$1:$Q$1,"BUDGET",'Distribution %'!$C195:$Q195))),"0")+0)</f>
        <v>0</v>
      </c>
      <c r="P31" s="389">
        <f>IF(VLOOKUP("Net Income",'FY ACTUALS'!$A$1:$X$996,P$3,FALSE)&lt;&gt;0,IFERROR(VLOOKUP($B31,'FY ACTUALS'!$A$1:$X$996,P$3,FALSE),"0")+0,IFERROR(($H31-SUMIF($I$1:$W$1,"ACTUAL",$I31:$W31))*(VLOOKUP($B31,'Distribution %'!$A$2:$Q$232,MATCH(P$2,'Distribution %'!$A$2:$Q$2,0),FALSE)/(SUMIF('Distribution %'!$C$1:$Q$1,"BUDGET",'Distribution %'!$C195:$Q195))),"0")+0)</f>
        <v>0</v>
      </c>
      <c r="Q31" s="389">
        <f>IF(VLOOKUP("Net Income",'FY ACTUALS'!$A$1:$X$996,Q$3,FALSE)&lt;&gt;0,IFERROR(VLOOKUP($B31,'FY ACTUALS'!$A$1:$X$996,Q$3,FALSE),"0")+0,IFERROR(($H31-SUMIF($I$1:$W$1,"ACTUAL",$I31:$W31))*(VLOOKUP($B31,'Distribution %'!$A$2:$Q$232,MATCH(Q$2,'Distribution %'!$A$2:$Q$2,0),FALSE)/(SUMIF('Distribution %'!$C$1:$Q$1,"BUDGET",'Distribution %'!$C195:$Q195))),"0")+0)</f>
        <v>0</v>
      </c>
      <c r="R31" s="389">
        <f>IF(VLOOKUP("Net Income",'FY ACTUALS'!$A$1:$X$996,R$3,FALSE)&lt;&gt;0,IFERROR(VLOOKUP($B31,'FY ACTUALS'!$A$1:$X$996,R$3,FALSE),"0")+0,IFERROR(($H31-SUMIF($I$1:$W$1,"ACTUAL",$I31:$W31))*(VLOOKUP($B31,'Distribution %'!$A$2:$Q$232,MATCH(R$2,'Distribution %'!$A$2:$Q$2,0),FALSE)/(SUMIF('Distribution %'!$C$1:$Q$1,"BUDGET",'Distribution %'!$C195:$Q195))),"0")+0)</f>
        <v>0</v>
      </c>
      <c r="S31" s="389">
        <f>IF(VLOOKUP("Net Income",'FY ACTUALS'!$A$1:$X$996,S$3,FALSE)&lt;&gt;0,IFERROR(VLOOKUP($B31,'FY ACTUALS'!$A$1:$X$996,S$3,FALSE),"0")+0,IFERROR(($H31-SUMIF($I$1:$W$1,"ACTUAL",$I31:$W31))*(VLOOKUP($B31,'Distribution %'!$A$2:$Q$232,MATCH(S$2,'Distribution %'!$A$2:$Q$2,0),FALSE)/(SUMIF('Distribution %'!$C$1:$Q$1,"BUDGET",'Distribution %'!$C195:$Q195))),"0")+0)</f>
        <v>0</v>
      </c>
      <c r="T31" s="389">
        <f>IF(VLOOKUP("Net Income",'FY ACTUALS'!$A$1:$X$996,T$3,FALSE)&lt;&gt;0,IFERROR(VLOOKUP($B31,'FY ACTUALS'!$A$1:$X$996,T$3,FALSE),"0")+0,IFERROR(($H31-SUMIF($I$1:$W$1,"ACTUAL",$I31:$W31))*(VLOOKUP($B31,'Distribution %'!$A$2:$Q$232,MATCH(T$2,'Distribution %'!$A$2:$Q$2,0),FALSE)/(SUMIF('Distribution %'!$C$1:$Q$1,"BUDGET",'Distribution %'!$C195:$Q195))),"0")+0)</f>
        <v>0</v>
      </c>
      <c r="U31" s="389">
        <f>IF(VLOOKUP("Net Income",'FY ACTUALS'!$A$1:$X$996,U$3,FALSE)&lt;&gt;0,IFERROR(VLOOKUP($B31,'FY ACTUALS'!$A$1:$X$996,U$3,FALSE),"0")+0,IFERROR(($H31-SUMIF($I$1:$W$1,"ACTUAL",$I31:$W31))*(VLOOKUP($B31,'Distribution %'!$A$2:$Q$232,MATCH(U$2,'Distribution %'!$A$2:$Q$2,0),FALSE)/(SUMIF('Distribution %'!$C$1:$Q$1,"BUDGET",'Distribution %'!$C195:$Q195))),"0")+0)</f>
        <v>0</v>
      </c>
      <c r="V31" s="389">
        <f>IF(VLOOKUP("Net Income",'FY ACTUALS'!$A$1:$X$996,V$3,FALSE)&lt;&gt;0,IFERROR(VLOOKUP($B31,'FY ACTUALS'!$A$1:$X$996,V$3,FALSE),"0")+0,IFERROR(($H31-SUMIF($I$1:$W$1,"ACTUAL",$I31:$W31))*(VLOOKUP($B31,'Distribution %'!$A$2:$Q$232,MATCH(V$2,'Distribution %'!$A$2:$Q$2,0),FALSE)/(SUMIF('Distribution %'!$C$1:$Q$1,"BUDGET",'Distribution %'!$C195:$Q195))),"0")+0)</f>
        <v>0</v>
      </c>
      <c r="W31" s="460">
        <f>IF(VLOOKUP("Net Income",'FY ACTUALS'!$A$1:$X$996,W$3,FALSE)&lt;&gt;0,IFERROR(VLOOKUP($B31,'FY ACTUALS'!$A$1:$X$996,W$3,FALSE),"0")+0,IFERROR(($H31-SUMIF($I$1:$W$1,"ACTUAL",$I31:$W31))*(VLOOKUP($B31,'Distribution %'!$A$2:$Q$232,MATCH(W$2,'Distribution %'!$A$2:$Q$2,0),FALSE)/(SUMIF('Distribution %'!$C$1:$Q$1,"BUDGET",'Distribution %'!$C195:$Q195))),"0")+0)</f>
        <v>0</v>
      </c>
      <c r="X31" s="387">
        <f t="shared" ref="X31:X41" si="8">+SUM(I31:W31)</f>
        <v>0</v>
      </c>
      <c r="Y31" s="387"/>
      <c r="Z31" s="387">
        <f t="shared" ref="Z31:Z41" si="9">+H31-X31</f>
        <v>0</v>
      </c>
    </row>
    <row r="32" spans="2:26" x14ac:dyDescent="0.75">
      <c r="B32" s="403">
        <v>8550</v>
      </c>
      <c r="C32" s="379" t="s">
        <v>1238</v>
      </c>
      <c r="F32" s="379" t="str">
        <f>IF(ISERROR(VLOOKUP(B32,'Distribution %'!A:A,1,FALSE)),"NO","YES")</f>
        <v>YES</v>
      </c>
      <c r="G32" s="392"/>
      <c r="H32" s="430">
        <f>IFERROR(VLOOKUP(B32,'Revenue w MYP'!$A$8:$J$52,10,FALSE),"0")+0</f>
        <v>65370.463810000001</v>
      </c>
      <c r="I32" s="388">
        <f>IF(VLOOKUP("Net Income",'FY ACTUALS'!$A$1:$X$996,I$3,FALSE)&lt;&gt;0,IFERROR(VLOOKUP($B32,'FY ACTUALS'!$A$1:$X$996,I$3,FALSE),"0")+0,IFERROR(($H32-SUMIF($I$1:$W$1,"ACTUAL",$I32:$W32))*(VLOOKUP($B32,'Distribution %'!$A$2:$Q$232,MATCH(I$2,'Distribution %'!$A$2:$Q$2,0),FALSE)/(SUMIF('Distribution %'!$C$1:$Q$1,"BUDGET",'Distribution %'!$C196:$Q196))),"0")+0)</f>
        <v>0</v>
      </c>
      <c r="J32" s="389">
        <f>IF(VLOOKUP("Net Income",'FY ACTUALS'!$A$1:$X$996,J$3,FALSE)&lt;&gt;0,IFERROR(VLOOKUP($B32,'FY ACTUALS'!$A$1:$X$996,J$3,FALSE),"0")+0,IFERROR(($H32-SUMIF($I$1:$W$1,"ACTUAL",$I32:$W32))*(VLOOKUP($B32,'Distribution %'!$A$2:$Q$232,MATCH(J$2,'Distribution %'!$A$2:$Q$2,0),FALSE)/(SUMIF('Distribution %'!$C$1:$Q$1,"BUDGET",'Distribution %'!$C196:$Q196))),"0")+0)</f>
        <v>0</v>
      </c>
      <c r="K32" s="389">
        <f>IF(VLOOKUP("Net Income",'FY ACTUALS'!$A$1:$X$996,K$3,FALSE)&lt;&gt;0,IFERROR(VLOOKUP($B32,'FY ACTUALS'!$A$1:$X$996,K$3,FALSE),"0")+0,IFERROR(($H32-SUMIF($I$1:$W$1,"ACTUAL",$I32:$W32))*(VLOOKUP($B32,'Distribution %'!$A$2:$Q$232,MATCH(K$2,'Distribution %'!$A$2:$Q$2,0),FALSE)/(SUMIF('Distribution %'!$C$1:$Q$1,"BUDGET",'Distribution %'!$C196:$Q196))),"0")+0)</f>
        <v>0</v>
      </c>
      <c r="L32" s="389">
        <f>IF(VLOOKUP("Net Income",'FY ACTUALS'!$A$1:$X$996,L$3,FALSE)&lt;&gt;0,IFERROR(VLOOKUP($B32,'FY ACTUALS'!$A$1:$X$996,L$3,FALSE),"0")+0,IFERROR(($H32-SUMIF($I$1:$W$1,"ACTUAL",$I32:$W32))*(VLOOKUP($B32,'Distribution %'!$A$2:$Q$232,MATCH(L$2,'Distribution %'!$A$2:$Q$2,0),FALSE)/(SUMIF('Distribution %'!$C$1:$Q$1,"BUDGET",'Distribution %'!$C196:$Q196))),"0")+0)</f>
        <v>0</v>
      </c>
      <c r="M32" s="389">
        <f>IF(VLOOKUP("Net Income",'FY ACTUALS'!$A$1:$X$996,M$3,FALSE)&lt;&gt;0,IFERROR(VLOOKUP($B32,'FY ACTUALS'!$A$1:$X$996,M$3,FALSE),"0")+0,IFERROR(($H32-SUMIF($I$1:$W$1,"ACTUAL",$I32:$W32))*(VLOOKUP($B32,'Distribution %'!$A$2:$Q$232,MATCH(M$2,'Distribution %'!$A$2:$Q$2,0),FALSE)/(SUMIF('Distribution %'!$C$1:$Q$1,"BUDGET",'Distribution %'!$C196:$Q196))),"0")+0)</f>
        <v>0</v>
      </c>
      <c r="N32" s="389">
        <f>IF(VLOOKUP("Net Income",'FY ACTUALS'!$A$1:$X$996,N$3,FALSE)&lt;&gt;0,IFERROR(VLOOKUP($B32,'FY ACTUALS'!$A$1:$X$996,N$3,FALSE),"0")+0,IFERROR(($H32-SUMIF($I$1:$W$1,"ACTUAL",$I32:$W32))*(VLOOKUP($B32,'Distribution %'!$A$2:$Q$232,MATCH(N$2,'Distribution %'!$A$2:$Q$2,0),FALSE)/(SUMIF('Distribution %'!$C$1:$Q$1,"BUDGET",'Distribution %'!$C196:$Q196))),"0")+0)</f>
        <v>51845</v>
      </c>
      <c r="O32" s="389">
        <f>IF(VLOOKUP("Net Income",'FY ACTUALS'!$A$1:$X$996,O$3,FALSE)&lt;&gt;0,IFERROR(VLOOKUP($B32,'FY ACTUALS'!$A$1:$X$996,O$3,FALSE),"0")+0,IFERROR(($H32-SUMIF($I$1:$W$1,"ACTUAL",$I32:$W32))*(VLOOKUP($B32,'Distribution %'!$A$2:$Q$232,MATCH(O$2,'Distribution %'!$A$2:$Q$2,0),FALSE)/(SUMIF('Distribution %'!$C$1:$Q$1,"BUDGET",'Distribution %'!$C196:$Q196))),"0")+0)</f>
        <v>13049</v>
      </c>
      <c r="P32" s="389">
        <f>IF(VLOOKUP("Net Income",'FY ACTUALS'!$A$1:$X$996,P$3,FALSE)&lt;&gt;0,IFERROR(VLOOKUP($B32,'FY ACTUALS'!$A$1:$X$996,P$3,FALSE),"0")+0,IFERROR(($H32-SUMIF($I$1:$W$1,"ACTUAL",$I32:$W32))*(VLOOKUP($B32,'Distribution %'!$A$2:$Q$232,MATCH(P$2,'Distribution %'!$A$2:$Q$2,0),FALSE)/(SUMIF('Distribution %'!$C$1:$Q$1,"BUDGET",'Distribution %'!$C196:$Q196))),"0")+0)</f>
        <v>158.82127000000037</v>
      </c>
      <c r="Q32" s="389">
        <f>IF(VLOOKUP("Net Income",'FY ACTUALS'!$A$1:$X$996,Q$3,FALSE)&lt;&gt;0,IFERROR(VLOOKUP($B32,'FY ACTUALS'!$A$1:$X$996,Q$3,FALSE),"0")+0,IFERROR(($H32-SUMIF($I$1:$W$1,"ACTUAL",$I32:$W32))*(VLOOKUP($B32,'Distribution %'!$A$2:$Q$232,MATCH(Q$2,'Distribution %'!$A$2:$Q$2,0),FALSE)/(SUMIF('Distribution %'!$C$1:$Q$1,"BUDGET",'Distribution %'!$C196:$Q196))),"0")+0)</f>
        <v>0</v>
      </c>
      <c r="R32" s="389">
        <f>IF(VLOOKUP("Net Income",'FY ACTUALS'!$A$1:$X$996,R$3,FALSE)&lt;&gt;0,IFERROR(VLOOKUP($B32,'FY ACTUALS'!$A$1:$X$996,R$3,FALSE),"0")+0,IFERROR(($H32-SUMIF($I$1:$W$1,"ACTUAL",$I32:$W32))*(VLOOKUP($B32,'Distribution %'!$A$2:$Q$232,MATCH(R$2,'Distribution %'!$A$2:$Q$2,0),FALSE)/(SUMIF('Distribution %'!$C$1:$Q$1,"BUDGET",'Distribution %'!$C196:$Q196))),"0")+0)</f>
        <v>0</v>
      </c>
      <c r="S32" s="389">
        <f>IF(VLOOKUP("Net Income",'FY ACTUALS'!$A$1:$X$996,S$3,FALSE)&lt;&gt;0,IFERROR(VLOOKUP($B32,'FY ACTUALS'!$A$1:$X$996,S$3,FALSE),"0")+0,IFERROR(($H32-SUMIF($I$1:$W$1,"ACTUAL",$I32:$W32))*(VLOOKUP($B32,'Distribution %'!$A$2:$Q$232,MATCH(S$2,'Distribution %'!$A$2:$Q$2,0),FALSE)/(SUMIF('Distribution %'!$C$1:$Q$1,"BUDGET",'Distribution %'!$C196:$Q196))),"0")+0)</f>
        <v>0</v>
      </c>
      <c r="T32" s="389">
        <f>IF(VLOOKUP("Net Income",'FY ACTUALS'!$A$1:$X$996,T$3,FALSE)&lt;&gt;0,IFERROR(VLOOKUP($B32,'FY ACTUALS'!$A$1:$X$996,T$3,FALSE),"0")+0,IFERROR(($H32-SUMIF($I$1:$W$1,"ACTUAL",$I32:$W32))*(VLOOKUP($B32,'Distribution %'!$A$2:$Q$232,MATCH(T$2,'Distribution %'!$A$2:$Q$2,0),FALSE)/(SUMIF('Distribution %'!$C$1:$Q$1,"BUDGET",'Distribution %'!$C196:$Q196))),"0")+0)</f>
        <v>158.82127000000037</v>
      </c>
      <c r="U32" s="389">
        <f>IF(VLOOKUP("Net Income",'FY ACTUALS'!$A$1:$X$996,U$3,FALSE)&lt;&gt;0,IFERROR(VLOOKUP($B32,'FY ACTUALS'!$A$1:$X$996,U$3,FALSE),"0")+0,IFERROR(($H32-SUMIF($I$1:$W$1,"ACTUAL",$I32:$W32))*(VLOOKUP($B32,'Distribution %'!$A$2:$Q$232,MATCH(U$2,'Distribution %'!$A$2:$Q$2,0),FALSE)/(SUMIF('Distribution %'!$C$1:$Q$1,"BUDGET",'Distribution %'!$C196:$Q196))),"0")+0)</f>
        <v>158.82127000000037</v>
      </c>
      <c r="V32" s="389">
        <f>IF(VLOOKUP("Net Income",'FY ACTUALS'!$A$1:$X$996,V$3,FALSE)&lt;&gt;0,IFERROR(VLOOKUP($B32,'FY ACTUALS'!$A$1:$X$996,V$3,FALSE),"0")+0,IFERROR(($H32-SUMIF($I$1:$W$1,"ACTUAL",$I32:$W32))*(VLOOKUP($B32,'Distribution %'!$A$2:$Q$232,MATCH(V$2,'Distribution %'!$A$2:$Q$2,0),FALSE)/(SUMIF('Distribution %'!$C$1:$Q$1,"BUDGET",'Distribution %'!$C196:$Q196))),"0")+0)</f>
        <v>0</v>
      </c>
      <c r="W32" s="460">
        <f>IF(VLOOKUP("Net Income",'FY ACTUALS'!$A$1:$X$996,W$3,FALSE)&lt;&gt;0,IFERROR(VLOOKUP($B32,'FY ACTUALS'!$A$1:$X$996,W$3,FALSE),"0")+0,IFERROR(($H32-SUMIF($I$1:$W$1,"ACTUAL",$I32:$W32))*(VLOOKUP($B32,'Distribution %'!$A$2:$Q$232,MATCH(W$2,'Distribution %'!$A$2:$Q$2,0),FALSE)/(SUMIF('Distribution %'!$C$1:$Q$1,"BUDGET",'Distribution %'!$C196:$Q196))),"0")+0)</f>
        <v>0</v>
      </c>
      <c r="X32" s="387">
        <f t="shared" si="8"/>
        <v>65370.463810000001</v>
      </c>
      <c r="Y32" s="387"/>
      <c r="Z32" s="387">
        <f t="shared" si="9"/>
        <v>0</v>
      </c>
    </row>
    <row r="33" spans="2:26" x14ac:dyDescent="0.75">
      <c r="B33" s="403">
        <v>8561</v>
      </c>
      <c r="C33" s="379" t="s">
        <v>1451</v>
      </c>
      <c r="F33" s="379" t="str">
        <f>IF(ISERROR(VLOOKUP(B33,'Distribution %'!A:A,1,FALSE)),"NO","YES")</f>
        <v>YES</v>
      </c>
      <c r="G33" s="392"/>
      <c r="H33" s="430">
        <f>IFERROR(VLOOKUP(B33,'Revenue w MYP'!$A$8:$J$52,10,FALSE),"0")+0</f>
        <v>564150.43920000014</v>
      </c>
      <c r="I33" s="388">
        <f>IF(VLOOKUP("Net Income",'FY ACTUALS'!$A$1:$X$996,I$3,FALSE)&lt;&gt;0,IFERROR(VLOOKUP($B33,'FY ACTUALS'!$A$1:$X$996,I$3,FALSE),"0")+0,IFERROR(($H33-SUMIF($I$1:$W$1,"ACTUAL",$I33:$W33))*(VLOOKUP($B33,'Distribution %'!$A$2:$Q$232,MATCH(I$2,'Distribution %'!$A$2:$Q$2,0),FALSE)/(SUMIF('Distribution %'!$C$1:$Q$1,"BUDGET",'Distribution %'!$C197:$Q197))),"0")+0)</f>
        <v>0</v>
      </c>
      <c r="J33" s="389">
        <f>IF(VLOOKUP("Net Income",'FY ACTUALS'!$A$1:$X$996,J$3,FALSE)&lt;&gt;0,IFERROR(VLOOKUP($B33,'FY ACTUALS'!$A$1:$X$996,J$3,FALSE),"0")+0,IFERROR(($H33-SUMIF($I$1:$W$1,"ACTUAL",$I33:$W33))*(VLOOKUP($B33,'Distribution %'!$A$2:$Q$232,MATCH(J$2,'Distribution %'!$A$2:$Q$2,0),FALSE)/(SUMIF('Distribution %'!$C$1:$Q$1,"BUDGET",'Distribution %'!$C197:$Q197))),"0")+0)</f>
        <v>0</v>
      </c>
      <c r="K33" s="389">
        <f>IF(VLOOKUP("Net Income",'FY ACTUALS'!$A$1:$X$996,K$3,FALSE)&lt;&gt;0,IFERROR(VLOOKUP($B33,'FY ACTUALS'!$A$1:$X$996,K$3,FALSE),"0")+0,IFERROR(($H33-SUMIF($I$1:$W$1,"ACTUAL",$I33:$W33))*(VLOOKUP($B33,'Distribution %'!$A$2:$Q$232,MATCH(K$2,'Distribution %'!$A$2:$Q$2,0),FALSE)/(SUMIF('Distribution %'!$C$1:$Q$1,"BUDGET",'Distribution %'!$C197:$Q197))),"0")+0)</f>
        <v>0</v>
      </c>
      <c r="L33" s="389">
        <f>IF(VLOOKUP("Net Income",'FY ACTUALS'!$A$1:$X$996,L$3,FALSE)&lt;&gt;0,IFERROR(VLOOKUP($B33,'FY ACTUALS'!$A$1:$X$996,L$3,FALSE),"0")+0,IFERROR(($H33-SUMIF($I$1:$W$1,"ACTUAL",$I33:$W33))*(VLOOKUP($B33,'Distribution %'!$A$2:$Q$232,MATCH(L$2,'Distribution %'!$A$2:$Q$2,0),FALSE)/(SUMIF('Distribution %'!$C$1:$Q$1,"BUDGET",'Distribution %'!$C197:$Q197))),"0")+0)</f>
        <v>0</v>
      </c>
      <c r="M33" s="389">
        <f>IF(VLOOKUP("Net Income",'FY ACTUALS'!$A$1:$X$996,M$3,FALSE)&lt;&gt;0,IFERROR(VLOOKUP($B33,'FY ACTUALS'!$A$1:$X$996,M$3,FALSE),"0")+0,IFERROR(($H33-SUMIF($I$1:$W$1,"ACTUAL",$I33:$W33))*(VLOOKUP($B33,'Distribution %'!$A$2:$Q$232,MATCH(M$2,'Distribution %'!$A$2:$Q$2,0),FALSE)/(SUMIF('Distribution %'!$C$1:$Q$1,"BUDGET",'Distribution %'!$C197:$Q197))),"0")+0)</f>
        <v>0</v>
      </c>
      <c r="N33" s="389">
        <f>IF(VLOOKUP("Net Income",'FY ACTUALS'!$A$1:$X$996,N$3,FALSE)&lt;&gt;0,IFERROR(VLOOKUP($B33,'FY ACTUALS'!$A$1:$X$996,N$3,FALSE),"0")+0,IFERROR(($H33-SUMIF($I$1:$W$1,"ACTUAL",$I33:$W33))*(VLOOKUP($B33,'Distribution %'!$A$2:$Q$232,MATCH(N$2,'Distribution %'!$A$2:$Q$2,0),FALSE)/(SUMIF('Distribution %'!$C$1:$Q$1,"BUDGET",'Distribution %'!$C197:$Q197))),"0")+0)</f>
        <v>0</v>
      </c>
      <c r="O33" s="389">
        <f>IF(VLOOKUP("Net Income",'FY ACTUALS'!$A$1:$X$996,O$3,FALSE)&lt;&gt;0,IFERROR(VLOOKUP($B33,'FY ACTUALS'!$A$1:$X$996,O$3,FALSE),"0")+0,IFERROR(($H33-SUMIF($I$1:$W$1,"ACTUAL",$I33:$W33))*(VLOOKUP($B33,'Distribution %'!$A$2:$Q$232,MATCH(O$2,'Distribution %'!$A$2:$Q$2,0),FALSE)/(SUMIF('Distribution %'!$C$1:$Q$1,"BUDGET",'Distribution %'!$C197:$Q197))),"0")+0)</f>
        <v>153677.88</v>
      </c>
      <c r="P33" s="389">
        <f>IF(VLOOKUP("Net Income",'FY ACTUALS'!$A$1:$X$996,P$3,FALSE)&lt;&gt;0,IFERROR(VLOOKUP($B33,'FY ACTUALS'!$A$1:$X$996,P$3,FALSE),"0")+0,IFERROR(($H33-SUMIF($I$1:$W$1,"ACTUAL",$I33:$W33))*(VLOOKUP($B33,'Distribution %'!$A$2:$Q$232,MATCH(P$2,'Distribution %'!$A$2:$Q$2,0),FALSE)/(SUMIF('Distribution %'!$C$1:$Q$1,"BUDGET",'Distribution %'!$C197:$Q197))),"0")+0)</f>
        <v>0</v>
      </c>
      <c r="Q33" s="389">
        <f>IF(VLOOKUP("Net Income",'FY ACTUALS'!$A$1:$X$996,Q$3,FALSE)&lt;&gt;0,IFERROR(VLOOKUP($B33,'FY ACTUALS'!$A$1:$X$996,Q$3,FALSE),"0")+0,IFERROR(($H33-SUMIF($I$1:$W$1,"ACTUAL",$I33:$W33))*(VLOOKUP($B33,'Distribution %'!$A$2:$Q$232,MATCH(Q$2,'Distribution %'!$A$2:$Q$2,0),FALSE)/(SUMIF('Distribution %'!$C$1:$Q$1,"BUDGET",'Distribution %'!$C197:$Q197))),"0")+0)</f>
        <v>205236.27960000007</v>
      </c>
      <c r="R33" s="389">
        <f>IF(VLOOKUP("Net Income",'FY ACTUALS'!$A$1:$X$996,R$3,FALSE)&lt;&gt;0,IFERROR(VLOOKUP($B33,'FY ACTUALS'!$A$1:$X$996,R$3,FALSE),"0")+0,IFERROR(($H33-SUMIF($I$1:$W$1,"ACTUAL",$I33:$W33))*(VLOOKUP($B33,'Distribution %'!$A$2:$Q$232,MATCH(R$2,'Distribution %'!$A$2:$Q$2,0),FALSE)/(SUMIF('Distribution %'!$C$1:$Q$1,"BUDGET",'Distribution %'!$C197:$Q197))),"0")+0)</f>
        <v>0</v>
      </c>
      <c r="S33" s="389">
        <f>IF(VLOOKUP("Net Income",'FY ACTUALS'!$A$1:$X$996,S$3,FALSE)&lt;&gt;0,IFERROR(VLOOKUP($B33,'FY ACTUALS'!$A$1:$X$996,S$3,FALSE),"0")+0,IFERROR(($H33-SUMIF($I$1:$W$1,"ACTUAL",$I33:$W33))*(VLOOKUP($B33,'Distribution %'!$A$2:$Q$232,MATCH(S$2,'Distribution %'!$A$2:$Q$2,0),FALSE)/(SUMIF('Distribution %'!$C$1:$Q$1,"BUDGET",'Distribution %'!$C197:$Q197))),"0")+0)</f>
        <v>0</v>
      </c>
      <c r="T33" s="389">
        <f>IF(VLOOKUP("Net Income",'FY ACTUALS'!$A$1:$X$996,T$3,FALSE)&lt;&gt;0,IFERROR(VLOOKUP($B33,'FY ACTUALS'!$A$1:$X$996,T$3,FALSE),"0")+0,IFERROR(($H33-SUMIF($I$1:$W$1,"ACTUAL",$I33:$W33))*(VLOOKUP($B33,'Distribution %'!$A$2:$Q$232,MATCH(T$2,'Distribution %'!$A$2:$Q$2,0),FALSE)/(SUMIF('Distribution %'!$C$1:$Q$1,"BUDGET",'Distribution %'!$C197:$Q197))),"0")+0)</f>
        <v>205236.27960000007</v>
      </c>
      <c r="U33" s="389">
        <f>IF(VLOOKUP("Net Income",'FY ACTUALS'!$A$1:$X$996,U$3,FALSE)&lt;&gt;0,IFERROR(VLOOKUP($B33,'FY ACTUALS'!$A$1:$X$996,U$3,FALSE),"0")+0,IFERROR(($H33-SUMIF($I$1:$W$1,"ACTUAL",$I33:$W33))*(VLOOKUP($B33,'Distribution %'!$A$2:$Q$232,MATCH(U$2,'Distribution %'!$A$2:$Q$2,0),FALSE)/(SUMIF('Distribution %'!$C$1:$Q$1,"BUDGET",'Distribution %'!$C197:$Q197))),"0")+0)</f>
        <v>0</v>
      </c>
      <c r="V33" s="389">
        <f>IF(VLOOKUP("Net Income",'FY ACTUALS'!$A$1:$X$996,V$3,FALSE)&lt;&gt;0,IFERROR(VLOOKUP($B33,'FY ACTUALS'!$A$1:$X$996,V$3,FALSE),"0")+0,IFERROR(($H33-SUMIF($I$1:$W$1,"ACTUAL",$I33:$W33))*(VLOOKUP($B33,'Distribution %'!$A$2:$Q$232,MATCH(V$2,'Distribution %'!$A$2:$Q$2,0),FALSE)/(SUMIF('Distribution %'!$C$1:$Q$1,"BUDGET",'Distribution %'!$C197:$Q197))),"0")+0)</f>
        <v>0</v>
      </c>
      <c r="W33" s="460">
        <f>IF(VLOOKUP("Net Income",'FY ACTUALS'!$A$1:$X$996,W$3,FALSE)&lt;&gt;0,IFERROR(VLOOKUP($B33,'FY ACTUALS'!$A$1:$X$996,W$3,FALSE),"0")+0,IFERROR(($H33-SUMIF($I$1:$W$1,"ACTUAL",$I33:$W33))*(VLOOKUP($B33,'Distribution %'!$A$2:$Q$232,MATCH(W$2,'Distribution %'!$A$2:$Q$2,0),FALSE)/(SUMIF('Distribution %'!$C$1:$Q$1,"BUDGET",'Distribution %'!$C197:$Q197))),"0")+0)</f>
        <v>0</v>
      </c>
      <c r="X33" s="387">
        <f t="shared" si="8"/>
        <v>564150.43920000014</v>
      </c>
      <c r="Y33" s="387"/>
      <c r="Z33" s="387">
        <f t="shared" si="9"/>
        <v>0</v>
      </c>
    </row>
    <row r="34" spans="2:26" x14ac:dyDescent="0.75">
      <c r="B34" s="403">
        <v>8562</v>
      </c>
      <c r="C34" s="379" t="s">
        <v>1347</v>
      </c>
      <c r="F34" s="379" t="str">
        <f>IF(ISERROR(VLOOKUP(B34,'Distribution %'!A:A,1,FALSE)),"NO","YES")</f>
        <v>YES</v>
      </c>
      <c r="G34" s="392"/>
      <c r="H34" s="430">
        <f>IFERROR(VLOOKUP(B34,'Revenue w MYP'!$A$8:$J$52,10,FALSE),"0")+0</f>
        <v>0</v>
      </c>
      <c r="I34" s="388">
        <f>IF(VLOOKUP("Net Income",'FY ACTUALS'!$A$1:$X$996,I$3,FALSE)&lt;&gt;0,IFERROR(VLOOKUP($B34,'FY ACTUALS'!$A$1:$X$996,I$3,FALSE),"0")+0,IFERROR(($H34-SUMIF($I$1:$W$1,"ACTUAL",$I34:$W34))*(VLOOKUP($B34,'Distribution %'!$A$2:$Q$232,MATCH(I$2,'Distribution %'!$A$2:$Q$2,0),FALSE)/(SUMIF('Distribution %'!$C$1:$Q$1,"BUDGET",'Distribution %'!$C198:$Q198))),"0")+0)</f>
        <v>0</v>
      </c>
      <c r="J34" s="389">
        <f>IF(VLOOKUP("Net Income",'FY ACTUALS'!$A$1:$X$996,J$3,FALSE)&lt;&gt;0,IFERROR(VLOOKUP($B34,'FY ACTUALS'!$A$1:$X$996,J$3,FALSE),"0")+0,IFERROR(($H34-SUMIF($I$1:$W$1,"ACTUAL",$I34:$W34))*(VLOOKUP($B34,'Distribution %'!$A$2:$Q$232,MATCH(J$2,'Distribution %'!$A$2:$Q$2,0),FALSE)/(SUMIF('Distribution %'!$C$1:$Q$1,"BUDGET",'Distribution %'!$C198:$Q198))),"0")+0)</f>
        <v>0</v>
      </c>
      <c r="K34" s="389">
        <f>IF(VLOOKUP("Net Income",'FY ACTUALS'!$A$1:$X$996,K$3,FALSE)&lt;&gt;0,IFERROR(VLOOKUP($B34,'FY ACTUALS'!$A$1:$X$996,K$3,FALSE),"0")+0,IFERROR(($H34-SUMIF($I$1:$W$1,"ACTUAL",$I34:$W34))*(VLOOKUP($B34,'Distribution %'!$A$2:$Q$232,MATCH(K$2,'Distribution %'!$A$2:$Q$2,0),FALSE)/(SUMIF('Distribution %'!$C$1:$Q$1,"BUDGET",'Distribution %'!$C198:$Q198))),"0")+0)</f>
        <v>0</v>
      </c>
      <c r="L34" s="389">
        <f>IF(VLOOKUP("Net Income",'FY ACTUALS'!$A$1:$X$996,L$3,FALSE)&lt;&gt;0,IFERROR(VLOOKUP($B34,'FY ACTUALS'!$A$1:$X$996,L$3,FALSE),"0")+0,IFERROR(($H34-SUMIF($I$1:$W$1,"ACTUAL",$I34:$W34))*(VLOOKUP($B34,'Distribution %'!$A$2:$Q$232,MATCH(L$2,'Distribution %'!$A$2:$Q$2,0),FALSE)/(SUMIF('Distribution %'!$C$1:$Q$1,"BUDGET",'Distribution %'!$C198:$Q198))),"0")+0)</f>
        <v>0</v>
      </c>
      <c r="M34" s="389">
        <f>IF(VLOOKUP("Net Income",'FY ACTUALS'!$A$1:$X$996,M$3,FALSE)&lt;&gt;0,IFERROR(VLOOKUP($B34,'FY ACTUALS'!$A$1:$X$996,M$3,FALSE),"0")+0,IFERROR(($H34-SUMIF($I$1:$W$1,"ACTUAL",$I34:$W34))*(VLOOKUP($B34,'Distribution %'!$A$2:$Q$232,MATCH(M$2,'Distribution %'!$A$2:$Q$2,0),FALSE)/(SUMIF('Distribution %'!$C$1:$Q$1,"BUDGET",'Distribution %'!$C198:$Q198))),"0")+0)</f>
        <v>0</v>
      </c>
      <c r="N34" s="389">
        <f>IF(VLOOKUP("Net Income",'FY ACTUALS'!$A$1:$X$996,N$3,FALSE)&lt;&gt;0,IFERROR(VLOOKUP($B34,'FY ACTUALS'!$A$1:$X$996,N$3,FALSE),"0")+0,IFERROR(($H34-SUMIF($I$1:$W$1,"ACTUAL",$I34:$W34))*(VLOOKUP($B34,'Distribution %'!$A$2:$Q$232,MATCH(N$2,'Distribution %'!$A$2:$Q$2,0),FALSE)/(SUMIF('Distribution %'!$C$1:$Q$1,"BUDGET",'Distribution %'!$C198:$Q198))),"0")+0)</f>
        <v>0</v>
      </c>
      <c r="O34" s="389">
        <f>IF(VLOOKUP("Net Income",'FY ACTUALS'!$A$1:$X$996,O$3,FALSE)&lt;&gt;0,IFERROR(VLOOKUP($B34,'FY ACTUALS'!$A$1:$X$996,O$3,FALSE),"0")+0,IFERROR(($H34-SUMIF($I$1:$W$1,"ACTUAL",$I34:$W34))*(VLOOKUP($B34,'Distribution %'!$A$2:$Q$232,MATCH(O$2,'Distribution %'!$A$2:$Q$2,0),FALSE)/(SUMIF('Distribution %'!$C$1:$Q$1,"BUDGET",'Distribution %'!$C198:$Q198))),"0")+0)</f>
        <v>0</v>
      </c>
      <c r="P34" s="389">
        <f>IF(VLOOKUP("Net Income",'FY ACTUALS'!$A$1:$X$996,P$3,FALSE)&lt;&gt;0,IFERROR(VLOOKUP($B34,'FY ACTUALS'!$A$1:$X$996,P$3,FALSE),"0")+0,IFERROR(($H34-SUMIF($I$1:$W$1,"ACTUAL",$I34:$W34))*(VLOOKUP($B34,'Distribution %'!$A$2:$Q$232,MATCH(P$2,'Distribution %'!$A$2:$Q$2,0),FALSE)/(SUMIF('Distribution %'!$C$1:$Q$1,"BUDGET",'Distribution %'!$C198:$Q198))),"0")+0)</f>
        <v>0</v>
      </c>
      <c r="Q34" s="389">
        <f>IF(VLOOKUP("Net Income",'FY ACTUALS'!$A$1:$X$996,Q$3,FALSE)&lt;&gt;0,IFERROR(VLOOKUP($B34,'FY ACTUALS'!$A$1:$X$996,Q$3,FALSE),"0")+0,IFERROR(($H34-SUMIF($I$1:$W$1,"ACTUAL",$I34:$W34))*(VLOOKUP($B34,'Distribution %'!$A$2:$Q$232,MATCH(Q$2,'Distribution %'!$A$2:$Q$2,0),FALSE)/(SUMIF('Distribution %'!$C$1:$Q$1,"BUDGET",'Distribution %'!$C198:$Q198))),"0")+0)</f>
        <v>0</v>
      </c>
      <c r="R34" s="389">
        <f>IF(VLOOKUP("Net Income",'FY ACTUALS'!$A$1:$X$996,R$3,FALSE)&lt;&gt;0,IFERROR(VLOOKUP($B34,'FY ACTUALS'!$A$1:$X$996,R$3,FALSE),"0")+0,IFERROR(($H34-SUMIF($I$1:$W$1,"ACTUAL",$I34:$W34))*(VLOOKUP($B34,'Distribution %'!$A$2:$Q$232,MATCH(R$2,'Distribution %'!$A$2:$Q$2,0),FALSE)/(SUMIF('Distribution %'!$C$1:$Q$1,"BUDGET",'Distribution %'!$C198:$Q198))),"0")+0)</f>
        <v>0</v>
      </c>
      <c r="S34" s="389">
        <f>IF(VLOOKUP("Net Income",'FY ACTUALS'!$A$1:$X$996,S$3,FALSE)&lt;&gt;0,IFERROR(VLOOKUP($B34,'FY ACTUALS'!$A$1:$X$996,S$3,FALSE),"0")+0,IFERROR(($H34-SUMIF($I$1:$W$1,"ACTUAL",$I34:$W34))*(VLOOKUP($B34,'Distribution %'!$A$2:$Q$232,MATCH(S$2,'Distribution %'!$A$2:$Q$2,0),FALSE)/(SUMIF('Distribution %'!$C$1:$Q$1,"BUDGET",'Distribution %'!$C198:$Q198))),"0")+0)</f>
        <v>0</v>
      </c>
      <c r="T34" s="389">
        <f>IF(VLOOKUP("Net Income",'FY ACTUALS'!$A$1:$X$996,T$3,FALSE)&lt;&gt;0,IFERROR(VLOOKUP($B34,'FY ACTUALS'!$A$1:$X$996,T$3,FALSE),"0")+0,IFERROR(($H34-SUMIF($I$1:$W$1,"ACTUAL",$I34:$W34))*(VLOOKUP($B34,'Distribution %'!$A$2:$Q$232,MATCH(T$2,'Distribution %'!$A$2:$Q$2,0),FALSE)/(SUMIF('Distribution %'!$C$1:$Q$1,"BUDGET",'Distribution %'!$C198:$Q198))),"0")+0)</f>
        <v>0</v>
      </c>
      <c r="U34" s="389">
        <f>IF(VLOOKUP("Net Income",'FY ACTUALS'!$A$1:$X$996,U$3,FALSE)&lt;&gt;0,IFERROR(VLOOKUP($B34,'FY ACTUALS'!$A$1:$X$996,U$3,FALSE),"0")+0,IFERROR(($H34-SUMIF($I$1:$W$1,"ACTUAL",$I34:$W34))*(VLOOKUP($B34,'Distribution %'!$A$2:$Q$232,MATCH(U$2,'Distribution %'!$A$2:$Q$2,0),FALSE)/(SUMIF('Distribution %'!$C$1:$Q$1,"BUDGET",'Distribution %'!$C198:$Q198))),"0")+0)</f>
        <v>0</v>
      </c>
      <c r="V34" s="389">
        <f>IF(VLOOKUP("Net Income",'FY ACTUALS'!$A$1:$X$996,V$3,FALSE)&lt;&gt;0,IFERROR(VLOOKUP($B34,'FY ACTUALS'!$A$1:$X$996,V$3,FALSE),"0")+0,IFERROR(($H34-SUMIF($I$1:$W$1,"ACTUAL",$I34:$W34))*(VLOOKUP($B34,'Distribution %'!$A$2:$Q$232,MATCH(V$2,'Distribution %'!$A$2:$Q$2,0),FALSE)/(SUMIF('Distribution %'!$C$1:$Q$1,"BUDGET",'Distribution %'!$C198:$Q198))),"0")+0)</f>
        <v>0</v>
      </c>
      <c r="W34" s="460">
        <f>IF(VLOOKUP("Net Income",'FY ACTUALS'!$A$1:$X$996,W$3,FALSE)&lt;&gt;0,IFERROR(VLOOKUP($B34,'FY ACTUALS'!$A$1:$X$996,W$3,FALSE),"0")+0,IFERROR(($H34-SUMIF($I$1:$W$1,"ACTUAL",$I34:$W34))*(VLOOKUP($B34,'Distribution %'!$A$2:$Q$232,MATCH(W$2,'Distribution %'!$A$2:$Q$2,0),FALSE)/(SUMIF('Distribution %'!$C$1:$Q$1,"BUDGET",'Distribution %'!$C198:$Q198))),"0")+0)</f>
        <v>0</v>
      </c>
      <c r="X34" s="387">
        <f t="shared" si="8"/>
        <v>0</v>
      </c>
      <c r="Y34" s="387"/>
      <c r="Z34" s="387">
        <f t="shared" si="9"/>
        <v>0</v>
      </c>
    </row>
    <row r="35" spans="2:26" x14ac:dyDescent="0.75">
      <c r="B35" s="403">
        <v>8590</v>
      </c>
      <c r="C35" s="379" t="s">
        <v>1335</v>
      </c>
      <c r="F35" s="379" t="str">
        <f>IF(ISERROR(VLOOKUP(B35,'Distribution %'!A:A,1,FALSE)),"NO","YES")</f>
        <v>YES</v>
      </c>
      <c r="G35" s="392"/>
      <c r="H35" s="430">
        <f>IFERROR(VLOOKUP(B35,'Revenue w MYP'!$A$8:$J$52,10,FALSE),"0")+0</f>
        <v>1526055.5</v>
      </c>
      <c r="I35" s="388">
        <f>IF(VLOOKUP("Net Income",'FY ACTUALS'!$A$1:$X$996,I$3,FALSE)&lt;&gt;0,IFERROR(VLOOKUP($B35,'FY ACTUALS'!$A$1:$X$996,I$3,FALSE),"0")+0,IFERROR(($H35-SUMIF($I$1:$W$1,"ACTUAL",$I35:$W35))*(VLOOKUP($B35,'Distribution %'!$A$2:$Q$232,MATCH(I$2,'Distribution %'!$A$2:$Q$2,0),FALSE)/(SUMIF('Distribution %'!$C$1:$Q$1,"BUDGET",'Distribution %'!$C199:$Q199))),"0")+0)</f>
        <v>0</v>
      </c>
      <c r="J35" s="389">
        <f>IF(VLOOKUP("Net Income",'FY ACTUALS'!$A$1:$X$996,J$3,FALSE)&lt;&gt;0,IFERROR(VLOOKUP($B35,'FY ACTUALS'!$A$1:$X$996,J$3,FALSE),"0")+0,IFERROR(($H35-SUMIF($I$1:$W$1,"ACTUAL",$I35:$W35))*(VLOOKUP($B35,'Distribution %'!$A$2:$Q$232,MATCH(J$2,'Distribution %'!$A$2:$Q$2,0),FALSE)/(SUMIF('Distribution %'!$C$1:$Q$1,"BUDGET",'Distribution %'!$C199:$Q199))),"0")+0)</f>
        <v>0</v>
      </c>
      <c r="K35" s="389">
        <f>IF(VLOOKUP("Net Income",'FY ACTUALS'!$A$1:$X$996,K$3,FALSE)&lt;&gt;0,IFERROR(VLOOKUP($B35,'FY ACTUALS'!$A$1:$X$996,K$3,FALSE),"0")+0,IFERROR(($H35-SUMIF($I$1:$W$1,"ACTUAL",$I35:$W35))*(VLOOKUP($B35,'Distribution %'!$A$2:$Q$232,MATCH(K$2,'Distribution %'!$A$2:$Q$2,0),FALSE)/(SUMIF('Distribution %'!$C$1:$Q$1,"BUDGET",'Distribution %'!$C199:$Q199))),"0")+0)</f>
        <v>75194.89</v>
      </c>
      <c r="L35" s="389">
        <f>IF(VLOOKUP("Net Income",'FY ACTUALS'!$A$1:$X$996,L$3,FALSE)&lt;&gt;0,IFERROR(VLOOKUP($B35,'FY ACTUALS'!$A$1:$X$996,L$3,FALSE),"0")+0,IFERROR(($H35-SUMIF($I$1:$W$1,"ACTUAL",$I35:$W35))*(VLOOKUP($B35,'Distribution %'!$A$2:$Q$232,MATCH(L$2,'Distribution %'!$A$2:$Q$2,0),FALSE)/(SUMIF('Distribution %'!$C$1:$Q$1,"BUDGET",'Distribution %'!$C199:$Q199))),"0")+0)</f>
        <v>25896.3</v>
      </c>
      <c r="M35" s="389">
        <f>IF(VLOOKUP("Net Income",'FY ACTUALS'!$A$1:$X$996,M$3,FALSE)&lt;&gt;0,IFERROR(VLOOKUP($B35,'FY ACTUALS'!$A$1:$X$996,M$3,FALSE),"0")+0,IFERROR(($H35-SUMIF($I$1:$W$1,"ACTUAL",$I35:$W35))*(VLOOKUP($B35,'Distribution %'!$A$2:$Q$232,MATCH(M$2,'Distribution %'!$A$2:$Q$2,0),FALSE)/(SUMIF('Distribution %'!$C$1:$Q$1,"BUDGET",'Distribution %'!$C199:$Q199))),"0")+0)</f>
        <v>0</v>
      </c>
      <c r="N35" s="389">
        <f>IF(VLOOKUP("Net Income",'FY ACTUALS'!$A$1:$X$996,N$3,FALSE)&lt;&gt;0,IFERROR(VLOOKUP($B35,'FY ACTUALS'!$A$1:$X$996,N$3,FALSE),"0")+0,IFERROR(($H35-SUMIF($I$1:$W$1,"ACTUAL",$I35:$W35))*(VLOOKUP($B35,'Distribution %'!$A$2:$Q$232,MATCH(N$2,'Distribution %'!$A$2:$Q$2,0),FALSE)/(SUMIF('Distribution %'!$C$1:$Q$1,"BUDGET",'Distribution %'!$C199:$Q199))),"0")+0)</f>
        <v>0</v>
      </c>
      <c r="O35" s="389">
        <f>IF(VLOOKUP("Net Income",'FY ACTUALS'!$A$1:$X$996,O$3,FALSE)&lt;&gt;0,IFERROR(VLOOKUP($B35,'FY ACTUALS'!$A$1:$X$996,O$3,FALSE),"0")+0,IFERROR(($H35-SUMIF($I$1:$W$1,"ACTUAL",$I35:$W35))*(VLOOKUP($B35,'Distribution %'!$A$2:$Q$232,MATCH(O$2,'Distribution %'!$A$2:$Q$2,0),FALSE)/(SUMIF('Distribution %'!$C$1:$Q$1,"BUDGET",'Distribution %'!$C199:$Q199))),"0")+0)</f>
        <v>365259.11</v>
      </c>
      <c r="P35" s="389">
        <f>IF(VLOOKUP("Net Income",'FY ACTUALS'!$A$1:$X$996,P$3,FALSE)&lt;&gt;0,IFERROR(VLOOKUP($B35,'FY ACTUALS'!$A$1:$X$996,P$3,FALSE),"0")+0,IFERROR(($H35-SUMIF($I$1:$W$1,"ACTUAL",$I35:$W35))*(VLOOKUP($B35,'Distribution %'!$A$2:$Q$232,MATCH(P$2,'Distribution %'!$A$2:$Q$2,0),FALSE)/(SUMIF('Distribution %'!$C$1:$Q$1,"BUDGET",'Distribution %'!$C199:$Q199))),"0")+0)</f>
        <v>0</v>
      </c>
      <c r="Q35" s="389">
        <f>IF(VLOOKUP("Net Income",'FY ACTUALS'!$A$1:$X$996,Q$3,FALSE)&lt;&gt;0,IFERROR(VLOOKUP($B35,'FY ACTUALS'!$A$1:$X$996,Q$3,FALSE),"0")+0,IFERROR(($H35-SUMIF($I$1:$W$1,"ACTUAL",$I35:$W35))*(VLOOKUP($B35,'Distribution %'!$A$2:$Q$232,MATCH(Q$2,'Distribution %'!$A$2:$Q$2,0),FALSE)/(SUMIF('Distribution %'!$C$1:$Q$1,"BUDGET",'Distribution %'!$C199:$Q199))),"0")+0)</f>
        <v>0</v>
      </c>
      <c r="R35" s="389">
        <f>IF(VLOOKUP("Net Income",'FY ACTUALS'!$A$1:$X$996,R$3,FALSE)&lt;&gt;0,IFERROR(VLOOKUP($B35,'FY ACTUALS'!$A$1:$X$996,R$3,FALSE),"0")+0,IFERROR(($H35-SUMIF($I$1:$W$1,"ACTUAL",$I35:$W35))*(VLOOKUP($B35,'Distribution %'!$A$2:$Q$232,MATCH(R$2,'Distribution %'!$A$2:$Q$2,0),FALSE)/(SUMIF('Distribution %'!$C$1:$Q$1,"BUDGET",'Distribution %'!$C199:$Q199))),"0")+0)</f>
        <v>362530.72631578945</v>
      </c>
      <c r="S35" s="389">
        <f>IF(VLOOKUP("Net Income",'FY ACTUALS'!$A$1:$X$996,S$3,FALSE)&lt;&gt;0,IFERROR(VLOOKUP($B35,'FY ACTUALS'!$A$1:$X$996,S$3,FALSE),"0")+0,IFERROR(($H35-SUMIF($I$1:$W$1,"ACTUAL",$I35:$W35))*(VLOOKUP($B35,'Distribution %'!$A$2:$Q$232,MATCH(S$2,'Distribution %'!$A$2:$Q$2,0),FALSE)/(SUMIF('Distribution %'!$C$1:$Q$1,"BUDGET",'Distribution %'!$C199:$Q199))),"0")+0)</f>
        <v>0</v>
      </c>
      <c r="T35" s="389">
        <f>IF(VLOOKUP("Net Income",'FY ACTUALS'!$A$1:$X$996,T$3,FALSE)&lt;&gt;0,IFERROR(VLOOKUP($B35,'FY ACTUALS'!$A$1:$X$996,T$3,FALSE),"0")+0,IFERROR(($H35-SUMIF($I$1:$W$1,"ACTUAL",$I35:$W35))*(VLOOKUP($B35,'Distribution %'!$A$2:$Q$232,MATCH(T$2,'Distribution %'!$A$2:$Q$2,0),FALSE)/(SUMIF('Distribution %'!$C$1:$Q$1,"BUDGET",'Distribution %'!$C199:$Q199))),"0")+0)</f>
        <v>697174.47368421056</v>
      </c>
      <c r="U35" s="389">
        <f>IF(VLOOKUP("Net Income",'FY ACTUALS'!$A$1:$X$996,U$3,FALSE)&lt;&gt;0,IFERROR(VLOOKUP($B35,'FY ACTUALS'!$A$1:$X$996,U$3,FALSE),"0")+0,IFERROR(($H35-SUMIF($I$1:$W$1,"ACTUAL",$I35:$W35))*(VLOOKUP($B35,'Distribution %'!$A$2:$Q$232,MATCH(U$2,'Distribution %'!$A$2:$Q$2,0),FALSE)/(SUMIF('Distribution %'!$C$1:$Q$1,"BUDGET",'Distribution %'!$C199:$Q199))),"0")+0)</f>
        <v>0</v>
      </c>
      <c r="V35" s="389">
        <f>IF(VLOOKUP("Net Income",'FY ACTUALS'!$A$1:$X$996,V$3,FALSE)&lt;&gt;0,IFERROR(VLOOKUP($B35,'FY ACTUALS'!$A$1:$X$996,V$3,FALSE),"0")+0,IFERROR(($H35-SUMIF($I$1:$W$1,"ACTUAL",$I35:$W35))*(VLOOKUP($B35,'Distribution %'!$A$2:$Q$232,MATCH(V$2,'Distribution %'!$A$2:$Q$2,0),FALSE)/(SUMIF('Distribution %'!$C$1:$Q$1,"BUDGET",'Distribution %'!$C199:$Q199))),"0")+0)</f>
        <v>0</v>
      </c>
      <c r="W35" s="460">
        <f>IF(VLOOKUP("Net Income",'FY ACTUALS'!$A$1:$X$996,W$3,FALSE)&lt;&gt;0,IFERROR(VLOOKUP($B35,'FY ACTUALS'!$A$1:$X$996,W$3,FALSE),"0")+0,IFERROR(($H35-SUMIF($I$1:$W$1,"ACTUAL",$I35:$W35))*(VLOOKUP($B35,'Distribution %'!$A$2:$Q$232,MATCH(W$2,'Distribution %'!$A$2:$Q$2,0),FALSE)/(SUMIF('Distribution %'!$C$1:$Q$1,"BUDGET",'Distribution %'!$C199:$Q199))),"0")+0)</f>
        <v>0</v>
      </c>
      <c r="X35" s="387">
        <f t="shared" si="8"/>
        <v>1526055.5</v>
      </c>
      <c r="Y35" s="387"/>
      <c r="Z35" s="387">
        <f t="shared" si="9"/>
        <v>0</v>
      </c>
    </row>
    <row r="36" spans="2:26" x14ac:dyDescent="0.75">
      <c r="B36" s="403">
        <v>8591</v>
      </c>
      <c r="C36" s="379" t="s">
        <v>1408</v>
      </c>
      <c r="F36" s="379" t="str">
        <f>IF(ISERROR(VLOOKUP(B36,'Distribution %'!A:A,1,FALSE)),"NO","YES")</f>
        <v>YES</v>
      </c>
      <c r="G36" s="392"/>
      <c r="H36" s="430">
        <f>IFERROR(VLOOKUP(B36,'Revenue w MYP'!$A$8:$J$52,10,FALSE),"0")+0</f>
        <v>0</v>
      </c>
      <c r="I36" s="388">
        <f>IF(VLOOKUP("Net Income",'FY ACTUALS'!$A$1:$X$996,I$3,FALSE)&lt;&gt;0,IFERROR(VLOOKUP($B36,'FY ACTUALS'!$A$1:$X$996,I$3,FALSE),"0")+0,IFERROR(($H36-SUMIF($I$1:$W$1,"ACTUAL",$I36:$W36))*(VLOOKUP($B36,'Distribution %'!$A$2:$Q$232,MATCH(I$2,'Distribution %'!$A$2:$Q$2,0),FALSE)/(SUMIF('Distribution %'!$C$1:$Q$1,"BUDGET",'Distribution %'!$C200:$Q200))),"0")+0)</f>
        <v>0</v>
      </c>
      <c r="J36" s="389">
        <f>IF(VLOOKUP("Net Income",'FY ACTUALS'!$A$1:$X$996,J$3,FALSE)&lt;&gt;0,IFERROR(VLOOKUP($B36,'FY ACTUALS'!$A$1:$X$996,J$3,FALSE),"0")+0,IFERROR(($H36-SUMIF($I$1:$W$1,"ACTUAL",$I36:$W36))*(VLOOKUP($B36,'Distribution %'!$A$2:$Q$232,MATCH(J$2,'Distribution %'!$A$2:$Q$2,0),FALSE)/(SUMIF('Distribution %'!$C$1:$Q$1,"BUDGET",'Distribution %'!$C200:$Q200))),"0")+0)</f>
        <v>0</v>
      </c>
      <c r="K36" s="389">
        <f>IF(VLOOKUP("Net Income",'FY ACTUALS'!$A$1:$X$996,K$3,FALSE)&lt;&gt;0,IFERROR(VLOOKUP($B36,'FY ACTUALS'!$A$1:$X$996,K$3,FALSE),"0")+0,IFERROR(($H36-SUMIF($I$1:$W$1,"ACTUAL",$I36:$W36))*(VLOOKUP($B36,'Distribution %'!$A$2:$Q$232,MATCH(K$2,'Distribution %'!$A$2:$Q$2,0),FALSE)/(SUMIF('Distribution %'!$C$1:$Q$1,"BUDGET",'Distribution %'!$C200:$Q200))),"0")+0)</f>
        <v>0</v>
      </c>
      <c r="L36" s="389">
        <f>IF(VLOOKUP("Net Income",'FY ACTUALS'!$A$1:$X$996,L$3,FALSE)&lt;&gt;0,IFERROR(VLOOKUP($B36,'FY ACTUALS'!$A$1:$X$996,L$3,FALSE),"0")+0,IFERROR(($H36-SUMIF($I$1:$W$1,"ACTUAL",$I36:$W36))*(VLOOKUP($B36,'Distribution %'!$A$2:$Q$232,MATCH(L$2,'Distribution %'!$A$2:$Q$2,0),FALSE)/(SUMIF('Distribution %'!$C$1:$Q$1,"BUDGET",'Distribution %'!$C200:$Q200))),"0")+0)</f>
        <v>0</v>
      </c>
      <c r="M36" s="389">
        <f>IF(VLOOKUP("Net Income",'FY ACTUALS'!$A$1:$X$996,M$3,FALSE)&lt;&gt;0,IFERROR(VLOOKUP($B36,'FY ACTUALS'!$A$1:$X$996,M$3,FALSE),"0")+0,IFERROR(($H36-SUMIF($I$1:$W$1,"ACTUAL",$I36:$W36))*(VLOOKUP($B36,'Distribution %'!$A$2:$Q$232,MATCH(M$2,'Distribution %'!$A$2:$Q$2,0),FALSE)/(SUMIF('Distribution %'!$C$1:$Q$1,"BUDGET",'Distribution %'!$C200:$Q200))),"0")+0)</f>
        <v>0</v>
      </c>
      <c r="N36" s="389">
        <f>IF(VLOOKUP("Net Income",'FY ACTUALS'!$A$1:$X$996,N$3,FALSE)&lt;&gt;0,IFERROR(VLOOKUP($B36,'FY ACTUALS'!$A$1:$X$996,N$3,FALSE),"0")+0,IFERROR(($H36-SUMIF($I$1:$W$1,"ACTUAL",$I36:$W36))*(VLOOKUP($B36,'Distribution %'!$A$2:$Q$232,MATCH(N$2,'Distribution %'!$A$2:$Q$2,0),FALSE)/(SUMIF('Distribution %'!$C$1:$Q$1,"BUDGET",'Distribution %'!$C200:$Q200))),"0")+0)</f>
        <v>0</v>
      </c>
      <c r="O36" s="389">
        <f>IF(VLOOKUP("Net Income",'FY ACTUALS'!$A$1:$X$996,O$3,FALSE)&lt;&gt;0,IFERROR(VLOOKUP($B36,'FY ACTUALS'!$A$1:$X$996,O$3,FALSE),"0")+0,IFERROR(($H36-SUMIF($I$1:$W$1,"ACTUAL",$I36:$W36))*(VLOOKUP($B36,'Distribution %'!$A$2:$Q$232,MATCH(O$2,'Distribution %'!$A$2:$Q$2,0),FALSE)/(SUMIF('Distribution %'!$C$1:$Q$1,"BUDGET",'Distribution %'!$C200:$Q200))),"0")+0)</f>
        <v>0</v>
      </c>
      <c r="P36" s="389">
        <f>IF(VLOOKUP("Net Income",'FY ACTUALS'!$A$1:$X$996,P$3,FALSE)&lt;&gt;0,IFERROR(VLOOKUP($B36,'FY ACTUALS'!$A$1:$X$996,P$3,FALSE),"0")+0,IFERROR(($H36-SUMIF($I$1:$W$1,"ACTUAL",$I36:$W36))*(VLOOKUP($B36,'Distribution %'!$A$2:$Q$232,MATCH(P$2,'Distribution %'!$A$2:$Q$2,0),FALSE)/(SUMIF('Distribution %'!$C$1:$Q$1,"BUDGET",'Distribution %'!$C200:$Q200))),"0")+0)</f>
        <v>0</v>
      </c>
      <c r="Q36" s="389">
        <f>IF(VLOOKUP("Net Income",'FY ACTUALS'!$A$1:$X$996,Q$3,FALSE)&lt;&gt;0,IFERROR(VLOOKUP($B36,'FY ACTUALS'!$A$1:$X$996,Q$3,FALSE),"0")+0,IFERROR(($H36-SUMIF($I$1:$W$1,"ACTUAL",$I36:$W36))*(VLOOKUP($B36,'Distribution %'!$A$2:$Q$232,MATCH(Q$2,'Distribution %'!$A$2:$Q$2,0),FALSE)/(SUMIF('Distribution %'!$C$1:$Q$1,"BUDGET",'Distribution %'!$C200:$Q200))),"0")+0)</f>
        <v>0</v>
      </c>
      <c r="R36" s="389">
        <f>IF(VLOOKUP("Net Income",'FY ACTUALS'!$A$1:$X$996,R$3,FALSE)&lt;&gt;0,IFERROR(VLOOKUP($B36,'FY ACTUALS'!$A$1:$X$996,R$3,FALSE),"0")+0,IFERROR(($H36-SUMIF($I$1:$W$1,"ACTUAL",$I36:$W36))*(VLOOKUP($B36,'Distribution %'!$A$2:$Q$232,MATCH(R$2,'Distribution %'!$A$2:$Q$2,0),FALSE)/(SUMIF('Distribution %'!$C$1:$Q$1,"BUDGET",'Distribution %'!$C200:$Q200))),"0")+0)</f>
        <v>0</v>
      </c>
      <c r="S36" s="389">
        <f>IF(VLOOKUP("Net Income",'FY ACTUALS'!$A$1:$X$996,S$3,FALSE)&lt;&gt;0,IFERROR(VLOOKUP($B36,'FY ACTUALS'!$A$1:$X$996,S$3,FALSE),"0")+0,IFERROR(($H36-SUMIF($I$1:$W$1,"ACTUAL",$I36:$W36))*(VLOOKUP($B36,'Distribution %'!$A$2:$Q$232,MATCH(S$2,'Distribution %'!$A$2:$Q$2,0),FALSE)/(SUMIF('Distribution %'!$C$1:$Q$1,"BUDGET",'Distribution %'!$C200:$Q200))),"0")+0)</f>
        <v>0</v>
      </c>
      <c r="T36" s="389">
        <f>IF(VLOOKUP("Net Income",'FY ACTUALS'!$A$1:$X$996,T$3,FALSE)&lt;&gt;0,IFERROR(VLOOKUP($B36,'FY ACTUALS'!$A$1:$X$996,T$3,FALSE),"0")+0,IFERROR(($H36-SUMIF($I$1:$W$1,"ACTUAL",$I36:$W36))*(VLOOKUP($B36,'Distribution %'!$A$2:$Q$232,MATCH(T$2,'Distribution %'!$A$2:$Q$2,0),FALSE)/(SUMIF('Distribution %'!$C$1:$Q$1,"BUDGET",'Distribution %'!$C200:$Q200))),"0")+0)</f>
        <v>0</v>
      </c>
      <c r="U36" s="389">
        <f>IF(VLOOKUP("Net Income",'FY ACTUALS'!$A$1:$X$996,U$3,FALSE)&lt;&gt;0,IFERROR(VLOOKUP($B36,'FY ACTUALS'!$A$1:$X$996,U$3,FALSE),"0")+0,IFERROR(($H36-SUMIF($I$1:$W$1,"ACTUAL",$I36:$W36))*(VLOOKUP($B36,'Distribution %'!$A$2:$Q$232,MATCH(U$2,'Distribution %'!$A$2:$Q$2,0),FALSE)/(SUMIF('Distribution %'!$C$1:$Q$1,"BUDGET",'Distribution %'!$C200:$Q200))),"0")+0)</f>
        <v>0</v>
      </c>
      <c r="V36" s="389">
        <f>IF(VLOOKUP("Net Income",'FY ACTUALS'!$A$1:$X$996,V$3,FALSE)&lt;&gt;0,IFERROR(VLOOKUP($B36,'FY ACTUALS'!$A$1:$X$996,V$3,FALSE),"0")+0,IFERROR(($H36-SUMIF($I$1:$W$1,"ACTUAL",$I36:$W36))*(VLOOKUP($B36,'Distribution %'!$A$2:$Q$232,MATCH(V$2,'Distribution %'!$A$2:$Q$2,0),FALSE)/(SUMIF('Distribution %'!$C$1:$Q$1,"BUDGET",'Distribution %'!$C200:$Q200))),"0")+0)</f>
        <v>0</v>
      </c>
      <c r="W36" s="460">
        <f>IF(VLOOKUP("Net Income",'FY ACTUALS'!$A$1:$X$996,W$3,FALSE)&lt;&gt;0,IFERROR(VLOOKUP($B36,'FY ACTUALS'!$A$1:$X$996,W$3,FALSE),"0")+0,IFERROR(($H36-SUMIF($I$1:$W$1,"ACTUAL",$I36:$W36))*(VLOOKUP($B36,'Distribution %'!$A$2:$Q$232,MATCH(W$2,'Distribution %'!$A$2:$Q$2,0),FALSE)/(SUMIF('Distribution %'!$C$1:$Q$1,"BUDGET",'Distribution %'!$C200:$Q200))),"0")+0)</f>
        <v>0</v>
      </c>
      <c r="X36" s="387">
        <f t="shared" si="8"/>
        <v>0</v>
      </c>
      <c r="Y36" s="387"/>
      <c r="Z36" s="387">
        <f t="shared" si="9"/>
        <v>0</v>
      </c>
    </row>
    <row r="37" spans="2:26" x14ac:dyDescent="0.75">
      <c r="B37" s="403">
        <v>8599</v>
      </c>
      <c r="C37" s="379" t="s">
        <v>1409</v>
      </c>
      <c r="F37" s="379" t="str">
        <f>IF(ISERROR(VLOOKUP(B37,'Distribution %'!A:A,1,FALSE)),"NO","YES")</f>
        <v>YES</v>
      </c>
      <c r="G37" s="392"/>
      <c r="H37" s="430">
        <f>IFERROR(VLOOKUP(B37,'Revenue w MYP'!$A$8:$J$52,10,FALSE),"0")+0</f>
        <v>0</v>
      </c>
      <c r="I37" s="388">
        <f>IF(VLOOKUP("Net Income",'FY ACTUALS'!$A$1:$X$996,I$3,FALSE)&lt;&gt;0,IFERROR(VLOOKUP($B37,'FY ACTUALS'!$A$1:$X$996,I$3,FALSE),"0")+0,IFERROR(($H37-SUMIF($I$1:$W$1,"ACTUAL",$I37:$W37))*(VLOOKUP($B37,'Distribution %'!$A$2:$Q$232,MATCH(I$2,'Distribution %'!$A$2:$Q$2,0),FALSE)/(SUMIF('Distribution %'!$C$1:$Q$1,"BUDGET",'Distribution %'!$C201:$Q201))),"0")+0)</f>
        <v>0</v>
      </c>
      <c r="J37" s="389">
        <f>IF(VLOOKUP("Net Income",'FY ACTUALS'!$A$1:$X$996,J$3,FALSE)&lt;&gt;0,IFERROR(VLOOKUP($B37,'FY ACTUALS'!$A$1:$X$996,J$3,FALSE),"0")+0,IFERROR(($H37-SUMIF($I$1:$W$1,"ACTUAL",$I37:$W37))*(VLOOKUP($B37,'Distribution %'!$A$2:$Q$232,MATCH(J$2,'Distribution %'!$A$2:$Q$2,0),FALSE)/(SUMIF('Distribution %'!$C$1:$Q$1,"BUDGET",'Distribution %'!$C201:$Q201))),"0")+0)</f>
        <v>0</v>
      </c>
      <c r="K37" s="389">
        <f>IF(VLOOKUP("Net Income",'FY ACTUALS'!$A$1:$X$996,K$3,FALSE)&lt;&gt;0,IFERROR(VLOOKUP($B37,'FY ACTUALS'!$A$1:$X$996,K$3,FALSE),"0")+0,IFERROR(($H37-SUMIF($I$1:$W$1,"ACTUAL",$I37:$W37))*(VLOOKUP($B37,'Distribution %'!$A$2:$Q$232,MATCH(K$2,'Distribution %'!$A$2:$Q$2,0),FALSE)/(SUMIF('Distribution %'!$C$1:$Q$1,"BUDGET",'Distribution %'!$C201:$Q201))),"0")+0)</f>
        <v>0</v>
      </c>
      <c r="L37" s="389">
        <f>IF(VLOOKUP("Net Income",'FY ACTUALS'!$A$1:$X$996,L$3,FALSE)&lt;&gt;0,IFERROR(VLOOKUP($B37,'FY ACTUALS'!$A$1:$X$996,L$3,FALSE),"0")+0,IFERROR(($H37-SUMIF($I$1:$W$1,"ACTUAL",$I37:$W37))*(VLOOKUP($B37,'Distribution %'!$A$2:$Q$232,MATCH(L$2,'Distribution %'!$A$2:$Q$2,0),FALSE)/(SUMIF('Distribution %'!$C$1:$Q$1,"BUDGET",'Distribution %'!$C201:$Q201))),"0")+0)</f>
        <v>6069.47</v>
      </c>
      <c r="M37" s="389">
        <f>IF(VLOOKUP("Net Income",'FY ACTUALS'!$A$1:$X$996,M$3,FALSE)&lt;&gt;0,IFERROR(VLOOKUP($B37,'FY ACTUALS'!$A$1:$X$996,M$3,FALSE),"0")+0,IFERROR(($H37-SUMIF($I$1:$W$1,"ACTUAL",$I37:$W37))*(VLOOKUP($B37,'Distribution %'!$A$2:$Q$232,MATCH(M$2,'Distribution %'!$A$2:$Q$2,0),FALSE)/(SUMIF('Distribution %'!$C$1:$Q$1,"BUDGET",'Distribution %'!$C201:$Q201))),"0")+0)</f>
        <v>0</v>
      </c>
      <c r="N37" s="389">
        <f>IF(VLOOKUP("Net Income",'FY ACTUALS'!$A$1:$X$996,N$3,FALSE)&lt;&gt;0,IFERROR(VLOOKUP($B37,'FY ACTUALS'!$A$1:$X$996,N$3,FALSE),"0")+0,IFERROR(($H37-SUMIF($I$1:$W$1,"ACTUAL",$I37:$W37))*(VLOOKUP($B37,'Distribution %'!$A$2:$Q$232,MATCH(N$2,'Distribution %'!$A$2:$Q$2,0),FALSE)/(SUMIF('Distribution %'!$C$1:$Q$1,"BUDGET",'Distribution %'!$C201:$Q201))),"0")+0)</f>
        <v>3072.39</v>
      </c>
      <c r="O37" s="389">
        <f>IF(VLOOKUP("Net Income",'FY ACTUALS'!$A$1:$X$996,O$3,FALSE)&lt;&gt;0,IFERROR(VLOOKUP($B37,'FY ACTUALS'!$A$1:$X$996,O$3,FALSE),"0")+0,IFERROR(($H37-SUMIF($I$1:$W$1,"ACTUAL",$I37:$W37))*(VLOOKUP($B37,'Distribution %'!$A$2:$Q$232,MATCH(O$2,'Distribution %'!$A$2:$Q$2,0),FALSE)/(SUMIF('Distribution %'!$C$1:$Q$1,"BUDGET",'Distribution %'!$C201:$Q201))),"0")+0)</f>
        <v>1474.16</v>
      </c>
      <c r="P37" s="389">
        <f>IF(VLOOKUP("Net Income",'FY ACTUALS'!$A$1:$X$996,P$3,FALSE)&lt;&gt;0,IFERROR(VLOOKUP($B37,'FY ACTUALS'!$A$1:$X$996,P$3,FALSE),"0")+0,IFERROR(($H37-SUMIF($I$1:$W$1,"ACTUAL",$I37:$W37))*(VLOOKUP($B37,'Distribution %'!$A$2:$Q$232,MATCH(P$2,'Distribution %'!$A$2:$Q$2,0),FALSE)/(SUMIF('Distribution %'!$C$1:$Q$1,"BUDGET",'Distribution %'!$C201:$Q201))),"0")+0)</f>
        <v>0</v>
      </c>
      <c r="Q37" s="389">
        <f>IF(VLOOKUP("Net Income",'FY ACTUALS'!$A$1:$X$996,Q$3,FALSE)&lt;&gt;0,IFERROR(VLOOKUP($B37,'FY ACTUALS'!$A$1:$X$996,Q$3,FALSE),"0")+0,IFERROR(($H37-SUMIF($I$1:$W$1,"ACTUAL",$I37:$W37))*(VLOOKUP($B37,'Distribution %'!$A$2:$Q$232,MATCH(Q$2,'Distribution %'!$A$2:$Q$2,0),FALSE)/(SUMIF('Distribution %'!$C$1:$Q$1,"BUDGET",'Distribution %'!$C201:$Q201))),"0")+0)</f>
        <v>0</v>
      </c>
      <c r="R37" s="389">
        <f>IF(VLOOKUP("Net Income",'FY ACTUALS'!$A$1:$X$996,R$3,FALSE)&lt;&gt;0,IFERROR(VLOOKUP($B37,'FY ACTUALS'!$A$1:$X$996,R$3,FALSE),"0")+0,IFERROR(($H37-SUMIF($I$1:$W$1,"ACTUAL",$I37:$W37))*(VLOOKUP($B37,'Distribution %'!$A$2:$Q$232,MATCH(R$2,'Distribution %'!$A$2:$Q$2,0),FALSE)/(SUMIF('Distribution %'!$C$1:$Q$1,"BUDGET",'Distribution %'!$C201:$Q201))),"0")+0)</f>
        <v>0</v>
      </c>
      <c r="S37" s="389">
        <f>IF(VLOOKUP("Net Income",'FY ACTUALS'!$A$1:$X$996,S$3,FALSE)&lt;&gt;0,IFERROR(VLOOKUP($B37,'FY ACTUALS'!$A$1:$X$996,S$3,FALSE),"0")+0,IFERROR(($H37-SUMIF($I$1:$W$1,"ACTUAL",$I37:$W37))*(VLOOKUP($B37,'Distribution %'!$A$2:$Q$232,MATCH(S$2,'Distribution %'!$A$2:$Q$2,0),FALSE)/(SUMIF('Distribution %'!$C$1:$Q$1,"BUDGET",'Distribution %'!$C201:$Q201))),"0")+0)</f>
        <v>0</v>
      </c>
      <c r="T37" s="389">
        <f>IF(VLOOKUP("Net Income",'FY ACTUALS'!$A$1:$X$996,T$3,FALSE)&lt;&gt;0,IFERROR(VLOOKUP($B37,'FY ACTUALS'!$A$1:$X$996,T$3,FALSE),"0")+0,IFERROR(($H37-SUMIF($I$1:$W$1,"ACTUAL",$I37:$W37))*(VLOOKUP($B37,'Distribution %'!$A$2:$Q$232,MATCH(T$2,'Distribution %'!$A$2:$Q$2,0),FALSE)/(SUMIF('Distribution %'!$C$1:$Q$1,"BUDGET",'Distribution %'!$C201:$Q201))),"0")+0)</f>
        <v>-10616.02</v>
      </c>
      <c r="U37" s="389">
        <f>IF(VLOOKUP("Net Income",'FY ACTUALS'!$A$1:$X$996,U$3,FALSE)&lt;&gt;0,IFERROR(VLOOKUP($B37,'FY ACTUALS'!$A$1:$X$996,U$3,FALSE),"0")+0,IFERROR(($H37-SUMIF($I$1:$W$1,"ACTUAL",$I37:$W37))*(VLOOKUP($B37,'Distribution %'!$A$2:$Q$232,MATCH(U$2,'Distribution %'!$A$2:$Q$2,0),FALSE)/(SUMIF('Distribution %'!$C$1:$Q$1,"BUDGET",'Distribution %'!$C201:$Q201))),"0")+0)</f>
        <v>0</v>
      </c>
      <c r="V37" s="389">
        <f>IF(VLOOKUP("Net Income",'FY ACTUALS'!$A$1:$X$996,V$3,FALSE)&lt;&gt;0,IFERROR(VLOOKUP($B37,'FY ACTUALS'!$A$1:$X$996,V$3,FALSE),"0")+0,IFERROR(($H37-SUMIF($I$1:$W$1,"ACTUAL",$I37:$W37))*(VLOOKUP($B37,'Distribution %'!$A$2:$Q$232,MATCH(V$2,'Distribution %'!$A$2:$Q$2,0),FALSE)/(SUMIF('Distribution %'!$C$1:$Q$1,"BUDGET",'Distribution %'!$C201:$Q201))),"0")+0)</f>
        <v>0</v>
      </c>
      <c r="W37" s="460">
        <f>IF(VLOOKUP("Net Income",'FY ACTUALS'!$A$1:$X$996,W$3,FALSE)&lt;&gt;0,IFERROR(VLOOKUP($B37,'FY ACTUALS'!$A$1:$X$996,W$3,FALSE),"0")+0,IFERROR(($H37-SUMIF($I$1:$W$1,"ACTUAL",$I37:$W37))*(VLOOKUP($B37,'Distribution %'!$A$2:$Q$232,MATCH(W$2,'Distribution %'!$A$2:$Q$2,0),FALSE)/(SUMIF('Distribution %'!$C$1:$Q$1,"BUDGET",'Distribution %'!$C201:$Q201))),"0")+0)</f>
        <v>0</v>
      </c>
      <c r="X37" s="387">
        <f t="shared" si="8"/>
        <v>0</v>
      </c>
      <c r="Y37" s="387"/>
      <c r="Z37" s="387">
        <f t="shared" si="9"/>
        <v>0</v>
      </c>
    </row>
    <row r="38" spans="2:26" x14ac:dyDescent="0.75">
      <c r="B38" s="403">
        <v>8792</v>
      </c>
      <c r="C38" s="379" t="s">
        <v>1410</v>
      </c>
      <c r="F38" s="379" t="str">
        <f>IF(ISERROR(VLOOKUP(B38,'Distribution %'!A:A,1,FALSE)),"NO","YES")</f>
        <v>YES</v>
      </c>
      <c r="G38" s="392"/>
      <c r="H38" s="430">
        <f>IFERROR(VLOOKUP(B38,'Revenue w MYP'!$A$8:$J$52,10,FALSE),"0")+0</f>
        <v>2334380.2671654401</v>
      </c>
      <c r="I38" s="388">
        <f>IF(VLOOKUP("Net Income",'FY ACTUALS'!$A$1:$X$996,I$3,FALSE)&lt;&gt;0,IFERROR(VLOOKUP($B38,'FY ACTUALS'!$A$1:$X$996,I$3,FALSE),"0")+0,IFERROR(($H38-SUMIF($I$1:$W$1,"ACTUAL",$I38:$W38))*(VLOOKUP($B38,'Distribution %'!$A$2:$Q$232,MATCH(I$2,'Distribution %'!$A$2:$Q$2,0),FALSE)/(SUMIF('Distribution %'!$C$1:$Q$1,"BUDGET",'Distribution %'!$C202:$Q202))),"0")+0)</f>
        <v>92603</v>
      </c>
      <c r="J38" s="389">
        <f>IF(VLOOKUP("Net Income",'FY ACTUALS'!$A$1:$X$996,J$3,FALSE)&lt;&gt;0,IFERROR(VLOOKUP($B38,'FY ACTUALS'!$A$1:$X$996,J$3,FALSE),"0")+0,IFERROR(($H38-SUMIF($I$1:$W$1,"ACTUAL",$I38:$W38))*(VLOOKUP($B38,'Distribution %'!$A$2:$Q$232,MATCH(J$2,'Distribution %'!$A$2:$Q$2,0),FALSE)/(SUMIF('Distribution %'!$C$1:$Q$1,"BUDGET",'Distribution %'!$C202:$Q202))),"0")+0)</f>
        <v>92603</v>
      </c>
      <c r="K38" s="389">
        <f>IF(VLOOKUP("Net Income",'FY ACTUALS'!$A$1:$X$996,K$3,FALSE)&lt;&gt;0,IFERROR(VLOOKUP($B38,'FY ACTUALS'!$A$1:$X$996,K$3,FALSE),"0")+0,IFERROR(($H38-SUMIF($I$1:$W$1,"ACTUAL",$I38:$W38))*(VLOOKUP($B38,'Distribution %'!$A$2:$Q$232,MATCH(K$2,'Distribution %'!$A$2:$Q$2,0),FALSE)/(SUMIF('Distribution %'!$C$1:$Q$1,"BUDGET",'Distribution %'!$C202:$Q202))),"0")+0)</f>
        <v>166686</v>
      </c>
      <c r="L38" s="389">
        <f>IF(VLOOKUP("Net Income",'FY ACTUALS'!$A$1:$X$996,L$3,FALSE)&lt;&gt;0,IFERROR(VLOOKUP($B38,'FY ACTUALS'!$A$1:$X$996,L$3,FALSE),"0")+0,IFERROR(($H38-SUMIF($I$1:$W$1,"ACTUAL",$I38:$W38))*(VLOOKUP($B38,'Distribution %'!$A$2:$Q$232,MATCH(L$2,'Distribution %'!$A$2:$Q$2,0),FALSE)/(SUMIF('Distribution %'!$C$1:$Q$1,"BUDGET",'Distribution %'!$C202:$Q202))),"0")+0)</f>
        <v>166686</v>
      </c>
      <c r="M38" s="389">
        <f>IF(VLOOKUP("Net Income",'FY ACTUALS'!$A$1:$X$996,M$3,FALSE)&lt;&gt;0,IFERROR(VLOOKUP($B38,'FY ACTUALS'!$A$1:$X$996,M$3,FALSE),"0")+0,IFERROR(($H38-SUMIF($I$1:$W$1,"ACTUAL",$I38:$W38))*(VLOOKUP($B38,'Distribution %'!$A$2:$Q$232,MATCH(M$2,'Distribution %'!$A$2:$Q$2,0),FALSE)/(SUMIF('Distribution %'!$C$1:$Q$1,"BUDGET",'Distribution %'!$C202:$Q202))),"0")+0)</f>
        <v>166686</v>
      </c>
      <c r="N38" s="389">
        <f>IF(VLOOKUP("Net Income",'FY ACTUALS'!$A$1:$X$996,N$3,FALSE)&lt;&gt;0,IFERROR(VLOOKUP($B38,'FY ACTUALS'!$A$1:$X$996,N$3,FALSE),"0")+0,IFERROR(($H38-SUMIF($I$1:$W$1,"ACTUAL",$I38:$W38))*(VLOOKUP($B38,'Distribution %'!$A$2:$Q$232,MATCH(N$2,'Distribution %'!$A$2:$Q$2,0),FALSE)/(SUMIF('Distribution %'!$C$1:$Q$1,"BUDGET",'Distribution %'!$C202:$Q202))),"0")+0)</f>
        <v>166686</v>
      </c>
      <c r="O38" s="389">
        <f>IF(VLOOKUP("Net Income",'FY ACTUALS'!$A$1:$X$996,O$3,FALSE)&lt;&gt;0,IFERROR(VLOOKUP($B38,'FY ACTUALS'!$A$1:$X$996,O$3,FALSE),"0")+0,IFERROR(($H38-SUMIF($I$1:$W$1,"ACTUAL",$I38:$W38))*(VLOOKUP($B38,'Distribution %'!$A$2:$Q$232,MATCH(O$2,'Distribution %'!$A$2:$Q$2,0),FALSE)/(SUMIF('Distribution %'!$C$1:$Q$1,"BUDGET",'Distribution %'!$C202:$Q202))),"0")+0)</f>
        <v>166686</v>
      </c>
      <c r="P38" s="389">
        <f>IF(VLOOKUP("Net Income",'FY ACTUALS'!$A$1:$X$996,P$3,FALSE)&lt;&gt;0,IFERROR(VLOOKUP($B38,'FY ACTUALS'!$A$1:$X$996,P$3,FALSE),"0")+0,IFERROR(($H38-SUMIF($I$1:$W$1,"ACTUAL",$I38:$W38))*(VLOOKUP($B38,'Distribution %'!$A$2:$Q$232,MATCH(P$2,'Distribution %'!$A$2:$Q$2,0),FALSE)/(SUMIF('Distribution %'!$C$1:$Q$1,"BUDGET",'Distribution %'!$C202:$Q202))),"0")+0)</f>
        <v>130697.26387176705</v>
      </c>
      <c r="Q38" s="389">
        <f>IF(VLOOKUP("Net Income",'FY ACTUALS'!$A$1:$X$996,Q$3,FALSE)&lt;&gt;0,IFERROR(VLOOKUP($B38,'FY ACTUALS'!$A$1:$X$996,Q$3,FALSE),"0")+0,IFERROR(($H38-SUMIF($I$1:$W$1,"ACTUAL",$I38:$W38))*(VLOOKUP($B38,'Distribution %'!$A$2:$Q$232,MATCH(Q$2,'Distribution %'!$A$2:$Q$2,0),FALSE)/(SUMIF('Distribution %'!$C$1:$Q$1,"BUDGET",'Distribution %'!$C202:$Q202))),"0")+0)</f>
        <v>64032.887668718082</v>
      </c>
      <c r="R38" s="389">
        <f>IF(VLOOKUP("Net Income",'FY ACTUALS'!$A$1:$X$996,R$3,FALSE)&lt;&gt;0,IFERROR(VLOOKUP($B38,'FY ACTUALS'!$A$1:$X$996,R$3,FALSE),"0")+0,IFERROR(($H38-SUMIF($I$1:$W$1,"ACTUAL",$I38:$W38))*(VLOOKUP($B38,'Distribution %'!$A$2:$Q$232,MATCH(R$2,'Distribution %'!$A$2:$Q$2,0),FALSE)/(SUMIF('Distribution %'!$C$1:$Q$1,"BUDGET",'Distribution %'!$C202:$Q202))),"0")+0)</f>
        <v>61693.786749312858</v>
      </c>
      <c r="S38" s="389">
        <f>IF(VLOOKUP("Net Income",'FY ACTUALS'!$A$1:$X$996,S$3,FALSE)&lt;&gt;0,IFERROR(VLOOKUP($B38,'FY ACTUALS'!$A$1:$X$996,S$3,FALSE),"0")+0,IFERROR(($H38-SUMIF($I$1:$W$1,"ACTUAL",$I38:$W38))*(VLOOKUP($B38,'Distribution %'!$A$2:$Q$232,MATCH(S$2,'Distribution %'!$A$2:$Q$2,0),FALSE)/(SUMIF('Distribution %'!$C$1:$Q$1,"BUDGET",'Distribution %'!$C202:$Q202))),"0")+0)</f>
        <v>60816.623904535896</v>
      </c>
      <c r="T38" s="389">
        <f>IF(VLOOKUP("Net Income",'FY ACTUALS'!$A$1:$X$996,T$3,FALSE)&lt;&gt;0,IFERROR(VLOOKUP($B38,'FY ACTUALS'!$A$1:$X$996,T$3,FALSE),"0")+0,IFERROR(($H38-SUMIF($I$1:$W$1,"ACTUAL",$I38:$W38))*(VLOOKUP($B38,'Distribution %'!$A$2:$Q$232,MATCH(T$2,'Distribution %'!$A$2:$Q$2,0),FALSE)/(SUMIF('Distribution %'!$C$1:$Q$1,"BUDGET",'Distribution %'!$C202:$Q202))),"0")+0)</f>
        <v>0</v>
      </c>
      <c r="U38" s="389">
        <f>IF(VLOOKUP("Net Income",'FY ACTUALS'!$A$1:$X$996,U$3,FALSE)&lt;&gt;0,IFERROR(VLOOKUP($B38,'FY ACTUALS'!$A$1:$X$996,U$3,FALSE),"0")+0,IFERROR(($H38-SUMIF($I$1:$W$1,"ACTUAL",$I38:$W38))*(VLOOKUP($B38,'Distribution %'!$A$2:$Q$232,MATCH(U$2,'Distribution %'!$A$2:$Q$2,0),FALSE)/(SUMIF('Distribution %'!$C$1:$Q$1,"BUDGET",'Distribution %'!$C202:$Q202))),"0")+0)</f>
        <v>263148.85343308799</v>
      </c>
      <c r="V38" s="389">
        <f>IF(VLOOKUP("Net Income",'FY ACTUALS'!$A$1:$X$996,V$3,FALSE)&lt;&gt;0,IFERROR(VLOOKUP($B38,'FY ACTUALS'!$A$1:$X$996,V$3,FALSE),"0")+0,IFERROR(($H38-SUMIF($I$1:$W$1,"ACTUAL",$I38:$W38))*(VLOOKUP($B38,'Distribution %'!$A$2:$Q$232,MATCH(V$2,'Distribution %'!$A$2:$Q$2,0),FALSE)/(SUMIF('Distribution %'!$C$1:$Q$1,"BUDGET",'Distribution %'!$C202:$Q202))),"0")+0)</f>
        <v>191806.27539122861</v>
      </c>
      <c r="W38" s="460">
        <f>IF(VLOOKUP("Net Income",'FY ACTUALS'!$A$1:$X$996,W$3,FALSE)&lt;&gt;0,IFERROR(VLOOKUP($B38,'FY ACTUALS'!$A$1:$X$996,W$3,FALSE),"0")+0,IFERROR(($H38-SUMIF($I$1:$W$1,"ACTUAL",$I38:$W38))*(VLOOKUP($B38,'Distribution %'!$A$2:$Q$232,MATCH(W$2,'Distribution %'!$A$2:$Q$2,0),FALSE)/(SUMIF('Distribution %'!$C$1:$Q$1,"BUDGET",'Distribution %'!$C202:$Q202))),"0")+0)</f>
        <v>543548.57614678959</v>
      </c>
      <c r="X38" s="387">
        <f t="shared" si="8"/>
        <v>2334380.2671654401</v>
      </c>
      <c r="Y38" s="387"/>
      <c r="Z38" s="387">
        <f t="shared" si="9"/>
        <v>0</v>
      </c>
    </row>
    <row r="39" spans="2:26" x14ac:dyDescent="0.75">
      <c r="B39" s="403" t="s">
        <v>1397</v>
      </c>
      <c r="C39" s="379">
        <v>0</v>
      </c>
      <c r="G39" s="392"/>
      <c r="H39" s="430"/>
      <c r="I39" s="388"/>
      <c r="J39" s="389"/>
      <c r="K39" s="389"/>
      <c r="L39" s="389"/>
      <c r="M39" s="389"/>
      <c r="N39" s="389"/>
      <c r="O39" s="389"/>
      <c r="P39" s="389"/>
      <c r="Q39" s="389"/>
      <c r="R39" s="389"/>
      <c r="S39" s="389"/>
      <c r="T39" s="389"/>
      <c r="U39" s="389"/>
      <c r="V39" s="389"/>
      <c r="W39" s="431"/>
      <c r="X39" s="387">
        <f t="shared" si="8"/>
        <v>0</v>
      </c>
      <c r="Y39" s="387"/>
      <c r="Z39" s="387">
        <f t="shared" si="9"/>
        <v>0</v>
      </c>
    </row>
    <row r="40" spans="2:26" x14ac:dyDescent="0.75">
      <c r="B40" s="403" t="s">
        <v>1397</v>
      </c>
      <c r="C40" s="379">
        <v>0</v>
      </c>
      <c r="G40" s="392"/>
      <c r="H40" s="430"/>
      <c r="I40" s="388"/>
      <c r="J40" s="389"/>
      <c r="K40" s="389"/>
      <c r="L40" s="389"/>
      <c r="M40" s="389"/>
      <c r="N40" s="389"/>
      <c r="O40" s="389"/>
      <c r="P40" s="389"/>
      <c r="Q40" s="389"/>
      <c r="R40" s="389"/>
      <c r="S40" s="389"/>
      <c r="T40" s="389"/>
      <c r="U40" s="389"/>
      <c r="V40" s="389"/>
      <c r="W40" s="431"/>
      <c r="X40" s="387">
        <f t="shared" si="8"/>
        <v>0</v>
      </c>
      <c r="Y40" s="387"/>
      <c r="Z40" s="387">
        <f t="shared" si="9"/>
        <v>0</v>
      </c>
    </row>
    <row r="41" spans="2:26" x14ac:dyDescent="0.75">
      <c r="B41" s="403" t="s">
        <v>1397</v>
      </c>
      <c r="C41" s="379">
        <v>0</v>
      </c>
      <c r="G41" s="392"/>
      <c r="H41" s="432"/>
      <c r="I41" s="388"/>
      <c r="J41" s="389"/>
      <c r="K41" s="389"/>
      <c r="L41" s="389"/>
      <c r="M41" s="389"/>
      <c r="N41" s="389"/>
      <c r="O41" s="389"/>
      <c r="P41" s="389"/>
      <c r="Q41" s="389"/>
      <c r="R41" s="389"/>
      <c r="S41" s="389"/>
      <c r="T41" s="389"/>
      <c r="U41" s="389"/>
      <c r="V41" s="389"/>
      <c r="W41" s="431"/>
      <c r="X41" s="387">
        <f t="shared" si="8"/>
        <v>0</v>
      </c>
      <c r="Y41" s="387"/>
      <c r="Z41" s="387">
        <f t="shared" si="9"/>
        <v>0</v>
      </c>
    </row>
    <row r="42" spans="2:26" x14ac:dyDescent="0.75">
      <c r="B42" s="364" t="s">
        <v>1371</v>
      </c>
      <c r="G42" s="392"/>
      <c r="H42" s="439">
        <f t="shared" ref="H42:X42" si="10">+SUM(H31:H41)</f>
        <v>4489956.6701754406</v>
      </c>
      <c r="I42" s="407">
        <f t="shared" si="10"/>
        <v>92603</v>
      </c>
      <c r="J42" s="408">
        <f t="shared" si="10"/>
        <v>92603</v>
      </c>
      <c r="K42" s="408">
        <f t="shared" si="10"/>
        <v>241880.89</v>
      </c>
      <c r="L42" s="408">
        <f t="shared" si="10"/>
        <v>198651.77</v>
      </c>
      <c r="M42" s="408">
        <f t="shared" si="10"/>
        <v>166686</v>
      </c>
      <c r="N42" s="408">
        <f t="shared" si="10"/>
        <v>221603.39</v>
      </c>
      <c r="O42" s="408">
        <f t="shared" si="10"/>
        <v>700146.15</v>
      </c>
      <c r="P42" s="408">
        <f t="shared" si="10"/>
        <v>130856.08514176705</v>
      </c>
      <c r="Q42" s="408">
        <f t="shared" si="10"/>
        <v>269269.16726871813</v>
      </c>
      <c r="R42" s="408">
        <f t="shared" si="10"/>
        <v>424224.51306510228</v>
      </c>
      <c r="S42" s="409">
        <f t="shared" si="10"/>
        <v>60816.623904535896</v>
      </c>
      <c r="T42" s="409">
        <f t="shared" si="10"/>
        <v>891953.55455421063</v>
      </c>
      <c r="U42" s="409">
        <f t="shared" si="10"/>
        <v>263307.67470308801</v>
      </c>
      <c r="V42" s="409">
        <f t="shared" ref="V42" si="11">+SUM(V31:V41)</f>
        <v>191806.27539122861</v>
      </c>
      <c r="W42" s="440">
        <f t="shared" si="10"/>
        <v>543548.57614678959</v>
      </c>
      <c r="X42" s="409">
        <f t="shared" si="10"/>
        <v>4489956.6701754406</v>
      </c>
      <c r="Y42" s="409"/>
      <c r="Z42" s="409">
        <f>+SUM(Z32:Z41)</f>
        <v>0</v>
      </c>
    </row>
    <row r="43" spans="2:26" x14ac:dyDescent="0.75">
      <c r="G43" s="392"/>
      <c r="H43" s="430"/>
      <c r="I43" s="388"/>
      <c r="J43" s="389"/>
      <c r="K43" s="389"/>
      <c r="L43" s="389"/>
      <c r="M43" s="389"/>
      <c r="N43" s="389"/>
      <c r="O43" s="389"/>
      <c r="P43" s="389"/>
      <c r="Q43" s="389"/>
      <c r="R43" s="389"/>
      <c r="S43" s="390"/>
      <c r="T43" s="390"/>
      <c r="U43" s="387"/>
      <c r="V43" s="387"/>
      <c r="W43" s="431"/>
      <c r="X43" s="387"/>
      <c r="Y43" s="387"/>
      <c r="Z43" s="387"/>
    </row>
    <row r="44" spans="2:26" x14ac:dyDescent="0.75">
      <c r="B44" s="364" t="s">
        <v>793</v>
      </c>
      <c r="G44" s="392"/>
      <c r="H44" s="430"/>
      <c r="I44" s="388"/>
      <c r="J44" s="389"/>
      <c r="K44" s="389"/>
      <c r="L44" s="389"/>
      <c r="M44" s="389"/>
      <c r="N44" s="389"/>
      <c r="O44" s="389"/>
      <c r="P44" s="389"/>
      <c r="Q44" s="389"/>
      <c r="R44" s="389"/>
      <c r="S44" s="390"/>
      <c r="T44" s="390"/>
      <c r="U44" s="387"/>
      <c r="V44" s="387"/>
      <c r="W44" s="431"/>
      <c r="X44" s="387"/>
      <c r="Y44" s="387"/>
      <c r="Z44" s="387"/>
    </row>
    <row r="45" spans="2:26" x14ac:dyDescent="0.75">
      <c r="B45" s="410">
        <v>8639</v>
      </c>
      <c r="C45" s="379" t="s">
        <v>628</v>
      </c>
      <c r="F45" s="379" t="str">
        <f>IF(ISERROR(VLOOKUP(B45,'Distribution %'!A:A,1,FALSE)),"NO","YES")</f>
        <v>YES</v>
      </c>
      <c r="G45" s="392"/>
      <c r="H45" s="430">
        <f>IFERROR(VLOOKUP(B45,'Revenue w MYP'!$A$8:$J$52,10,FALSE),"0")+0</f>
        <v>0</v>
      </c>
      <c r="I45" s="388">
        <f>IF(VLOOKUP("Net Income",'FY ACTUALS'!$A$1:$X$996,I$3,FALSE)&lt;&gt;0,IFERROR(VLOOKUP($B45,'FY ACTUALS'!$A$1:$X$996,I$3,FALSE),"0")+0,IFERROR(($H45-SUMIF($I$1:$W$1,"ACTUAL",$I45:$W45))*(VLOOKUP($B45,'Distribution %'!$A$2:$Q$232,MATCH(I$2,'Distribution %'!$A$2:$Q$2,0),FALSE)/(SUMIF('Distribution %'!$C$1:$Q$1,"BUDGET",'Distribution %'!$C213:$Q213))),"0")+0)</f>
        <v>0</v>
      </c>
      <c r="J45" s="389">
        <f>IF(VLOOKUP("Net Income",'FY ACTUALS'!$A$1:$X$996,J$3,FALSE)&lt;&gt;0,IFERROR(VLOOKUP($B45,'FY ACTUALS'!$A$1:$X$996,J$3,FALSE),"0")+0,IFERROR(($H45-SUMIF($I$1:$W$1,"ACTUAL",$I45:$W45))*(VLOOKUP($B45,'Distribution %'!$A$2:$Q$232,MATCH(J$2,'Distribution %'!$A$2:$Q$2,0),FALSE)/(SUMIF('Distribution %'!$C$1:$Q$1,"BUDGET",'Distribution %'!$C213:$Q213))),"0")+0)</f>
        <v>0</v>
      </c>
      <c r="K45" s="389">
        <f>IF(VLOOKUP("Net Income",'FY ACTUALS'!$A$1:$X$996,K$3,FALSE)&lt;&gt;0,IFERROR(VLOOKUP($B45,'FY ACTUALS'!$A$1:$X$996,K$3,FALSE),"0")+0,IFERROR(($H45-SUMIF($I$1:$W$1,"ACTUAL",$I45:$W45))*(VLOOKUP($B45,'Distribution %'!$A$2:$Q$232,MATCH(K$2,'Distribution %'!$A$2:$Q$2,0),FALSE)/(SUMIF('Distribution %'!$C$1:$Q$1,"BUDGET",'Distribution %'!$C213:$Q213))),"0")+0)</f>
        <v>0</v>
      </c>
      <c r="L45" s="389">
        <f>IF(VLOOKUP("Net Income",'FY ACTUALS'!$A$1:$X$996,L$3,FALSE)&lt;&gt;0,IFERROR(VLOOKUP($B45,'FY ACTUALS'!$A$1:$X$996,L$3,FALSE),"0")+0,IFERROR(($H45-SUMIF($I$1:$W$1,"ACTUAL",$I45:$W45))*(VLOOKUP($B45,'Distribution %'!$A$2:$Q$232,MATCH(L$2,'Distribution %'!$A$2:$Q$2,0),FALSE)/(SUMIF('Distribution %'!$C$1:$Q$1,"BUDGET",'Distribution %'!$C213:$Q213))),"0")+0)</f>
        <v>0</v>
      </c>
      <c r="M45" s="389">
        <f>IF(VLOOKUP("Net Income",'FY ACTUALS'!$A$1:$X$996,M$3,FALSE)&lt;&gt;0,IFERROR(VLOOKUP($B45,'FY ACTUALS'!$A$1:$X$996,M$3,FALSE),"0")+0,IFERROR(($H45-SUMIF($I$1:$W$1,"ACTUAL",$I45:$W45))*(VLOOKUP($B45,'Distribution %'!$A$2:$Q$232,MATCH(M$2,'Distribution %'!$A$2:$Q$2,0),FALSE)/(SUMIF('Distribution %'!$C$1:$Q$1,"BUDGET",'Distribution %'!$C213:$Q213))),"0")+0)</f>
        <v>0</v>
      </c>
      <c r="N45" s="389">
        <f>IF(VLOOKUP("Net Income",'FY ACTUALS'!$A$1:$X$996,N$3,FALSE)&lt;&gt;0,IFERROR(VLOOKUP($B45,'FY ACTUALS'!$A$1:$X$996,N$3,FALSE),"0")+0,IFERROR(($H45-SUMIF($I$1:$W$1,"ACTUAL",$I45:$W45))*(VLOOKUP($B45,'Distribution %'!$A$2:$Q$232,MATCH(N$2,'Distribution %'!$A$2:$Q$2,0),FALSE)/(SUMIF('Distribution %'!$C$1:$Q$1,"BUDGET",'Distribution %'!$C213:$Q213))),"0")+0)</f>
        <v>0</v>
      </c>
      <c r="O45" s="389">
        <f>IF(VLOOKUP("Net Income",'FY ACTUALS'!$A$1:$X$996,O$3,FALSE)&lt;&gt;0,IFERROR(VLOOKUP($B45,'FY ACTUALS'!$A$1:$X$996,O$3,FALSE),"0")+0,IFERROR(($H45-SUMIF($I$1:$W$1,"ACTUAL",$I45:$W45))*(VLOOKUP($B45,'Distribution %'!$A$2:$Q$232,MATCH(O$2,'Distribution %'!$A$2:$Q$2,0),FALSE)/(SUMIF('Distribution %'!$C$1:$Q$1,"BUDGET",'Distribution %'!$C213:$Q213))),"0")+0)</f>
        <v>0</v>
      </c>
      <c r="P45" s="389">
        <f>IF(VLOOKUP("Net Income",'FY ACTUALS'!$A$1:$X$996,P$3,FALSE)&lt;&gt;0,IFERROR(VLOOKUP($B45,'FY ACTUALS'!$A$1:$X$996,P$3,FALSE),"0")+0,IFERROR(($H45-SUMIF($I$1:$W$1,"ACTUAL",$I45:$W45))*(VLOOKUP($B45,'Distribution %'!$A$2:$Q$232,MATCH(P$2,'Distribution %'!$A$2:$Q$2,0),FALSE)/(SUMIF('Distribution %'!$C$1:$Q$1,"BUDGET",'Distribution %'!$C213:$Q213))),"0")+0)</f>
        <v>0</v>
      </c>
      <c r="Q45" s="389">
        <f>IF(VLOOKUP("Net Income",'FY ACTUALS'!$A$1:$X$996,Q$3,FALSE)&lt;&gt;0,IFERROR(VLOOKUP($B45,'FY ACTUALS'!$A$1:$X$996,Q$3,FALSE),"0")+0,IFERROR(($H45-SUMIF($I$1:$W$1,"ACTUAL",$I45:$W45))*(VLOOKUP($B45,'Distribution %'!$A$2:$Q$232,MATCH(Q$2,'Distribution %'!$A$2:$Q$2,0),FALSE)/(SUMIF('Distribution %'!$C$1:$Q$1,"BUDGET",'Distribution %'!$C213:$Q213))),"0")+0)</f>
        <v>0</v>
      </c>
      <c r="R45" s="389">
        <f>IF(VLOOKUP("Net Income",'FY ACTUALS'!$A$1:$X$996,R$3,FALSE)&lt;&gt;0,IFERROR(VLOOKUP($B45,'FY ACTUALS'!$A$1:$X$996,R$3,FALSE),"0")+0,IFERROR(($H45-SUMIF($I$1:$W$1,"ACTUAL",$I45:$W45))*(VLOOKUP($B45,'Distribution %'!$A$2:$Q$232,MATCH(R$2,'Distribution %'!$A$2:$Q$2,0),FALSE)/(SUMIF('Distribution %'!$C$1:$Q$1,"BUDGET",'Distribution %'!$C213:$Q213))),"0")+0)</f>
        <v>0</v>
      </c>
      <c r="S45" s="389">
        <f>IF(VLOOKUP("Net Income",'FY ACTUALS'!$A$1:$X$996,S$3,FALSE)&lt;&gt;0,IFERROR(VLOOKUP($B45,'FY ACTUALS'!$A$1:$X$996,S$3,FALSE),"0")+0,IFERROR(($H45-SUMIF($I$1:$W$1,"ACTUAL",$I45:$W45))*(VLOOKUP($B45,'Distribution %'!$A$2:$Q$232,MATCH(S$2,'Distribution %'!$A$2:$Q$2,0),FALSE)/(SUMIF('Distribution %'!$C$1:$Q$1,"BUDGET",'Distribution %'!$C213:$Q213))),"0")+0)</f>
        <v>0</v>
      </c>
      <c r="T45" s="389">
        <f>IF(VLOOKUP("Net Income",'FY ACTUALS'!$A$1:$X$996,T$3,FALSE)&lt;&gt;0,IFERROR(VLOOKUP($B45,'FY ACTUALS'!$A$1:$X$996,T$3,FALSE),"0")+0,IFERROR(($H45-SUMIF($I$1:$W$1,"ACTUAL",$I45:$W45))*(VLOOKUP($B45,'Distribution %'!$A$2:$Q$232,MATCH(T$2,'Distribution %'!$A$2:$Q$2,0),FALSE)/(SUMIF('Distribution %'!$C$1:$Q$1,"BUDGET",'Distribution %'!$C213:$Q213))),"0")+0)</f>
        <v>0</v>
      </c>
      <c r="U45" s="389">
        <f>IF(VLOOKUP("Net Income",'FY ACTUALS'!$A$1:$X$996,U$3,FALSE)&lt;&gt;0,IFERROR(VLOOKUP($B45,'FY ACTUALS'!$A$1:$X$996,U$3,FALSE),"0")+0,IFERROR(($H45-SUMIF($I$1:$W$1,"ACTUAL",$I45:$W45))*(VLOOKUP($B45,'Distribution %'!$A$2:$Q$232,MATCH(U$2,'Distribution %'!$A$2:$Q$2,0),FALSE)/(SUMIF('Distribution %'!$C$1:$Q$1,"BUDGET",'Distribution %'!$C213:$Q213))),"0")+0)</f>
        <v>0</v>
      </c>
      <c r="V45" s="389">
        <f>IF(VLOOKUP("Net Income",'FY ACTUALS'!$A$1:$X$996,V$3,FALSE)&lt;&gt;0,IFERROR(VLOOKUP($B45,'FY ACTUALS'!$A$1:$X$996,V$3,FALSE),"0")+0,IFERROR(($H45-SUMIF($I$1:$W$1,"ACTUAL",$I45:$W45))*(VLOOKUP($B45,'Distribution %'!$A$2:$Q$232,MATCH(V$2,'Distribution %'!$A$2:$Q$2,0),FALSE)/(SUMIF('Distribution %'!$C$1:$Q$1,"BUDGET",'Distribution %'!$C213:$Q213))),"0")+0)</f>
        <v>0</v>
      </c>
      <c r="W45" s="460">
        <f>IF(VLOOKUP("Net Income",'FY ACTUALS'!$A$1:$X$996,W$3,FALSE)&lt;&gt;0,IFERROR(VLOOKUP($B45,'FY ACTUALS'!$A$1:$X$996,W$3,FALSE),"0")+0,IFERROR(($H45-SUMIF($I$1:$W$1,"ACTUAL",$I45:$W45))*(VLOOKUP($B45,'Distribution %'!$A$2:$Q$232,MATCH(W$2,'Distribution %'!$A$2:$Q$2,0),FALSE)/(SUMIF('Distribution %'!$C$1:$Q$1,"BUDGET",'Distribution %'!$C213:$Q213))),"0")+0)</f>
        <v>0</v>
      </c>
      <c r="X45" s="387">
        <f t="shared" ref="X45:X60" si="12">+SUM(I45:W45)</f>
        <v>0</v>
      </c>
      <c r="Y45" s="387"/>
      <c r="Z45" s="387">
        <f t="shared" ref="Z45:Z60" si="13">+H45-X45</f>
        <v>0</v>
      </c>
    </row>
    <row r="46" spans="2:26" x14ac:dyDescent="0.75">
      <c r="B46" s="410">
        <v>8660</v>
      </c>
      <c r="C46" s="379" t="s">
        <v>624</v>
      </c>
      <c r="F46" s="379" t="str">
        <f>IF(ISERROR(VLOOKUP(B46,'Distribution %'!A:A,1,FALSE)),"NO","YES")</f>
        <v>YES</v>
      </c>
      <c r="G46" s="392"/>
      <c r="H46" s="430">
        <f>IFERROR(VLOOKUP(B46,'Revenue w MYP'!$A$8:$J$52,10,FALSE),"0")+0</f>
        <v>40884.199999999997</v>
      </c>
      <c r="I46" s="388">
        <f>IF(VLOOKUP("Net Income",'FY ACTUALS'!$A$1:$X$996,I$3,FALSE)&lt;&gt;0,IFERROR(VLOOKUP($B46,'FY ACTUALS'!$A$1:$X$996,I$3,FALSE),"0")+0,IFERROR(($H46-SUMIF($I$1:$W$1,"ACTUAL",$I46:$W46))*(VLOOKUP($B46,'Distribution %'!$A$2:$Q$232,MATCH(I$2,'Distribution %'!$A$2:$Q$2,0),FALSE)/(SUMIF('Distribution %'!$C$1:$Q$1,"BUDGET",'Distribution %'!$C214:$Q214))),"0")+0)</f>
        <v>8234.91</v>
      </c>
      <c r="J46" s="389">
        <f>IF(VLOOKUP("Net Income",'FY ACTUALS'!$A$1:$X$996,J$3,FALSE)&lt;&gt;0,IFERROR(VLOOKUP($B46,'FY ACTUALS'!$A$1:$X$996,J$3,FALSE),"0")+0,IFERROR(($H46-SUMIF($I$1:$W$1,"ACTUAL",$I46:$W46))*(VLOOKUP($B46,'Distribution %'!$A$2:$Q$232,MATCH(J$2,'Distribution %'!$A$2:$Q$2,0),FALSE)/(SUMIF('Distribution %'!$C$1:$Q$1,"BUDGET",'Distribution %'!$C214:$Q214))),"0")+0)</f>
        <v>659.58</v>
      </c>
      <c r="K46" s="389">
        <f>IF(VLOOKUP("Net Income",'FY ACTUALS'!$A$1:$X$996,K$3,FALSE)&lt;&gt;0,IFERROR(VLOOKUP($B46,'FY ACTUALS'!$A$1:$X$996,K$3,FALSE),"0")+0,IFERROR(($H46-SUMIF($I$1:$W$1,"ACTUAL",$I46:$W46))*(VLOOKUP($B46,'Distribution %'!$A$2:$Q$232,MATCH(K$2,'Distribution %'!$A$2:$Q$2,0),FALSE)/(SUMIF('Distribution %'!$C$1:$Q$1,"BUDGET",'Distribution %'!$C214:$Q214))),"0")+0)</f>
        <v>6.73</v>
      </c>
      <c r="L46" s="389">
        <f>IF(VLOOKUP("Net Income",'FY ACTUALS'!$A$1:$X$996,L$3,FALSE)&lt;&gt;0,IFERROR(VLOOKUP($B46,'FY ACTUALS'!$A$1:$X$996,L$3,FALSE),"0")+0,IFERROR(($H46-SUMIF($I$1:$W$1,"ACTUAL",$I46:$W46))*(VLOOKUP($B46,'Distribution %'!$A$2:$Q$232,MATCH(L$2,'Distribution %'!$A$2:$Q$2,0),FALSE)/(SUMIF('Distribution %'!$C$1:$Q$1,"BUDGET",'Distribution %'!$C214:$Q214))),"0")+0)</f>
        <v>5901.45</v>
      </c>
      <c r="M46" s="389">
        <f>IF(VLOOKUP("Net Income",'FY ACTUALS'!$A$1:$X$996,M$3,FALSE)&lt;&gt;0,IFERROR(VLOOKUP($B46,'FY ACTUALS'!$A$1:$X$996,M$3,FALSE),"0")+0,IFERROR(($H46-SUMIF($I$1:$W$1,"ACTUAL",$I46:$W46))*(VLOOKUP($B46,'Distribution %'!$A$2:$Q$232,MATCH(M$2,'Distribution %'!$A$2:$Q$2,0),FALSE)/(SUMIF('Distribution %'!$C$1:$Q$1,"BUDGET",'Distribution %'!$C214:$Q214))),"0")+0)</f>
        <v>9.34</v>
      </c>
      <c r="N46" s="389">
        <f>IF(VLOOKUP("Net Income",'FY ACTUALS'!$A$1:$X$996,N$3,FALSE)&lt;&gt;0,IFERROR(VLOOKUP($B46,'FY ACTUALS'!$A$1:$X$996,N$3,FALSE),"0")+0,IFERROR(($H46-SUMIF($I$1:$W$1,"ACTUAL",$I46:$W46))*(VLOOKUP($B46,'Distribution %'!$A$2:$Q$232,MATCH(N$2,'Distribution %'!$A$2:$Q$2,0),FALSE)/(SUMIF('Distribution %'!$C$1:$Q$1,"BUDGET",'Distribution %'!$C214:$Q214))),"0")+0)</f>
        <v>9.67</v>
      </c>
      <c r="O46" s="389">
        <f>IF(VLOOKUP("Net Income",'FY ACTUALS'!$A$1:$X$996,O$3,FALSE)&lt;&gt;0,IFERROR(VLOOKUP($B46,'FY ACTUALS'!$A$1:$X$996,O$3,FALSE),"0")+0,IFERROR(($H46-SUMIF($I$1:$W$1,"ACTUAL",$I46:$W46))*(VLOOKUP($B46,'Distribution %'!$A$2:$Q$232,MATCH(O$2,'Distribution %'!$A$2:$Q$2,0),FALSE)/(SUMIF('Distribution %'!$C$1:$Q$1,"BUDGET",'Distribution %'!$C214:$Q214))),"0")+0)</f>
        <v>10752.16</v>
      </c>
      <c r="P46" s="389">
        <f>IF(VLOOKUP("Net Income",'FY ACTUALS'!$A$1:$X$996,P$3,FALSE)&lt;&gt;0,IFERROR(VLOOKUP($B46,'FY ACTUALS'!$A$1:$X$996,P$3,FALSE),"0")+0,IFERROR(($H46-SUMIF($I$1:$W$1,"ACTUAL",$I46:$W46))*(VLOOKUP($B46,'Distribution %'!$A$2:$Q$232,MATCH(P$2,'Distribution %'!$A$2:$Q$2,0),FALSE)/(SUMIF('Distribution %'!$C$1:$Q$1,"BUDGET",'Distribution %'!$C214:$Q214))),"0")+0)</f>
        <v>3032.8398090692126</v>
      </c>
      <c r="Q46" s="389">
        <f>IF(VLOOKUP("Net Income",'FY ACTUALS'!$A$1:$X$996,Q$3,FALSE)&lt;&gt;0,IFERROR(VLOOKUP($B46,'FY ACTUALS'!$A$1:$X$996,Q$3,FALSE),"0")+0,IFERROR(($H46-SUMIF($I$1:$W$1,"ACTUAL",$I46:$W46))*(VLOOKUP($B46,'Distribution %'!$A$2:$Q$232,MATCH(Q$2,'Distribution %'!$A$2:$Q$2,0),FALSE)/(SUMIF('Distribution %'!$C$1:$Q$1,"BUDGET",'Distribution %'!$C214:$Q214))),"0")+0)</f>
        <v>3069.3800477326972</v>
      </c>
      <c r="R46" s="389">
        <f>IF(VLOOKUP("Net Income",'FY ACTUALS'!$A$1:$X$996,R$3,FALSE)&lt;&gt;0,IFERROR(VLOOKUP($B46,'FY ACTUALS'!$A$1:$X$996,R$3,FALSE),"0")+0,IFERROR(($H46-SUMIF($I$1:$W$1,"ACTUAL",$I46:$W46))*(VLOOKUP($B46,'Distribution %'!$A$2:$Q$232,MATCH(R$2,'Distribution %'!$A$2:$Q$2,0),FALSE)/(SUMIF('Distribution %'!$C$1:$Q$1,"BUDGET",'Distribution %'!$C214:$Q214))),"0")+0)</f>
        <v>3069.3800477326972</v>
      </c>
      <c r="S46" s="389">
        <f>IF(VLOOKUP("Net Income",'FY ACTUALS'!$A$1:$X$996,S$3,FALSE)&lt;&gt;0,IFERROR(VLOOKUP($B46,'FY ACTUALS'!$A$1:$X$996,S$3,FALSE),"0")+0,IFERROR(($H46-SUMIF($I$1:$W$1,"ACTUAL",$I46:$W46))*(VLOOKUP($B46,'Distribution %'!$A$2:$Q$232,MATCH(S$2,'Distribution %'!$A$2:$Q$2,0),FALSE)/(SUMIF('Distribution %'!$C$1:$Q$1,"BUDGET",'Distribution %'!$C214:$Q214))),"0")+0)</f>
        <v>3069.3800477326972</v>
      </c>
      <c r="T46" s="389">
        <f>IF(VLOOKUP("Net Income",'FY ACTUALS'!$A$1:$X$996,T$3,FALSE)&lt;&gt;0,IFERROR(VLOOKUP($B46,'FY ACTUALS'!$A$1:$X$996,T$3,FALSE),"0")+0,IFERROR(($H46-SUMIF($I$1:$W$1,"ACTUAL",$I46:$W46))*(VLOOKUP($B46,'Distribution %'!$A$2:$Q$232,MATCH(T$2,'Distribution %'!$A$2:$Q$2,0),FALSE)/(SUMIF('Distribution %'!$C$1:$Q$1,"BUDGET",'Distribution %'!$C214:$Q214))),"0")+0)</f>
        <v>3069.3800477326972</v>
      </c>
      <c r="U46" s="389">
        <f>IF(VLOOKUP("Net Income",'FY ACTUALS'!$A$1:$X$996,U$3,FALSE)&lt;&gt;0,IFERROR(VLOOKUP($B46,'FY ACTUALS'!$A$1:$X$996,U$3,FALSE),"0")+0,IFERROR(($H46-SUMIF($I$1:$W$1,"ACTUAL",$I46:$W46))*(VLOOKUP($B46,'Distribution %'!$A$2:$Q$232,MATCH(U$2,'Distribution %'!$A$2:$Q$2,0),FALSE)/(SUMIF('Distribution %'!$C$1:$Q$1,"BUDGET",'Distribution %'!$C214:$Q214))),"0")+0)</f>
        <v>0</v>
      </c>
      <c r="V46" s="389">
        <f>IF(VLOOKUP("Net Income",'FY ACTUALS'!$A$1:$X$996,V$3,FALSE)&lt;&gt;0,IFERROR(VLOOKUP($B46,'FY ACTUALS'!$A$1:$X$996,V$3,FALSE),"0")+0,IFERROR(($H46-SUMIF($I$1:$W$1,"ACTUAL",$I46:$W46))*(VLOOKUP($B46,'Distribution %'!$A$2:$Q$232,MATCH(V$2,'Distribution %'!$A$2:$Q$2,0),FALSE)/(SUMIF('Distribution %'!$C$1:$Q$1,"BUDGET",'Distribution %'!$C214:$Q214))),"0")+0)</f>
        <v>0</v>
      </c>
      <c r="W46" s="460">
        <f>IF(VLOOKUP("Net Income",'FY ACTUALS'!$A$1:$X$996,W$3,FALSE)&lt;&gt;0,IFERROR(VLOOKUP($B46,'FY ACTUALS'!$A$1:$X$996,W$3,FALSE),"0")+0,IFERROR(($H46-SUMIF($I$1:$W$1,"ACTUAL",$I46:$W46))*(VLOOKUP($B46,'Distribution %'!$A$2:$Q$232,MATCH(W$2,'Distribution %'!$A$2:$Q$2,0),FALSE)/(SUMIF('Distribution %'!$C$1:$Q$1,"BUDGET",'Distribution %'!$C214:$Q214))),"0")+0)</f>
        <v>0</v>
      </c>
      <c r="X46" s="387">
        <f t="shared" si="12"/>
        <v>40884.199999999997</v>
      </c>
      <c r="Y46" s="387"/>
      <c r="Z46" s="387">
        <f t="shared" si="13"/>
        <v>0</v>
      </c>
    </row>
    <row r="47" spans="2:26" x14ac:dyDescent="0.75">
      <c r="B47" s="410">
        <v>8682</v>
      </c>
      <c r="C47" s="379" t="s">
        <v>1411</v>
      </c>
      <c r="F47" s="379" t="str">
        <f>IF(ISERROR(VLOOKUP(B47,'Distribution %'!A:A,1,FALSE)),"NO","YES")</f>
        <v>YES</v>
      </c>
      <c r="G47" s="392"/>
      <c r="H47" s="430">
        <f>IFERROR(VLOOKUP(B47,'Revenue w MYP'!$A$8:$J$52,10,FALSE),"0")+0</f>
        <v>2646.62</v>
      </c>
      <c r="I47" s="388">
        <f>IF(VLOOKUP("Net Income",'FY ACTUALS'!$A$1:$X$996,I$3,FALSE)&lt;&gt;0,IFERROR(VLOOKUP($B47,'FY ACTUALS'!$A$1:$X$996,I$3,FALSE),"0")+0,IFERROR(($H47-SUMIF($I$1:$W$1,"ACTUAL",$I47:$W47))*(VLOOKUP($B47,'Distribution %'!$A$2:$Q$232,MATCH(I$2,'Distribution %'!$A$2:$Q$2,0),FALSE)/(SUMIF('Distribution %'!$C$1:$Q$1,"BUDGET",'Distribution %'!$C215:$Q215))),"0")+0)</f>
        <v>100</v>
      </c>
      <c r="J47" s="389">
        <f>IF(VLOOKUP("Net Income",'FY ACTUALS'!$A$1:$X$996,J$3,FALSE)&lt;&gt;0,IFERROR(VLOOKUP($B47,'FY ACTUALS'!$A$1:$X$996,J$3,FALSE),"0")+0,IFERROR(($H47-SUMIF($I$1:$W$1,"ACTUAL",$I47:$W47))*(VLOOKUP($B47,'Distribution %'!$A$2:$Q$232,MATCH(J$2,'Distribution %'!$A$2:$Q$2,0),FALSE)/(SUMIF('Distribution %'!$C$1:$Q$1,"BUDGET",'Distribution %'!$C215:$Q215))),"0")+0)</f>
        <v>850</v>
      </c>
      <c r="K47" s="389">
        <f>IF(VLOOKUP("Net Income",'FY ACTUALS'!$A$1:$X$996,K$3,FALSE)&lt;&gt;0,IFERROR(VLOOKUP($B47,'FY ACTUALS'!$A$1:$X$996,K$3,FALSE),"0")+0,IFERROR(($H47-SUMIF($I$1:$W$1,"ACTUAL",$I47:$W47))*(VLOOKUP($B47,'Distribution %'!$A$2:$Q$232,MATCH(K$2,'Distribution %'!$A$2:$Q$2,0),FALSE)/(SUMIF('Distribution %'!$C$1:$Q$1,"BUDGET",'Distribution %'!$C215:$Q215))),"0")+0)</f>
        <v>0</v>
      </c>
      <c r="L47" s="389">
        <f>IF(VLOOKUP("Net Income",'FY ACTUALS'!$A$1:$X$996,L$3,FALSE)&lt;&gt;0,IFERROR(VLOOKUP($B47,'FY ACTUALS'!$A$1:$X$996,L$3,FALSE),"0")+0,IFERROR(($H47-SUMIF($I$1:$W$1,"ACTUAL",$I47:$W47))*(VLOOKUP($B47,'Distribution %'!$A$2:$Q$232,MATCH(L$2,'Distribution %'!$A$2:$Q$2,0),FALSE)/(SUMIF('Distribution %'!$C$1:$Q$1,"BUDGET",'Distribution %'!$C215:$Q215))),"0")+0)</f>
        <v>0</v>
      </c>
      <c r="M47" s="389">
        <f>IF(VLOOKUP("Net Income",'FY ACTUALS'!$A$1:$X$996,M$3,FALSE)&lt;&gt;0,IFERROR(VLOOKUP($B47,'FY ACTUALS'!$A$1:$X$996,M$3,FALSE),"0")+0,IFERROR(($H47-SUMIF($I$1:$W$1,"ACTUAL",$I47:$W47))*(VLOOKUP($B47,'Distribution %'!$A$2:$Q$232,MATCH(M$2,'Distribution %'!$A$2:$Q$2,0),FALSE)/(SUMIF('Distribution %'!$C$1:$Q$1,"BUDGET",'Distribution %'!$C215:$Q215))),"0")+0)</f>
        <v>0</v>
      </c>
      <c r="N47" s="389">
        <f>IF(VLOOKUP("Net Income",'FY ACTUALS'!$A$1:$X$996,N$3,FALSE)&lt;&gt;0,IFERROR(VLOOKUP($B47,'FY ACTUALS'!$A$1:$X$996,N$3,FALSE),"0")+0,IFERROR(($H47-SUMIF($I$1:$W$1,"ACTUAL",$I47:$W47))*(VLOOKUP($B47,'Distribution %'!$A$2:$Q$232,MATCH(N$2,'Distribution %'!$A$2:$Q$2,0),FALSE)/(SUMIF('Distribution %'!$C$1:$Q$1,"BUDGET",'Distribution %'!$C215:$Q215))),"0")+0)</f>
        <v>326.95</v>
      </c>
      <c r="O47" s="389">
        <f>IF(VLOOKUP("Net Income",'FY ACTUALS'!$A$1:$X$996,O$3,FALSE)&lt;&gt;0,IFERROR(VLOOKUP($B47,'FY ACTUALS'!$A$1:$X$996,O$3,FALSE),"0")+0,IFERROR(($H47-SUMIF($I$1:$W$1,"ACTUAL",$I47:$W47))*(VLOOKUP($B47,'Distribution %'!$A$2:$Q$232,MATCH(O$2,'Distribution %'!$A$2:$Q$2,0),FALSE)/(SUMIF('Distribution %'!$C$1:$Q$1,"BUDGET",'Distribution %'!$C215:$Q215))),"0")+0)</f>
        <v>49.99</v>
      </c>
      <c r="P47" s="389">
        <f>IF(VLOOKUP("Net Income",'FY ACTUALS'!$A$1:$X$996,P$3,FALSE)&lt;&gt;0,IFERROR(VLOOKUP($B47,'FY ACTUALS'!$A$1:$X$996,P$3,FALSE),"0")+0,IFERROR(($H47-SUMIF($I$1:$W$1,"ACTUAL",$I47:$W47))*(VLOOKUP($B47,'Distribution %'!$A$2:$Q$232,MATCH(P$2,'Distribution %'!$A$2:$Q$2,0),FALSE)/(SUMIF('Distribution %'!$C$1:$Q$1,"BUDGET",'Distribution %'!$C215:$Q215))),"0")+0)</f>
        <v>263.93599999999998</v>
      </c>
      <c r="Q47" s="389">
        <f>IF(VLOOKUP("Net Income",'FY ACTUALS'!$A$1:$X$996,Q$3,FALSE)&lt;&gt;0,IFERROR(VLOOKUP($B47,'FY ACTUALS'!$A$1:$X$996,Q$3,FALSE),"0")+0,IFERROR(($H47-SUMIF($I$1:$W$1,"ACTUAL",$I47:$W47))*(VLOOKUP($B47,'Distribution %'!$A$2:$Q$232,MATCH(Q$2,'Distribution %'!$A$2:$Q$2,0),FALSE)/(SUMIF('Distribution %'!$C$1:$Q$1,"BUDGET",'Distribution %'!$C215:$Q215))),"0")+0)</f>
        <v>263.93599999999998</v>
      </c>
      <c r="R47" s="389">
        <f>IF(VLOOKUP("Net Income",'FY ACTUALS'!$A$1:$X$996,R$3,FALSE)&lt;&gt;0,IFERROR(VLOOKUP($B47,'FY ACTUALS'!$A$1:$X$996,R$3,FALSE),"0")+0,IFERROR(($H47-SUMIF($I$1:$W$1,"ACTUAL",$I47:$W47))*(VLOOKUP($B47,'Distribution %'!$A$2:$Q$232,MATCH(R$2,'Distribution %'!$A$2:$Q$2,0),FALSE)/(SUMIF('Distribution %'!$C$1:$Q$1,"BUDGET",'Distribution %'!$C215:$Q215))),"0")+0)</f>
        <v>263.93599999999998</v>
      </c>
      <c r="S47" s="389">
        <f>IF(VLOOKUP("Net Income",'FY ACTUALS'!$A$1:$X$996,S$3,FALSE)&lt;&gt;0,IFERROR(VLOOKUP($B47,'FY ACTUALS'!$A$1:$X$996,S$3,FALSE),"0")+0,IFERROR(($H47-SUMIF($I$1:$W$1,"ACTUAL",$I47:$W47))*(VLOOKUP($B47,'Distribution %'!$A$2:$Q$232,MATCH(S$2,'Distribution %'!$A$2:$Q$2,0),FALSE)/(SUMIF('Distribution %'!$C$1:$Q$1,"BUDGET",'Distribution %'!$C215:$Q215))),"0")+0)</f>
        <v>263.93599999999998</v>
      </c>
      <c r="T47" s="389">
        <f>IF(VLOOKUP("Net Income",'FY ACTUALS'!$A$1:$X$996,T$3,FALSE)&lt;&gt;0,IFERROR(VLOOKUP($B47,'FY ACTUALS'!$A$1:$X$996,T$3,FALSE),"0")+0,IFERROR(($H47-SUMIF($I$1:$W$1,"ACTUAL",$I47:$W47))*(VLOOKUP($B47,'Distribution %'!$A$2:$Q$232,MATCH(T$2,'Distribution %'!$A$2:$Q$2,0),FALSE)/(SUMIF('Distribution %'!$C$1:$Q$1,"BUDGET",'Distribution %'!$C215:$Q215))),"0")+0)</f>
        <v>263.93599999999998</v>
      </c>
      <c r="U47" s="389">
        <f>IF(VLOOKUP("Net Income",'FY ACTUALS'!$A$1:$X$996,U$3,FALSE)&lt;&gt;0,IFERROR(VLOOKUP($B47,'FY ACTUALS'!$A$1:$X$996,U$3,FALSE),"0")+0,IFERROR(($H47-SUMIF($I$1:$W$1,"ACTUAL",$I47:$W47))*(VLOOKUP($B47,'Distribution %'!$A$2:$Q$232,MATCH(U$2,'Distribution %'!$A$2:$Q$2,0),FALSE)/(SUMIF('Distribution %'!$C$1:$Q$1,"BUDGET",'Distribution %'!$C215:$Q215))),"0")+0)</f>
        <v>0</v>
      </c>
      <c r="V47" s="389">
        <f>IF(VLOOKUP("Net Income",'FY ACTUALS'!$A$1:$X$996,V$3,FALSE)&lt;&gt;0,IFERROR(VLOOKUP($B47,'FY ACTUALS'!$A$1:$X$996,V$3,FALSE),"0")+0,IFERROR(($H47-SUMIF($I$1:$W$1,"ACTUAL",$I47:$W47))*(VLOOKUP($B47,'Distribution %'!$A$2:$Q$232,MATCH(V$2,'Distribution %'!$A$2:$Q$2,0),FALSE)/(SUMIF('Distribution %'!$C$1:$Q$1,"BUDGET",'Distribution %'!$C215:$Q215))),"0")+0)</f>
        <v>0</v>
      </c>
      <c r="W47" s="460">
        <f>IF(VLOOKUP("Net Income",'FY ACTUALS'!$A$1:$X$996,W$3,FALSE)&lt;&gt;0,IFERROR(VLOOKUP($B47,'FY ACTUALS'!$A$1:$X$996,W$3,FALSE),"0")+0,IFERROR(($H47-SUMIF($I$1:$W$1,"ACTUAL",$I47:$W47))*(VLOOKUP($B47,'Distribution %'!$A$2:$Q$232,MATCH(W$2,'Distribution %'!$A$2:$Q$2,0),FALSE)/(SUMIF('Distribution %'!$C$1:$Q$1,"BUDGET",'Distribution %'!$C215:$Q215))),"0")+0)</f>
        <v>0</v>
      </c>
      <c r="X47" s="387">
        <f t="shared" si="12"/>
        <v>2646.6200000000003</v>
      </c>
      <c r="Y47" s="387"/>
      <c r="Z47" s="387">
        <f t="shared" si="13"/>
        <v>0</v>
      </c>
    </row>
    <row r="48" spans="2:26" x14ac:dyDescent="0.75">
      <c r="B48" s="410">
        <v>8684</v>
      </c>
      <c r="C48" s="379" t="s">
        <v>629</v>
      </c>
      <c r="F48" s="379" t="str">
        <f>IF(ISERROR(VLOOKUP(B48,'Distribution %'!A:A,1,FALSE)),"NO","YES")</f>
        <v>YES</v>
      </c>
      <c r="G48" s="392"/>
      <c r="H48" s="430">
        <f>IFERROR(VLOOKUP(B48,'Revenue w MYP'!$A$8:$J$52,10,FALSE),"0")+0</f>
        <v>0</v>
      </c>
      <c r="I48" s="388">
        <f>IF(VLOOKUP("Net Income",'FY ACTUALS'!$A$1:$X$996,I$3,FALSE)&lt;&gt;0,IFERROR(VLOOKUP($B48,'FY ACTUALS'!$A$1:$X$996,I$3,FALSE),"0")+0,IFERROR(($H48-SUMIF($I$1:$W$1,"ACTUAL",$I48:$W48))*(VLOOKUP($B48,'Distribution %'!$A$2:$Q$232,MATCH(I$2,'Distribution %'!$A$2:$Q$2,0),FALSE)/(SUMIF('Distribution %'!$C$1:$Q$1,"BUDGET",'Distribution %'!$C216:$Q216))),"0")+0)</f>
        <v>0</v>
      </c>
      <c r="J48" s="389">
        <f>IF(VLOOKUP("Net Income",'FY ACTUALS'!$A$1:$X$996,J$3,FALSE)&lt;&gt;0,IFERROR(VLOOKUP($B48,'FY ACTUALS'!$A$1:$X$996,J$3,FALSE),"0")+0,IFERROR(($H48-SUMIF($I$1:$W$1,"ACTUAL",$I48:$W48))*(VLOOKUP($B48,'Distribution %'!$A$2:$Q$232,MATCH(J$2,'Distribution %'!$A$2:$Q$2,0),FALSE)/(SUMIF('Distribution %'!$C$1:$Q$1,"BUDGET",'Distribution %'!$C216:$Q216))),"0")+0)</f>
        <v>0</v>
      </c>
      <c r="K48" s="389">
        <f>IF(VLOOKUP("Net Income",'FY ACTUALS'!$A$1:$X$996,K$3,FALSE)&lt;&gt;0,IFERROR(VLOOKUP($B48,'FY ACTUALS'!$A$1:$X$996,K$3,FALSE),"0")+0,IFERROR(($H48-SUMIF($I$1:$W$1,"ACTUAL",$I48:$W48))*(VLOOKUP($B48,'Distribution %'!$A$2:$Q$232,MATCH(K$2,'Distribution %'!$A$2:$Q$2,0),FALSE)/(SUMIF('Distribution %'!$C$1:$Q$1,"BUDGET",'Distribution %'!$C216:$Q216))),"0")+0)</f>
        <v>0</v>
      </c>
      <c r="L48" s="389">
        <f>IF(VLOOKUP("Net Income",'FY ACTUALS'!$A$1:$X$996,L$3,FALSE)&lt;&gt;0,IFERROR(VLOOKUP($B48,'FY ACTUALS'!$A$1:$X$996,L$3,FALSE),"0")+0,IFERROR(($H48-SUMIF($I$1:$W$1,"ACTUAL",$I48:$W48))*(VLOOKUP($B48,'Distribution %'!$A$2:$Q$232,MATCH(L$2,'Distribution %'!$A$2:$Q$2,0),FALSE)/(SUMIF('Distribution %'!$C$1:$Q$1,"BUDGET",'Distribution %'!$C216:$Q216))),"0")+0)</f>
        <v>0</v>
      </c>
      <c r="M48" s="389">
        <f>IF(VLOOKUP("Net Income",'FY ACTUALS'!$A$1:$X$996,M$3,FALSE)&lt;&gt;0,IFERROR(VLOOKUP($B48,'FY ACTUALS'!$A$1:$X$996,M$3,FALSE),"0")+0,IFERROR(($H48-SUMIF($I$1:$W$1,"ACTUAL",$I48:$W48))*(VLOOKUP($B48,'Distribution %'!$A$2:$Q$232,MATCH(M$2,'Distribution %'!$A$2:$Q$2,0),FALSE)/(SUMIF('Distribution %'!$C$1:$Q$1,"BUDGET",'Distribution %'!$C216:$Q216))),"0")+0)</f>
        <v>0</v>
      </c>
      <c r="N48" s="389">
        <f>IF(VLOOKUP("Net Income",'FY ACTUALS'!$A$1:$X$996,N$3,FALSE)&lt;&gt;0,IFERROR(VLOOKUP($B48,'FY ACTUALS'!$A$1:$X$996,N$3,FALSE),"0")+0,IFERROR(($H48-SUMIF($I$1:$W$1,"ACTUAL",$I48:$W48))*(VLOOKUP($B48,'Distribution %'!$A$2:$Q$232,MATCH(N$2,'Distribution %'!$A$2:$Q$2,0),FALSE)/(SUMIF('Distribution %'!$C$1:$Q$1,"BUDGET",'Distribution %'!$C216:$Q216))),"0")+0)</f>
        <v>0</v>
      </c>
      <c r="O48" s="389">
        <f>IF(VLOOKUP("Net Income",'FY ACTUALS'!$A$1:$X$996,O$3,FALSE)&lt;&gt;0,IFERROR(VLOOKUP($B48,'FY ACTUALS'!$A$1:$X$996,O$3,FALSE),"0")+0,IFERROR(($H48-SUMIF($I$1:$W$1,"ACTUAL",$I48:$W48))*(VLOOKUP($B48,'Distribution %'!$A$2:$Q$232,MATCH(O$2,'Distribution %'!$A$2:$Q$2,0),FALSE)/(SUMIF('Distribution %'!$C$1:$Q$1,"BUDGET",'Distribution %'!$C216:$Q216))),"0")+0)</f>
        <v>0</v>
      </c>
      <c r="P48" s="389">
        <f>IF(VLOOKUP("Net Income",'FY ACTUALS'!$A$1:$X$996,P$3,FALSE)&lt;&gt;0,IFERROR(VLOOKUP($B48,'FY ACTUALS'!$A$1:$X$996,P$3,FALSE),"0")+0,IFERROR(($H48-SUMIF($I$1:$W$1,"ACTUAL",$I48:$W48))*(VLOOKUP($B48,'Distribution %'!$A$2:$Q$232,MATCH(P$2,'Distribution %'!$A$2:$Q$2,0),FALSE)/(SUMIF('Distribution %'!$C$1:$Q$1,"BUDGET",'Distribution %'!$C216:$Q216))),"0")+0)</f>
        <v>0</v>
      </c>
      <c r="Q48" s="389">
        <f>IF(VLOOKUP("Net Income",'FY ACTUALS'!$A$1:$X$996,Q$3,FALSE)&lt;&gt;0,IFERROR(VLOOKUP($B48,'FY ACTUALS'!$A$1:$X$996,Q$3,FALSE),"0")+0,IFERROR(($H48-SUMIF($I$1:$W$1,"ACTUAL",$I48:$W48))*(VLOOKUP($B48,'Distribution %'!$A$2:$Q$232,MATCH(Q$2,'Distribution %'!$A$2:$Q$2,0),FALSE)/(SUMIF('Distribution %'!$C$1:$Q$1,"BUDGET",'Distribution %'!$C216:$Q216))),"0")+0)</f>
        <v>0</v>
      </c>
      <c r="R48" s="389">
        <f>IF(VLOOKUP("Net Income",'FY ACTUALS'!$A$1:$X$996,R$3,FALSE)&lt;&gt;0,IFERROR(VLOOKUP($B48,'FY ACTUALS'!$A$1:$X$996,R$3,FALSE),"0")+0,IFERROR(($H48-SUMIF($I$1:$W$1,"ACTUAL",$I48:$W48))*(VLOOKUP($B48,'Distribution %'!$A$2:$Q$232,MATCH(R$2,'Distribution %'!$A$2:$Q$2,0),FALSE)/(SUMIF('Distribution %'!$C$1:$Q$1,"BUDGET",'Distribution %'!$C216:$Q216))),"0")+0)</f>
        <v>0</v>
      </c>
      <c r="S48" s="389">
        <f>IF(VLOOKUP("Net Income",'FY ACTUALS'!$A$1:$X$996,S$3,FALSE)&lt;&gt;0,IFERROR(VLOOKUP($B48,'FY ACTUALS'!$A$1:$X$996,S$3,FALSE),"0")+0,IFERROR(($H48-SUMIF($I$1:$W$1,"ACTUAL",$I48:$W48))*(VLOOKUP($B48,'Distribution %'!$A$2:$Q$232,MATCH(S$2,'Distribution %'!$A$2:$Q$2,0),FALSE)/(SUMIF('Distribution %'!$C$1:$Q$1,"BUDGET",'Distribution %'!$C216:$Q216))),"0")+0)</f>
        <v>0</v>
      </c>
      <c r="T48" s="389">
        <f>IF(VLOOKUP("Net Income",'FY ACTUALS'!$A$1:$X$996,T$3,FALSE)&lt;&gt;0,IFERROR(VLOOKUP($B48,'FY ACTUALS'!$A$1:$X$996,T$3,FALSE),"0")+0,IFERROR(($H48-SUMIF($I$1:$W$1,"ACTUAL",$I48:$W48))*(VLOOKUP($B48,'Distribution %'!$A$2:$Q$232,MATCH(T$2,'Distribution %'!$A$2:$Q$2,0),FALSE)/(SUMIF('Distribution %'!$C$1:$Q$1,"BUDGET",'Distribution %'!$C216:$Q216))),"0")+0)</f>
        <v>0</v>
      </c>
      <c r="U48" s="389">
        <f>IF(VLOOKUP("Net Income",'FY ACTUALS'!$A$1:$X$996,U$3,FALSE)&lt;&gt;0,IFERROR(VLOOKUP($B48,'FY ACTUALS'!$A$1:$X$996,U$3,FALSE),"0")+0,IFERROR(($H48-SUMIF($I$1:$W$1,"ACTUAL",$I48:$W48))*(VLOOKUP($B48,'Distribution %'!$A$2:$Q$232,MATCH(U$2,'Distribution %'!$A$2:$Q$2,0),FALSE)/(SUMIF('Distribution %'!$C$1:$Q$1,"BUDGET",'Distribution %'!$C216:$Q216))),"0")+0)</f>
        <v>0</v>
      </c>
      <c r="V48" s="389">
        <f>IF(VLOOKUP("Net Income",'FY ACTUALS'!$A$1:$X$996,V$3,FALSE)&lt;&gt;0,IFERROR(VLOOKUP($B48,'FY ACTUALS'!$A$1:$X$996,V$3,FALSE),"0")+0,IFERROR(($H48-SUMIF($I$1:$W$1,"ACTUAL",$I48:$W48))*(VLOOKUP($B48,'Distribution %'!$A$2:$Q$232,MATCH(V$2,'Distribution %'!$A$2:$Q$2,0),FALSE)/(SUMIF('Distribution %'!$C$1:$Q$1,"BUDGET",'Distribution %'!$C216:$Q216))),"0")+0)</f>
        <v>0</v>
      </c>
      <c r="W48" s="460">
        <f>IF(VLOOKUP("Net Income",'FY ACTUALS'!$A$1:$X$996,W$3,FALSE)&lt;&gt;0,IFERROR(VLOOKUP($B48,'FY ACTUALS'!$A$1:$X$996,W$3,FALSE),"0")+0,IFERROR(($H48-SUMIF($I$1:$W$1,"ACTUAL",$I48:$W48))*(VLOOKUP($B48,'Distribution %'!$A$2:$Q$232,MATCH(W$2,'Distribution %'!$A$2:$Q$2,0),FALSE)/(SUMIF('Distribution %'!$C$1:$Q$1,"BUDGET",'Distribution %'!$C216:$Q216))),"0")+0)</f>
        <v>0</v>
      </c>
      <c r="X48" s="387">
        <f t="shared" si="12"/>
        <v>0</v>
      </c>
      <c r="Y48" s="387"/>
      <c r="Z48" s="387">
        <f t="shared" si="13"/>
        <v>0</v>
      </c>
    </row>
    <row r="49" spans="1:26" x14ac:dyDescent="0.75">
      <c r="B49" s="410">
        <v>8685</v>
      </c>
      <c r="C49" s="379" t="s">
        <v>630</v>
      </c>
      <c r="F49" s="379" t="str">
        <f>IF(ISERROR(VLOOKUP(B49,'Distribution %'!A:A,1,FALSE)),"NO","YES")</f>
        <v>YES</v>
      </c>
      <c r="G49" s="392"/>
      <c r="H49" s="430">
        <f>IFERROR(VLOOKUP(B49,'Revenue w MYP'!$A$8:$J$52,10,FALSE),"0")+0</f>
        <v>0</v>
      </c>
      <c r="I49" s="388">
        <f>IF(VLOOKUP("Net Income",'FY ACTUALS'!$A$1:$X$996,I$3,FALSE)&lt;&gt;0,IFERROR(VLOOKUP($B49,'FY ACTUALS'!$A$1:$X$996,I$3,FALSE),"0")+0,IFERROR(($H49-SUMIF($I$1:$W$1,"ACTUAL",$I49:$W49))*(VLOOKUP($B49,'Distribution %'!$A$2:$Q$232,MATCH(I$2,'Distribution %'!$A$2:$Q$2,0),FALSE)/(SUMIF('Distribution %'!$C$1:$Q$1,"BUDGET",'Distribution %'!$C217:$Q217))),"0")+0)</f>
        <v>0</v>
      </c>
      <c r="J49" s="389">
        <f>IF(VLOOKUP("Net Income",'FY ACTUALS'!$A$1:$X$996,J$3,FALSE)&lt;&gt;0,IFERROR(VLOOKUP($B49,'FY ACTUALS'!$A$1:$X$996,J$3,FALSE),"0")+0,IFERROR(($H49-SUMIF($I$1:$W$1,"ACTUAL",$I49:$W49))*(VLOOKUP($B49,'Distribution %'!$A$2:$Q$232,MATCH(J$2,'Distribution %'!$A$2:$Q$2,0),FALSE)/(SUMIF('Distribution %'!$C$1:$Q$1,"BUDGET",'Distribution %'!$C217:$Q217))),"0")+0)</f>
        <v>0</v>
      </c>
      <c r="K49" s="389">
        <f>IF(VLOOKUP("Net Income",'FY ACTUALS'!$A$1:$X$996,K$3,FALSE)&lt;&gt;0,IFERROR(VLOOKUP($B49,'FY ACTUALS'!$A$1:$X$996,K$3,FALSE),"0")+0,IFERROR(($H49-SUMIF($I$1:$W$1,"ACTUAL",$I49:$W49))*(VLOOKUP($B49,'Distribution %'!$A$2:$Q$232,MATCH(K$2,'Distribution %'!$A$2:$Q$2,0),FALSE)/(SUMIF('Distribution %'!$C$1:$Q$1,"BUDGET",'Distribution %'!$C217:$Q217))),"0")+0)</f>
        <v>0</v>
      </c>
      <c r="L49" s="389">
        <f>IF(VLOOKUP("Net Income",'FY ACTUALS'!$A$1:$X$996,L$3,FALSE)&lt;&gt;0,IFERROR(VLOOKUP($B49,'FY ACTUALS'!$A$1:$X$996,L$3,FALSE),"0")+0,IFERROR(($H49-SUMIF($I$1:$W$1,"ACTUAL",$I49:$W49))*(VLOOKUP($B49,'Distribution %'!$A$2:$Q$232,MATCH(L$2,'Distribution %'!$A$2:$Q$2,0),FALSE)/(SUMIF('Distribution %'!$C$1:$Q$1,"BUDGET",'Distribution %'!$C217:$Q217))),"0")+0)</f>
        <v>0</v>
      </c>
      <c r="M49" s="389">
        <f>IF(VLOOKUP("Net Income",'FY ACTUALS'!$A$1:$X$996,M$3,FALSE)&lt;&gt;0,IFERROR(VLOOKUP($B49,'FY ACTUALS'!$A$1:$X$996,M$3,FALSE),"0")+0,IFERROR(($H49-SUMIF($I$1:$W$1,"ACTUAL",$I49:$W49))*(VLOOKUP($B49,'Distribution %'!$A$2:$Q$232,MATCH(M$2,'Distribution %'!$A$2:$Q$2,0),FALSE)/(SUMIF('Distribution %'!$C$1:$Q$1,"BUDGET",'Distribution %'!$C217:$Q217))),"0")+0)</f>
        <v>0</v>
      </c>
      <c r="N49" s="389">
        <f>IF(VLOOKUP("Net Income",'FY ACTUALS'!$A$1:$X$996,N$3,FALSE)&lt;&gt;0,IFERROR(VLOOKUP($B49,'FY ACTUALS'!$A$1:$X$996,N$3,FALSE),"0")+0,IFERROR(($H49-SUMIF($I$1:$W$1,"ACTUAL",$I49:$W49))*(VLOOKUP($B49,'Distribution %'!$A$2:$Q$232,MATCH(N$2,'Distribution %'!$A$2:$Q$2,0),FALSE)/(SUMIF('Distribution %'!$C$1:$Q$1,"BUDGET",'Distribution %'!$C217:$Q217))),"0")+0)</f>
        <v>0</v>
      </c>
      <c r="O49" s="389">
        <f>IF(VLOOKUP("Net Income",'FY ACTUALS'!$A$1:$X$996,O$3,FALSE)&lt;&gt;0,IFERROR(VLOOKUP($B49,'FY ACTUALS'!$A$1:$X$996,O$3,FALSE),"0")+0,IFERROR(($H49-SUMIF($I$1:$W$1,"ACTUAL",$I49:$W49))*(VLOOKUP($B49,'Distribution %'!$A$2:$Q$232,MATCH(O$2,'Distribution %'!$A$2:$Q$2,0),FALSE)/(SUMIF('Distribution %'!$C$1:$Q$1,"BUDGET",'Distribution %'!$C217:$Q217))),"0")+0)</f>
        <v>0</v>
      </c>
      <c r="P49" s="389">
        <f>IF(VLOOKUP("Net Income",'FY ACTUALS'!$A$1:$X$996,P$3,FALSE)&lt;&gt;0,IFERROR(VLOOKUP($B49,'FY ACTUALS'!$A$1:$X$996,P$3,FALSE),"0")+0,IFERROR(($H49-SUMIF($I$1:$W$1,"ACTUAL",$I49:$W49))*(VLOOKUP($B49,'Distribution %'!$A$2:$Q$232,MATCH(P$2,'Distribution %'!$A$2:$Q$2,0),FALSE)/(SUMIF('Distribution %'!$C$1:$Q$1,"BUDGET",'Distribution %'!$C217:$Q217))),"0")+0)</f>
        <v>0</v>
      </c>
      <c r="Q49" s="389">
        <f>IF(VLOOKUP("Net Income",'FY ACTUALS'!$A$1:$X$996,Q$3,FALSE)&lt;&gt;0,IFERROR(VLOOKUP($B49,'FY ACTUALS'!$A$1:$X$996,Q$3,FALSE),"0")+0,IFERROR(($H49-SUMIF($I$1:$W$1,"ACTUAL",$I49:$W49))*(VLOOKUP($B49,'Distribution %'!$A$2:$Q$232,MATCH(Q$2,'Distribution %'!$A$2:$Q$2,0),FALSE)/(SUMIF('Distribution %'!$C$1:$Q$1,"BUDGET",'Distribution %'!$C217:$Q217))),"0")+0)</f>
        <v>0</v>
      </c>
      <c r="R49" s="389">
        <f>IF(VLOOKUP("Net Income",'FY ACTUALS'!$A$1:$X$996,R$3,FALSE)&lt;&gt;0,IFERROR(VLOOKUP($B49,'FY ACTUALS'!$A$1:$X$996,R$3,FALSE),"0")+0,IFERROR(($H49-SUMIF($I$1:$W$1,"ACTUAL",$I49:$W49))*(VLOOKUP($B49,'Distribution %'!$A$2:$Q$232,MATCH(R$2,'Distribution %'!$A$2:$Q$2,0),FALSE)/(SUMIF('Distribution %'!$C$1:$Q$1,"BUDGET",'Distribution %'!$C217:$Q217))),"0")+0)</f>
        <v>0</v>
      </c>
      <c r="S49" s="389">
        <f>IF(VLOOKUP("Net Income",'FY ACTUALS'!$A$1:$X$996,S$3,FALSE)&lt;&gt;0,IFERROR(VLOOKUP($B49,'FY ACTUALS'!$A$1:$X$996,S$3,FALSE),"0")+0,IFERROR(($H49-SUMIF($I$1:$W$1,"ACTUAL",$I49:$W49))*(VLOOKUP($B49,'Distribution %'!$A$2:$Q$232,MATCH(S$2,'Distribution %'!$A$2:$Q$2,0),FALSE)/(SUMIF('Distribution %'!$C$1:$Q$1,"BUDGET",'Distribution %'!$C217:$Q217))),"0")+0)</f>
        <v>0</v>
      </c>
      <c r="T49" s="389">
        <f>IF(VLOOKUP("Net Income",'FY ACTUALS'!$A$1:$X$996,T$3,FALSE)&lt;&gt;0,IFERROR(VLOOKUP($B49,'FY ACTUALS'!$A$1:$X$996,T$3,FALSE),"0")+0,IFERROR(($H49-SUMIF($I$1:$W$1,"ACTUAL",$I49:$W49))*(VLOOKUP($B49,'Distribution %'!$A$2:$Q$232,MATCH(T$2,'Distribution %'!$A$2:$Q$2,0),FALSE)/(SUMIF('Distribution %'!$C$1:$Q$1,"BUDGET",'Distribution %'!$C217:$Q217))),"0")+0)</f>
        <v>0</v>
      </c>
      <c r="U49" s="389">
        <f>IF(VLOOKUP("Net Income",'FY ACTUALS'!$A$1:$X$996,U$3,FALSE)&lt;&gt;0,IFERROR(VLOOKUP($B49,'FY ACTUALS'!$A$1:$X$996,U$3,FALSE),"0")+0,IFERROR(($H49-SUMIF($I$1:$W$1,"ACTUAL",$I49:$W49))*(VLOOKUP($B49,'Distribution %'!$A$2:$Q$232,MATCH(U$2,'Distribution %'!$A$2:$Q$2,0),FALSE)/(SUMIF('Distribution %'!$C$1:$Q$1,"BUDGET",'Distribution %'!$C217:$Q217))),"0")+0)</f>
        <v>0</v>
      </c>
      <c r="V49" s="389">
        <f>IF(VLOOKUP("Net Income",'FY ACTUALS'!$A$1:$X$996,V$3,FALSE)&lt;&gt;0,IFERROR(VLOOKUP($B49,'FY ACTUALS'!$A$1:$X$996,V$3,FALSE),"0")+0,IFERROR(($H49-SUMIF($I$1:$W$1,"ACTUAL",$I49:$W49))*(VLOOKUP($B49,'Distribution %'!$A$2:$Q$232,MATCH(V$2,'Distribution %'!$A$2:$Q$2,0),FALSE)/(SUMIF('Distribution %'!$C$1:$Q$1,"BUDGET",'Distribution %'!$C217:$Q217))),"0")+0)</f>
        <v>0</v>
      </c>
      <c r="W49" s="460">
        <f>IF(VLOOKUP("Net Income",'FY ACTUALS'!$A$1:$X$996,W$3,FALSE)&lt;&gt;0,IFERROR(VLOOKUP($B49,'FY ACTUALS'!$A$1:$X$996,W$3,FALSE),"0")+0,IFERROR(($H49-SUMIF($I$1:$W$1,"ACTUAL",$I49:$W49))*(VLOOKUP($B49,'Distribution %'!$A$2:$Q$232,MATCH(W$2,'Distribution %'!$A$2:$Q$2,0),FALSE)/(SUMIF('Distribution %'!$C$1:$Q$1,"BUDGET",'Distribution %'!$C217:$Q217))),"0")+0)</f>
        <v>0</v>
      </c>
      <c r="X49" s="387">
        <f t="shared" si="12"/>
        <v>0</v>
      </c>
      <c r="Y49" s="387"/>
      <c r="Z49" s="387">
        <f t="shared" si="13"/>
        <v>0</v>
      </c>
    </row>
    <row r="50" spans="1:26" x14ac:dyDescent="0.75">
      <c r="B50" s="410">
        <v>8693</v>
      </c>
      <c r="C50" s="379" t="s">
        <v>1412</v>
      </c>
      <c r="F50" s="379" t="str">
        <f>IF(ISERROR(VLOOKUP(B50,'Distribution %'!A:A,1,FALSE)),"NO","YES")</f>
        <v>YES</v>
      </c>
      <c r="G50" s="392"/>
      <c r="H50" s="430">
        <f>IFERROR(VLOOKUP(B50,'Revenue w MYP'!$A$8:$J$52,10,FALSE),"0")+0</f>
        <v>0</v>
      </c>
      <c r="I50" s="388">
        <f>IF(VLOOKUP("Net Income",'FY ACTUALS'!$A$1:$X$996,I$3,FALSE)&lt;&gt;0,IFERROR(VLOOKUP($B50,'FY ACTUALS'!$A$1:$X$996,I$3,FALSE),"0")+0,IFERROR(($H50-SUMIF($I$1:$W$1,"ACTUAL",$I50:$W50))*(VLOOKUP($B50,'Distribution %'!$A$2:$Q$232,MATCH(I$2,'Distribution %'!$A$2:$Q$2,0),FALSE)/(SUMIF('Distribution %'!$C$1:$Q$1,"BUDGET",'Distribution %'!$C218:$Q218))),"0")+0)</f>
        <v>0</v>
      </c>
      <c r="J50" s="389">
        <f>IF(VLOOKUP("Net Income",'FY ACTUALS'!$A$1:$X$996,J$3,FALSE)&lt;&gt;0,IFERROR(VLOOKUP($B50,'FY ACTUALS'!$A$1:$X$996,J$3,FALSE),"0")+0,IFERROR(($H50-SUMIF($I$1:$W$1,"ACTUAL",$I50:$W50))*(VLOOKUP($B50,'Distribution %'!$A$2:$Q$232,MATCH(J$2,'Distribution %'!$A$2:$Q$2,0),FALSE)/(SUMIF('Distribution %'!$C$1:$Q$1,"BUDGET",'Distribution %'!$C218:$Q218))),"0")+0)</f>
        <v>0</v>
      </c>
      <c r="K50" s="389">
        <f>IF(VLOOKUP("Net Income",'FY ACTUALS'!$A$1:$X$996,K$3,FALSE)&lt;&gt;0,IFERROR(VLOOKUP($B50,'FY ACTUALS'!$A$1:$X$996,K$3,FALSE),"0")+0,IFERROR(($H50-SUMIF($I$1:$W$1,"ACTUAL",$I50:$W50))*(VLOOKUP($B50,'Distribution %'!$A$2:$Q$232,MATCH(K$2,'Distribution %'!$A$2:$Q$2,0),FALSE)/(SUMIF('Distribution %'!$C$1:$Q$1,"BUDGET",'Distribution %'!$C218:$Q218))),"0")+0)</f>
        <v>0</v>
      </c>
      <c r="L50" s="389">
        <f>IF(VLOOKUP("Net Income",'FY ACTUALS'!$A$1:$X$996,L$3,FALSE)&lt;&gt;0,IFERROR(VLOOKUP($B50,'FY ACTUALS'!$A$1:$X$996,L$3,FALSE),"0")+0,IFERROR(($H50-SUMIF($I$1:$W$1,"ACTUAL",$I50:$W50))*(VLOOKUP($B50,'Distribution %'!$A$2:$Q$232,MATCH(L$2,'Distribution %'!$A$2:$Q$2,0),FALSE)/(SUMIF('Distribution %'!$C$1:$Q$1,"BUDGET",'Distribution %'!$C218:$Q218))),"0")+0)</f>
        <v>0</v>
      </c>
      <c r="M50" s="389">
        <f>IF(VLOOKUP("Net Income",'FY ACTUALS'!$A$1:$X$996,M$3,FALSE)&lt;&gt;0,IFERROR(VLOOKUP($B50,'FY ACTUALS'!$A$1:$X$996,M$3,FALSE),"0")+0,IFERROR(($H50-SUMIF($I$1:$W$1,"ACTUAL",$I50:$W50))*(VLOOKUP($B50,'Distribution %'!$A$2:$Q$232,MATCH(M$2,'Distribution %'!$A$2:$Q$2,0),FALSE)/(SUMIF('Distribution %'!$C$1:$Q$1,"BUDGET",'Distribution %'!$C218:$Q218))),"0")+0)</f>
        <v>0</v>
      </c>
      <c r="N50" s="389">
        <f>IF(VLOOKUP("Net Income",'FY ACTUALS'!$A$1:$X$996,N$3,FALSE)&lt;&gt;0,IFERROR(VLOOKUP($B50,'FY ACTUALS'!$A$1:$X$996,N$3,FALSE),"0")+0,IFERROR(($H50-SUMIF($I$1:$W$1,"ACTUAL",$I50:$W50))*(VLOOKUP($B50,'Distribution %'!$A$2:$Q$232,MATCH(N$2,'Distribution %'!$A$2:$Q$2,0),FALSE)/(SUMIF('Distribution %'!$C$1:$Q$1,"BUDGET",'Distribution %'!$C218:$Q218))),"0")+0)</f>
        <v>0</v>
      </c>
      <c r="O50" s="389">
        <f>IF(VLOOKUP("Net Income",'FY ACTUALS'!$A$1:$X$996,O$3,FALSE)&lt;&gt;0,IFERROR(VLOOKUP($B50,'FY ACTUALS'!$A$1:$X$996,O$3,FALSE),"0")+0,IFERROR(($H50-SUMIF($I$1:$W$1,"ACTUAL",$I50:$W50))*(VLOOKUP($B50,'Distribution %'!$A$2:$Q$232,MATCH(O$2,'Distribution %'!$A$2:$Q$2,0),FALSE)/(SUMIF('Distribution %'!$C$1:$Q$1,"BUDGET",'Distribution %'!$C218:$Q218))),"0")+0)</f>
        <v>0</v>
      </c>
      <c r="P50" s="389">
        <f>IF(VLOOKUP("Net Income",'FY ACTUALS'!$A$1:$X$996,P$3,FALSE)&lt;&gt;0,IFERROR(VLOOKUP($B50,'FY ACTUALS'!$A$1:$X$996,P$3,FALSE),"0")+0,IFERROR(($H50-SUMIF($I$1:$W$1,"ACTUAL",$I50:$W50))*(VLOOKUP($B50,'Distribution %'!$A$2:$Q$232,MATCH(P$2,'Distribution %'!$A$2:$Q$2,0),FALSE)/(SUMIF('Distribution %'!$C$1:$Q$1,"BUDGET",'Distribution %'!$C218:$Q218))),"0")+0)</f>
        <v>0</v>
      </c>
      <c r="Q50" s="389">
        <f>IF(VLOOKUP("Net Income",'FY ACTUALS'!$A$1:$X$996,Q$3,FALSE)&lt;&gt;0,IFERROR(VLOOKUP($B50,'FY ACTUALS'!$A$1:$X$996,Q$3,FALSE),"0")+0,IFERROR(($H50-SUMIF($I$1:$W$1,"ACTUAL",$I50:$W50))*(VLOOKUP($B50,'Distribution %'!$A$2:$Q$232,MATCH(Q$2,'Distribution %'!$A$2:$Q$2,0),FALSE)/(SUMIF('Distribution %'!$C$1:$Q$1,"BUDGET",'Distribution %'!$C218:$Q218))),"0")+0)</f>
        <v>0</v>
      </c>
      <c r="R50" s="389">
        <f>IF(VLOOKUP("Net Income",'FY ACTUALS'!$A$1:$X$996,R$3,FALSE)&lt;&gt;0,IFERROR(VLOOKUP($B50,'FY ACTUALS'!$A$1:$X$996,R$3,FALSE),"0")+0,IFERROR(($H50-SUMIF($I$1:$W$1,"ACTUAL",$I50:$W50))*(VLOOKUP($B50,'Distribution %'!$A$2:$Q$232,MATCH(R$2,'Distribution %'!$A$2:$Q$2,0),FALSE)/(SUMIF('Distribution %'!$C$1:$Q$1,"BUDGET",'Distribution %'!$C218:$Q218))),"0")+0)</f>
        <v>0</v>
      </c>
      <c r="S50" s="389">
        <f>IF(VLOOKUP("Net Income",'FY ACTUALS'!$A$1:$X$996,S$3,FALSE)&lt;&gt;0,IFERROR(VLOOKUP($B50,'FY ACTUALS'!$A$1:$X$996,S$3,FALSE),"0")+0,IFERROR(($H50-SUMIF($I$1:$W$1,"ACTUAL",$I50:$W50))*(VLOOKUP($B50,'Distribution %'!$A$2:$Q$232,MATCH(S$2,'Distribution %'!$A$2:$Q$2,0),FALSE)/(SUMIF('Distribution %'!$C$1:$Q$1,"BUDGET",'Distribution %'!$C218:$Q218))),"0")+0)</f>
        <v>0</v>
      </c>
      <c r="T50" s="389">
        <f>IF(VLOOKUP("Net Income",'FY ACTUALS'!$A$1:$X$996,T$3,FALSE)&lt;&gt;0,IFERROR(VLOOKUP($B50,'FY ACTUALS'!$A$1:$X$996,T$3,FALSE),"0")+0,IFERROR(($H50-SUMIF($I$1:$W$1,"ACTUAL",$I50:$W50))*(VLOOKUP($B50,'Distribution %'!$A$2:$Q$232,MATCH(T$2,'Distribution %'!$A$2:$Q$2,0),FALSE)/(SUMIF('Distribution %'!$C$1:$Q$1,"BUDGET",'Distribution %'!$C218:$Q218))),"0")+0)</f>
        <v>0</v>
      </c>
      <c r="U50" s="389">
        <f>IF(VLOOKUP("Net Income",'FY ACTUALS'!$A$1:$X$996,U$3,FALSE)&lt;&gt;0,IFERROR(VLOOKUP($B50,'FY ACTUALS'!$A$1:$X$996,U$3,FALSE),"0")+0,IFERROR(($H50-SUMIF($I$1:$W$1,"ACTUAL",$I50:$W50))*(VLOOKUP($B50,'Distribution %'!$A$2:$Q$232,MATCH(U$2,'Distribution %'!$A$2:$Q$2,0),FALSE)/(SUMIF('Distribution %'!$C$1:$Q$1,"BUDGET",'Distribution %'!$C218:$Q218))),"0")+0)</f>
        <v>0</v>
      </c>
      <c r="V50" s="389">
        <f>IF(VLOOKUP("Net Income",'FY ACTUALS'!$A$1:$X$996,V$3,FALSE)&lt;&gt;0,IFERROR(VLOOKUP($B50,'FY ACTUALS'!$A$1:$X$996,V$3,FALSE),"0")+0,IFERROR(($H50-SUMIF($I$1:$W$1,"ACTUAL",$I50:$W50))*(VLOOKUP($B50,'Distribution %'!$A$2:$Q$232,MATCH(V$2,'Distribution %'!$A$2:$Q$2,0),FALSE)/(SUMIF('Distribution %'!$C$1:$Q$1,"BUDGET",'Distribution %'!$C218:$Q218))),"0")+0)</f>
        <v>0</v>
      </c>
      <c r="W50" s="460">
        <f>IF(VLOOKUP("Net Income",'FY ACTUALS'!$A$1:$X$996,W$3,FALSE)&lt;&gt;0,IFERROR(VLOOKUP($B50,'FY ACTUALS'!$A$1:$X$996,W$3,FALSE),"0")+0,IFERROR(($H50-SUMIF($I$1:$W$1,"ACTUAL",$I50:$W50))*(VLOOKUP($B50,'Distribution %'!$A$2:$Q$232,MATCH(W$2,'Distribution %'!$A$2:$Q$2,0),FALSE)/(SUMIF('Distribution %'!$C$1:$Q$1,"BUDGET",'Distribution %'!$C218:$Q218))),"0")+0)</f>
        <v>0</v>
      </c>
      <c r="X50" s="387">
        <f t="shared" si="12"/>
        <v>0</v>
      </c>
      <c r="Y50" s="387"/>
      <c r="Z50" s="387">
        <f t="shared" si="13"/>
        <v>0</v>
      </c>
    </row>
    <row r="51" spans="1:26" x14ac:dyDescent="0.75">
      <c r="B51" s="410">
        <v>8698</v>
      </c>
      <c r="C51" s="379" t="s">
        <v>1413</v>
      </c>
      <c r="F51" s="379" t="str">
        <f>IF(ISERROR(VLOOKUP(B51,'Distribution %'!A:A,1,FALSE)),"NO","YES")</f>
        <v>YES</v>
      </c>
      <c r="G51" s="392"/>
      <c r="H51" s="430">
        <f>IFERROR(VLOOKUP(B51,'Revenue w MYP'!$A$8:$J$52,10,FALSE),"0")+0</f>
        <v>0</v>
      </c>
      <c r="I51" s="388">
        <f>IF(VLOOKUP("Net Income",'FY ACTUALS'!$A$1:$X$996,I$3,FALSE)&lt;&gt;0,IFERROR(VLOOKUP($B51,'FY ACTUALS'!$A$1:$X$996,I$3,FALSE),"0")+0,IFERROR(($H51-SUMIF($I$1:$W$1,"ACTUAL",$I51:$W51))*(VLOOKUP($B51,'Distribution %'!$A$2:$Q$232,MATCH(I$2,'Distribution %'!$A$2:$Q$2,0),FALSE)/(SUMIF('Distribution %'!$C$1:$Q$1,"BUDGET",'Distribution %'!$C219:$Q219))),"0")+0)</f>
        <v>0</v>
      </c>
      <c r="J51" s="389">
        <f>IF(VLOOKUP("Net Income",'FY ACTUALS'!$A$1:$X$996,J$3,FALSE)&lt;&gt;0,IFERROR(VLOOKUP($B51,'FY ACTUALS'!$A$1:$X$996,J$3,FALSE),"0")+0,IFERROR(($H51-SUMIF($I$1:$W$1,"ACTUAL",$I51:$W51))*(VLOOKUP($B51,'Distribution %'!$A$2:$Q$232,MATCH(J$2,'Distribution %'!$A$2:$Q$2,0),FALSE)/(SUMIF('Distribution %'!$C$1:$Q$1,"BUDGET",'Distribution %'!$C219:$Q219))),"0")+0)</f>
        <v>0</v>
      </c>
      <c r="K51" s="389">
        <f>IF(VLOOKUP("Net Income",'FY ACTUALS'!$A$1:$X$996,K$3,FALSE)&lt;&gt;0,IFERROR(VLOOKUP($B51,'FY ACTUALS'!$A$1:$X$996,K$3,FALSE),"0")+0,IFERROR(($H51-SUMIF($I$1:$W$1,"ACTUAL",$I51:$W51))*(VLOOKUP($B51,'Distribution %'!$A$2:$Q$232,MATCH(K$2,'Distribution %'!$A$2:$Q$2,0),FALSE)/(SUMIF('Distribution %'!$C$1:$Q$1,"BUDGET",'Distribution %'!$C219:$Q219))),"0")+0)</f>
        <v>0</v>
      </c>
      <c r="L51" s="389">
        <f>IF(VLOOKUP("Net Income",'FY ACTUALS'!$A$1:$X$996,L$3,FALSE)&lt;&gt;0,IFERROR(VLOOKUP($B51,'FY ACTUALS'!$A$1:$X$996,L$3,FALSE),"0")+0,IFERROR(($H51-SUMIF($I$1:$W$1,"ACTUAL",$I51:$W51))*(VLOOKUP($B51,'Distribution %'!$A$2:$Q$232,MATCH(L$2,'Distribution %'!$A$2:$Q$2,0),FALSE)/(SUMIF('Distribution %'!$C$1:$Q$1,"BUDGET",'Distribution %'!$C219:$Q219))),"0")+0)</f>
        <v>0</v>
      </c>
      <c r="M51" s="389">
        <f>IF(VLOOKUP("Net Income",'FY ACTUALS'!$A$1:$X$996,M$3,FALSE)&lt;&gt;0,IFERROR(VLOOKUP($B51,'FY ACTUALS'!$A$1:$X$996,M$3,FALSE),"0")+0,IFERROR(($H51-SUMIF($I$1:$W$1,"ACTUAL",$I51:$W51))*(VLOOKUP($B51,'Distribution %'!$A$2:$Q$232,MATCH(M$2,'Distribution %'!$A$2:$Q$2,0),FALSE)/(SUMIF('Distribution %'!$C$1:$Q$1,"BUDGET",'Distribution %'!$C219:$Q219))),"0")+0)</f>
        <v>0</v>
      </c>
      <c r="N51" s="389">
        <f>IF(VLOOKUP("Net Income",'FY ACTUALS'!$A$1:$X$996,N$3,FALSE)&lt;&gt;0,IFERROR(VLOOKUP($B51,'FY ACTUALS'!$A$1:$X$996,N$3,FALSE),"0")+0,IFERROR(($H51-SUMIF($I$1:$W$1,"ACTUAL",$I51:$W51))*(VLOOKUP($B51,'Distribution %'!$A$2:$Q$232,MATCH(N$2,'Distribution %'!$A$2:$Q$2,0),FALSE)/(SUMIF('Distribution %'!$C$1:$Q$1,"BUDGET",'Distribution %'!$C219:$Q219))),"0")+0)</f>
        <v>0</v>
      </c>
      <c r="O51" s="389">
        <f>IF(VLOOKUP("Net Income",'FY ACTUALS'!$A$1:$X$996,O$3,FALSE)&lt;&gt;0,IFERROR(VLOOKUP($B51,'FY ACTUALS'!$A$1:$X$996,O$3,FALSE),"0")+0,IFERROR(($H51-SUMIF($I$1:$W$1,"ACTUAL",$I51:$W51))*(VLOOKUP($B51,'Distribution %'!$A$2:$Q$232,MATCH(O$2,'Distribution %'!$A$2:$Q$2,0),FALSE)/(SUMIF('Distribution %'!$C$1:$Q$1,"BUDGET",'Distribution %'!$C219:$Q219))),"0")+0)</f>
        <v>0</v>
      </c>
      <c r="P51" s="389">
        <f>IF(VLOOKUP("Net Income",'FY ACTUALS'!$A$1:$X$996,P$3,FALSE)&lt;&gt;0,IFERROR(VLOOKUP($B51,'FY ACTUALS'!$A$1:$X$996,P$3,FALSE),"0")+0,IFERROR(($H51-SUMIF($I$1:$W$1,"ACTUAL",$I51:$W51))*(VLOOKUP($B51,'Distribution %'!$A$2:$Q$232,MATCH(P$2,'Distribution %'!$A$2:$Q$2,0),FALSE)/(SUMIF('Distribution %'!$C$1:$Q$1,"BUDGET",'Distribution %'!$C219:$Q219))),"0")+0)</f>
        <v>0</v>
      </c>
      <c r="Q51" s="389">
        <f>IF(VLOOKUP("Net Income",'FY ACTUALS'!$A$1:$X$996,Q$3,FALSE)&lt;&gt;0,IFERROR(VLOOKUP($B51,'FY ACTUALS'!$A$1:$X$996,Q$3,FALSE),"0")+0,IFERROR(($H51-SUMIF($I$1:$W$1,"ACTUAL",$I51:$W51))*(VLOOKUP($B51,'Distribution %'!$A$2:$Q$232,MATCH(Q$2,'Distribution %'!$A$2:$Q$2,0),FALSE)/(SUMIF('Distribution %'!$C$1:$Q$1,"BUDGET",'Distribution %'!$C219:$Q219))),"0")+0)</f>
        <v>0</v>
      </c>
      <c r="R51" s="389">
        <f>IF(VLOOKUP("Net Income",'FY ACTUALS'!$A$1:$X$996,R$3,FALSE)&lt;&gt;0,IFERROR(VLOOKUP($B51,'FY ACTUALS'!$A$1:$X$996,R$3,FALSE),"0")+0,IFERROR(($H51-SUMIF($I$1:$W$1,"ACTUAL",$I51:$W51))*(VLOOKUP($B51,'Distribution %'!$A$2:$Q$232,MATCH(R$2,'Distribution %'!$A$2:$Q$2,0),FALSE)/(SUMIF('Distribution %'!$C$1:$Q$1,"BUDGET",'Distribution %'!$C219:$Q219))),"0")+0)</f>
        <v>0</v>
      </c>
      <c r="S51" s="389">
        <f>IF(VLOOKUP("Net Income",'FY ACTUALS'!$A$1:$X$996,S$3,FALSE)&lt;&gt;0,IFERROR(VLOOKUP($B51,'FY ACTUALS'!$A$1:$X$996,S$3,FALSE),"0")+0,IFERROR(($H51-SUMIF($I$1:$W$1,"ACTUAL",$I51:$W51))*(VLOOKUP($B51,'Distribution %'!$A$2:$Q$232,MATCH(S$2,'Distribution %'!$A$2:$Q$2,0),FALSE)/(SUMIF('Distribution %'!$C$1:$Q$1,"BUDGET",'Distribution %'!$C219:$Q219))),"0")+0)</f>
        <v>0</v>
      </c>
      <c r="T51" s="389">
        <f>IF(VLOOKUP("Net Income",'FY ACTUALS'!$A$1:$X$996,T$3,FALSE)&lt;&gt;0,IFERROR(VLOOKUP($B51,'FY ACTUALS'!$A$1:$X$996,T$3,FALSE),"0")+0,IFERROR(($H51-SUMIF($I$1:$W$1,"ACTUAL",$I51:$W51))*(VLOOKUP($B51,'Distribution %'!$A$2:$Q$232,MATCH(T$2,'Distribution %'!$A$2:$Q$2,0),FALSE)/(SUMIF('Distribution %'!$C$1:$Q$1,"BUDGET",'Distribution %'!$C219:$Q219))),"0")+0)</f>
        <v>0</v>
      </c>
      <c r="U51" s="389">
        <f>IF(VLOOKUP("Net Income",'FY ACTUALS'!$A$1:$X$996,U$3,FALSE)&lt;&gt;0,IFERROR(VLOOKUP($B51,'FY ACTUALS'!$A$1:$X$996,U$3,FALSE),"0")+0,IFERROR(($H51-SUMIF($I$1:$W$1,"ACTUAL",$I51:$W51))*(VLOOKUP($B51,'Distribution %'!$A$2:$Q$232,MATCH(U$2,'Distribution %'!$A$2:$Q$2,0),FALSE)/(SUMIF('Distribution %'!$C$1:$Q$1,"BUDGET",'Distribution %'!$C219:$Q219))),"0")+0)</f>
        <v>0</v>
      </c>
      <c r="V51" s="389">
        <f>IF(VLOOKUP("Net Income",'FY ACTUALS'!$A$1:$X$996,V$3,FALSE)&lt;&gt;0,IFERROR(VLOOKUP($B51,'FY ACTUALS'!$A$1:$X$996,V$3,FALSE),"0")+0,IFERROR(($H51-SUMIF($I$1:$W$1,"ACTUAL",$I51:$W51))*(VLOOKUP($B51,'Distribution %'!$A$2:$Q$232,MATCH(V$2,'Distribution %'!$A$2:$Q$2,0),FALSE)/(SUMIF('Distribution %'!$C$1:$Q$1,"BUDGET",'Distribution %'!$C219:$Q219))),"0")+0)</f>
        <v>0</v>
      </c>
      <c r="W51" s="460">
        <f>IF(VLOOKUP("Net Income",'FY ACTUALS'!$A$1:$X$996,W$3,FALSE)&lt;&gt;0,IFERROR(VLOOKUP($B51,'FY ACTUALS'!$A$1:$X$996,W$3,FALSE),"0")+0,IFERROR(($H51-SUMIF($I$1:$W$1,"ACTUAL",$I51:$W51))*(VLOOKUP($B51,'Distribution %'!$A$2:$Q$232,MATCH(W$2,'Distribution %'!$A$2:$Q$2,0),FALSE)/(SUMIF('Distribution %'!$C$1:$Q$1,"BUDGET",'Distribution %'!$C219:$Q219))),"0")+0)</f>
        <v>0</v>
      </c>
      <c r="X51" s="387">
        <f t="shared" si="12"/>
        <v>0</v>
      </c>
      <c r="Y51" s="387"/>
      <c r="Z51" s="387">
        <f t="shared" si="13"/>
        <v>0</v>
      </c>
    </row>
    <row r="52" spans="1:26" x14ac:dyDescent="0.75">
      <c r="B52" s="410">
        <v>8699</v>
      </c>
      <c r="C52" s="379" t="s">
        <v>1090</v>
      </c>
      <c r="F52" s="379" t="str">
        <f>IF(ISERROR(VLOOKUP(B52,'Distribution %'!A:A,1,FALSE)),"NO","YES")</f>
        <v>YES</v>
      </c>
      <c r="G52" s="392"/>
      <c r="H52" s="430">
        <f>IFERROR(VLOOKUP(B52,'Revenue w MYP'!$A$8:$J$52,10,FALSE),"0")+0</f>
        <v>54538.42</v>
      </c>
      <c r="I52" s="388">
        <f>IF(VLOOKUP("Net Income",'FY ACTUALS'!$A$1:$X$996,I$3,FALSE)&lt;&gt;0,IFERROR(VLOOKUP($B52,'FY ACTUALS'!$A$1:$X$996,I$3,FALSE),"0")+0,IFERROR(($H52-SUMIF($I$1:$W$1,"ACTUAL",$I52:$W52))*(VLOOKUP($B52,'Distribution %'!$A$2:$Q$232,MATCH(I$2,'Distribution %'!$A$2:$Q$2,0),FALSE)/(SUMIF('Distribution %'!$C$1:$Q$1,"BUDGET",'Distribution %'!$C220:$Q220))),"0")+0)</f>
        <v>1164.9100000000001</v>
      </c>
      <c r="J52" s="389">
        <f>IF(VLOOKUP("Net Income",'FY ACTUALS'!$A$1:$X$996,J$3,FALSE)&lt;&gt;0,IFERROR(VLOOKUP($B52,'FY ACTUALS'!$A$1:$X$996,J$3,FALSE),"0")+0,IFERROR(($H52-SUMIF($I$1:$W$1,"ACTUAL",$I52:$W52))*(VLOOKUP($B52,'Distribution %'!$A$2:$Q$232,MATCH(J$2,'Distribution %'!$A$2:$Q$2,0),FALSE)/(SUMIF('Distribution %'!$C$1:$Q$1,"BUDGET",'Distribution %'!$C220:$Q220))),"0")+0)</f>
        <v>6413.42</v>
      </c>
      <c r="K52" s="389">
        <f>IF(VLOOKUP("Net Income",'FY ACTUALS'!$A$1:$X$996,K$3,FALSE)&lt;&gt;0,IFERROR(VLOOKUP($B52,'FY ACTUALS'!$A$1:$X$996,K$3,FALSE),"0")+0,IFERROR(($H52-SUMIF($I$1:$W$1,"ACTUAL",$I52:$W52))*(VLOOKUP($B52,'Distribution %'!$A$2:$Q$232,MATCH(K$2,'Distribution %'!$A$2:$Q$2,0),FALSE)/(SUMIF('Distribution %'!$C$1:$Q$1,"BUDGET",'Distribution %'!$C220:$Q220))),"0")+0)</f>
        <v>9772.52</v>
      </c>
      <c r="L52" s="389">
        <f>IF(VLOOKUP("Net Income",'FY ACTUALS'!$A$1:$X$996,L$3,FALSE)&lt;&gt;0,IFERROR(VLOOKUP($B52,'FY ACTUALS'!$A$1:$X$996,L$3,FALSE),"0")+0,IFERROR(($H52-SUMIF($I$1:$W$1,"ACTUAL",$I52:$W52))*(VLOOKUP($B52,'Distribution %'!$A$2:$Q$232,MATCH(L$2,'Distribution %'!$A$2:$Q$2,0),FALSE)/(SUMIF('Distribution %'!$C$1:$Q$1,"BUDGET",'Distribution %'!$C220:$Q220))),"0")+0)</f>
        <v>2274.36</v>
      </c>
      <c r="M52" s="389">
        <f>IF(VLOOKUP("Net Income",'FY ACTUALS'!$A$1:$X$996,M$3,FALSE)&lt;&gt;0,IFERROR(VLOOKUP($B52,'FY ACTUALS'!$A$1:$X$996,M$3,FALSE),"0")+0,IFERROR(($H52-SUMIF($I$1:$W$1,"ACTUAL",$I52:$W52))*(VLOOKUP($B52,'Distribution %'!$A$2:$Q$232,MATCH(M$2,'Distribution %'!$A$2:$Q$2,0),FALSE)/(SUMIF('Distribution %'!$C$1:$Q$1,"BUDGET",'Distribution %'!$C220:$Q220))),"0")+0)</f>
        <v>7478.11</v>
      </c>
      <c r="N52" s="389">
        <f>IF(VLOOKUP("Net Income",'FY ACTUALS'!$A$1:$X$996,N$3,FALSE)&lt;&gt;0,IFERROR(VLOOKUP($B52,'FY ACTUALS'!$A$1:$X$996,N$3,FALSE),"0")+0,IFERROR(($H52-SUMIF($I$1:$W$1,"ACTUAL",$I52:$W52))*(VLOOKUP($B52,'Distribution %'!$A$2:$Q$232,MATCH(N$2,'Distribution %'!$A$2:$Q$2,0),FALSE)/(SUMIF('Distribution %'!$C$1:$Q$1,"BUDGET",'Distribution %'!$C220:$Q220))),"0")+0)</f>
        <v>8393.5300000000007</v>
      </c>
      <c r="O52" s="389">
        <f>IF(VLOOKUP("Net Income",'FY ACTUALS'!$A$1:$X$996,O$3,FALSE)&lt;&gt;0,IFERROR(VLOOKUP($B52,'FY ACTUALS'!$A$1:$X$996,O$3,FALSE),"0")+0,IFERROR(($H52-SUMIF($I$1:$W$1,"ACTUAL",$I52:$W52))*(VLOOKUP($B52,'Distribution %'!$A$2:$Q$232,MATCH(O$2,'Distribution %'!$A$2:$Q$2,0),FALSE)/(SUMIF('Distribution %'!$C$1:$Q$1,"BUDGET",'Distribution %'!$C220:$Q220))),"0")+0)</f>
        <v>2248.92</v>
      </c>
      <c r="P52" s="389">
        <f>IF(VLOOKUP("Net Income",'FY ACTUALS'!$A$1:$X$996,P$3,FALSE)&lt;&gt;0,IFERROR(VLOOKUP($B52,'FY ACTUALS'!$A$1:$X$996,P$3,FALSE),"0")+0,IFERROR(($H52-SUMIF($I$1:$W$1,"ACTUAL",$I52:$W52))*(VLOOKUP($B52,'Distribution %'!$A$2:$Q$232,MATCH(P$2,'Distribution %'!$A$2:$Q$2,0),FALSE)/(SUMIF('Distribution %'!$C$1:$Q$1,"BUDGET",'Distribution %'!$C220:$Q220))),"0")+0)</f>
        <v>3358.5300000000007</v>
      </c>
      <c r="Q52" s="389">
        <f>IF(VLOOKUP("Net Income",'FY ACTUALS'!$A$1:$X$996,Q$3,FALSE)&lt;&gt;0,IFERROR(VLOOKUP($B52,'FY ACTUALS'!$A$1:$X$996,Q$3,FALSE),"0")+0,IFERROR(($H52-SUMIF($I$1:$W$1,"ACTUAL",$I52:$W52))*(VLOOKUP($B52,'Distribution %'!$A$2:$Q$232,MATCH(Q$2,'Distribution %'!$A$2:$Q$2,0),FALSE)/(SUMIF('Distribution %'!$C$1:$Q$1,"BUDGET",'Distribution %'!$C220:$Q220))),"0")+0)</f>
        <v>3358.5300000000007</v>
      </c>
      <c r="R52" s="389">
        <f>IF(VLOOKUP("Net Income",'FY ACTUALS'!$A$1:$X$996,R$3,FALSE)&lt;&gt;0,IFERROR(VLOOKUP($B52,'FY ACTUALS'!$A$1:$X$996,R$3,FALSE),"0")+0,IFERROR(($H52-SUMIF($I$1:$W$1,"ACTUAL",$I52:$W52))*(VLOOKUP($B52,'Distribution %'!$A$2:$Q$232,MATCH(R$2,'Distribution %'!$A$2:$Q$2,0),FALSE)/(SUMIF('Distribution %'!$C$1:$Q$1,"BUDGET",'Distribution %'!$C220:$Q220))),"0")+0)</f>
        <v>3358.5300000000007</v>
      </c>
      <c r="S52" s="389">
        <f>IF(VLOOKUP("Net Income",'FY ACTUALS'!$A$1:$X$996,S$3,FALSE)&lt;&gt;0,IFERROR(VLOOKUP($B52,'FY ACTUALS'!$A$1:$X$996,S$3,FALSE),"0")+0,IFERROR(($H52-SUMIF($I$1:$W$1,"ACTUAL",$I52:$W52))*(VLOOKUP($B52,'Distribution %'!$A$2:$Q$232,MATCH(S$2,'Distribution %'!$A$2:$Q$2,0),FALSE)/(SUMIF('Distribution %'!$C$1:$Q$1,"BUDGET",'Distribution %'!$C220:$Q220))),"0")+0)</f>
        <v>3358.5300000000007</v>
      </c>
      <c r="T52" s="389">
        <f>IF(VLOOKUP("Net Income",'FY ACTUALS'!$A$1:$X$996,T$3,FALSE)&lt;&gt;0,IFERROR(VLOOKUP($B52,'FY ACTUALS'!$A$1:$X$996,T$3,FALSE),"0")+0,IFERROR(($H52-SUMIF($I$1:$W$1,"ACTUAL",$I52:$W52))*(VLOOKUP($B52,'Distribution %'!$A$2:$Q$232,MATCH(T$2,'Distribution %'!$A$2:$Q$2,0),FALSE)/(SUMIF('Distribution %'!$C$1:$Q$1,"BUDGET",'Distribution %'!$C220:$Q220))),"0")+0)</f>
        <v>3358.5300000000007</v>
      </c>
      <c r="U52" s="389">
        <f>IF(VLOOKUP("Net Income",'FY ACTUALS'!$A$1:$X$996,U$3,FALSE)&lt;&gt;0,IFERROR(VLOOKUP($B52,'FY ACTUALS'!$A$1:$X$996,U$3,FALSE),"0")+0,IFERROR(($H52-SUMIF($I$1:$W$1,"ACTUAL",$I52:$W52))*(VLOOKUP($B52,'Distribution %'!$A$2:$Q$232,MATCH(U$2,'Distribution %'!$A$2:$Q$2,0),FALSE)/(SUMIF('Distribution %'!$C$1:$Q$1,"BUDGET",'Distribution %'!$C220:$Q220))),"0")+0)</f>
        <v>0</v>
      </c>
      <c r="V52" s="389">
        <f>IF(VLOOKUP("Net Income",'FY ACTUALS'!$A$1:$X$996,V$3,FALSE)&lt;&gt;0,IFERROR(VLOOKUP($B52,'FY ACTUALS'!$A$1:$X$996,V$3,FALSE),"0")+0,IFERROR(($H52-SUMIF($I$1:$W$1,"ACTUAL",$I52:$W52))*(VLOOKUP($B52,'Distribution %'!$A$2:$Q$232,MATCH(V$2,'Distribution %'!$A$2:$Q$2,0),FALSE)/(SUMIF('Distribution %'!$C$1:$Q$1,"BUDGET",'Distribution %'!$C220:$Q220))),"0")+0)</f>
        <v>0</v>
      </c>
      <c r="W52" s="460">
        <f>IF(VLOOKUP("Net Income",'FY ACTUALS'!$A$1:$X$996,W$3,FALSE)&lt;&gt;0,IFERROR(VLOOKUP($B52,'FY ACTUALS'!$A$1:$X$996,W$3,FALSE),"0")+0,IFERROR(($H52-SUMIF($I$1:$W$1,"ACTUAL",$I52:$W52))*(VLOOKUP($B52,'Distribution %'!$A$2:$Q$232,MATCH(W$2,'Distribution %'!$A$2:$Q$2,0),FALSE)/(SUMIF('Distribution %'!$C$1:$Q$1,"BUDGET",'Distribution %'!$C220:$Q220))),"0")+0)</f>
        <v>0</v>
      </c>
      <c r="X52" s="387">
        <f t="shared" si="12"/>
        <v>54538.419999999991</v>
      </c>
      <c r="Y52" s="387"/>
      <c r="Z52" s="387">
        <f t="shared" si="13"/>
        <v>0</v>
      </c>
    </row>
    <row r="53" spans="1:26" x14ac:dyDescent="0.75">
      <c r="B53" s="410">
        <v>8701</v>
      </c>
      <c r="C53" s="379" t="s">
        <v>1414</v>
      </c>
      <c r="F53" s="379" t="str">
        <f>IF(ISERROR(VLOOKUP(B53,'Distribution %'!A:A,1,FALSE)),"NO","YES")</f>
        <v>YES</v>
      </c>
      <c r="G53" s="392"/>
      <c r="H53" s="430">
        <f>IFERROR(VLOOKUP(B53,'Revenue w MYP'!$A$8:$J$52,10,FALSE),"0")+0</f>
        <v>0</v>
      </c>
      <c r="I53" s="388">
        <f>IF(VLOOKUP("Net Income",'FY ACTUALS'!$A$1:$X$996,I$3,FALSE)&lt;&gt;0,IFERROR(VLOOKUP($B53,'FY ACTUALS'!$A$1:$X$996,I$3,FALSE),"0")+0,IFERROR(($H53-SUMIF($I$1:$W$1,"ACTUAL",$I53:$W53))*(VLOOKUP($B53,'Distribution %'!$A$2:$Q$232,MATCH(I$2,'Distribution %'!$A$2:$Q$2,0),FALSE)/(SUMIF('Distribution %'!$C$1:$Q$1,"BUDGET",'Distribution %'!$C221:$Q221))),"0")+0)</f>
        <v>0</v>
      </c>
      <c r="J53" s="389">
        <f>IF(VLOOKUP("Net Income",'FY ACTUALS'!$A$1:$X$996,J$3,FALSE)&lt;&gt;0,IFERROR(VLOOKUP($B53,'FY ACTUALS'!$A$1:$X$996,J$3,FALSE),"0")+0,IFERROR(($H53-SUMIF($I$1:$W$1,"ACTUAL",$I53:$W53))*(VLOOKUP($B53,'Distribution %'!$A$2:$Q$232,MATCH(J$2,'Distribution %'!$A$2:$Q$2,0),FALSE)/(SUMIF('Distribution %'!$C$1:$Q$1,"BUDGET",'Distribution %'!$C221:$Q221))),"0")+0)</f>
        <v>0</v>
      </c>
      <c r="K53" s="389">
        <f>IF(VLOOKUP("Net Income",'FY ACTUALS'!$A$1:$X$996,K$3,FALSE)&lt;&gt;0,IFERROR(VLOOKUP($B53,'FY ACTUALS'!$A$1:$X$996,K$3,FALSE),"0")+0,IFERROR(($H53-SUMIF($I$1:$W$1,"ACTUAL",$I53:$W53))*(VLOOKUP($B53,'Distribution %'!$A$2:$Q$232,MATCH(K$2,'Distribution %'!$A$2:$Q$2,0),FALSE)/(SUMIF('Distribution %'!$C$1:$Q$1,"BUDGET",'Distribution %'!$C221:$Q221))),"0")+0)</f>
        <v>0</v>
      </c>
      <c r="L53" s="389">
        <f>IF(VLOOKUP("Net Income",'FY ACTUALS'!$A$1:$X$996,L$3,FALSE)&lt;&gt;0,IFERROR(VLOOKUP($B53,'FY ACTUALS'!$A$1:$X$996,L$3,FALSE),"0")+0,IFERROR(($H53-SUMIF($I$1:$W$1,"ACTUAL",$I53:$W53))*(VLOOKUP($B53,'Distribution %'!$A$2:$Q$232,MATCH(L$2,'Distribution %'!$A$2:$Q$2,0),FALSE)/(SUMIF('Distribution %'!$C$1:$Q$1,"BUDGET",'Distribution %'!$C221:$Q221))),"0")+0)</f>
        <v>0</v>
      </c>
      <c r="M53" s="389">
        <f>IF(VLOOKUP("Net Income",'FY ACTUALS'!$A$1:$X$996,M$3,FALSE)&lt;&gt;0,IFERROR(VLOOKUP($B53,'FY ACTUALS'!$A$1:$X$996,M$3,FALSE),"0")+0,IFERROR(($H53-SUMIF($I$1:$W$1,"ACTUAL",$I53:$W53))*(VLOOKUP($B53,'Distribution %'!$A$2:$Q$232,MATCH(M$2,'Distribution %'!$A$2:$Q$2,0),FALSE)/(SUMIF('Distribution %'!$C$1:$Q$1,"BUDGET",'Distribution %'!$C221:$Q221))),"0")+0)</f>
        <v>0</v>
      </c>
      <c r="N53" s="389">
        <f>IF(VLOOKUP("Net Income",'FY ACTUALS'!$A$1:$X$996,N$3,FALSE)&lt;&gt;0,IFERROR(VLOOKUP($B53,'FY ACTUALS'!$A$1:$X$996,N$3,FALSE),"0")+0,IFERROR(($H53-SUMIF($I$1:$W$1,"ACTUAL",$I53:$W53))*(VLOOKUP($B53,'Distribution %'!$A$2:$Q$232,MATCH(N$2,'Distribution %'!$A$2:$Q$2,0),FALSE)/(SUMIF('Distribution %'!$C$1:$Q$1,"BUDGET",'Distribution %'!$C221:$Q221))),"0")+0)</f>
        <v>0</v>
      </c>
      <c r="O53" s="389">
        <f>IF(VLOOKUP("Net Income",'FY ACTUALS'!$A$1:$X$996,O$3,FALSE)&lt;&gt;0,IFERROR(VLOOKUP($B53,'FY ACTUALS'!$A$1:$X$996,O$3,FALSE),"0")+0,IFERROR(($H53-SUMIF($I$1:$W$1,"ACTUAL",$I53:$W53))*(VLOOKUP($B53,'Distribution %'!$A$2:$Q$232,MATCH(O$2,'Distribution %'!$A$2:$Q$2,0),FALSE)/(SUMIF('Distribution %'!$C$1:$Q$1,"BUDGET",'Distribution %'!$C221:$Q221))),"0")+0)</f>
        <v>0</v>
      </c>
      <c r="P53" s="389">
        <f>IF(VLOOKUP("Net Income",'FY ACTUALS'!$A$1:$X$996,P$3,FALSE)&lt;&gt;0,IFERROR(VLOOKUP($B53,'FY ACTUALS'!$A$1:$X$996,P$3,FALSE),"0")+0,IFERROR(($H53-SUMIF($I$1:$W$1,"ACTUAL",$I53:$W53))*(VLOOKUP($B53,'Distribution %'!$A$2:$Q$232,MATCH(P$2,'Distribution %'!$A$2:$Q$2,0),FALSE)/(SUMIF('Distribution %'!$C$1:$Q$1,"BUDGET",'Distribution %'!$C221:$Q221))),"0")+0)</f>
        <v>0</v>
      </c>
      <c r="Q53" s="389">
        <f>IF(VLOOKUP("Net Income",'FY ACTUALS'!$A$1:$X$996,Q$3,FALSE)&lt;&gt;0,IFERROR(VLOOKUP($B53,'FY ACTUALS'!$A$1:$X$996,Q$3,FALSE),"0")+0,IFERROR(($H53-SUMIF($I$1:$W$1,"ACTUAL",$I53:$W53))*(VLOOKUP($B53,'Distribution %'!$A$2:$Q$232,MATCH(Q$2,'Distribution %'!$A$2:$Q$2,0),FALSE)/(SUMIF('Distribution %'!$C$1:$Q$1,"BUDGET",'Distribution %'!$C221:$Q221))),"0")+0)</f>
        <v>0</v>
      </c>
      <c r="R53" s="389">
        <f>IF(VLOOKUP("Net Income",'FY ACTUALS'!$A$1:$X$996,R$3,FALSE)&lt;&gt;0,IFERROR(VLOOKUP($B53,'FY ACTUALS'!$A$1:$X$996,R$3,FALSE),"0")+0,IFERROR(($H53-SUMIF($I$1:$W$1,"ACTUAL",$I53:$W53))*(VLOOKUP($B53,'Distribution %'!$A$2:$Q$232,MATCH(R$2,'Distribution %'!$A$2:$Q$2,0),FALSE)/(SUMIF('Distribution %'!$C$1:$Q$1,"BUDGET",'Distribution %'!$C221:$Q221))),"0")+0)</f>
        <v>0</v>
      </c>
      <c r="S53" s="389">
        <f>IF(VLOOKUP("Net Income",'FY ACTUALS'!$A$1:$X$996,S$3,FALSE)&lt;&gt;0,IFERROR(VLOOKUP($B53,'FY ACTUALS'!$A$1:$X$996,S$3,FALSE),"0")+0,IFERROR(($H53-SUMIF($I$1:$W$1,"ACTUAL",$I53:$W53))*(VLOOKUP($B53,'Distribution %'!$A$2:$Q$232,MATCH(S$2,'Distribution %'!$A$2:$Q$2,0),FALSE)/(SUMIF('Distribution %'!$C$1:$Q$1,"BUDGET",'Distribution %'!$C221:$Q221))),"0")+0)</f>
        <v>0</v>
      </c>
      <c r="T53" s="389">
        <f>IF(VLOOKUP("Net Income",'FY ACTUALS'!$A$1:$X$996,T$3,FALSE)&lt;&gt;0,IFERROR(VLOOKUP($B53,'FY ACTUALS'!$A$1:$X$996,T$3,FALSE),"0")+0,IFERROR(($H53-SUMIF($I$1:$W$1,"ACTUAL",$I53:$W53))*(VLOOKUP($B53,'Distribution %'!$A$2:$Q$232,MATCH(T$2,'Distribution %'!$A$2:$Q$2,0),FALSE)/(SUMIF('Distribution %'!$C$1:$Q$1,"BUDGET",'Distribution %'!$C221:$Q221))),"0")+0)</f>
        <v>0</v>
      </c>
      <c r="U53" s="389">
        <f>IF(VLOOKUP("Net Income",'FY ACTUALS'!$A$1:$X$996,U$3,FALSE)&lt;&gt;0,IFERROR(VLOOKUP($B53,'FY ACTUALS'!$A$1:$X$996,U$3,FALSE),"0")+0,IFERROR(($H53-SUMIF($I$1:$W$1,"ACTUAL",$I53:$W53))*(VLOOKUP($B53,'Distribution %'!$A$2:$Q$232,MATCH(U$2,'Distribution %'!$A$2:$Q$2,0),FALSE)/(SUMIF('Distribution %'!$C$1:$Q$1,"BUDGET",'Distribution %'!$C221:$Q221))),"0")+0)</f>
        <v>0</v>
      </c>
      <c r="V53" s="389">
        <f>IF(VLOOKUP("Net Income",'FY ACTUALS'!$A$1:$X$996,V$3,FALSE)&lt;&gt;0,IFERROR(VLOOKUP($B53,'FY ACTUALS'!$A$1:$X$996,V$3,FALSE),"0")+0,IFERROR(($H53-SUMIF($I$1:$W$1,"ACTUAL",$I53:$W53))*(VLOOKUP($B53,'Distribution %'!$A$2:$Q$232,MATCH(V$2,'Distribution %'!$A$2:$Q$2,0),FALSE)/(SUMIF('Distribution %'!$C$1:$Q$1,"BUDGET",'Distribution %'!$C221:$Q221))),"0")+0)</f>
        <v>0</v>
      </c>
      <c r="W53" s="460">
        <f>IF(VLOOKUP("Net Income",'FY ACTUALS'!$A$1:$X$996,W$3,FALSE)&lt;&gt;0,IFERROR(VLOOKUP($B53,'FY ACTUALS'!$A$1:$X$996,W$3,FALSE),"0")+0,IFERROR(($H53-SUMIF($I$1:$W$1,"ACTUAL",$I53:$W53))*(VLOOKUP($B53,'Distribution %'!$A$2:$Q$232,MATCH(W$2,'Distribution %'!$A$2:$Q$2,0),FALSE)/(SUMIF('Distribution %'!$C$1:$Q$1,"BUDGET",'Distribution %'!$C221:$Q221))),"0")+0)</f>
        <v>0</v>
      </c>
      <c r="X53" s="387">
        <f t="shared" si="12"/>
        <v>0</v>
      </c>
      <c r="Y53" s="387"/>
      <c r="Z53" s="387">
        <f t="shared" si="13"/>
        <v>0</v>
      </c>
    </row>
    <row r="54" spans="1:26" x14ac:dyDescent="0.75">
      <c r="B54" s="410">
        <v>8910</v>
      </c>
      <c r="C54" s="379" t="s">
        <v>1415</v>
      </c>
      <c r="F54" s="379" t="str">
        <f>IF(ISERROR(VLOOKUP(B54,'Distribution %'!A:A,1,FALSE)),"NO","YES")</f>
        <v>YES</v>
      </c>
      <c r="G54" s="392"/>
      <c r="H54" s="430">
        <f>IFERROR(VLOOKUP(B54,'Revenue w MYP'!$A$8:$J$52,10,FALSE),"0")+0</f>
        <v>0</v>
      </c>
      <c r="I54" s="388">
        <f>IF(VLOOKUP("Net Income",'FY ACTUALS'!$A$1:$X$996,I$3,FALSE)&lt;&gt;0,IFERROR(VLOOKUP($B54,'FY ACTUALS'!$A$1:$X$996,I$3,FALSE),"0")+0,IFERROR(($H54-SUMIF($I$1:$W$1,"ACTUAL",$I54:$W54))*(VLOOKUP($B54,'Distribution %'!$A$2:$Q$232,MATCH(I$2,'Distribution %'!$A$2:$Q$2,0),FALSE)/(SUMIF('Distribution %'!$C$1:$Q$1,"BUDGET",'Distribution %'!$C222:$Q222))),"0")+0)</f>
        <v>0</v>
      </c>
      <c r="J54" s="389">
        <f>IF(VLOOKUP("Net Income",'FY ACTUALS'!$A$1:$X$996,J$3,FALSE)&lt;&gt;0,IFERROR(VLOOKUP($B54,'FY ACTUALS'!$A$1:$X$996,J$3,FALSE),"0")+0,IFERROR(($H54-SUMIF($I$1:$W$1,"ACTUAL",$I54:$W54))*(VLOOKUP($B54,'Distribution %'!$A$2:$Q$232,MATCH(J$2,'Distribution %'!$A$2:$Q$2,0),FALSE)/(SUMIF('Distribution %'!$C$1:$Q$1,"BUDGET",'Distribution %'!$C222:$Q222))),"0")+0)</f>
        <v>0</v>
      </c>
      <c r="K54" s="389">
        <f>IF(VLOOKUP("Net Income",'FY ACTUALS'!$A$1:$X$996,K$3,FALSE)&lt;&gt;0,IFERROR(VLOOKUP($B54,'FY ACTUALS'!$A$1:$X$996,K$3,FALSE),"0")+0,IFERROR(($H54-SUMIF($I$1:$W$1,"ACTUAL",$I54:$W54))*(VLOOKUP($B54,'Distribution %'!$A$2:$Q$232,MATCH(K$2,'Distribution %'!$A$2:$Q$2,0),FALSE)/(SUMIF('Distribution %'!$C$1:$Q$1,"BUDGET",'Distribution %'!$C222:$Q222))),"0")+0)</f>
        <v>0</v>
      </c>
      <c r="L54" s="389">
        <f>IF(VLOOKUP("Net Income",'FY ACTUALS'!$A$1:$X$996,L$3,FALSE)&lt;&gt;0,IFERROR(VLOOKUP($B54,'FY ACTUALS'!$A$1:$X$996,L$3,FALSE),"0")+0,IFERROR(($H54-SUMIF($I$1:$W$1,"ACTUAL",$I54:$W54))*(VLOOKUP($B54,'Distribution %'!$A$2:$Q$232,MATCH(L$2,'Distribution %'!$A$2:$Q$2,0),FALSE)/(SUMIF('Distribution %'!$C$1:$Q$1,"BUDGET",'Distribution %'!$C222:$Q222))),"0")+0)</f>
        <v>0</v>
      </c>
      <c r="M54" s="389">
        <f>IF(VLOOKUP("Net Income",'FY ACTUALS'!$A$1:$X$996,M$3,FALSE)&lt;&gt;0,IFERROR(VLOOKUP($B54,'FY ACTUALS'!$A$1:$X$996,M$3,FALSE),"0")+0,IFERROR(($H54-SUMIF($I$1:$W$1,"ACTUAL",$I54:$W54))*(VLOOKUP($B54,'Distribution %'!$A$2:$Q$232,MATCH(M$2,'Distribution %'!$A$2:$Q$2,0),FALSE)/(SUMIF('Distribution %'!$C$1:$Q$1,"BUDGET",'Distribution %'!$C222:$Q222))),"0")+0)</f>
        <v>0</v>
      </c>
      <c r="N54" s="389">
        <f>IF(VLOOKUP("Net Income",'FY ACTUALS'!$A$1:$X$996,N$3,FALSE)&lt;&gt;0,IFERROR(VLOOKUP($B54,'FY ACTUALS'!$A$1:$X$996,N$3,FALSE),"0")+0,IFERROR(($H54-SUMIF($I$1:$W$1,"ACTUAL",$I54:$W54))*(VLOOKUP($B54,'Distribution %'!$A$2:$Q$232,MATCH(N$2,'Distribution %'!$A$2:$Q$2,0),FALSE)/(SUMIF('Distribution %'!$C$1:$Q$1,"BUDGET",'Distribution %'!$C222:$Q222))),"0")+0)</f>
        <v>0</v>
      </c>
      <c r="O54" s="389">
        <f>IF(VLOOKUP("Net Income",'FY ACTUALS'!$A$1:$X$996,O$3,FALSE)&lt;&gt;0,IFERROR(VLOOKUP($B54,'FY ACTUALS'!$A$1:$X$996,O$3,FALSE),"0")+0,IFERROR(($H54-SUMIF($I$1:$W$1,"ACTUAL",$I54:$W54))*(VLOOKUP($B54,'Distribution %'!$A$2:$Q$232,MATCH(O$2,'Distribution %'!$A$2:$Q$2,0),FALSE)/(SUMIF('Distribution %'!$C$1:$Q$1,"BUDGET",'Distribution %'!$C222:$Q222))),"0")+0)</f>
        <v>0</v>
      </c>
      <c r="P54" s="389">
        <f>IF(VLOOKUP("Net Income",'FY ACTUALS'!$A$1:$X$996,P$3,FALSE)&lt;&gt;0,IFERROR(VLOOKUP($B54,'FY ACTUALS'!$A$1:$X$996,P$3,FALSE),"0")+0,IFERROR(($H54-SUMIF($I$1:$W$1,"ACTUAL",$I54:$W54))*(VLOOKUP($B54,'Distribution %'!$A$2:$Q$232,MATCH(P$2,'Distribution %'!$A$2:$Q$2,0),FALSE)/(SUMIF('Distribution %'!$C$1:$Q$1,"BUDGET",'Distribution %'!$C222:$Q222))),"0")+0)</f>
        <v>0</v>
      </c>
      <c r="Q54" s="389">
        <f>IF(VLOOKUP("Net Income",'FY ACTUALS'!$A$1:$X$996,Q$3,FALSE)&lt;&gt;0,IFERROR(VLOOKUP($B54,'FY ACTUALS'!$A$1:$X$996,Q$3,FALSE),"0")+0,IFERROR(($H54-SUMIF($I$1:$W$1,"ACTUAL",$I54:$W54))*(VLOOKUP($B54,'Distribution %'!$A$2:$Q$232,MATCH(Q$2,'Distribution %'!$A$2:$Q$2,0),FALSE)/(SUMIF('Distribution %'!$C$1:$Q$1,"BUDGET",'Distribution %'!$C222:$Q222))),"0")+0)</f>
        <v>0</v>
      </c>
      <c r="R54" s="389">
        <f>IF(VLOOKUP("Net Income",'FY ACTUALS'!$A$1:$X$996,R$3,FALSE)&lt;&gt;0,IFERROR(VLOOKUP($B54,'FY ACTUALS'!$A$1:$X$996,R$3,FALSE),"0")+0,IFERROR(($H54-SUMIF($I$1:$W$1,"ACTUAL",$I54:$W54))*(VLOOKUP($B54,'Distribution %'!$A$2:$Q$232,MATCH(R$2,'Distribution %'!$A$2:$Q$2,0),FALSE)/(SUMIF('Distribution %'!$C$1:$Q$1,"BUDGET",'Distribution %'!$C222:$Q222))),"0")+0)</f>
        <v>0</v>
      </c>
      <c r="S54" s="389">
        <f>IF(VLOOKUP("Net Income",'FY ACTUALS'!$A$1:$X$996,S$3,FALSE)&lt;&gt;0,IFERROR(VLOOKUP($B54,'FY ACTUALS'!$A$1:$X$996,S$3,FALSE),"0")+0,IFERROR(($H54-SUMIF($I$1:$W$1,"ACTUAL",$I54:$W54))*(VLOOKUP($B54,'Distribution %'!$A$2:$Q$232,MATCH(S$2,'Distribution %'!$A$2:$Q$2,0),FALSE)/(SUMIF('Distribution %'!$C$1:$Q$1,"BUDGET",'Distribution %'!$C222:$Q222))),"0")+0)</f>
        <v>0</v>
      </c>
      <c r="T54" s="389">
        <f>IF(VLOOKUP("Net Income",'FY ACTUALS'!$A$1:$X$996,T$3,FALSE)&lt;&gt;0,IFERROR(VLOOKUP($B54,'FY ACTUALS'!$A$1:$X$996,T$3,FALSE),"0")+0,IFERROR(($H54-SUMIF($I$1:$W$1,"ACTUAL",$I54:$W54))*(VLOOKUP($B54,'Distribution %'!$A$2:$Q$232,MATCH(T$2,'Distribution %'!$A$2:$Q$2,0),FALSE)/(SUMIF('Distribution %'!$C$1:$Q$1,"BUDGET",'Distribution %'!$C222:$Q222))),"0")+0)</f>
        <v>0</v>
      </c>
      <c r="U54" s="389">
        <f>IF(VLOOKUP("Net Income",'FY ACTUALS'!$A$1:$X$996,U$3,FALSE)&lt;&gt;0,IFERROR(VLOOKUP($B54,'FY ACTUALS'!$A$1:$X$996,U$3,FALSE),"0")+0,IFERROR(($H54-SUMIF($I$1:$W$1,"ACTUAL",$I54:$W54))*(VLOOKUP($B54,'Distribution %'!$A$2:$Q$232,MATCH(U$2,'Distribution %'!$A$2:$Q$2,0),FALSE)/(SUMIF('Distribution %'!$C$1:$Q$1,"BUDGET",'Distribution %'!$C222:$Q222))),"0")+0)</f>
        <v>0</v>
      </c>
      <c r="V54" s="389">
        <f>IF(VLOOKUP("Net Income",'FY ACTUALS'!$A$1:$X$996,V$3,FALSE)&lt;&gt;0,IFERROR(VLOOKUP($B54,'FY ACTUALS'!$A$1:$X$996,V$3,FALSE),"0")+0,IFERROR(($H54-SUMIF($I$1:$W$1,"ACTUAL",$I54:$W54))*(VLOOKUP($B54,'Distribution %'!$A$2:$Q$232,MATCH(V$2,'Distribution %'!$A$2:$Q$2,0),FALSE)/(SUMIF('Distribution %'!$C$1:$Q$1,"BUDGET",'Distribution %'!$C222:$Q222))),"0")+0)</f>
        <v>0</v>
      </c>
      <c r="W54" s="460">
        <f>IF(VLOOKUP("Net Income",'FY ACTUALS'!$A$1:$X$996,W$3,FALSE)&lt;&gt;0,IFERROR(VLOOKUP($B54,'FY ACTUALS'!$A$1:$X$996,W$3,FALSE),"0")+0,IFERROR(($H54-SUMIF($I$1:$W$1,"ACTUAL",$I54:$W54))*(VLOOKUP($B54,'Distribution %'!$A$2:$Q$232,MATCH(W$2,'Distribution %'!$A$2:$Q$2,0),FALSE)/(SUMIF('Distribution %'!$C$1:$Q$1,"BUDGET",'Distribution %'!$C222:$Q222))),"0")+0)</f>
        <v>0</v>
      </c>
      <c r="X54" s="387">
        <f t="shared" si="12"/>
        <v>0</v>
      </c>
      <c r="Y54" s="387"/>
      <c r="Z54" s="387">
        <f t="shared" si="13"/>
        <v>0</v>
      </c>
    </row>
    <row r="55" spans="1:26" x14ac:dyDescent="0.75">
      <c r="B55" s="410">
        <v>8986</v>
      </c>
      <c r="C55" s="379" t="s">
        <v>631</v>
      </c>
      <c r="F55" s="379" t="str">
        <f>IF(ISERROR(VLOOKUP(B55,'Distribution %'!A:A,1,FALSE)),"NO","YES")</f>
        <v>YES</v>
      </c>
      <c r="G55" s="392"/>
      <c r="H55" s="430">
        <f>IFERROR(VLOOKUP(B55,'Revenue w MYP'!$A$8:$J$52,10,FALSE),"0")+0</f>
        <v>0</v>
      </c>
      <c r="I55" s="388">
        <f>IF(VLOOKUP("Net Income",'FY ACTUALS'!$A$1:$X$996,I$3,FALSE)&lt;&gt;0,IFERROR(VLOOKUP($B55,'FY ACTUALS'!$A$1:$X$996,I$3,FALSE),"0")+0,IFERROR(($H55-SUMIF($I$1:$W$1,"ACTUAL",$I55:$W55))*(VLOOKUP($B55,'Distribution %'!$A$2:$Q$232,MATCH(I$2,'Distribution %'!$A$2:$Q$2,0),FALSE)/(SUMIF('Distribution %'!$C$1:$Q$1,"BUDGET",'Distribution %'!$C223:$Q223))),"0")+0)</f>
        <v>0</v>
      </c>
      <c r="J55" s="389">
        <f>IF(VLOOKUP("Net Income",'FY ACTUALS'!$A$1:$X$996,J$3,FALSE)&lt;&gt;0,IFERROR(VLOOKUP($B55,'FY ACTUALS'!$A$1:$X$996,J$3,FALSE),"0")+0,IFERROR(($H55-SUMIF($I$1:$W$1,"ACTUAL",$I55:$W55))*(VLOOKUP($B55,'Distribution %'!$A$2:$Q$232,MATCH(J$2,'Distribution %'!$A$2:$Q$2,0),FALSE)/(SUMIF('Distribution %'!$C$1:$Q$1,"BUDGET",'Distribution %'!$C223:$Q223))),"0")+0)</f>
        <v>0</v>
      </c>
      <c r="K55" s="389">
        <f>IF(VLOOKUP("Net Income",'FY ACTUALS'!$A$1:$X$996,K$3,FALSE)&lt;&gt;0,IFERROR(VLOOKUP($B55,'FY ACTUALS'!$A$1:$X$996,K$3,FALSE),"0")+0,IFERROR(($H55-SUMIF($I$1:$W$1,"ACTUAL",$I55:$W55))*(VLOOKUP($B55,'Distribution %'!$A$2:$Q$232,MATCH(K$2,'Distribution %'!$A$2:$Q$2,0),FALSE)/(SUMIF('Distribution %'!$C$1:$Q$1,"BUDGET",'Distribution %'!$C223:$Q223))),"0")+0)</f>
        <v>0</v>
      </c>
      <c r="L55" s="389">
        <f>IF(VLOOKUP("Net Income",'FY ACTUALS'!$A$1:$X$996,L$3,FALSE)&lt;&gt;0,IFERROR(VLOOKUP($B55,'FY ACTUALS'!$A$1:$X$996,L$3,FALSE),"0")+0,IFERROR(($H55-SUMIF($I$1:$W$1,"ACTUAL",$I55:$W55))*(VLOOKUP($B55,'Distribution %'!$A$2:$Q$232,MATCH(L$2,'Distribution %'!$A$2:$Q$2,0),FALSE)/(SUMIF('Distribution %'!$C$1:$Q$1,"BUDGET",'Distribution %'!$C223:$Q223))),"0")+0)</f>
        <v>0</v>
      </c>
      <c r="M55" s="389">
        <f>IF(VLOOKUP("Net Income",'FY ACTUALS'!$A$1:$X$996,M$3,FALSE)&lt;&gt;0,IFERROR(VLOOKUP($B55,'FY ACTUALS'!$A$1:$X$996,M$3,FALSE),"0")+0,IFERROR(($H55-SUMIF($I$1:$W$1,"ACTUAL",$I55:$W55))*(VLOOKUP($B55,'Distribution %'!$A$2:$Q$232,MATCH(M$2,'Distribution %'!$A$2:$Q$2,0),FALSE)/(SUMIF('Distribution %'!$C$1:$Q$1,"BUDGET",'Distribution %'!$C223:$Q223))),"0")+0)</f>
        <v>0</v>
      </c>
      <c r="N55" s="389">
        <f>IF(VLOOKUP("Net Income",'FY ACTUALS'!$A$1:$X$996,N$3,FALSE)&lt;&gt;0,IFERROR(VLOOKUP($B55,'FY ACTUALS'!$A$1:$X$996,N$3,FALSE),"0")+0,IFERROR(($H55-SUMIF($I$1:$W$1,"ACTUAL",$I55:$W55))*(VLOOKUP($B55,'Distribution %'!$A$2:$Q$232,MATCH(N$2,'Distribution %'!$A$2:$Q$2,0),FALSE)/(SUMIF('Distribution %'!$C$1:$Q$1,"BUDGET",'Distribution %'!$C223:$Q223))),"0")+0)</f>
        <v>0</v>
      </c>
      <c r="O55" s="389">
        <f>IF(VLOOKUP("Net Income",'FY ACTUALS'!$A$1:$X$996,O$3,FALSE)&lt;&gt;0,IFERROR(VLOOKUP($B55,'FY ACTUALS'!$A$1:$X$996,O$3,FALSE),"0")+0,IFERROR(($H55-SUMIF($I$1:$W$1,"ACTUAL",$I55:$W55))*(VLOOKUP($B55,'Distribution %'!$A$2:$Q$232,MATCH(O$2,'Distribution %'!$A$2:$Q$2,0),FALSE)/(SUMIF('Distribution %'!$C$1:$Q$1,"BUDGET",'Distribution %'!$C223:$Q223))),"0")+0)</f>
        <v>0</v>
      </c>
      <c r="P55" s="389">
        <f>IF(VLOOKUP("Net Income",'FY ACTUALS'!$A$1:$X$996,P$3,FALSE)&lt;&gt;0,IFERROR(VLOOKUP($B55,'FY ACTUALS'!$A$1:$X$996,P$3,FALSE),"0")+0,IFERROR(($H55-SUMIF($I$1:$W$1,"ACTUAL",$I55:$W55))*(VLOOKUP($B55,'Distribution %'!$A$2:$Q$232,MATCH(P$2,'Distribution %'!$A$2:$Q$2,0),FALSE)/(SUMIF('Distribution %'!$C$1:$Q$1,"BUDGET",'Distribution %'!$C223:$Q223))),"0")+0)</f>
        <v>0</v>
      </c>
      <c r="Q55" s="389">
        <f>IF(VLOOKUP("Net Income",'FY ACTUALS'!$A$1:$X$996,Q$3,FALSE)&lt;&gt;0,IFERROR(VLOOKUP($B55,'FY ACTUALS'!$A$1:$X$996,Q$3,FALSE),"0")+0,IFERROR(($H55-SUMIF($I$1:$W$1,"ACTUAL",$I55:$W55))*(VLOOKUP($B55,'Distribution %'!$A$2:$Q$232,MATCH(Q$2,'Distribution %'!$A$2:$Q$2,0),FALSE)/(SUMIF('Distribution %'!$C$1:$Q$1,"BUDGET",'Distribution %'!$C223:$Q223))),"0")+0)</f>
        <v>0</v>
      </c>
      <c r="R55" s="389">
        <f>IF(VLOOKUP("Net Income",'FY ACTUALS'!$A$1:$X$996,R$3,FALSE)&lt;&gt;0,IFERROR(VLOOKUP($B55,'FY ACTUALS'!$A$1:$X$996,R$3,FALSE),"0")+0,IFERROR(($H55-SUMIF($I$1:$W$1,"ACTUAL",$I55:$W55))*(VLOOKUP($B55,'Distribution %'!$A$2:$Q$232,MATCH(R$2,'Distribution %'!$A$2:$Q$2,0),FALSE)/(SUMIF('Distribution %'!$C$1:$Q$1,"BUDGET",'Distribution %'!$C223:$Q223))),"0")+0)</f>
        <v>0</v>
      </c>
      <c r="S55" s="389">
        <f>IF(VLOOKUP("Net Income",'FY ACTUALS'!$A$1:$X$996,S$3,FALSE)&lt;&gt;0,IFERROR(VLOOKUP($B55,'FY ACTUALS'!$A$1:$X$996,S$3,FALSE),"0")+0,IFERROR(($H55-SUMIF($I$1:$W$1,"ACTUAL",$I55:$W55))*(VLOOKUP($B55,'Distribution %'!$A$2:$Q$232,MATCH(S$2,'Distribution %'!$A$2:$Q$2,0),FALSE)/(SUMIF('Distribution %'!$C$1:$Q$1,"BUDGET",'Distribution %'!$C223:$Q223))),"0")+0)</f>
        <v>0</v>
      </c>
      <c r="T55" s="389">
        <f>IF(VLOOKUP("Net Income",'FY ACTUALS'!$A$1:$X$996,T$3,FALSE)&lt;&gt;0,IFERROR(VLOOKUP($B55,'FY ACTUALS'!$A$1:$X$996,T$3,FALSE),"0")+0,IFERROR(($H55-SUMIF($I$1:$W$1,"ACTUAL",$I55:$W55))*(VLOOKUP($B55,'Distribution %'!$A$2:$Q$232,MATCH(T$2,'Distribution %'!$A$2:$Q$2,0),FALSE)/(SUMIF('Distribution %'!$C$1:$Q$1,"BUDGET",'Distribution %'!$C223:$Q223))),"0")+0)</f>
        <v>0</v>
      </c>
      <c r="U55" s="389">
        <f>IF(VLOOKUP("Net Income",'FY ACTUALS'!$A$1:$X$996,U$3,FALSE)&lt;&gt;0,IFERROR(VLOOKUP($B55,'FY ACTUALS'!$A$1:$X$996,U$3,FALSE),"0")+0,IFERROR(($H55-SUMIF($I$1:$W$1,"ACTUAL",$I55:$W55))*(VLOOKUP($B55,'Distribution %'!$A$2:$Q$232,MATCH(U$2,'Distribution %'!$A$2:$Q$2,0),FALSE)/(SUMIF('Distribution %'!$C$1:$Q$1,"BUDGET",'Distribution %'!$C223:$Q223))),"0")+0)</f>
        <v>0</v>
      </c>
      <c r="V55" s="389">
        <f>IF(VLOOKUP("Net Income",'FY ACTUALS'!$A$1:$X$996,V$3,FALSE)&lt;&gt;0,IFERROR(VLOOKUP($B55,'FY ACTUALS'!$A$1:$X$996,V$3,FALSE),"0")+0,IFERROR(($H55-SUMIF($I$1:$W$1,"ACTUAL",$I55:$W55))*(VLOOKUP($B55,'Distribution %'!$A$2:$Q$232,MATCH(V$2,'Distribution %'!$A$2:$Q$2,0),FALSE)/(SUMIF('Distribution %'!$C$1:$Q$1,"BUDGET",'Distribution %'!$C223:$Q223))),"0")+0)</f>
        <v>0</v>
      </c>
      <c r="W55" s="460">
        <f>IF(VLOOKUP("Net Income",'FY ACTUALS'!$A$1:$X$996,W$3,FALSE)&lt;&gt;0,IFERROR(VLOOKUP($B55,'FY ACTUALS'!$A$1:$X$996,W$3,FALSE),"0")+0,IFERROR(($H55-SUMIF($I$1:$W$1,"ACTUAL",$I55:$W55))*(VLOOKUP($B55,'Distribution %'!$A$2:$Q$232,MATCH(W$2,'Distribution %'!$A$2:$Q$2,0),FALSE)/(SUMIF('Distribution %'!$C$1:$Q$1,"BUDGET",'Distribution %'!$C223:$Q223))),"0")+0)</f>
        <v>0</v>
      </c>
      <c r="X55" s="387">
        <f t="shared" si="12"/>
        <v>0</v>
      </c>
      <c r="Y55" s="387"/>
      <c r="Z55" s="387">
        <f t="shared" si="13"/>
        <v>0</v>
      </c>
    </row>
    <row r="56" spans="1:26" x14ac:dyDescent="0.75">
      <c r="B56" s="410">
        <v>8999</v>
      </c>
      <c r="C56" s="379" t="s">
        <v>1093</v>
      </c>
      <c r="F56" s="379" t="str">
        <f>IF(ISERROR(VLOOKUP(B56,'Distribution %'!A:A,1,FALSE)),"NO","YES")</f>
        <v>YES</v>
      </c>
      <c r="G56" s="392"/>
      <c r="H56" s="430">
        <f>IFERROR(VLOOKUP(B56,'Revenue w MYP'!$A$8:$J$52,10,FALSE),"0")+0</f>
        <v>0</v>
      </c>
      <c r="I56" s="388">
        <f>IF(VLOOKUP("Net Income",'FY ACTUALS'!$A$1:$X$996,I$3,FALSE)&lt;&gt;0,IFERROR(VLOOKUP($B56,'FY ACTUALS'!$A$1:$X$996,I$3,FALSE),"0")+0,IFERROR(($H56-SUMIF($I$1:$W$1,"ACTUAL",$I56:$W56))*(VLOOKUP($B56,'Distribution %'!$A$2:$Q$232,MATCH(I$2,'Distribution %'!$A$2:$Q$2,0),FALSE)/(SUMIF('Distribution %'!$C$1:$Q$1,"BUDGET",'Distribution %'!$C224:$Q224))),"0")+0)</f>
        <v>0</v>
      </c>
      <c r="J56" s="389">
        <f>IF(VLOOKUP("Net Income",'FY ACTUALS'!$A$1:$X$996,J$3,FALSE)&lt;&gt;0,IFERROR(VLOOKUP($B56,'FY ACTUALS'!$A$1:$X$996,J$3,FALSE),"0")+0,IFERROR(($H56-SUMIF($I$1:$W$1,"ACTUAL",$I56:$W56))*(VLOOKUP($B56,'Distribution %'!$A$2:$Q$232,MATCH(J$2,'Distribution %'!$A$2:$Q$2,0),FALSE)/(SUMIF('Distribution %'!$C$1:$Q$1,"BUDGET",'Distribution %'!$C224:$Q224))),"0")+0)</f>
        <v>0</v>
      </c>
      <c r="K56" s="389">
        <f>IF(VLOOKUP("Net Income",'FY ACTUALS'!$A$1:$X$996,K$3,FALSE)&lt;&gt;0,IFERROR(VLOOKUP($B56,'FY ACTUALS'!$A$1:$X$996,K$3,FALSE),"0")+0,IFERROR(($H56-SUMIF($I$1:$W$1,"ACTUAL",$I56:$W56))*(VLOOKUP($B56,'Distribution %'!$A$2:$Q$232,MATCH(K$2,'Distribution %'!$A$2:$Q$2,0),FALSE)/(SUMIF('Distribution %'!$C$1:$Q$1,"BUDGET",'Distribution %'!$C224:$Q224))),"0")+0)</f>
        <v>0</v>
      </c>
      <c r="L56" s="389">
        <f>IF(VLOOKUP("Net Income",'FY ACTUALS'!$A$1:$X$996,L$3,FALSE)&lt;&gt;0,IFERROR(VLOOKUP($B56,'FY ACTUALS'!$A$1:$X$996,L$3,FALSE),"0")+0,IFERROR(($H56-SUMIF($I$1:$W$1,"ACTUAL",$I56:$W56))*(VLOOKUP($B56,'Distribution %'!$A$2:$Q$232,MATCH(L$2,'Distribution %'!$A$2:$Q$2,0),FALSE)/(SUMIF('Distribution %'!$C$1:$Q$1,"BUDGET",'Distribution %'!$C224:$Q224))),"0")+0)</f>
        <v>0</v>
      </c>
      <c r="M56" s="389">
        <f>IF(VLOOKUP("Net Income",'FY ACTUALS'!$A$1:$X$996,M$3,FALSE)&lt;&gt;0,IFERROR(VLOOKUP($B56,'FY ACTUALS'!$A$1:$X$996,M$3,FALSE),"0")+0,IFERROR(($H56-SUMIF($I$1:$W$1,"ACTUAL",$I56:$W56))*(VLOOKUP($B56,'Distribution %'!$A$2:$Q$232,MATCH(M$2,'Distribution %'!$A$2:$Q$2,0),FALSE)/(SUMIF('Distribution %'!$C$1:$Q$1,"BUDGET",'Distribution %'!$C224:$Q224))),"0")+0)</f>
        <v>0</v>
      </c>
      <c r="N56" s="389">
        <f>IF(VLOOKUP("Net Income",'FY ACTUALS'!$A$1:$X$996,N$3,FALSE)&lt;&gt;0,IFERROR(VLOOKUP($B56,'FY ACTUALS'!$A$1:$X$996,N$3,FALSE),"0")+0,IFERROR(($H56-SUMIF($I$1:$W$1,"ACTUAL",$I56:$W56))*(VLOOKUP($B56,'Distribution %'!$A$2:$Q$232,MATCH(N$2,'Distribution %'!$A$2:$Q$2,0),FALSE)/(SUMIF('Distribution %'!$C$1:$Q$1,"BUDGET",'Distribution %'!$C224:$Q224))),"0")+0)</f>
        <v>0</v>
      </c>
      <c r="O56" s="389">
        <f>IF(VLOOKUP("Net Income",'FY ACTUALS'!$A$1:$X$996,O$3,FALSE)&lt;&gt;0,IFERROR(VLOOKUP($B56,'FY ACTUALS'!$A$1:$X$996,O$3,FALSE),"0")+0,IFERROR(($H56-SUMIF($I$1:$W$1,"ACTUAL",$I56:$W56))*(VLOOKUP($B56,'Distribution %'!$A$2:$Q$232,MATCH(O$2,'Distribution %'!$A$2:$Q$2,0),FALSE)/(SUMIF('Distribution %'!$C$1:$Q$1,"BUDGET",'Distribution %'!$C224:$Q224))),"0")+0)</f>
        <v>0</v>
      </c>
      <c r="P56" s="389">
        <f>IF(VLOOKUP("Net Income",'FY ACTUALS'!$A$1:$X$996,P$3,FALSE)&lt;&gt;0,IFERROR(VLOOKUP($B56,'FY ACTUALS'!$A$1:$X$996,P$3,FALSE),"0")+0,IFERROR(($H56-SUMIF($I$1:$W$1,"ACTUAL",$I56:$W56))*(VLOOKUP($B56,'Distribution %'!$A$2:$Q$232,MATCH(P$2,'Distribution %'!$A$2:$Q$2,0),FALSE)/(SUMIF('Distribution %'!$C$1:$Q$1,"BUDGET",'Distribution %'!$C224:$Q224))),"0")+0)</f>
        <v>0</v>
      </c>
      <c r="Q56" s="389">
        <f>IF(VLOOKUP("Net Income",'FY ACTUALS'!$A$1:$X$996,Q$3,FALSE)&lt;&gt;0,IFERROR(VLOOKUP($B56,'FY ACTUALS'!$A$1:$X$996,Q$3,FALSE),"0")+0,IFERROR(($H56-SUMIF($I$1:$W$1,"ACTUAL",$I56:$W56))*(VLOOKUP($B56,'Distribution %'!$A$2:$Q$232,MATCH(Q$2,'Distribution %'!$A$2:$Q$2,0),FALSE)/(SUMIF('Distribution %'!$C$1:$Q$1,"BUDGET",'Distribution %'!$C224:$Q224))),"0")+0)</f>
        <v>0</v>
      </c>
      <c r="R56" s="389">
        <f>IF(VLOOKUP("Net Income",'FY ACTUALS'!$A$1:$X$996,R$3,FALSE)&lt;&gt;0,IFERROR(VLOOKUP($B56,'FY ACTUALS'!$A$1:$X$996,R$3,FALSE),"0")+0,IFERROR(($H56-SUMIF($I$1:$W$1,"ACTUAL",$I56:$W56))*(VLOOKUP($B56,'Distribution %'!$A$2:$Q$232,MATCH(R$2,'Distribution %'!$A$2:$Q$2,0),FALSE)/(SUMIF('Distribution %'!$C$1:$Q$1,"BUDGET",'Distribution %'!$C224:$Q224))),"0")+0)</f>
        <v>0</v>
      </c>
      <c r="S56" s="389">
        <f>IF(VLOOKUP("Net Income",'FY ACTUALS'!$A$1:$X$996,S$3,FALSE)&lt;&gt;0,IFERROR(VLOOKUP($B56,'FY ACTUALS'!$A$1:$X$996,S$3,FALSE),"0")+0,IFERROR(($H56-SUMIF($I$1:$W$1,"ACTUAL",$I56:$W56))*(VLOOKUP($B56,'Distribution %'!$A$2:$Q$232,MATCH(S$2,'Distribution %'!$A$2:$Q$2,0),FALSE)/(SUMIF('Distribution %'!$C$1:$Q$1,"BUDGET",'Distribution %'!$C224:$Q224))),"0")+0)</f>
        <v>0</v>
      </c>
      <c r="T56" s="389">
        <f>IF(VLOOKUP("Net Income",'FY ACTUALS'!$A$1:$X$996,T$3,FALSE)&lt;&gt;0,IFERROR(VLOOKUP($B56,'FY ACTUALS'!$A$1:$X$996,T$3,FALSE),"0")+0,IFERROR(($H56-SUMIF($I$1:$W$1,"ACTUAL",$I56:$W56))*(VLOOKUP($B56,'Distribution %'!$A$2:$Q$232,MATCH(T$2,'Distribution %'!$A$2:$Q$2,0),FALSE)/(SUMIF('Distribution %'!$C$1:$Q$1,"BUDGET",'Distribution %'!$C224:$Q224))),"0")+0)</f>
        <v>0</v>
      </c>
      <c r="U56" s="389">
        <f>IF(VLOOKUP("Net Income",'FY ACTUALS'!$A$1:$X$996,U$3,FALSE)&lt;&gt;0,IFERROR(VLOOKUP($B56,'FY ACTUALS'!$A$1:$X$996,U$3,FALSE),"0")+0,IFERROR(($H56-SUMIF($I$1:$W$1,"ACTUAL",$I56:$W56))*(VLOOKUP($B56,'Distribution %'!$A$2:$Q$232,MATCH(U$2,'Distribution %'!$A$2:$Q$2,0),FALSE)/(SUMIF('Distribution %'!$C$1:$Q$1,"BUDGET",'Distribution %'!$C224:$Q224))),"0")+0)</f>
        <v>0</v>
      </c>
      <c r="V56" s="389">
        <f>IF(VLOOKUP("Net Income",'FY ACTUALS'!$A$1:$X$996,V$3,FALSE)&lt;&gt;0,IFERROR(VLOOKUP($B56,'FY ACTUALS'!$A$1:$X$996,V$3,FALSE),"0")+0,IFERROR(($H56-SUMIF($I$1:$W$1,"ACTUAL",$I56:$W56))*(VLOOKUP($B56,'Distribution %'!$A$2:$Q$232,MATCH(V$2,'Distribution %'!$A$2:$Q$2,0),FALSE)/(SUMIF('Distribution %'!$C$1:$Q$1,"BUDGET",'Distribution %'!$C224:$Q224))),"0")+0)</f>
        <v>0</v>
      </c>
      <c r="W56" s="460">
        <f>IF(VLOOKUP("Net Income",'FY ACTUALS'!$A$1:$X$996,W$3,FALSE)&lt;&gt;0,IFERROR(VLOOKUP($B56,'FY ACTUALS'!$A$1:$X$996,W$3,FALSE),"0")+0,IFERROR(($H56-SUMIF($I$1:$W$1,"ACTUAL",$I56:$W56))*(VLOOKUP($B56,'Distribution %'!$A$2:$Q$232,MATCH(W$2,'Distribution %'!$A$2:$Q$2,0),FALSE)/(SUMIF('Distribution %'!$C$1:$Q$1,"BUDGET",'Distribution %'!$C224:$Q224))),"0")+0)</f>
        <v>0</v>
      </c>
      <c r="X56" s="387">
        <f t="shared" si="12"/>
        <v>0</v>
      </c>
      <c r="Y56" s="387"/>
      <c r="Z56" s="387">
        <f t="shared" si="13"/>
        <v>0</v>
      </c>
    </row>
    <row r="57" spans="1:26" x14ac:dyDescent="0.75">
      <c r="B57" s="410">
        <v>8688</v>
      </c>
      <c r="C57" s="379" t="s">
        <v>1416</v>
      </c>
      <c r="F57" s="379" t="str">
        <f>IF(ISERROR(VLOOKUP(B57,'Distribution %'!A:A,1,FALSE)),"NO","YES")</f>
        <v>YES</v>
      </c>
      <c r="G57" s="392"/>
      <c r="H57" s="430">
        <f>IFERROR(VLOOKUP(B57,'Revenue w MYP'!$A$8:$J$52,10,FALSE),"0")+0</f>
        <v>0</v>
      </c>
      <c r="I57" s="388">
        <f>IF(VLOOKUP("Net Income",'FY ACTUALS'!$A$1:$X$996,I$3,FALSE)&lt;&gt;0,IFERROR(VLOOKUP($B57,'FY ACTUALS'!$A$1:$X$996,I$3,FALSE),"0")+0,IFERROR(($H57-SUMIF($I$1:$W$1,"ACTUAL",$I57:$W57))*(VLOOKUP($B57,'Distribution %'!$A$2:$Q$232,MATCH(I$2,'Distribution %'!$A$2:$Q$2,0),FALSE)/(SUMIF('Distribution %'!$C$1:$Q$1,"BUDGET",'Distribution %'!$C225:$Q225))),"0")+0)</f>
        <v>0</v>
      </c>
      <c r="J57" s="389">
        <f>IF(VLOOKUP("Net Income",'FY ACTUALS'!$A$1:$X$996,J$3,FALSE)&lt;&gt;0,IFERROR(VLOOKUP($B57,'FY ACTUALS'!$A$1:$X$996,J$3,FALSE),"0")+0,IFERROR(($H57-SUMIF($I$1:$W$1,"ACTUAL",$I57:$W57))*(VLOOKUP($B57,'Distribution %'!$A$2:$Q$232,MATCH(J$2,'Distribution %'!$A$2:$Q$2,0),FALSE)/(SUMIF('Distribution %'!$C$1:$Q$1,"BUDGET",'Distribution %'!$C225:$Q225))),"0")+0)</f>
        <v>0</v>
      </c>
      <c r="K57" s="389">
        <f>IF(VLOOKUP("Net Income",'FY ACTUALS'!$A$1:$X$996,K$3,FALSE)&lt;&gt;0,IFERROR(VLOOKUP($B57,'FY ACTUALS'!$A$1:$X$996,K$3,FALSE),"0")+0,IFERROR(($H57-SUMIF($I$1:$W$1,"ACTUAL",$I57:$W57))*(VLOOKUP($B57,'Distribution %'!$A$2:$Q$232,MATCH(K$2,'Distribution %'!$A$2:$Q$2,0),FALSE)/(SUMIF('Distribution %'!$C$1:$Q$1,"BUDGET",'Distribution %'!$C225:$Q225))),"0")+0)</f>
        <v>0</v>
      </c>
      <c r="L57" s="389">
        <f>IF(VLOOKUP("Net Income",'FY ACTUALS'!$A$1:$X$996,L$3,FALSE)&lt;&gt;0,IFERROR(VLOOKUP($B57,'FY ACTUALS'!$A$1:$X$996,L$3,FALSE),"0")+0,IFERROR(($H57-SUMIF($I$1:$W$1,"ACTUAL",$I57:$W57))*(VLOOKUP($B57,'Distribution %'!$A$2:$Q$232,MATCH(L$2,'Distribution %'!$A$2:$Q$2,0),FALSE)/(SUMIF('Distribution %'!$C$1:$Q$1,"BUDGET",'Distribution %'!$C225:$Q225))),"0")+0)</f>
        <v>0</v>
      </c>
      <c r="M57" s="389">
        <f>IF(VLOOKUP("Net Income",'FY ACTUALS'!$A$1:$X$996,M$3,FALSE)&lt;&gt;0,IFERROR(VLOOKUP($B57,'FY ACTUALS'!$A$1:$X$996,M$3,FALSE),"0")+0,IFERROR(($H57-SUMIF($I$1:$W$1,"ACTUAL",$I57:$W57))*(VLOOKUP($B57,'Distribution %'!$A$2:$Q$232,MATCH(M$2,'Distribution %'!$A$2:$Q$2,0),FALSE)/(SUMIF('Distribution %'!$C$1:$Q$1,"BUDGET",'Distribution %'!$C225:$Q225))),"0")+0)</f>
        <v>0</v>
      </c>
      <c r="N57" s="389">
        <f>IF(VLOOKUP("Net Income",'FY ACTUALS'!$A$1:$X$996,N$3,FALSE)&lt;&gt;0,IFERROR(VLOOKUP($B57,'FY ACTUALS'!$A$1:$X$996,N$3,FALSE),"0")+0,IFERROR(($H57-SUMIF($I$1:$W$1,"ACTUAL",$I57:$W57))*(VLOOKUP($B57,'Distribution %'!$A$2:$Q$232,MATCH(N$2,'Distribution %'!$A$2:$Q$2,0),FALSE)/(SUMIF('Distribution %'!$C$1:$Q$1,"BUDGET",'Distribution %'!$C225:$Q225))),"0")+0)</f>
        <v>0</v>
      </c>
      <c r="O57" s="389">
        <f>IF(VLOOKUP("Net Income",'FY ACTUALS'!$A$1:$X$996,O$3,FALSE)&lt;&gt;0,IFERROR(VLOOKUP($B57,'FY ACTUALS'!$A$1:$X$996,O$3,FALSE),"0")+0,IFERROR(($H57-SUMIF($I$1:$W$1,"ACTUAL",$I57:$W57))*(VLOOKUP($B57,'Distribution %'!$A$2:$Q$232,MATCH(O$2,'Distribution %'!$A$2:$Q$2,0),FALSE)/(SUMIF('Distribution %'!$C$1:$Q$1,"BUDGET",'Distribution %'!$C225:$Q225))),"0")+0)</f>
        <v>0</v>
      </c>
      <c r="P57" s="389">
        <f>IF(VLOOKUP("Net Income",'FY ACTUALS'!$A$1:$X$996,P$3,FALSE)&lt;&gt;0,IFERROR(VLOOKUP($B57,'FY ACTUALS'!$A$1:$X$996,P$3,FALSE),"0")+0,IFERROR(($H57-SUMIF($I$1:$W$1,"ACTUAL",$I57:$W57))*(VLOOKUP($B57,'Distribution %'!$A$2:$Q$232,MATCH(P$2,'Distribution %'!$A$2:$Q$2,0),FALSE)/(SUMIF('Distribution %'!$C$1:$Q$1,"BUDGET",'Distribution %'!$C225:$Q225))),"0")+0)</f>
        <v>0</v>
      </c>
      <c r="Q57" s="389">
        <f>IF(VLOOKUP("Net Income",'FY ACTUALS'!$A$1:$X$996,Q$3,FALSE)&lt;&gt;0,IFERROR(VLOOKUP($B57,'FY ACTUALS'!$A$1:$X$996,Q$3,FALSE),"0")+0,IFERROR(($H57-SUMIF($I$1:$W$1,"ACTUAL",$I57:$W57))*(VLOOKUP($B57,'Distribution %'!$A$2:$Q$232,MATCH(Q$2,'Distribution %'!$A$2:$Q$2,0),FALSE)/(SUMIF('Distribution %'!$C$1:$Q$1,"BUDGET",'Distribution %'!$C225:$Q225))),"0")+0)</f>
        <v>0</v>
      </c>
      <c r="R57" s="389">
        <f>IF(VLOOKUP("Net Income",'FY ACTUALS'!$A$1:$X$996,R$3,FALSE)&lt;&gt;0,IFERROR(VLOOKUP($B57,'FY ACTUALS'!$A$1:$X$996,R$3,FALSE),"0")+0,IFERROR(($H57-SUMIF($I$1:$W$1,"ACTUAL",$I57:$W57))*(VLOOKUP($B57,'Distribution %'!$A$2:$Q$232,MATCH(R$2,'Distribution %'!$A$2:$Q$2,0),FALSE)/(SUMIF('Distribution %'!$C$1:$Q$1,"BUDGET",'Distribution %'!$C225:$Q225))),"0")+0)</f>
        <v>0</v>
      </c>
      <c r="S57" s="389">
        <f>IF(VLOOKUP("Net Income",'FY ACTUALS'!$A$1:$X$996,S$3,FALSE)&lt;&gt;0,IFERROR(VLOOKUP($B57,'FY ACTUALS'!$A$1:$X$996,S$3,FALSE),"0")+0,IFERROR(($H57-SUMIF($I$1:$W$1,"ACTUAL",$I57:$W57))*(VLOOKUP($B57,'Distribution %'!$A$2:$Q$232,MATCH(S$2,'Distribution %'!$A$2:$Q$2,0),FALSE)/(SUMIF('Distribution %'!$C$1:$Q$1,"BUDGET",'Distribution %'!$C225:$Q225))),"0")+0)</f>
        <v>0</v>
      </c>
      <c r="T57" s="389">
        <f>IF(VLOOKUP("Net Income",'FY ACTUALS'!$A$1:$X$996,T$3,FALSE)&lt;&gt;0,IFERROR(VLOOKUP($B57,'FY ACTUALS'!$A$1:$X$996,T$3,FALSE),"0")+0,IFERROR(($H57-SUMIF($I$1:$W$1,"ACTUAL",$I57:$W57))*(VLOOKUP($B57,'Distribution %'!$A$2:$Q$232,MATCH(T$2,'Distribution %'!$A$2:$Q$2,0),FALSE)/(SUMIF('Distribution %'!$C$1:$Q$1,"BUDGET",'Distribution %'!$C225:$Q225))),"0")+0)</f>
        <v>0</v>
      </c>
      <c r="U57" s="389">
        <f>IF(VLOOKUP("Net Income",'FY ACTUALS'!$A$1:$X$996,U$3,FALSE)&lt;&gt;0,IFERROR(VLOOKUP($B57,'FY ACTUALS'!$A$1:$X$996,U$3,FALSE),"0")+0,IFERROR(($H57-SUMIF($I$1:$W$1,"ACTUAL",$I57:$W57))*(VLOOKUP($B57,'Distribution %'!$A$2:$Q$232,MATCH(U$2,'Distribution %'!$A$2:$Q$2,0),FALSE)/(SUMIF('Distribution %'!$C$1:$Q$1,"BUDGET",'Distribution %'!$C225:$Q225))),"0")+0)</f>
        <v>0</v>
      </c>
      <c r="V57" s="389">
        <f>IF(VLOOKUP("Net Income",'FY ACTUALS'!$A$1:$X$996,V$3,FALSE)&lt;&gt;0,IFERROR(VLOOKUP($B57,'FY ACTUALS'!$A$1:$X$996,V$3,FALSE),"0")+0,IFERROR(($H57-SUMIF($I$1:$W$1,"ACTUAL",$I57:$W57))*(VLOOKUP($B57,'Distribution %'!$A$2:$Q$232,MATCH(V$2,'Distribution %'!$A$2:$Q$2,0),FALSE)/(SUMIF('Distribution %'!$C$1:$Q$1,"BUDGET",'Distribution %'!$C225:$Q225))),"0")+0)</f>
        <v>0</v>
      </c>
      <c r="W57" s="460">
        <f>IF(VLOOKUP("Net Income",'FY ACTUALS'!$A$1:$X$996,W$3,FALSE)&lt;&gt;0,IFERROR(VLOOKUP($B57,'FY ACTUALS'!$A$1:$X$996,W$3,FALSE),"0")+0,IFERROR(($H57-SUMIF($I$1:$W$1,"ACTUAL",$I57:$W57))*(VLOOKUP($B57,'Distribution %'!$A$2:$Q$232,MATCH(W$2,'Distribution %'!$A$2:$Q$2,0),FALSE)/(SUMIF('Distribution %'!$C$1:$Q$1,"BUDGET",'Distribution %'!$C225:$Q225))),"0")+0)</f>
        <v>0</v>
      </c>
      <c r="X57" s="387">
        <f t="shared" si="12"/>
        <v>0</v>
      </c>
      <c r="Y57" s="387"/>
      <c r="Z57" s="387">
        <f t="shared" si="13"/>
        <v>0</v>
      </c>
    </row>
    <row r="58" spans="1:26" x14ac:dyDescent="0.75">
      <c r="B58" s="410">
        <v>8662</v>
      </c>
      <c r="C58" s="379" t="s">
        <v>1635</v>
      </c>
      <c r="F58" s="379" t="str">
        <f>IF(ISERROR(VLOOKUP(B58,'Distribution %'!A:A,1,FALSE)),"NO","YES")</f>
        <v>YES</v>
      </c>
      <c r="G58" s="392"/>
      <c r="H58" s="430">
        <f>IFERROR(VLOOKUP(B58,'Revenue w MYP'!$A$8:$J$52,10,FALSE),"0")+0</f>
        <v>15000.884999999998</v>
      </c>
      <c r="I58" s="388">
        <f>IF(VLOOKUP("Net Income",'FY ACTUALS'!$A$1:$X$996,I$3,FALSE)&lt;&gt;0,IFERROR(VLOOKUP($B58,'FY ACTUALS'!$A$1:$X$996,I$3,FALSE),"0")+0,IFERROR(($H58-SUMIF($I$1:$W$1,"ACTUAL",$I58:$W58))*(VLOOKUP($B58,'Distribution %'!$A$2:$Q$232,MATCH(I$2,'Distribution %'!$A$2:$Q$2,0),FALSE)/(SUMIF('Distribution %'!$C$1:$Q$1,"BUDGET",'Distribution %'!$C226:$Q226))),"0")+0)</f>
        <v>10.199999999999999</v>
      </c>
      <c r="J58" s="389">
        <f>IF(VLOOKUP("Net Income",'FY ACTUALS'!$A$1:$X$996,J$3,FALSE)&lt;&gt;0,IFERROR(VLOOKUP($B58,'FY ACTUALS'!$A$1:$X$996,J$3,FALSE),"0")+0,IFERROR(($H58-SUMIF($I$1:$W$1,"ACTUAL",$I58:$W58))*(VLOOKUP($B58,'Distribution %'!$A$2:$Q$232,MATCH(J$2,'Distribution %'!$A$2:$Q$2,0),FALSE)/(SUMIF('Distribution %'!$C$1:$Q$1,"BUDGET",'Distribution %'!$C226:$Q226))),"0")+0)</f>
        <v>0</v>
      </c>
      <c r="K58" s="389">
        <f>IF(VLOOKUP("Net Income",'FY ACTUALS'!$A$1:$X$996,K$3,FALSE)&lt;&gt;0,IFERROR(VLOOKUP($B58,'FY ACTUALS'!$A$1:$X$996,K$3,FALSE),"0")+0,IFERROR(($H58-SUMIF($I$1:$W$1,"ACTUAL",$I58:$W58))*(VLOOKUP($B58,'Distribution %'!$A$2:$Q$232,MATCH(K$2,'Distribution %'!$A$2:$Q$2,0),FALSE)/(SUMIF('Distribution %'!$C$1:$Q$1,"BUDGET",'Distribution %'!$C226:$Q226))),"0")+0)</f>
        <v>0</v>
      </c>
      <c r="L58" s="389">
        <f>IF(VLOOKUP("Net Income",'FY ACTUALS'!$A$1:$X$996,L$3,FALSE)&lt;&gt;0,IFERROR(VLOOKUP($B58,'FY ACTUALS'!$A$1:$X$996,L$3,FALSE),"0")+0,IFERROR(($H58-SUMIF($I$1:$W$1,"ACTUAL",$I58:$W58))*(VLOOKUP($B58,'Distribution %'!$A$2:$Q$232,MATCH(L$2,'Distribution %'!$A$2:$Q$2,0),FALSE)/(SUMIF('Distribution %'!$C$1:$Q$1,"BUDGET",'Distribution %'!$C226:$Q226))),"0")+0)</f>
        <v>0</v>
      </c>
      <c r="M58" s="389">
        <f>IF(VLOOKUP("Net Income",'FY ACTUALS'!$A$1:$X$996,M$3,FALSE)&lt;&gt;0,IFERROR(VLOOKUP($B58,'FY ACTUALS'!$A$1:$X$996,M$3,FALSE),"0")+0,IFERROR(($H58-SUMIF($I$1:$W$1,"ACTUAL",$I58:$W58))*(VLOOKUP($B58,'Distribution %'!$A$2:$Q$232,MATCH(M$2,'Distribution %'!$A$2:$Q$2,0),FALSE)/(SUMIF('Distribution %'!$C$1:$Q$1,"BUDGET",'Distribution %'!$C226:$Q226))),"0")+0)</f>
        <v>0</v>
      </c>
      <c r="N58" s="389">
        <f>IF(VLOOKUP("Net Income",'FY ACTUALS'!$A$1:$X$996,N$3,FALSE)&lt;&gt;0,IFERROR(VLOOKUP($B58,'FY ACTUALS'!$A$1:$X$996,N$3,FALSE),"0")+0,IFERROR(($H58-SUMIF($I$1:$W$1,"ACTUAL",$I58:$W58))*(VLOOKUP($B58,'Distribution %'!$A$2:$Q$232,MATCH(N$2,'Distribution %'!$A$2:$Q$2,0),FALSE)/(SUMIF('Distribution %'!$C$1:$Q$1,"BUDGET",'Distribution %'!$C226:$Q226))),"0")+0)</f>
        <v>0</v>
      </c>
      <c r="O58" s="389">
        <f>IF(VLOOKUP("Net Income",'FY ACTUALS'!$A$1:$X$996,O$3,FALSE)&lt;&gt;0,IFERROR(VLOOKUP($B58,'FY ACTUALS'!$A$1:$X$996,O$3,FALSE),"0")+0,IFERROR(($H58-SUMIF($I$1:$W$1,"ACTUAL",$I58:$W58))*(VLOOKUP($B58,'Distribution %'!$A$2:$Q$232,MATCH(O$2,'Distribution %'!$A$2:$Q$2,0),FALSE)/(SUMIF('Distribution %'!$C$1:$Q$1,"BUDGET",'Distribution %'!$C226:$Q226))),"0")+0)</f>
        <v>0</v>
      </c>
      <c r="P58" s="389">
        <f>IF(VLOOKUP("Net Income",'FY ACTUALS'!$A$1:$X$996,P$3,FALSE)&lt;&gt;0,IFERROR(VLOOKUP($B58,'FY ACTUALS'!$A$1:$X$996,P$3,FALSE),"0")+0,IFERROR(($H58-SUMIF($I$1:$W$1,"ACTUAL",$I58:$W58))*(VLOOKUP($B58,'Distribution %'!$A$2:$Q$232,MATCH(P$2,'Distribution %'!$A$2:$Q$2,0),FALSE)/(SUMIF('Distribution %'!$C$1:$Q$1,"BUDGET",'Distribution %'!$C226:$Q226))),"0")+0)</f>
        <v>2998.1369999999997</v>
      </c>
      <c r="Q58" s="389">
        <f>IF(VLOOKUP("Net Income",'FY ACTUALS'!$A$1:$X$996,Q$3,FALSE)&lt;&gt;0,IFERROR(VLOOKUP($B58,'FY ACTUALS'!$A$1:$X$996,Q$3,FALSE),"0")+0,IFERROR(($H58-SUMIF($I$1:$W$1,"ACTUAL",$I58:$W58))*(VLOOKUP($B58,'Distribution %'!$A$2:$Q$232,MATCH(Q$2,'Distribution %'!$A$2:$Q$2,0),FALSE)/(SUMIF('Distribution %'!$C$1:$Q$1,"BUDGET",'Distribution %'!$C226:$Q226))),"0")+0)</f>
        <v>2998.1369999999997</v>
      </c>
      <c r="R58" s="389">
        <f>IF(VLOOKUP("Net Income",'FY ACTUALS'!$A$1:$X$996,R$3,FALSE)&lt;&gt;0,IFERROR(VLOOKUP($B58,'FY ACTUALS'!$A$1:$X$996,R$3,FALSE),"0")+0,IFERROR(($H58-SUMIF($I$1:$W$1,"ACTUAL",$I58:$W58))*(VLOOKUP($B58,'Distribution %'!$A$2:$Q$232,MATCH(R$2,'Distribution %'!$A$2:$Q$2,0),FALSE)/(SUMIF('Distribution %'!$C$1:$Q$1,"BUDGET",'Distribution %'!$C226:$Q226))),"0")+0)</f>
        <v>2998.1369999999997</v>
      </c>
      <c r="S58" s="389">
        <f>IF(VLOOKUP("Net Income",'FY ACTUALS'!$A$1:$X$996,S$3,FALSE)&lt;&gt;0,IFERROR(VLOOKUP($B58,'FY ACTUALS'!$A$1:$X$996,S$3,FALSE),"0")+0,IFERROR(($H58-SUMIF($I$1:$W$1,"ACTUAL",$I58:$W58))*(VLOOKUP($B58,'Distribution %'!$A$2:$Q$232,MATCH(S$2,'Distribution %'!$A$2:$Q$2,0),FALSE)/(SUMIF('Distribution %'!$C$1:$Q$1,"BUDGET",'Distribution %'!$C226:$Q226))),"0")+0)</f>
        <v>2998.1369999999997</v>
      </c>
      <c r="T58" s="389">
        <f>IF(VLOOKUP("Net Income",'FY ACTUALS'!$A$1:$X$996,T$3,FALSE)&lt;&gt;0,IFERROR(VLOOKUP($B58,'FY ACTUALS'!$A$1:$X$996,T$3,FALSE),"0")+0,IFERROR(($H58-SUMIF($I$1:$W$1,"ACTUAL",$I58:$W58))*(VLOOKUP($B58,'Distribution %'!$A$2:$Q$232,MATCH(T$2,'Distribution %'!$A$2:$Q$2,0),FALSE)/(SUMIF('Distribution %'!$C$1:$Q$1,"BUDGET",'Distribution %'!$C226:$Q226))),"0")+0)</f>
        <v>2998.1369999999997</v>
      </c>
      <c r="U58" s="389">
        <f>IF(VLOOKUP("Net Income",'FY ACTUALS'!$A$1:$X$996,U$3,FALSE)&lt;&gt;0,IFERROR(VLOOKUP($B58,'FY ACTUALS'!$A$1:$X$996,U$3,FALSE),"0")+0,IFERROR(($H58-SUMIF($I$1:$W$1,"ACTUAL",$I58:$W58))*(VLOOKUP($B58,'Distribution %'!$A$2:$Q$232,MATCH(U$2,'Distribution %'!$A$2:$Q$2,0),FALSE)/(SUMIF('Distribution %'!$C$1:$Q$1,"BUDGET",'Distribution %'!$C226:$Q226))),"0")+0)</f>
        <v>0</v>
      </c>
      <c r="V58" s="389">
        <f>IF(VLOOKUP("Net Income",'FY ACTUALS'!$A$1:$X$996,V$3,FALSE)&lt;&gt;0,IFERROR(VLOOKUP($B58,'FY ACTUALS'!$A$1:$X$996,V$3,FALSE),"0")+0,IFERROR(($H58-SUMIF($I$1:$W$1,"ACTUAL",$I58:$W58))*(VLOOKUP($B58,'Distribution %'!$A$2:$Q$232,MATCH(V$2,'Distribution %'!$A$2:$Q$2,0),FALSE)/(SUMIF('Distribution %'!$C$1:$Q$1,"BUDGET",'Distribution %'!$C226:$Q226))),"0")+0)</f>
        <v>0</v>
      </c>
      <c r="W58" s="460">
        <f>IF(VLOOKUP("Net Income",'FY ACTUALS'!$A$1:$X$996,W$3,FALSE)&lt;&gt;0,IFERROR(VLOOKUP($B58,'FY ACTUALS'!$A$1:$X$996,W$3,FALSE),"0")+0,IFERROR(($H58-SUMIF($I$1:$W$1,"ACTUAL",$I58:$W58))*(VLOOKUP($B58,'Distribution %'!$A$2:$Q$232,MATCH(W$2,'Distribution %'!$A$2:$Q$2,0),FALSE)/(SUMIF('Distribution %'!$C$1:$Q$1,"BUDGET",'Distribution %'!$C226:$Q226))),"0")+0)</f>
        <v>0</v>
      </c>
      <c r="X58" s="387">
        <f t="shared" ref="X58" si="14">+SUM(I58:W58)</f>
        <v>15000.884999999998</v>
      </c>
      <c r="Y58" s="387"/>
      <c r="Z58" s="387">
        <f t="shared" ref="Z58" si="15">+H58-X58</f>
        <v>0</v>
      </c>
    </row>
    <row r="59" spans="1:26" x14ac:dyDescent="0.75">
      <c r="B59" s="410">
        <v>8982</v>
      </c>
      <c r="C59" s="379" t="s">
        <v>1474</v>
      </c>
      <c r="F59" s="379" t="str">
        <f>IF(ISERROR(VLOOKUP(B59,'Distribution %'!A:A,1,FALSE)),"NO","YES")</f>
        <v>YES</v>
      </c>
      <c r="G59" s="392"/>
      <c r="H59" s="430">
        <f>IFERROR(VLOOKUP(B59,'Revenue w MYP'!$A$8:$J$52,10,FALSE),"0")+0</f>
        <v>0</v>
      </c>
      <c r="I59" s="388">
        <f>IF(VLOOKUP("Net Income",'FY ACTUALS'!$A$1:$X$996,I$3,FALSE)&lt;&gt;0,IFERROR(VLOOKUP($B59,'FY ACTUALS'!$A$1:$X$996,I$3,FALSE),"0")+0,IFERROR(($H59-SUMIF($I$1:$W$1,"ACTUAL",$I59:$W59))*(VLOOKUP($B59,'Distribution %'!$A$2:$Q$232,MATCH(I$2,'Distribution %'!$A$2:$Q$2,0),FALSE)/(SUMIF('Distribution %'!$C$1:$Q$1,"BUDGET",'Distribution %'!$C226:$Q226))),"0")+0)</f>
        <v>0</v>
      </c>
      <c r="J59" s="389">
        <f>IF(VLOOKUP("Net Income",'FY ACTUALS'!$A$1:$X$996,J$3,FALSE)&lt;&gt;0,IFERROR(VLOOKUP($B59,'FY ACTUALS'!$A$1:$X$996,J$3,FALSE),"0")+0,IFERROR(($H59-SUMIF($I$1:$W$1,"ACTUAL",$I59:$W59))*(VLOOKUP($B59,'Distribution %'!$A$2:$Q$232,MATCH(J$2,'Distribution %'!$A$2:$Q$2,0),FALSE)/(SUMIF('Distribution %'!$C$1:$Q$1,"BUDGET",'Distribution %'!$C226:$Q226))),"0")+0)</f>
        <v>0</v>
      </c>
      <c r="K59" s="389">
        <f>IF(VLOOKUP("Net Income",'FY ACTUALS'!$A$1:$X$996,K$3,FALSE)&lt;&gt;0,IFERROR(VLOOKUP($B59,'FY ACTUALS'!$A$1:$X$996,K$3,FALSE),"0")+0,IFERROR(($H59-SUMIF($I$1:$W$1,"ACTUAL",$I59:$W59))*(VLOOKUP($B59,'Distribution %'!$A$2:$Q$232,MATCH(K$2,'Distribution %'!$A$2:$Q$2,0),FALSE)/(SUMIF('Distribution %'!$C$1:$Q$1,"BUDGET",'Distribution %'!$C226:$Q226))),"0")+0)</f>
        <v>0</v>
      </c>
      <c r="L59" s="389">
        <f>IF(VLOOKUP("Net Income",'FY ACTUALS'!$A$1:$X$996,L$3,FALSE)&lt;&gt;0,IFERROR(VLOOKUP($B59,'FY ACTUALS'!$A$1:$X$996,L$3,FALSE),"0")+0,IFERROR(($H59-SUMIF($I$1:$W$1,"ACTUAL",$I59:$W59))*(VLOOKUP($B59,'Distribution %'!$A$2:$Q$232,MATCH(L$2,'Distribution %'!$A$2:$Q$2,0),FALSE)/(SUMIF('Distribution %'!$C$1:$Q$1,"BUDGET",'Distribution %'!$C226:$Q226))),"0")+0)</f>
        <v>0</v>
      </c>
      <c r="M59" s="389">
        <f>IF(VLOOKUP("Net Income",'FY ACTUALS'!$A$1:$X$996,M$3,FALSE)&lt;&gt;0,IFERROR(VLOOKUP($B59,'FY ACTUALS'!$A$1:$X$996,M$3,FALSE),"0")+0,IFERROR(($H59-SUMIF($I$1:$W$1,"ACTUAL",$I59:$W59))*(VLOOKUP($B59,'Distribution %'!$A$2:$Q$232,MATCH(M$2,'Distribution %'!$A$2:$Q$2,0),FALSE)/(SUMIF('Distribution %'!$C$1:$Q$1,"BUDGET",'Distribution %'!$C226:$Q226))),"0")+0)</f>
        <v>0</v>
      </c>
      <c r="N59" s="389">
        <f>IF(VLOOKUP("Net Income",'FY ACTUALS'!$A$1:$X$996,N$3,FALSE)&lt;&gt;0,IFERROR(VLOOKUP($B59,'FY ACTUALS'!$A$1:$X$996,N$3,FALSE),"0")+0,IFERROR(($H59-SUMIF($I$1:$W$1,"ACTUAL",$I59:$W59))*(VLOOKUP($B59,'Distribution %'!$A$2:$Q$232,MATCH(N$2,'Distribution %'!$A$2:$Q$2,0),FALSE)/(SUMIF('Distribution %'!$C$1:$Q$1,"BUDGET",'Distribution %'!$C226:$Q226))),"0")+0)</f>
        <v>0</v>
      </c>
      <c r="O59" s="389">
        <f>IF(VLOOKUP("Net Income",'FY ACTUALS'!$A$1:$X$996,O$3,FALSE)&lt;&gt;0,IFERROR(VLOOKUP($B59,'FY ACTUALS'!$A$1:$X$996,O$3,FALSE),"0")+0,IFERROR(($H59-SUMIF($I$1:$W$1,"ACTUAL",$I59:$W59))*(VLOOKUP($B59,'Distribution %'!$A$2:$Q$232,MATCH(O$2,'Distribution %'!$A$2:$Q$2,0),FALSE)/(SUMIF('Distribution %'!$C$1:$Q$1,"BUDGET",'Distribution %'!$C226:$Q226))),"0")+0)</f>
        <v>0</v>
      </c>
      <c r="P59" s="389">
        <f>IF(VLOOKUP("Net Income",'FY ACTUALS'!$A$1:$X$996,P$3,FALSE)&lt;&gt;0,IFERROR(VLOOKUP($B59,'FY ACTUALS'!$A$1:$X$996,P$3,FALSE),"0")+0,IFERROR(($H59-SUMIF($I$1:$W$1,"ACTUAL",$I59:$W59))*(VLOOKUP($B59,'Distribution %'!$A$2:$Q$232,MATCH(P$2,'Distribution %'!$A$2:$Q$2,0),FALSE)/(SUMIF('Distribution %'!$C$1:$Q$1,"BUDGET",'Distribution %'!$C226:$Q226))),"0")+0)</f>
        <v>0</v>
      </c>
      <c r="Q59" s="389">
        <f>IF(VLOOKUP("Net Income",'FY ACTUALS'!$A$1:$X$996,Q$3,FALSE)&lt;&gt;0,IFERROR(VLOOKUP($B59,'FY ACTUALS'!$A$1:$X$996,Q$3,FALSE),"0")+0,IFERROR(($H59-SUMIF($I$1:$W$1,"ACTUAL",$I59:$W59))*(VLOOKUP($B59,'Distribution %'!$A$2:$Q$232,MATCH(Q$2,'Distribution %'!$A$2:$Q$2,0),FALSE)/(SUMIF('Distribution %'!$C$1:$Q$1,"BUDGET",'Distribution %'!$C226:$Q226))),"0")+0)</f>
        <v>0</v>
      </c>
      <c r="R59" s="389">
        <f>IF(VLOOKUP("Net Income",'FY ACTUALS'!$A$1:$X$996,R$3,FALSE)&lt;&gt;0,IFERROR(VLOOKUP($B59,'FY ACTUALS'!$A$1:$X$996,R$3,FALSE),"0")+0,IFERROR(($H59-SUMIF($I$1:$W$1,"ACTUAL",$I59:$W59))*(VLOOKUP($B59,'Distribution %'!$A$2:$Q$232,MATCH(R$2,'Distribution %'!$A$2:$Q$2,0),FALSE)/(SUMIF('Distribution %'!$C$1:$Q$1,"BUDGET",'Distribution %'!$C226:$Q226))),"0")+0)</f>
        <v>0</v>
      </c>
      <c r="S59" s="389">
        <f>IF(VLOOKUP("Net Income",'FY ACTUALS'!$A$1:$X$996,S$3,FALSE)&lt;&gt;0,IFERROR(VLOOKUP($B59,'FY ACTUALS'!$A$1:$X$996,S$3,FALSE),"0")+0,IFERROR(($H59-SUMIF($I$1:$W$1,"ACTUAL",$I59:$W59))*(VLOOKUP($B59,'Distribution %'!$A$2:$Q$232,MATCH(S$2,'Distribution %'!$A$2:$Q$2,0),FALSE)/(SUMIF('Distribution %'!$C$1:$Q$1,"BUDGET",'Distribution %'!$C226:$Q226))),"0")+0)</f>
        <v>0</v>
      </c>
      <c r="T59" s="389">
        <f>IF(VLOOKUP("Net Income",'FY ACTUALS'!$A$1:$X$996,T$3,FALSE)&lt;&gt;0,IFERROR(VLOOKUP($B59,'FY ACTUALS'!$A$1:$X$996,T$3,FALSE),"0")+0,IFERROR(($H59-SUMIF($I$1:$W$1,"ACTUAL",$I59:$W59))*(VLOOKUP($B59,'Distribution %'!$A$2:$Q$232,MATCH(T$2,'Distribution %'!$A$2:$Q$2,0),FALSE)/(SUMIF('Distribution %'!$C$1:$Q$1,"BUDGET",'Distribution %'!$C226:$Q226))),"0")+0)</f>
        <v>0</v>
      </c>
      <c r="U59" s="389">
        <f>IF(VLOOKUP("Net Income",'FY ACTUALS'!$A$1:$X$996,U$3,FALSE)&lt;&gt;0,IFERROR(VLOOKUP($B59,'FY ACTUALS'!$A$1:$X$996,U$3,FALSE),"0")+0,IFERROR(($H59-SUMIF($I$1:$W$1,"ACTUAL",$I59:$W59))*(VLOOKUP($B59,'Distribution %'!$A$2:$Q$232,MATCH(U$2,'Distribution %'!$A$2:$Q$2,0),FALSE)/(SUMIF('Distribution %'!$C$1:$Q$1,"BUDGET",'Distribution %'!$C226:$Q226))),"0")+0)</f>
        <v>0</v>
      </c>
      <c r="V59" s="389">
        <f>IF(VLOOKUP("Net Income",'FY ACTUALS'!$A$1:$X$996,V$3,FALSE)&lt;&gt;0,IFERROR(VLOOKUP($B59,'FY ACTUALS'!$A$1:$X$996,V$3,FALSE),"0")+0,IFERROR(($H59-SUMIF($I$1:$W$1,"ACTUAL",$I59:$W59))*(VLOOKUP($B59,'Distribution %'!$A$2:$Q$232,MATCH(V$2,'Distribution %'!$A$2:$Q$2,0),FALSE)/(SUMIF('Distribution %'!$C$1:$Q$1,"BUDGET",'Distribution %'!$C226:$Q226))),"0")+0)</f>
        <v>0</v>
      </c>
      <c r="W59" s="460">
        <f>IF(VLOOKUP("Net Income",'FY ACTUALS'!$A$1:$X$996,W$3,FALSE)&lt;&gt;0,IFERROR(VLOOKUP($B59,'FY ACTUALS'!$A$1:$X$996,W$3,FALSE),"0")+0,IFERROR(($H59-SUMIF($I$1:$W$1,"ACTUAL",$I59:$W59))*(VLOOKUP($B59,'Distribution %'!$A$2:$Q$232,MATCH(W$2,'Distribution %'!$A$2:$Q$2,0),FALSE)/(SUMIF('Distribution %'!$C$1:$Q$1,"BUDGET",'Distribution %'!$C226:$Q226))),"0")+0)</f>
        <v>0</v>
      </c>
      <c r="X59" s="387">
        <f t="shared" si="12"/>
        <v>0</v>
      </c>
      <c r="Y59" s="387"/>
      <c r="Z59" s="387">
        <f t="shared" si="13"/>
        <v>0</v>
      </c>
    </row>
    <row r="60" spans="1:26" x14ac:dyDescent="0.75">
      <c r="B60" s="410" t="s">
        <v>1397</v>
      </c>
      <c r="C60" s="379">
        <v>0</v>
      </c>
      <c r="G60" s="392"/>
      <c r="H60" s="432"/>
      <c r="I60" s="398"/>
      <c r="J60" s="399"/>
      <c r="K60" s="399"/>
      <c r="L60" s="399"/>
      <c r="M60" s="399"/>
      <c r="N60" s="399"/>
      <c r="O60" s="399"/>
      <c r="P60" s="399"/>
      <c r="Q60" s="399"/>
      <c r="R60" s="399"/>
      <c r="S60" s="399"/>
      <c r="T60" s="399"/>
      <c r="U60" s="399"/>
      <c r="V60" s="399"/>
      <c r="W60" s="433"/>
      <c r="X60" s="400">
        <f t="shared" si="12"/>
        <v>0</v>
      </c>
      <c r="Y60" s="400"/>
      <c r="Z60" s="400">
        <f t="shared" si="13"/>
        <v>0</v>
      </c>
    </row>
    <row r="61" spans="1:26" x14ac:dyDescent="0.75">
      <c r="B61" s="379" t="s">
        <v>1372</v>
      </c>
      <c r="G61" s="392"/>
      <c r="H61" s="439">
        <f>SUM(H45:H60)</f>
        <v>113070.12499999999</v>
      </c>
      <c r="I61" s="404">
        <f>SUM(I45:I60)</f>
        <v>9510.02</v>
      </c>
      <c r="J61" s="405">
        <f>SUM(J45:J60)</f>
        <v>7923</v>
      </c>
      <c r="K61" s="405">
        <f t="shared" ref="K61:Z61" si="16">SUM(K45:K60)</f>
        <v>9779.25</v>
      </c>
      <c r="L61" s="405">
        <f t="shared" si="16"/>
        <v>8175.8099999999995</v>
      </c>
      <c r="M61" s="405">
        <f t="shared" si="16"/>
        <v>7487.45</v>
      </c>
      <c r="N61" s="405">
        <f t="shared" si="16"/>
        <v>8730.1500000000015</v>
      </c>
      <c r="O61" s="405">
        <f t="shared" si="16"/>
        <v>13051.07</v>
      </c>
      <c r="P61" s="405">
        <f t="shared" si="16"/>
        <v>9653.4428090692127</v>
      </c>
      <c r="Q61" s="405">
        <f t="shared" si="16"/>
        <v>9689.9830477326977</v>
      </c>
      <c r="R61" s="405">
        <f t="shared" si="16"/>
        <v>9689.9830477326977</v>
      </c>
      <c r="S61" s="405">
        <f t="shared" si="16"/>
        <v>9689.9830477326977</v>
      </c>
      <c r="T61" s="405">
        <f t="shared" si="16"/>
        <v>9689.9830477326977</v>
      </c>
      <c r="U61" s="418">
        <f t="shared" si="16"/>
        <v>0</v>
      </c>
      <c r="V61" s="418">
        <f t="shared" ref="V61" si="17">SUM(V45:V60)</f>
        <v>0</v>
      </c>
      <c r="W61" s="440">
        <f t="shared" si="16"/>
        <v>0</v>
      </c>
      <c r="X61" s="418">
        <f t="shared" si="16"/>
        <v>113070.12499999999</v>
      </c>
      <c r="Y61" s="418">
        <f t="shared" si="16"/>
        <v>0</v>
      </c>
      <c r="Z61" s="418">
        <f t="shared" si="16"/>
        <v>0</v>
      </c>
    </row>
    <row r="62" spans="1:26" x14ac:dyDescent="0.75">
      <c r="G62" s="392"/>
      <c r="H62" s="430"/>
      <c r="I62" s="388"/>
      <c r="J62" s="389"/>
      <c r="K62" s="389"/>
      <c r="L62" s="389"/>
      <c r="M62" s="389"/>
      <c r="N62" s="389"/>
      <c r="O62" s="389"/>
      <c r="P62" s="389"/>
      <c r="Q62" s="389"/>
      <c r="R62" s="389"/>
      <c r="S62" s="390"/>
      <c r="T62" s="390"/>
      <c r="U62" s="387"/>
      <c r="V62" s="387"/>
      <c r="W62" s="431"/>
      <c r="X62" s="387"/>
      <c r="Y62" s="387"/>
      <c r="Z62" s="387"/>
    </row>
    <row r="63" spans="1:26" x14ac:dyDescent="0.75">
      <c r="A63" s="365" t="s">
        <v>1373</v>
      </c>
      <c r="G63" s="392"/>
      <c r="H63" s="439">
        <f t="shared" ref="H63:W63" si="18">H61+H42+H28+H13</f>
        <v>35015263.319345683</v>
      </c>
      <c r="I63" s="404">
        <f>I61+I42+I28+I13</f>
        <v>716586.81</v>
      </c>
      <c r="J63" s="405">
        <f t="shared" si="18"/>
        <v>1310997</v>
      </c>
      <c r="K63" s="405">
        <f t="shared" si="18"/>
        <v>2942217.2</v>
      </c>
      <c r="L63" s="405">
        <f t="shared" si="18"/>
        <v>2394150.58</v>
      </c>
      <c r="M63" s="405">
        <f t="shared" si="18"/>
        <v>2207880.4500000002</v>
      </c>
      <c r="N63" s="405">
        <f t="shared" si="18"/>
        <v>2516233.54</v>
      </c>
      <c r="O63" s="405">
        <f t="shared" si="18"/>
        <v>3738713.2199999997</v>
      </c>
      <c r="P63" s="405">
        <f t="shared" si="18"/>
        <v>2906442.1221613646</v>
      </c>
      <c r="Q63" s="405">
        <f t="shared" si="18"/>
        <v>3793519.4003975391</v>
      </c>
      <c r="R63" s="405">
        <f t="shared" si="18"/>
        <v>3657526.3409238844</v>
      </c>
      <c r="S63" s="406">
        <f t="shared" si="18"/>
        <v>2804411.1818510373</v>
      </c>
      <c r="T63" s="406">
        <f t="shared" si="18"/>
        <v>4882884.8125884309</v>
      </c>
      <c r="U63" s="418">
        <f t="shared" si="18"/>
        <v>487503.80988540797</v>
      </c>
      <c r="V63" s="418">
        <f t="shared" ref="V63" si="19">V61+V42+V28+V13</f>
        <v>191806.27539122861</v>
      </c>
      <c r="W63" s="438">
        <f t="shared" si="18"/>
        <v>543548.57614678959</v>
      </c>
      <c r="X63" s="418">
        <f>SUM(I63:W63)</f>
        <v>35094421.319345675</v>
      </c>
      <c r="Y63" s="418"/>
      <c r="Z63" s="418">
        <f>SUMPRODUCT((LEFT($B7:$B61,5)="Total")*(Z7:Z61))</f>
        <v>-79157.475829758332</v>
      </c>
    </row>
    <row r="64" spans="1:26" x14ac:dyDescent="0.75">
      <c r="G64" s="392"/>
      <c r="H64" s="430"/>
      <c r="I64" s="388"/>
      <c r="J64" s="389"/>
      <c r="K64" s="389"/>
      <c r="L64" s="389"/>
      <c r="M64" s="389"/>
      <c r="N64" s="389"/>
      <c r="O64" s="389"/>
      <c r="P64" s="389"/>
      <c r="Q64" s="389"/>
      <c r="R64" s="389"/>
      <c r="S64" s="390"/>
      <c r="T64" s="390"/>
      <c r="U64" s="387"/>
      <c r="V64" s="387"/>
      <c r="W64" s="431"/>
      <c r="X64" s="387"/>
      <c r="Y64" s="387"/>
      <c r="Z64" s="387"/>
    </row>
    <row r="65" spans="1:26" x14ac:dyDescent="0.75">
      <c r="G65" s="392"/>
      <c r="H65" s="430"/>
      <c r="I65" s="388"/>
      <c r="J65" s="389"/>
      <c r="K65" s="389"/>
      <c r="L65" s="389"/>
      <c r="M65" s="389"/>
      <c r="N65" s="389"/>
      <c r="O65" s="389"/>
      <c r="P65" s="389"/>
      <c r="Q65" s="389"/>
      <c r="R65" s="389"/>
      <c r="S65" s="390"/>
      <c r="T65" s="390"/>
      <c r="U65" s="387"/>
      <c r="V65" s="387"/>
      <c r="W65" s="431"/>
      <c r="X65" s="387"/>
      <c r="Y65" s="387"/>
      <c r="Z65" s="387"/>
    </row>
    <row r="66" spans="1:26" x14ac:dyDescent="0.75">
      <c r="A66" s="411" t="s">
        <v>1374</v>
      </c>
      <c r="B66" s="364"/>
      <c r="G66" s="392"/>
      <c r="H66" s="430"/>
      <c r="I66" s="388"/>
      <c r="J66" s="389"/>
      <c r="K66" s="389"/>
      <c r="L66" s="389"/>
      <c r="M66" s="389"/>
      <c r="N66" s="389"/>
      <c r="O66" s="389"/>
      <c r="P66" s="389"/>
      <c r="Q66" s="389"/>
      <c r="R66" s="389"/>
      <c r="S66" s="390"/>
      <c r="T66" s="390"/>
      <c r="U66" s="387"/>
      <c r="V66" s="387"/>
      <c r="W66" s="431"/>
      <c r="X66" s="387"/>
      <c r="Y66" s="387"/>
      <c r="Z66" s="387"/>
    </row>
    <row r="67" spans="1:26" x14ac:dyDescent="0.75">
      <c r="A67" s="366"/>
      <c r="B67" s="364" t="s">
        <v>1375</v>
      </c>
      <c r="G67" s="392"/>
      <c r="H67" s="430"/>
      <c r="I67" s="388"/>
      <c r="J67" s="389"/>
      <c r="K67" s="389"/>
      <c r="L67" s="389"/>
      <c r="M67" s="389"/>
      <c r="N67" s="389"/>
      <c r="O67" s="389"/>
      <c r="P67" s="389"/>
      <c r="Q67" s="389"/>
      <c r="R67" s="389"/>
      <c r="S67" s="390"/>
      <c r="T67" s="390"/>
      <c r="U67" s="387"/>
      <c r="V67" s="387"/>
      <c r="W67" s="431"/>
      <c r="X67" s="387"/>
      <c r="Y67" s="387"/>
      <c r="Z67" s="387"/>
    </row>
    <row r="68" spans="1:26" x14ac:dyDescent="0.75">
      <c r="B68" s="379">
        <v>1100</v>
      </c>
      <c r="C68" s="379" t="s">
        <v>1376</v>
      </c>
      <c r="F68" s="379" t="str">
        <f>IF(ISERROR(VLOOKUP(B68,'Distribution %'!A:A,1,FALSE)),"NO","YES")</f>
        <v>YES</v>
      </c>
      <c r="G68" s="392"/>
      <c r="H68" s="430">
        <f ca="1">IFERROR(VLOOKUP(B68,'Expenses w MYP'!$A$8:$K$119,11,FALSE),"0")+0</f>
        <v>10619942.333702598</v>
      </c>
      <c r="I68" s="388">
        <f>IF(VLOOKUP("Net Income",'FY ACTUALS'!$A$1:$X$996,I$3,FALSE)&lt;&gt;0,IFERROR(VLOOKUP($B68,'FY ACTUALS'!$A$1:$X$996,I$3,FALSE),"0")+0,IFERROR(($H68-SUMIF($I$1:$W$1,"ACTUAL",$I68:$W68))*(VLOOKUP($B68,'Distribution %'!$A$2:$Q$232,MATCH(I$2,'Distribution %'!$A$2:$Q$2,0),FALSE)/(SUMIF('Distribution %'!$C$1:$Q$1,"BUDGET",'Distribution %'!$C4:$Q4))),"0")+0)</f>
        <v>58635.28</v>
      </c>
      <c r="J68" s="389">
        <f>IF(VLOOKUP("Net Income",'FY ACTUALS'!$A$1:$X$996,J$3,FALSE)&lt;&gt;0,IFERROR(VLOOKUP($B68,'FY ACTUALS'!$A$1:$X$996,J$3,FALSE),"0")+0,IFERROR(($H68-SUMIF($I$1:$W$1,"ACTUAL",$I68:$W68))*(VLOOKUP($B68,'Distribution %'!$A$2:$Q$232,MATCH(J$2,'Distribution %'!$A$2:$Q$2,0),FALSE)/(SUMIF('Distribution %'!$C$1:$Q$1,"BUDGET",'Distribution %'!$C4:$Q4))),"0")+0)</f>
        <v>817248.62</v>
      </c>
      <c r="K68" s="389">
        <f>IF(VLOOKUP("Net Income",'FY ACTUALS'!$A$1:$X$996,K$3,FALSE)&lt;&gt;0,IFERROR(VLOOKUP($B68,'FY ACTUALS'!$A$1:$X$996,K$3,FALSE),"0")+0,IFERROR(($H68-SUMIF($I$1:$W$1,"ACTUAL",$I68:$W68))*(VLOOKUP($B68,'Distribution %'!$A$2:$Q$232,MATCH(K$2,'Distribution %'!$A$2:$Q$2,0),FALSE)/(SUMIF('Distribution %'!$C$1:$Q$1,"BUDGET",'Distribution %'!$C4:$Q4))),"0")+0)</f>
        <v>813601.94</v>
      </c>
      <c r="L68" s="389">
        <f>IF(VLOOKUP("Net Income",'FY ACTUALS'!$A$1:$X$996,L$3,FALSE)&lt;&gt;0,IFERROR(VLOOKUP($B68,'FY ACTUALS'!$A$1:$X$996,L$3,FALSE),"0")+0,IFERROR(($H68-SUMIF($I$1:$W$1,"ACTUAL",$I68:$W68))*(VLOOKUP($B68,'Distribution %'!$A$2:$Q$232,MATCH(L$2,'Distribution %'!$A$2:$Q$2,0),FALSE)/(SUMIF('Distribution %'!$C$1:$Q$1,"BUDGET",'Distribution %'!$C4:$Q4))),"0")+0)</f>
        <v>780541.39</v>
      </c>
      <c r="M68" s="389">
        <f>IF(VLOOKUP("Net Income",'FY ACTUALS'!$A$1:$X$996,M$3,FALSE)&lt;&gt;0,IFERROR(VLOOKUP($B68,'FY ACTUALS'!$A$1:$X$996,M$3,FALSE),"0")+0,IFERROR(($H68-SUMIF($I$1:$W$1,"ACTUAL",$I68:$W68))*(VLOOKUP($B68,'Distribution %'!$A$2:$Q$232,MATCH(M$2,'Distribution %'!$A$2:$Q$2,0),FALSE)/(SUMIF('Distribution %'!$C$1:$Q$1,"BUDGET",'Distribution %'!$C4:$Q4))),"0")+0)</f>
        <v>780294.72</v>
      </c>
      <c r="N68" s="389">
        <f>IF(VLOOKUP("Net Income",'FY ACTUALS'!$A$1:$X$996,N$3,FALSE)&lt;&gt;0,IFERROR(VLOOKUP($B68,'FY ACTUALS'!$A$1:$X$996,N$3,FALSE),"0")+0,IFERROR(($H68-SUMIF($I$1:$W$1,"ACTUAL",$I68:$W68))*(VLOOKUP($B68,'Distribution %'!$A$2:$Q$232,MATCH(N$2,'Distribution %'!$A$2:$Q$2,0),FALSE)/(SUMIF('Distribution %'!$C$1:$Q$1,"BUDGET",'Distribution %'!$C4:$Q4))),"0")+0)</f>
        <v>786897.7</v>
      </c>
      <c r="O68" s="389">
        <f>IF(VLOOKUP("Net Income",'FY ACTUALS'!$A$1:$X$996,O$3,FALSE)&lt;&gt;0,IFERROR(VLOOKUP($B68,'FY ACTUALS'!$A$1:$X$996,O$3,FALSE),"0")+0,IFERROR(($H68-SUMIF($I$1:$W$1,"ACTUAL",$I68:$W68))*(VLOOKUP($B68,'Distribution %'!$A$2:$Q$232,MATCH(O$2,'Distribution %'!$A$2:$Q$2,0),FALSE)/(SUMIF('Distribution %'!$C$1:$Q$1,"BUDGET",'Distribution %'!$C4:$Q4))),"0")+0)</f>
        <v>970900.28</v>
      </c>
      <c r="P68" s="389">
        <f ca="1">IF(VLOOKUP("Net Income",'FY ACTUALS'!$A$1:$X$996,P$3,FALSE)&lt;&gt;0,IFERROR(VLOOKUP($B68,'FY ACTUALS'!$A$1:$X$996,P$3,FALSE),"0")+0,IFERROR(($H68-SUMIF($I$1:$W$1,"ACTUAL",$I68:$W68))*(VLOOKUP($B68,'Distribution %'!$A$2:$Q$232,MATCH(P$2,'Distribution %'!$A$2:$Q$2,0),FALSE)/(SUMIF('Distribution %'!$C$1:$Q$1,"BUDGET",'Distribution %'!$C4:$Q4))),"0")+0)</f>
        <v>1111649.7840270062</v>
      </c>
      <c r="Q68" s="389">
        <f ca="1">IF(VLOOKUP("Net Income",'FY ACTUALS'!$A$1:$X$996,Q$3,FALSE)&lt;&gt;0,IFERROR(VLOOKUP($B68,'FY ACTUALS'!$A$1:$X$996,Q$3,FALSE),"0")+0,IFERROR(($H68-SUMIF($I$1:$W$1,"ACTUAL",$I68:$W68))*(VLOOKUP($B68,'Distribution %'!$A$2:$Q$232,MATCH(Q$2,'Distribution %'!$A$2:$Q$2,0),FALSE)/(SUMIF('Distribution %'!$C$1:$Q$1,"BUDGET",'Distribution %'!$C4:$Q4))),"0")+0)</f>
        <v>1125043.1549188977</v>
      </c>
      <c r="R68" s="389">
        <f ca="1">IF(VLOOKUP("Net Income",'FY ACTUALS'!$A$1:$X$996,R$3,FALSE)&lt;&gt;0,IFERROR(VLOOKUP($B68,'FY ACTUALS'!$A$1:$X$996,R$3,FALSE),"0")+0,IFERROR(($H68-SUMIF($I$1:$W$1,"ACTUAL",$I68:$W68))*(VLOOKUP($B68,'Distribution %'!$A$2:$Q$232,MATCH(R$2,'Distribution %'!$A$2:$Q$2,0),FALSE)/(SUMIF('Distribution %'!$C$1:$Q$1,"BUDGET",'Distribution %'!$C4:$Q4))),"0")+0)</f>
        <v>1125043.1549188977</v>
      </c>
      <c r="S68" s="389">
        <f ca="1">IF(VLOOKUP("Net Income",'FY ACTUALS'!$A$1:$X$996,S$3,FALSE)&lt;&gt;0,IFERROR(VLOOKUP($B68,'FY ACTUALS'!$A$1:$X$996,S$3,FALSE),"0")+0,IFERROR(($H68-SUMIF($I$1:$W$1,"ACTUAL",$I68:$W68))*(VLOOKUP($B68,'Distribution %'!$A$2:$Q$232,MATCH(S$2,'Distribution %'!$A$2:$Q$2,0),FALSE)/(SUMIF('Distribution %'!$C$1:$Q$1,"BUDGET",'Distribution %'!$C4:$Q4))),"0")+0)</f>
        <v>1125043.1549188977</v>
      </c>
      <c r="T68" s="389">
        <f ca="1">IF(VLOOKUP("Net Income",'FY ACTUALS'!$A$1:$X$996,T$3,FALSE)&lt;&gt;0,IFERROR(VLOOKUP($B68,'FY ACTUALS'!$A$1:$X$996,T$3,FALSE),"0")+0,IFERROR(($H68-SUMIF($I$1:$W$1,"ACTUAL",$I68:$W68))*(VLOOKUP($B68,'Distribution %'!$A$2:$Q$232,MATCH(T$2,'Distribution %'!$A$2:$Q$2,0),FALSE)/(SUMIF('Distribution %'!$C$1:$Q$1,"BUDGET",'Distribution %'!$C4:$Q4))),"0")+0)</f>
        <v>1125043.1549188977</v>
      </c>
      <c r="U68" s="389">
        <f ca="1">IF(VLOOKUP("Net Income",'FY ACTUALS'!$A$1:$X$996,U$3,FALSE)&lt;&gt;0,IFERROR(VLOOKUP($B68,'FY ACTUALS'!$A$1:$X$996,U$3,FALSE),"0")+0,IFERROR(($H68-SUMIF($I$1:$W$1,"ACTUAL",$I68:$W68))*(VLOOKUP($B68,'Distribution %'!$A$2:$Q$232,MATCH(U$2,'Distribution %'!$A$2:$Q$2,0),FALSE)/(SUMIF('Distribution %'!$C$1:$Q$1,"BUDGET",'Distribution %'!$C4:$Q4))),"0")+0)</f>
        <v>0</v>
      </c>
      <c r="V68" s="389">
        <f ca="1">IF(VLOOKUP("Net Income",'FY ACTUALS'!$A$1:$X$996,V$3,FALSE)&lt;&gt;0,IFERROR(VLOOKUP($B68,'FY ACTUALS'!$A$1:$X$996,V$3,FALSE),"0")+0,IFERROR(($H68-SUMIF($I$1:$W$1,"ACTUAL",$I68:$W68))*(VLOOKUP($B68,'Distribution %'!$A$2:$Q$232,MATCH(V$2,'Distribution %'!$A$2:$Q$2,0),FALSE)/(SUMIF('Distribution %'!$C$1:$Q$1,"BUDGET",'Distribution %'!$C4:$Q4))),"0")+0)</f>
        <v>0</v>
      </c>
      <c r="W68" s="460">
        <f ca="1">IF(VLOOKUP("Net Income",'FY ACTUALS'!$A$1:$X$996,W$3,FALSE)&lt;&gt;0,IFERROR(VLOOKUP($B68,'FY ACTUALS'!$A$1:$X$996,W$3,FALSE),"0")+0,IFERROR(($H68-SUMIF($I$1:$W$1,"ACTUAL",$I68:$W68))*(VLOOKUP($B68,'Distribution %'!$A$2:$Q$232,MATCH(W$2,'Distribution %'!$A$2:$Q$2,0),FALSE)/(SUMIF('Distribution %'!$C$1:$Q$1,"BUDGET",'Distribution %'!$C4:$Q4))),"0")+0)</f>
        <v>0</v>
      </c>
      <c r="X68" s="387">
        <f t="shared" ref="X68:X75" ca="1" si="20">+SUM(I68:W68)</f>
        <v>10619942.333702598</v>
      </c>
      <c r="Y68" s="387"/>
      <c r="Z68" s="387">
        <f t="shared" ref="Z68:Z75" ca="1" si="21">+H68-X68</f>
        <v>0</v>
      </c>
    </row>
    <row r="69" spans="1:26" x14ac:dyDescent="0.75">
      <c r="B69" s="379">
        <v>1105</v>
      </c>
      <c r="F69" s="379" t="str">
        <f>IF(ISERROR(VLOOKUP(B69,'Distribution %'!A:A,1,FALSE)),"NO","YES")</f>
        <v>YES</v>
      </c>
      <c r="G69" s="392"/>
      <c r="H69" s="430">
        <f ca="1">IFERROR(VLOOKUP(B69,'Expenses w MYP'!$A$8:$K$119,11,FALSE),"0")+0</f>
        <v>0</v>
      </c>
      <c r="I69" s="388">
        <f>IF(VLOOKUP("Net Income",'FY ACTUALS'!$A$1:$X$996,I$3,FALSE)&lt;&gt;0,IFERROR(VLOOKUP($B69,'FY ACTUALS'!$A$1:$X$996,I$3,FALSE),"0")+0,IFERROR(($H69-SUMIF($I$1:$W$1,"ACTUAL",$I69:$W69))*(VLOOKUP($B69,'Distribution %'!$A$2:$Q$232,MATCH(I$2,'Distribution %'!$A$2:$Q$2,0),FALSE)/(SUMIF('Distribution %'!$C$1:$Q$1,"BUDGET",'Distribution %'!$C5:$Q5))),"0")+0)</f>
        <v>0</v>
      </c>
      <c r="J69" s="389">
        <f>IF(VLOOKUP("Net Income",'FY ACTUALS'!$A$1:$X$996,J$3,FALSE)&lt;&gt;0,IFERROR(VLOOKUP($B69,'FY ACTUALS'!$A$1:$X$996,J$3,FALSE),"0")+0,IFERROR(($H69-SUMIF($I$1:$W$1,"ACTUAL",$I69:$W69))*(VLOOKUP($B69,'Distribution %'!$A$2:$Q$232,MATCH(J$2,'Distribution %'!$A$2:$Q$2,0),FALSE)/(SUMIF('Distribution %'!$C$1:$Q$1,"BUDGET",'Distribution %'!$C5:$Q5))),"0")+0)</f>
        <v>0</v>
      </c>
      <c r="K69" s="389">
        <f>IF(VLOOKUP("Net Income",'FY ACTUALS'!$A$1:$X$996,K$3,FALSE)&lt;&gt;0,IFERROR(VLOOKUP($B69,'FY ACTUALS'!$A$1:$X$996,K$3,FALSE),"0")+0,IFERROR(($H69-SUMIF($I$1:$W$1,"ACTUAL",$I69:$W69))*(VLOOKUP($B69,'Distribution %'!$A$2:$Q$232,MATCH(K$2,'Distribution %'!$A$2:$Q$2,0),FALSE)/(SUMIF('Distribution %'!$C$1:$Q$1,"BUDGET",'Distribution %'!$C5:$Q5))),"0")+0)</f>
        <v>0</v>
      </c>
      <c r="L69" s="389">
        <f>IF(VLOOKUP("Net Income",'FY ACTUALS'!$A$1:$X$996,L$3,FALSE)&lt;&gt;0,IFERROR(VLOOKUP($B69,'FY ACTUALS'!$A$1:$X$996,L$3,FALSE),"0")+0,IFERROR(($H69-SUMIF($I$1:$W$1,"ACTUAL",$I69:$W69))*(VLOOKUP($B69,'Distribution %'!$A$2:$Q$232,MATCH(L$2,'Distribution %'!$A$2:$Q$2,0),FALSE)/(SUMIF('Distribution %'!$C$1:$Q$1,"BUDGET",'Distribution %'!$C5:$Q5))),"0")+0)</f>
        <v>0</v>
      </c>
      <c r="M69" s="389">
        <f>IF(VLOOKUP("Net Income",'FY ACTUALS'!$A$1:$X$996,M$3,FALSE)&lt;&gt;0,IFERROR(VLOOKUP($B69,'FY ACTUALS'!$A$1:$X$996,M$3,FALSE),"0")+0,IFERROR(($H69-SUMIF($I$1:$W$1,"ACTUAL",$I69:$W69))*(VLOOKUP($B69,'Distribution %'!$A$2:$Q$232,MATCH(M$2,'Distribution %'!$A$2:$Q$2,0),FALSE)/(SUMIF('Distribution %'!$C$1:$Q$1,"BUDGET",'Distribution %'!$C5:$Q5))),"0")+0)</f>
        <v>0</v>
      </c>
      <c r="N69" s="389">
        <f>IF(VLOOKUP("Net Income",'FY ACTUALS'!$A$1:$X$996,N$3,FALSE)&lt;&gt;0,IFERROR(VLOOKUP($B69,'FY ACTUALS'!$A$1:$X$996,N$3,FALSE),"0")+0,IFERROR(($H69-SUMIF($I$1:$W$1,"ACTUAL",$I69:$W69))*(VLOOKUP($B69,'Distribution %'!$A$2:$Q$232,MATCH(N$2,'Distribution %'!$A$2:$Q$2,0),FALSE)/(SUMIF('Distribution %'!$C$1:$Q$1,"BUDGET",'Distribution %'!$C5:$Q5))),"0")+0)</f>
        <v>0</v>
      </c>
      <c r="O69" s="389">
        <f>IF(VLOOKUP("Net Income",'FY ACTUALS'!$A$1:$X$996,O$3,FALSE)&lt;&gt;0,IFERROR(VLOOKUP($B69,'FY ACTUALS'!$A$1:$X$996,O$3,FALSE),"0")+0,IFERROR(($H69-SUMIF($I$1:$W$1,"ACTUAL",$I69:$W69))*(VLOOKUP($B69,'Distribution %'!$A$2:$Q$232,MATCH(O$2,'Distribution %'!$A$2:$Q$2,0),FALSE)/(SUMIF('Distribution %'!$C$1:$Q$1,"BUDGET",'Distribution %'!$C5:$Q5))),"0")+0)</f>
        <v>0</v>
      </c>
      <c r="P69" s="389">
        <f ca="1">IF(VLOOKUP("Net Income",'FY ACTUALS'!$A$1:$X$996,P$3,FALSE)&lt;&gt;0,IFERROR(VLOOKUP($B69,'FY ACTUALS'!$A$1:$X$996,P$3,FALSE),"0")+0,IFERROR(($H69-SUMIF($I$1:$W$1,"ACTUAL",$I69:$W69))*(VLOOKUP($B69,'Distribution %'!$A$2:$Q$232,MATCH(P$2,'Distribution %'!$A$2:$Q$2,0),FALSE)/(SUMIF('Distribution %'!$C$1:$Q$1,"BUDGET",'Distribution %'!$C5:$Q5))),"0")+0)</f>
        <v>0</v>
      </c>
      <c r="Q69" s="389">
        <f ca="1">IF(VLOOKUP("Net Income",'FY ACTUALS'!$A$1:$X$996,Q$3,FALSE)&lt;&gt;0,IFERROR(VLOOKUP($B69,'FY ACTUALS'!$A$1:$X$996,Q$3,FALSE),"0")+0,IFERROR(($H69-SUMIF($I$1:$W$1,"ACTUAL",$I69:$W69))*(VLOOKUP($B69,'Distribution %'!$A$2:$Q$232,MATCH(Q$2,'Distribution %'!$A$2:$Q$2,0),FALSE)/(SUMIF('Distribution %'!$C$1:$Q$1,"BUDGET",'Distribution %'!$C5:$Q5))),"0")+0)</f>
        <v>0</v>
      </c>
      <c r="R69" s="389">
        <f ca="1">IF(VLOOKUP("Net Income",'FY ACTUALS'!$A$1:$X$996,R$3,FALSE)&lt;&gt;0,IFERROR(VLOOKUP($B69,'FY ACTUALS'!$A$1:$X$996,R$3,FALSE),"0")+0,IFERROR(($H69-SUMIF($I$1:$W$1,"ACTUAL",$I69:$W69))*(VLOOKUP($B69,'Distribution %'!$A$2:$Q$232,MATCH(R$2,'Distribution %'!$A$2:$Q$2,0),FALSE)/(SUMIF('Distribution %'!$C$1:$Q$1,"BUDGET",'Distribution %'!$C5:$Q5))),"0")+0)</f>
        <v>0</v>
      </c>
      <c r="S69" s="389">
        <f ca="1">IF(VLOOKUP("Net Income",'FY ACTUALS'!$A$1:$X$996,S$3,FALSE)&lt;&gt;0,IFERROR(VLOOKUP($B69,'FY ACTUALS'!$A$1:$X$996,S$3,FALSE),"0")+0,IFERROR(($H69-SUMIF($I$1:$W$1,"ACTUAL",$I69:$W69))*(VLOOKUP($B69,'Distribution %'!$A$2:$Q$232,MATCH(S$2,'Distribution %'!$A$2:$Q$2,0),FALSE)/(SUMIF('Distribution %'!$C$1:$Q$1,"BUDGET",'Distribution %'!$C5:$Q5))),"0")+0)</f>
        <v>0</v>
      </c>
      <c r="T69" s="389">
        <f ca="1">IF(VLOOKUP("Net Income",'FY ACTUALS'!$A$1:$X$996,T$3,FALSE)&lt;&gt;0,IFERROR(VLOOKUP($B69,'FY ACTUALS'!$A$1:$X$996,T$3,FALSE),"0")+0,IFERROR(($H69-SUMIF($I$1:$W$1,"ACTUAL",$I69:$W69))*(VLOOKUP($B69,'Distribution %'!$A$2:$Q$232,MATCH(T$2,'Distribution %'!$A$2:$Q$2,0),FALSE)/(SUMIF('Distribution %'!$C$1:$Q$1,"BUDGET",'Distribution %'!$C5:$Q5))),"0")+0)</f>
        <v>0</v>
      </c>
      <c r="U69" s="389">
        <f ca="1">IF(VLOOKUP("Net Income",'FY ACTUALS'!$A$1:$X$996,U$3,FALSE)&lt;&gt;0,IFERROR(VLOOKUP($B69,'FY ACTUALS'!$A$1:$X$996,U$3,FALSE),"0")+0,IFERROR(($H69-SUMIF($I$1:$W$1,"ACTUAL",$I69:$W69))*(VLOOKUP($B69,'Distribution %'!$A$2:$Q$232,MATCH(U$2,'Distribution %'!$A$2:$Q$2,0),FALSE)/(SUMIF('Distribution %'!$C$1:$Q$1,"BUDGET",'Distribution %'!$C5:$Q5))),"0")+0)</f>
        <v>0</v>
      </c>
      <c r="V69" s="389">
        <f ca="1">IF(VLOOKUP("Net Income",'FY ACTUALS'!$A$1:$X$996,V$3,FALSE)&lt;&gt;0,IFERROR(VLOOKUP($B69,'FY ACTUALS'!$A$1:$X$996,V$3,FALSE),"0")+0,IFERROR(($H69-SUMIF($I$1:$W$1,"ACTUAL",$I69:$W69))*(VLOOKUP($B69,'Distribution %'!$A$2:$Q$232,MATCH(V$2,'Distribution %'!$A$2:$Q$2,0),FALSE)/(SUMIF('Distribution %'!$C$1:$Q$1,"BUDGET",'Distribution %'!$C5:$Q5))),"0")+0)</f>
        <v>0</v>
      </c>
      <c r="W69" s="460">
        <f ca="1">IF(VLOOKUP("Net Income",'FY ACTUALS'!$A$1:$X$996,W$3,FALSE)&lt;&gt;0,IFERROR(VLOOKUP($B69,'FY ACTUALS'!$A$1:$X$996,W$3,FALSE),"0")+0,IFERROR(($H69-SUMIF($I$1:$W$1,"ACTUAL",$I69:$W69))*(VLOOKUP($B69,'Distribution %'!$A$2:$Q$232,MATCH(W$2,'Distribution %'!$A$2:$Q$2,0),FALSE)/(SUMIF('Distribution %'!$C$1:$Q$1,"BUDGET",'Distribution %'!$C5:$Q5))),"0")+0)</f>
        <v>0</v>
      </c>
      <c r="X69" s="387">
        <f t="shared" ref="X69" ca="1" si="22">+SUM(I69:W69)</f>
        <v>0</v>
      </c>
      <c r="Y69" s="387"/>
      <c r="Z69" s="387">
        <f t="shared" ref="Z69" ca="1" si="23">+H69-X69</f>
        <v>0</v>
      </c>
    </row>
    <row r="70" spans="1:26" x14ac:dyDescent="0.75">
      <c r="B70" s="379">
        <v>1120</v>
      </c>
      <c r="C70" s="379" t="s">
        <v>1377</v>
      </c>
      <c r="F70" s="379" t="str">
        <f>IF(ISERROR(VLOOKUP(B70,'Distribution %'!A:A,1,FALSE)),"NO","YES")</f>
        <v>YES</v>
      </c>
      <c r="G70" s="392"/>
      <c r="H70" s="430">
        <f ca="1">IFERROR(VLOOKUP(B70,'Expenses w MYP'!$A$8:$K$119,11,FALSE),"0")+0</f>
        <v>0</v>
      </c>
      <c r="I70" s="388">
        <f>IF(VLOOKUP("Net Income",'FY ACTUALS'!$A$1:$X$996,I$3,FALSE)&lt;&gt;0,IFERROR(VLOOKUP($B70,'FY ACTUALS'!$A$1:$X$996,I$3,FALSE),"0")+0,IFERROR(($H70-SUMIF($I$1:$W$1,"ACTUAL",$I70:$W70))*(VLOOKUP($B70,'Distribution %'!$A$2:$Q$232,MATCH(I$2,'Distribution %'!$A$2:$Q$2,0),FALSE)/(SUMIF('Distribution %'!$C$1:$Q$1,"BUDGET",'Distribution %'!$C6:$Q6))),"0")+0)</f>
        <v>0</v>
      </c>
      <c r="J70" s="389">
        <f>IF(VLOOKUP("Net Income",'FY ACTUALS'!$A$1:$X$996,J$3,FALSE)&lt;&gt;0,IFERROR(VLOOKUP($B70,'FY ACTUALS'!$A$1:$X$996,J$3,FALSE),"0")+0,IFERROR(($H70-SUMIF($I$1:$W$1,"ACTUAL",$I70:$W70))*(VLOOKUP($B70,'Distribution %'!$A$2:$Q$232,MATCH(J$2,'Distribution %'!$A$2:$Q$2,0),FALSE)/(SUMIF('Distribution %'!$C$1:$Q$1,"BUDGET",'Distribution %'!$C6:$Q6))),"0")+0)</f>
        <v>0</v>
      </c>
      <c r="K70" s="389">
        <f>IF(VLOOKUP("Net Income",'FY ACTUALS'!$A$1:$X$996,K$3,FALSE)&lt;&gt;0,IFERROR(VLOOKUP($B70,'FY ACTUALS'!$A$1:$X$996,K$3,FALSE),"0")+0,IFERROR(($H70-SUMIF($I$1:$W$1,"ACTUAL",$I70:$W70))*(VLOOKUP($B70,'Distribution %'!$A$2:$Q$232,MATCH(K$2,'Distribution %'!$A$2:$Q$2,0),FALSE)/(SUMIF('Distribution %'!$C$1:$Q$1,"BUDGET",'Distribution %'!$C6:$Q6))),"0")+0)</f>
        <v>0</v>
      </c>
      <c r="L70" s="389">
        <f>IF(VLOOKUP("Net Income",'FY ACTUALS'!$A$1:$X$996,L$3,FALSE)&lt;&gt;0,IFERROR(VLOOKUP($B70,'FY ACTUALS'!$A$1:$X$996,L$3,FALSE),"0")+0,IFERROR(($H70-SUMIF($I$1:$W$1,"ACTUAL",$I70:$W70))*(VLOOKUP($B70,'Distribution %'!$A$2:$Q$232,MATCH(L$2,'Distribution %'!$A$2:$Q$2,0),FALSE)/(SUMIF('Distribution %'!$C$1:$Q$1,"BUDGET",'Distribution %'!$C6:$Q6))),"0")+0)</f>
        <v>0</v>
      </c>
      <c r="M70" s="389">
        <f>IF(VLOOKUP("Net Income",'FY ACTUALS'!$A$1:$X$996,M$3,FALSE)&lt;&gt;0,IFERROR(VLOOKUP($B70,'FY ACTUALS'!$A$1:$X$996,M$3,FALSE),"0")+0,IFERROR(($H70-SUMIF($I$1:$W$1,"ACTUAL",$I70:$W70))*(VLOOKUP($B70,'Distribution %'!$A$2:$Q$232,MATCH(M$2,'Distribution %'!$A$2:$Q$2,0),FALSE)/(SUMIF('Distribution %'!$C$1:$Q$1,"BUDGET",'Distribution %'!$C6:$Q6))),"0")+0)</f>
        <v>0</v>
      </c>
      <c r="N70" s="389">
        <f>IF(VLOOKUP("Net Income",'FY ACTUALS'!$A$1:$X$996,N$3,FALSE)&lt;&gt;0,IFERROR(VLOOKUP($B70,'FY ACTUALS'!$A$1:$X$996,N$3,FALSE),"0")+0,IFERROR(($H70-SUMIF($I$1:$W$1,"ACTUAL",$I70:$W70))*(VLOOKUP($B70,'Distribution %'!$A$2:$Q$232,MATCH(N$2,'Distribution %'!$A$2:$Q$2,0),FALSE)/(SUMIF('Distribution %'!$C$1:$Q$1,"BUDGET",'Distribution %'!$C6:$Q6))),"0")+0)</f>
        <v>0</v>
      </c>
      <c r="O70" s="389">
        <f>IF(VLOOKUP("Net Income",'FY ACTUALS'!$A$1:$X$996,O$3,FALSE)&lt;&gt;0,IFERROR(VLOOKUP($B70,'FY ACTUALS'!$A$1:$X$996,O$3,FALSE),"0")+0,IFERROR(($H70-SUMIF($I$1:$W$1,"ACTUAL",$I70:$W70))*(VLOOKUP($B70,'Distribution %'!$A$2:$Q$232,MATCH(O$2,'Distribution %'!$A$2:$Q$2,0),FALSE)/(SUMIF('Distribution %'!$C$1:$Q$1,"BUDGET",'Distribution %'!$C6:$Q6))),"0")+0)</f>
        <v>0</v>
      </c>
      <c r="P70" s="389">
        <f ca="1">IF(VLOOKUP("Net Income",'FY ACTUALS'!$A$1:$X$996,P$3,FALSE)&lt;&gt;0,IFERROR(VLOOKUP($B70,'FY ACTUALS'!$A$1:$X$996,P$3,FALSE),"0")+0,IFERROR(($H70-SUMIF($I$1:$W$1,"ACTUAL",$I70:$W70))*(VLOOKUP($B70,'Distribution %'!$A$2:$Q$232,MATCH(P$2,'Distribution %'!$A$2:$Q$2,0),FALSE)/(SUMIF('Distribution %'!$C$1:$Q$1,"BUDGET",'Distribution %'!$C6:$Q6))),"0")+0)</f>
        <v>0</v>
      </c>
      <c r="Q70" s="389">
        <f ca="1">IF(VLOOKUP("Net Income",'FY ACTUALS'!$A$1:$X$996,Q$3,FALSE)&lt;&gt;0,IFERROR(VLOOKUP($B70,'FY ACTUALS'!$A$1:$X$996,Q$3,FALSE),"0")+0,IFERROR(($H70-SUMIF($I$1:$W$1,"ACTUAL",$I70:$W70))*(VLOOKUP($B70,'Distribution %'!$A$2:$Q$232,MATCH(Q$2,'Distribution %'!$A$2:$Q$2,0),FALSE)/(SUMIF('Distribution %'!$C$1:$Q$1,"BUDGET",'Distribution %'!$C6:$Q6))),"0")+0)</f>
        <v>0</v>
      </c>
      <c r="R70" s="389">
        <f ca="1">IF(VLOOKUP("Net Income",'FY ACTUALS'!$A$1:$X$996,R$3,FALSE)&lt;&gt;0,IFERROR(VLOOKUP($B70,'FY ACTUALS'!$A$1:$X$996,R$3,FALSE),"0")+0,IFERROR(($H70-SUMIF($I$1:$W$1,"ACTUAL",$I70:$W70))*(VLOOKUP($B70,'Distribution %'!$A$2:$Q$232,MATCH(R$2,'Distribution %'!$A$2:$Q$2,0),FALSE)/(SUMIF('Distribution %'!$C$1:$Q$1,"BUDGET",'Distribution %'!$C6:$Q6))),"0")+0)</f>
        <v>0</v>
      </c>
      <c r="S70" s="389">
        <f ca="1">IF(VLOOKUP("Net Income",'FY ACTUALS'!$A$1:$X$996,S$3,FALSE)&lt;&gt;0,IFERROR(VLOOKUP($B70,'FY ACTUALS'!$A$1:$X$996,S$3,FALSE),"0")+0,IFERROR(($H70-SUMIF($I$1:$W$1,"ACTUAL",$I70:$W70))*(VLOOKUP($B70,'Distribution %'!$A$2:$Q$232,MATCH(S$2,'Distribution %'!$A$2:$Q$2,0),FALSE)/(SUMIF('Distribution %'!$C$1:$Q$1,"BUDGET",'Distribution %'!$C6:$Q6))),"0")+0)</f>
        <v>0</v>
      </c>
      <c r="T70" s="389">
        <f ca="1">IF(VLOOKUP("Net Income",'FY ACTUALS'!$A$1:$X$996,T$3,FALSE)&lt;&gt;0,IFERROR(VLOOKUP($B70,'FY ACTUALS'!$A$1:$X$996,T$3,FALSE),"0")+0,IFERROR(($H70-SUMIF($I$1:$W$1,"ACTUAL",$I70:$W70))*(VLOOKUP($B70,'Distribution %'!$A$2:$Q$232,MATCH(T$2,'Distribution %'!$A$2:$Q$2,0),FALSE)/(SUMIF('Distribution %'!$C$1:$Q$1,"BUDGET",'Distribution %'!$C6:$Q6))),"0")+0)</f>
        <v>0</v>
      </c>
      <c r="U70" s="389">
        <f ca="1">IF(VLOOKUP("Net Income",'FY ACTUALS'!$A$1:$X$996,U$3,FALSE)&lt;&gt;0,IFERROR(VLOOKUP($B70,'FY ACTUALS'!$A$1:$X$996,U$3,FALSE),"0")+0,IFERROR(($H70-SUMIF($I$1:$W$1,"ACTUAL",$I70:$W70))*(VLOOKUP($B70,'Distribution %'!$A$2:$Q$232,MATCH(U$2,'Distribution %'!$A$2:$Q$2,0),FALSE)/(SUMIF('Distribution %'!$C$1:$Q$1,"BUDGET",'Distribution %'!$C6:$Q6))),"0")+0)</f>
        <v>0</v>
      </c>
      <c r="V70" s="389">
        <f ca="1">IF(VLOOKUP("Net Income",'FY ACTUALS'!$A$1:$X$996,V$3,FALSE)&lt;&gt;0,IFERROR(VLOOKUP($B70,'FY ACTUALS'!$A$1:$X$996,V$3,FALSE),"0")+0,IFERROR(($H70-SUMIF($I$1:$W$1,"ACTUAL",$I70:$W70))*(VLOOKUP($B70,'Distribution %'!$A$2:$Q$232,MATCH(V$2,'Distribution %'!$A$2:$Q$2,0),FALSE)/(SUMIF('Distribution %'!$C$1:$Q$1,"BUDGET",'Distribution %'!$C6:$Q6))),"0")+0)</f>
        <v>0</v>
      </c>
      <c r="W70" s="460">
        <f ca="1">IF(VLOOKUP("Net Income",'FY ACTUALS'!$A$1:$X$996,W$3,FALSE)&lt;&gt;0,IFERROR(VLOOKUP($B70,'FY ACTUALS'!$A$1:$X$996,W$3,FALSE),"0")+0,IFERROR(($H70-SUMIF($I$1:$W$1,"ACTUAL",$I70:$W70))*(VLOOKUP($B70,'Distribution %'!$A$2:$Q$232,MATCH(W$2,'Distribution %'!$A$2:$Q$2,0),FALSE)/(SUMIF('Distribution %'!$C$1:$Q$1,"BUDGET",'Distribution %'!$C6:$Q6))),"0")+0)</f>
        <v>0</v>
      </c>
      <c r="X70" s="387">
        <f t="shared" ca="1" si="20"/>
        <v>0</v>
      </c>
      <c r="Y70" s="387"/>
      <c r="Z70" s="387">
        <f t="shared" ca="1" si="21"/>
        <v>0</v>
      </c>
    </row>
    <row r="71" spans="1:26" x14ac:dyDescent="0.75">
      <c r="B71" s="379">
        <v>1200</v>
      </c>
      <c r="C71" s="379" t="s">
        <v>1378</v>
      </c>
      <c r="F71" s="379" t="str">
        <f>IF(ISERROR(VLOOKUP(B71,'Distribution %'!A:A,1,FALSE)),"NO","YES")</f>
        <v>YES</v>
      </c>
      <c r="G71" s="392"/>
      <c r="H71" s="430">
        <f ca="1">IFERROR(VLOOKUP(B71,'Expenses w MYP'!$A$8:$K$119,11,FALSE),"0")+0</f>
        <v>1092599.3044340941</v>
      </c>
      <c r="I71" s="388">
        <f>IF(VLOOKUP("Net Income",'FY ACTUALS'!$A$1:$X$996,I$3,FALSE)&lt;&gt;0,IFERROR(VLOOKUP($B71,'FY ACTUALS'!$A$1:$X$996,I$3,FALSE),"0")+0,IFERROR(($H71-SUMIF($I$1:$W$1,"ACTUAL",$I71:$W71))*(VLOOKUP($B71,'Distribution %'!$A$2:$Q$232,MATCH(I$2,'Distribution %'!$A$2:$Q$2,0),FALSE)/(SUMIF('Distribution %'!$C$1:$Q$1,"BUDGET",'Distribution %'!$C7:$Q7))),"0")+0)</f>
        <v>22313.439999999999</v>
      </c>
      <c r="J71" s="389">
        <f>IF(VLOOKUP("Net Income",'FY ACTUALS'!$A$1:$X$996,J$3,FALSE)&lt;&gt;0,IFERROR(VLOOKUP($B71,'FY ACTUALS'!$A$1:$X$996,J$3,FALSE),"0")+0,IFERROR(($H71-SUMIF($I$1:$W$1,"ACTUAL",$I71:$W71))*(VLOOKUP($B71,'Distribution %'!$A$2:$Q$232,MATCH(J$2,'Distribution %'!$A$2:$Q$2,0),FALSE)/(SUMIF('Distribution %'!$C$1:$Q$1,"BUDGET",'Distribution %'!$C7:$Q7))),"0")+0)</f>
        <v>67723.48</v>
      </c>
      <c r="K71" s="389">
        <f>IF(VLOOKUP("Net Income",'FY ACTUALS'!$A$1:$X$996,K$3,FALSE)&lt;&gt;0,IFERROR(VLOOKUP($B71,'FY ACTUALS'!$A$1:$X$996,K$3,FALSE),"0")+0,IFERROR(($H71-SUMIF($I$1:$W$1,"ACTUAL",$I71:$W71))*(VLOOKUP($B71,'Distribution %'!$A$2:$Q$232,MATCH(K$2,'Distribution %'!$A$2:$Q$2,0),FALSE)/(SUMIF('Distribution %'!$C$1:$Q$1,"BUDGET",'Distribution %'!$C7:$Q7))),"0")+0)</f>
        <v>72969.740000000005</v>
      </c>
      <c r="L71" s="389">
        <f>IF(VLOOKUP("Net Income",'FY ACTUALS'!$A$1:$X$996,L$3,FALSE)&lt;&gt;0,IFERROR(VLOOKUP($B71,'FY ACTUALS'!$A$1:$X$996,L$3,FALSE),"0")+0,IFERROR(($H71-SUMIF($I$1:$W$1,"ACTUAL",$I71:$W71))*(VLOOKUP($B71,'Distribution %'!$A$2:$Q$232,MATCH(L$2,'Distribution %'!$A$2:$Q$2,0),FALSE)/(SUMIF('Distribution %'!$C$1:$Q$1,"BUDGET",'Distribution %'!$C7:$Q7))),"0")+0)</f>
        <v>132438.88</v>
      </c>
      <c r="M71" s="389">
        <f>IF(VLOOKUP("Net Income",'FY ACTUALS'!$A$1:$X$996,M$3,FALSE)&lt;&gt;0,IFERROR(VLOOKUP($B71,'FY ACTUALS'!$A$1:$X$996,M$3,FALSE),"0")+0,IFERROR(($H71-SUMIF($I$1:$W$1,"ACTUAL",$I71:$W71))*(VLOOKUP($B71,'Distribution %'!$A$2:$Q$232,MATCH(M$2,'Distribution %'!$A$2:$Q$2,0),FALSE)/(SUMIF('Distribution %'!$C$1:$Q$1,"BUDGET",'Distribution %'!$C7:$Q7))),"0")+0)</f>
        <v>86597.53</v>
      </c>
      <c r="N71" s="389">
        <f>IF(VLOOKUP("Net Income",'FY ACTUALS'!$A$1:$X$996,N$3,FALSE)&lt;&gt;0,IFERROR(VLOOKUP($B71,'FY ACTUALS'!$A$1:$X$996,N$3,FALSE),"0")+0,IFERROR(($H71-SUMIF($I$1:$W$1,"ACTUAL",$I71:$W71))*(VLOOKUP($B71,'Distribution %'!$A$2:$Q$232,MATCH(N$2,'Distribution %'!$A$2:$Q$2,0),FALSE)/(SUMIF('Distribution %'!$C$1:$Q$1,"BUDGET",'Distribution %'!$C7:$Q7))),"0")+0)</f>
        <v>88597.53</v>
      </c>
      <c r="O71" s="389">
        <f>IF(VLOOKUP("Net Income",'FY ACTUALS'!$A$1:$X$996,O$3,FALSE)&lt;&gt;0,IFERROR(VLOOKUP($B71,'FY ACTUALS'!$A$1:$X$996,O$3,FALSE),"0")+0,IFERROR(($H71-SUMIF($I$1:$W$1,"ACTUAL",$I71:$W71))*(VLOOKUP($B71,'Distribution %'!$A$2:$Q$232,MATCH(O$2,'Distribution %'!$A$2:$Q$2,0),FALSE)/(SUMIF('Distribution %'!$C$1:$Q$1,"BUDGET",'Distribution %'!$C7:$Q7))),"0")+0)</f>
        <v>104597.54</v>
      </c>
      <c r="P71" s="389">
        <f ca="1">IF(VLOOKUP("Net Income",'FY ACTUALS'!$A$1:$X$996,P$3,FALSE)&lt;&gt;0,IFERROR(VLOOKUP($B71,'FY ACTUALS'!$A$1:$X$996,P$3,FALSE),"0")+0,IFERROR(($H71-SUMIF($I$1:$W$1,"ACTUAL",$I71:$W71))*(VLOOKUP($B71,'Distribution %'!$A$2:$Q$232,MATCH(P$2,'Distribution %'!$A$2:$Q$2,0),FALSE)/(SUMIF('Distribution %'!$C$1:$Q$1,"BUDGET",'Distribution %'!$C7:$Q7))),"0")+0)</f>
        <v>102484.43114088257</v>
      </c>
      <c r="Q71" s="389">
        <f ca="1">IF(VLOOKUP("Net Income",'FY ACTUALS'!$A$1:$X$996,Q$3,FALSE)&lt;&gt;0,IFERROR(VLOOKUP($B71,'FY ACTUALS'!$A$1:$X$996,Q$3,FALSE),"0")+0,IFERROR(($H71-SUMIF($I$1:$W$1,"ACTUAL",$I71:$W71))*(VLOOKUP($B71,'Distribution %'!$A$2:$Q$232,MATCH(Q$2,'Distribution %'!$A$2:$Q$2,0),FALSE)/(SUMIF('Distribution %'!$C$1:$Q$1,"BUDGET",'Distribution %'!$C7:$Q7))),"0")+0)</f>
        <v>103719.18332330284</v>
      </c>
      <c r="R71" s="389">
        <f ca="1">IF(VLOOKUP("Net Income",'FY ACTUALS'!$A$1:$X$996,R$3,FALSE)&lt;&gt;0,IFERROR(VLOOKUP($B71,'FY ACTUALS'!$A$1:$X$996,R$3,FALSE),"0")+0,IFERROR(($H71-SUMIF($I$1:$W$1,"ACTUAL",$I71:$W71))*(VLOOKUP($B71,'Distribution %'!$A$2:$Q$232,MATCH(R$2,'Distribution %'!$A$2:$Q$2,0),FALSE)/(SUMIF('Distribution %'!$C$1:$Q$1,"BUDGET",'Distribution %'!$C7:$Q7))),"0")+0)</f>
        <v>103719.18332330284</v>
      </c>
      <c r="S71" s="389">
        <f ca="1">IF(VLOOKUP("Net Income",'FY ACTUALS'!$A$1:$X$996,S$3,FALSE)&lt;&gt;0,IFERROR(VLOOKUP($B71,'FY ACTUALS'!$A$1:$X$996,S$3,FALSE),"0")+0,IFERROR(($H71-SUMIF($I$1:$W$1,"ACTUAL",$I71:$W71))*(VLOOKUP($B71,'Distribution %'!$A$2:$Q$232,MATCH(S$2,'Distribution %'!$A$2:$Q$2,0),FALSE)/(SUMIF('Distribution %'!$C$1:$Q$1,"BUDGET",'Distribution %'!$C7:$Q7))),"0")+0)</f>
        <v>103719.18332330284</v>
      </c>
      <c r="T71" s="389">
        <f ca="1">IF(VLOOKUP("Net Income",'FY ACTUALS'!$A$1:$X$996,T$3,FALSE)&lt;&gt;0,IFERROR(VLOOKUP($B71,'FY ACTUALS'!$A$1:$X$996,T$3,FALSE),"0")+0,IFERROR(($H71-SUMIF($I$1:$W$1,"ACTUAL",$I71:$W71))*(VLOOKUP($B71,'Distribution %'!$A$2:$Q$232,MATCH(T$2,'Distribution %'!$A$2:$Q$2,0),FALSE)/(SUMIF('Distribution %'!$C$1:$Q$1,"BUDGET",'Distribution %'!$C7:$Q7))),"0")+0)</f>
        <v>103719.18332330284</v>
      </c>
      <c r="U71" s="389">
        <f ca="1">IF(VLOOKUP("Net Income",'FY ACTUALS'!$A$1:$X$996,U$3,FALSE)&lt;&gt;0,IFERROR(VLOOKUP($B71,'FY ACTUALS'!$A$1:$X$996,U$3,FALSE),"0")+0,IFERROR(($H71-SUMIF($I$1:$W$1,"ACTUAL",$I71:$W71))*(VLOOKUP($B71,'Distribution %'!$A$2:$Q$232,MATCH(U$2,'Distribution %'!$A$2:$Q$2,0),FALSE)/(SUMIF('Distribution %'!$C$1:$Q$1,"BUDGET",'Distribution %'!$C7:$Q7))),"0")+0)</f>
        <v>0</v>
      </c>
      <c r="V71" s="389">
        <f ca="1">IF(VLOOKUP("Net Income",'FY ACTUALS'!$A$1:$X$996,V$3,FALSE)&lt;&gt;0,IFERROR(VLOOKUP($B71,'FY ACTUALS'!$A$1:$X$996,V$3,FALSE),"0")+0,IFERROR(($H71-SUMIF($I$1:$W$1,"ACTUAL",$I71:$W71))*(VLOOKUP($B71,'Distribution %'!$A$2:$Q$232,MATCH(V$2,'Distribution %'!$A$2:$Q$2,0),FALSE)/(SUMIF('Distribution %'!$C$1:$Q$1,"BUDGET",'Distribution %'!$C7:$Q7))),"0")+0)</f>
        <v>0</v>
      </c>
      <c r="W71" s="460">
        <f ca="1">IF(VLOOKUP("Net Income",'FY ACTUALS'!$A$1:$X$996,W$3,FALSE)&lt;&gt;0,IFERROR(VLOOKUP($B71,'FY ACTUALS'!$A$1:$X$996,W$3,FALSE),"0")+0,IFERROR(($H71-SUMIF($I$1:$W$1,"ACTUAL",$I71:$W71))*(VLOOKUP($B71,'Distribution %'!$A$2:$Q$232,MATCH(W$2,'Distribution %'!$A$2:$Q$2,0),FALSE)/(SUMIF('Distribution %'!$C$1:$Q$1,"BUDGET",'Distribution %'!$C7:$Q7))),"0")+0)</f>
        <v>0</v>
      </c>
      <c r="X71" s="387">
        <f t="shared" ca="1" si="20"/>
        <v>1092599.3044340941</v>
      </c>
      <c r="Y71" s="387"/>
      <c r="Z71" s="387">
        <f t="shared" ca="1" si="21"/>
        <v>0</v>
      </c>
    </row>
    <row r="72" spans="1:26" x14ac:dyDescent="0.75">
      <c r="B72" s="379">
        <v>1300</v>
      </c>
      <c r="C72" s="379" t="s">
        <v>1379</v>
      </c>
      <c r="F72" s="379" t="str">
        <f>IF(ISERROR(VLOOKUP(B72,'Distribution %'!A:A,1,FALSE)),"NO","YES")</f>
        <v>YES</v>
      </c>
      <c r="G72" s="392"/>
      <c r="H72" s="430">
        <f ca="1">IFERROR(VLOOKUP(B72,'Expenses w MYP'!$A$8:$K$119,11,FALSE),"0")+0</f>
        <v>1846053.0606241999</v>
      </c>
      <c r="I72" s="388">
        <f>IF(VLOOKUP("Net Income",'FY ACTUALS'!$A$1:$X$996,I$3,FALSE)&lt;&gt;0,IFERROR(VLOOKUP($B72,'FY ACTUALS'!$A$1:$X$996,I$3,FALSE),"0")+0,IFERROR(($H72-SUMIF($I$1:$W$1,"ACTUAL",$I72:$W72))*(VLOOKUP($B72,'Distribution %'!$A$2:$Q$232,MATCH(I$2,'Distribution %'!$A$2:$Q$2,0),FALSE)/(SUMIF('Distribution %'!$C$1:$Q$1,"BUDGET",'Distribution %'!$C8:$Q8))),"0")+0)</f>
        <v>87441.26</v>
      </c>
      <c r="J72" s="389">
        <f>IF(VLOOKUP("Net Income",'FY ACTUALS'!$A$1:$X$996,J$3,FALSE)&lt;&gt;0,IFERROR(VLOOKUP($B72,'FY ACTUALS'!$A$1:$X$996,J$3,FALSE),"0")+0,IFERROR(($H72-SUMIF($I$1:$W$1,"ACTUAL",$I72:$W72))*(VLOOKUP($B72,'Distribution %'!$A$2:$Q$232,MATCH(J$2,'Distribution %'!$A$2:$Q$2,0),FALSE)/(SUMIF('Distribution %'!$C$1:$Q$1,"BUDGET",'Distribution %'!$C8:$Q8))),"0")+0)</f>
        <v>115907.72</v>
      </c>
      <c r="K72" s="389">
        <f>IF(VLOOKUP("Net Income",'FY ACTUALS'!$A$1:$X$996,K$3,FALSE)&lt;&gt;0,IFERROR(VLOOKUP($B72,'FY ACTUALS'!$A$1:$X$996,K$3,FALSE),"0")+0,IFERROR(($H72-SUMIF($I$1:$W$1,"ACTUAL",$I72:$W72))*(VLOOKUP($B72,'Distribution %'!$A$2:$Q$232,MATCH(K$2,'Distribution %'!$A$2:$Q$2,0),FALSE)/(SUMIF('Distribution %'!$C$1:$Q$1,"BUDGET",'Distribution %'!$C8:$Q8))),"0")+0)</f>
        <v>116988.54</v>
      </c>
      <c r="L72" s="389">
        <f>IF(VLOOKUP("Net Income",'FY ACTUALS'!$A$1:$X$996,L$3,FALSE)&lt;&gt;0,IFERROR(VLOOKUP($B72,'FY ACTUALS'!$A$1:$X$996,L$3,FALSE),"0")+0,IFERROR(($H72-SUMIF($I$1:$W$1,"ACTUAL",$I72:$W72))*(VLOOKUP($B72,'Distribution %'!$A$2:$Q$232,MATCH(L$2,'Distribution %'!$A$2:$Q$2,0),FALSE)/(SUMIF('Distribution %'!$C$1:$Q$1,"BUDGET",'Distribution %'!$C8:$Q8))),"0")+0)</f>
        <v>125371.68</v>
      </c>
      <c r="M72" s="389">
        <f>IF(VLOOKUP("Net Income",'FY ACTUALS'!$A$1:$X$996,M$3,FALSE)&lt;&gt;0,IFERROR(VLOOKUP($B72,'FY ACTUALS'!$A$1:$X$996,M$3,FALSE),"0")+0,IFERROR(($H72-SUMIF($I$1:$W$1,"ACTUAL",$I72:$W72))*(VLOOKUP($B72,'Distribution %'!$A$2:$Q$232,MATCH(M$2,'Distribution %'!$A$2:$Q$2,0),FALSE)/(SUMIF('Distribution %'!$C$1:$Q$1,"BUDGET",'Distribution %'!$C8:$Q8))),"0")+0)</f>
        <v>104490.4</v>
      </c>
      <c r="N72" s="389">
        <f>IF(VLOOKUP("Net Income",'FY ACTUALS'!$A$1:$X$996,N$3,FALSE)&lt;&gt;0,IFERROR(VLOOKUP($B72,'FY ACTUALS'!$A$1:$X$996,N$3,FALSE),"0")+0,IFERROR(($H72-SUMIF($I$1:$W$1,"ACTUAL",$I72:$W72))*(VLOOKUP($B72,'Distribution %'!$A$2:$Q$232,MATCH(N$2,'Distribution %'!$A$2:$Q$2,0),FALSE)/(SUMIF('Distribution %'!$C$1:$Q$1,"BUDGET",'Distribution %'!$C8:$Q8))),"0")+0)</f>
        <v>109432.46</v>
      </c>
      <c r="O72" s="389">
        <f>IF(VLOOKUP("Net Income",'FY ACTUALS'!$A$1:$X$996,O$3,FALSE)&lt;&gt;0,IFERROR(VLOOKUP($B72,'FY ACTUALS'!$A$1:$X$996,O$3,FALSE),"0")+0,IFERROR(($H72-SUMIF($I$1:$W$1,"ACTUAL",$I72:$W72))*(VLOOKUP($B72,'Distribution %'!$A$2:$Q$232,MATCH(O$2,'Distribution %'!$A$2:$Q$2,0),FALSE)/(SUMIF('Distribution %'!$C$1:$Q$1,"BUDGET",'Distribution %'!$C8:$Q8))),"0")+0)</f>
        <v>128078.12</v>
      </c>
      <c r="P72" s="389">
        <f ca="1">IF(VLOOKUP("Net Income",'FY ACTUALS'!$A$1:$X$996,P$3,FALSE)&lt;&gt;0,IFERROR(VLOOKUP($B72,'FY ACTUALS'!$A$1:$X$996,P$3,FALSE),"0")+0,IFERROR(($H72-SUMIF($I$1:$W$1,"ACTUAL",$I72:$W72))*(VLOOKUP($B72,'Distribution %'!$A$2:$Q$232,MATCH(P$2,'Distribution %'!$A$2:$Q$2,0),FALSE)/(SUMIF('Distribution %'!$C$1:$Q$1,"BUDGET",'Distribution %'!$C8:$Q8))),"0")+0)</f>
        <v>209647.87372746682</v>
      </c>
      <c r="Q72" s="389">
        <f ca="1">IF(VLOOKUP("Net Income",'FY ACTUALS'!$A$1:$X$996,Q$3,FALSE)&lt;&gt;0,IFERROR(VLOOKUP($B72,'FY ACTUALS'!$A$1:$X$996,Q$3,FALSE),"0")+0,IFERROR(($H72-SUMIF($I$1:$W$1,"ACTUAL",$I72:$W72))*(VLOOKUP($B72,'Distribution %'!$A$2:$Q$232,MATCH(Q$2,'Distribution %'!$A$2:$Q$2,0),FALSE)/(SUMIF('Distribution %'!$C$1:$Q$1,"BUDGET",'Distribution %'!$C8:$Q8))),"0")+0)</f>
        <v>212173.7517241833</v>
      </c>
      <c r="R72" s="389">
        <f ca="1">IF(VLOOKUP("Net Income",'FY ACTUALS'!$A$1:$X$996,R$3,FALSE)&lt;&gt;0,IFERROR(VLOOKUP($B72,'FY ACTUALS'!$A$1:$X$996,R$3,FALSE),"0")+0,IFERROR(($H72-SUMIF($I$1:$W$1,"ACTUAL",$I72:$W72))*(VLOOKUP($B72,'Distribution %'!$A$2:$Q$232,MATCH(R$2,'Distribution %'!$A$2:$Q$2,0),FALSE)/(SUMIF('Distribution %'!$C$1:$Q$1,"BUDGET",'Distribution %'!$C8:$Q8))),"0")+0)</f>
        <v>212173.7517241833</v>
      </c>
      <c r="S72" s="389">
        <f ca="1">IF(VLOOKUP("Net Income",'FY ACTUALS'!$A$1:$X$996,S$3,FALSE)&lt;&gt;0,IFERROR(VLOOKUP($B72,'FY ACTUALS'!$A$1:$X$996,S$3,FALSE),"0")+0,IFERROR(($H72-SUMIF($I$1:$W$1,"ACTUAL",$I72:$W72))*(VLOOKUP($B72,'Distribution %'!$A$2:$Q$232,MATCH(S$2,'Distribution %'!$A$2:$Q$2,0),FALSE)/(SUMIF('Distribution %'!$C$1:$Q$1,"BUDGET",'Distribution %'!$C8:$Q8))),"0")+0)</f>
        <v>212173.7517241833</v>
      </c>
      <c r="T72" s="389">
        <f ca="1">IF(VLOOKUP("Net Income",'FY ACTUALS'!$A$1:$X$996,T$3,FALSE)&lt;&gt;0,IFERROR(VLOOKUP($B72,'FY ACTUALS'!$A$1:$X$996,T$3,FALSE),"0")+0,IFERROR(($H72-SUMIF($I$1:$W$1,"ACTUAL",$I72:$W72))*(VLOOKUP($B72,'Distribution %'!$A$2:$Q$232,MATCH(T$2,'Distribution %'!$A$2:$Q$2,0),FALSE)/(SUMIF('Distribution %'!$C$1:$Q$1,"BUDGET",'Distribution %'!$C8:$Q8))),"0")+0)</f>
        <v>212173.7517241833</v>
      </c>
      <c r="U72" s="389">
        <f ca="1">IF(VLOOKUP("Net Income",'FY ACTUALS'!$A$1:$X$996,U$3,FALSE)&lt;&gt;0,IFERROR(VLOOKUP($B72,'FY ACTUALS'!$A$1:$X$996,U$3,FALSE),"0")+0,IFERROR(($H72-SUMIF($I$1:$W$1,"ACTUAL",$I72:$W72))*(VLOOKUP($B72,'Distribution %'!$A$2:$Q$232,MATCH(U$2,'Distribution %'!$A$2:$Q$2,0),FALSE)/(SUMIF('Distribution %'!$C$1:$Q$1,"BUDGET",'Distribution %'!$C8:$Q8))),"0")+0)</f>
        <v>0</v>
      </c>
      <c r="V72" s="389">
        <f ca="1">IF(VLOOKUP("Net Income",'FY ACTUALS'!$A$1:$X$996,V$3,FALSE)&lt;&gt;0,IFERROR(VLOOKUP($B72,'FY ACTUALS'!$A$1:$X$996,V$3,FALSE),"0")+0,IFERROR(($H72-SUMIF($I$1:$W$1,"ACTUAL",$I72:$W72))*(VLOOKUP($B72,'Distribution %'!$A$2:$Q$232,MATCH(V$2,'Distribution %'!$A$2:$Q$2,0),FALSE)/(SUMIF('Distribution %'!$C$1:$Q$1,"BUDGET",'Distribution %'!$C8:$Q8))),"0")+0)</f>
        <v>0</v>
      </c>
      <c r="W72" s="460">
        <f ca="1">IF(VLOOKUP("Net Income",'FY ACTUALS'!$A$1:$X$996,W$3,FALSE)&lt;&gt;0,IFERROR(VLOOKUP($B72,'FY ACTUALS'!$A$1:$X$996,W$3,FALSE),"0")+0,IFERROR(($H72-SUMIF($I$1:$W$1,"ACTUAL",$I72:$W72))*(VLOOKUP($B72,'Distribution %'!$A$2:$Q$232,MATCH(W$2,'Distribution %'!$A$2:$Q$2,0),FALSE)/(SUMIF('Distribution %'!$C$1:$Q$1,"BUDGET",'Distribution %'!$C8:$Q8))),"0")+0)</f>
        <v>0</v>
      </c>
      <c r="X72" s="387">
        <f t="shared" ca="1" si="20"/>
        <v>1846053.0606241999</v>
      </c>
      <c r="Y72" s="387"/>
      <c r="Z72" s="387">
        <f t="shared" ca="1" si="21"/>
        <v>0</v>
      </c>
    </row>
    <row r="73" spans="1:26" x14ac:dyDescent="0.75">
      <c r="B73" s="379">
        <v>1305</v>
      </c>
      <c r="F73" s="379" t="str">
        <f>IF(ISERROR(VLOOKUP(B73,'Distribution %'!A:A,1,FALSE)),"NO","YES")</f>
        <v>YES</v>
      </c>
      <c r="G73" s="392"/>
      <c r="H73" s="430">
        <f ca="1">IFERROR(VLOOKUP(B73,'Expenses w MYP'!$A$8:$K$119,11,FALSE),"0")+0</f>
        <v>0</v>
      </c>
      <c r="I73" s="388">
        <f>IF(VLOOKUP("Net Income",'FY ACTUALS'!$A$1:$X$996,I$3,FALSE)&lt;&gt;0,IFERROR(VLOOKUP($B73,'FY ACTUALS'!$A$1:$X$996,I$3,FALSE),"0")+0,IFERROR(($H73-SUMIF($I$1:$W$1,"ACTUAL",$I73:$W73))*(VLOOKUP($B73,'Distribution %'!$A$2:$Q$232,MATCH(I$2,'Distribution %'!$A$2:$Q$2,0),FALSE)/(SUMIF('Distribution %'!$C$1:$Q$1,"BUDGET",'Distribution %'!$C9:$Q9))),"0")+0)</f>
        <v>0</v>
      </c>
      <c r="J73" s="389">
        <f>IF(VLOOKUP("Net Income",'FY ACTUALS'!$A$1:$X$996,J$3,FALSE)&lt;&gt;0,IFERROR(VLOOKUP($B73,'FY ACTUALS'!$A$1:$X$996,J$3,FALSE),"0")+0,IFERROR(($H73-SUMIF($I$1:$W$1,"ACTUAL",$I73:$W73))*(VLOOKUP($B73,'Distribution %'!$A$2:$Q$232,MATCH(J$2,'Distribution %'!$A$2:$Q$2,0),FALSE)/(SUMIF('Distribution %'!$C$1:$Q$1,"BUDGET",'Distribution %'!$C9:$Q9))),"0")+0)</f>
        <v>0</v>
      </c>
      <c r="K73" s="389">
        <f>IF(VLOOKUP("Net Income",'FY ACTUALS'!$A$1:$X$996,K$3,FALSE)&lt;&gt;0,IFERROR(VLOOKUP($B73,'FY ACTUALS'!$A$1:$X$996,K$3,FALSE),"0")+0,IFERROR(($H73-SUMIF($I$1:$W$1,"ACTUAL",$I73:$W73))*(VLOOKUP($B73,'Distribution %'!$A$2:$Q$232,MATCH(K$2,'Distribution %'!$A$2:$Q$2,0),FALSE)/(SUMIF('Distribution %'!$C$1:$Q$1,"BUDGET",'Distribution %'!$C9:$Q9))),"0")+0)</f>
        <v>0</v>
      </c>
      <c r="L73" s="389">
        <f>IF(VLOOKUP("Net Income",'FY ACTUALS'!$A$1:$X$996,L$3,FALSE)&lt;&gt;0,IFERROR(VLOOKUP($B73,'FY ACTUALS'!$A$1:$X$996,L$3,FALSE),"0")+0,IFERROR(($H73-SUMIF($I$1:$W$1,"ACTUAL",$I73:$W73))*(VLOOKUP($B73,'Distribution %'!$A$2:$Q$232,MATCH(L$2,'Distribution %'!$A$2:$Q$2,0),FALSE)/(SUMIF('Distribution %'!$C$1:$Q$1,"BUDGET",'Distribution %'!$C9:$Q9))),"0")+0)</f>
        <v>0</v>
      </c>
      <c r="M73" s="389">
        <f>IF(VLOOKUP("Net Income",'FY ACTUALS'!$A$1:$X$996,M$3,FALSE)&lt;&gt;0,IFERROR(VLOOKUP($B73,'FY ACTUALS'!$A$1:$X$996,M$3,FALSE),"0")+0,IFERROR(($H73-SUMIF($I$1:$W$1,"ACTUAL",$I73:$W73))*(VLOOKUP($B73,'Distribution %'!$A$2:$Q$232,MATCH(M$2,'Distribution %'!$A$2:$Q$2,0),FALSE)/(SUMIF('Distribution %'!$C$1:$Q$1,"BUDGET",'Distribution %'!$C9:$Q9))),"0")+0)</f>
        <v>0</v>
      </c>
      <c r="N73" s="389">
        <f>IF(VLOOKUP("Net Income",'FY ACTUALS'!$A$1:$X$996,N$3,FALSE)&lt;&gt;0,IFERROR(VLOOKUP($B73,'FY ACTUALS'!$A$1:$X$996,N$3,FALSE),"0")+0,IFERROR(($H73-SUMIF($I$1:$W$1,"ACTUAL",$I73:$W73))*(VLOOKUP($B73,'Distribution %'!$A$2:$Q$232,MATCH(N$2,'Distribution %'!$A$2:$Q$2,0),FALSE)/(SUMIF('Distribution %'!$C$1:$Q$1,"BUDGET",'Distribution %'!$C9:$Q9))),"0")+0)</f>
        <v>0</v>
      </c>
      <c r="O73" s="389">
        <f>IF(VLOOKUP("Net Income",'FY ACTUALS'!$A$1:$X$996,O$3,FALSE)&lt;&gt;0,IFERROR(VLOOKUP($B73,'FY ACTUALS'!$A$1:$X$996,O$3,FALSE),"0")+0,IFERROR(($H73-SUMIF($I$1:$W$1,"ACTUAL",$I73:$W73))*(VLOOKUP($B73,'Distribution %'!$A$2:$Q$232,MATCH(O$2,'Distribution %'!$A$2:$Q$2,0),FALSE)/(SUMIF('Distribution %'!$C$1:$Q$1,"BUDGET",'Distribution %'!$C9:$Q9))),"0")+0)</f>
        <v>0</v>
      </c>
      <c r="P73" s="389">
        <f ca="1">IF(VLOOKUP("Net Income",'FY ACTUALS'!$A$1:$X$996,P$3,FALSE)&lt;&gt;0,IFERROR(VLOOKUP($B73,'FY ACTUALS'!$A$1:$X$996,P$3,FALSE),"0")+0,IFERROR(($H73-SUMIF($I$1:$W$1,"ACTUAL",$I73:$W73))*(VLOOKUP($B73,'Distribution %'!$A$2:$Q$232,MATCH(P$2,'Distribution %'!$A$2:$Q$2,0),FALSE)/(SUMIF('Distribution %'!$C$1:$Q$1,"BUDGET",'Distribution %'!$C9:$Q9))),"0")+0)</f>
        <v>0</v>
      </c>
      <c r="Q73" s="389">
        <f ca="1">IF(VLOOKUP("Net Income",'FY ACTUALS'!$A$1:$X$996,Q$3,FALSE)&lt;&gt;0,IFERROR(VLOOKUP($B73,'FY ACTUALS'!$A$1:$X$996,Q$3,FALSE),"0")+0,IFERROR(($H73-SUMIF($I$1:$W$1,"ACTUAL",$I73:$W73))*(VLOOKUP($B73,'Distribution %'!$A$2:$Q$232,MATCH(Q$2,'Distribution %'!$A$2:$Q$2,0),FALSE)/(SUMIF('Distribution %'!$C$1:$Q$1,"BUDGET",'Distribution %'!$C9:$Q9))),"0")+0)</f>
        <v>0</v>
      </c>
      <c r="R73" s="389">
        <f ca="1">IF(VLOOKUP("Net Income",'FY ACTUALS'!$A$1:$X$996,R$3,FALSE)&lt;&gt;0,IFERROR(VLOOKUP($B73,'FY ACTUALS'!$A$1:$X$996,R$3,FALSE),"0")+0,IFERROR(($H73-SUMIF($I$1:$W$1,"ACTUAL",$I73:$W73))*(VLOOKUP($B73,'Distribution %'!$A$2:$Q$232,MATCH(R$2,'Distribution %'!$A$2:$Q$2,0),FALSE)/(SUMIF('Distribution %'!$C$1:$Q$1,"BUDGET",'Distribution %'!$C9:$Q9))),"0")+0)</f>
        <v>0</v>
      </c>
      <c r="S73" s="389">
        <f ca="1">IF(VLOOKUP("Net Income",'FY ACTUALS'!$A$1:$X$996,S$3,FALSE)&lt;&gt;0,IFERROR(VLOOKUP($B73,'FY ACTUALS'!$A$1:$X$996,S$3,FALSE),"0")+0,IFERROR(($H73-SUMIF($I$1:$W$1,"ACTUAL",$I73:$W73))*(VLOOKUP($B73,'Distribution %'!$A$2:$Q$232,MATCH(S$2,'Distribution %'!$A$2:$Q$2,0),FALSE)/(SUMIF('Distribution %'!$C$1:$Q$1,"BUDGET",'Distribution %'!$C9:$Q9))),"0")+0)</f>
        <v>0</v>
      </c>
      <c r="T73" s="389">
        <f ca="1">IF(VLOOKUP("Net Income",'FY ACTUALS'!$A$1:$X$996,T$3,FALSE)&lt;&gt;0,IFERROR(VLOOKUP($B73,'FY ACTUALS'!$A$1:$X$996,T$3,FALSE),"0")+0,IFERROR(($H73-SUMIF($I$1:$W$1,"ACTUAL",$I73:$W73))*(VLOOKUP($B73,'Distribution %'!$A$2:$Q$232,MATCH(T$2,'Distribution %'!$A$2:$Q$2,0),FALSE)/(SUMIF('Distribution %'!$C$1:$Q$1,"BUDGET",'Distribution %'!$C9:$Q9))),"0")+0)</f>
        <v>0</v>
      </c>
      <c r="U73" s="389">
        <f ca="1">IF(VLOOKUP("Net Income",'FY ACTUALS'!$A$1:$X$996,U$3,FALSE)&lt;&gt;0,IFERROR(VLOOKUP($B73,'FY ACTUALS'!$A$1:$X$996,U$3,FALSE),"0")+0,IFERROR(($H73-SUMIF($I$1:$W$1,"ACTUAL",$I73:$W73))*(VLOOKUP($B73,'Distribution %'!$A$2:$Q$232,MATCH(U$2,'Distribution %'!$A$2:$Q$2,0),FALSE)/(SUMIF('Distribution %'!$C$1:$Q$1,"BUDGET",'Distribution %'!$C9:$Q9))),"0")+0)</f>
        <v>0</v>
      </c>
      <c r="V73" s="389">
        <f ca="1">IF(VLOOKUP("Net Income",'FY ACTUALS'!$A$1:$X$996,V$3,FALSE)&lt;&gt;0,IFERROR(VLOOKUP($B73,'FY ACTUALS'!$A$1:$X$996,V$3,FALSE),"0")+0,IFERROR(($H73-SUMIF($I$1:$W$1,"ACTUAL",$I73:$W73))*(VLOOKUP($B73,'Distribution %'!$A$2:$Q$232,MATCH(V$2,'Distribution %'!$A$2:$Q$2,0),FALSE)/(SUMIF('Distribution %'!$C$1:$Q$1,"BUDGET",'Distribution %'!$C9:$Q9))),"0")+0)</f>
        <v>0</v>
      </c>
      <c r="W73" s="460">
        <f ca="1">IF(VLOOKUP("Net Income",'FY ACTUALS'!$A$1:$X$996,W$3,FALSE)&lt;&gt;0,IFERROR(VLOOKUP($B73,'FY ACTUALS'!$A$1:$X$996,W$3,FALSE),"0")+0,IFERROR(($H73-SUMIF($I$1:$W$1,"ACTUAL",$I73:$W73))*(VLOOKUP($B73,'Distribution %'!$A$2:$Q$232,MATCH(W$2,'Distribution %'!$A$2:$Q$2,0),FALSE)/(SUMIF('Distribution %'!$C$1:$Q$1,"BUDGET",'Distribution %'!$C9:$Q9))),"0")+0)</f>
        <v>0</v>
      </c>
      <c r="X73" s="387">
        <f t="shared" ref="X73" ca="1" si="24">+SUM(I73:W73)</f>
        <v>0</v>
      </c>
      <c r="Y73" s="387"/>
      <c r="Z73" s="387">
        <f t="shared" ref="Z73" ca="1" si="25">+H73-X73</f>
        <v>0</v>
      </c>
    </row>
    <row r="74" spans="1:26" x14ac:dyDescent="0.75">
      <c r="B74" s="379">
        <v>1900</v>
      </c>
      <c r="C74" s="379" t="s">
        <v>1380</v>
      </c>
      <c r="F74" s="379" t="str">
        <f>IF(ISERROR(VLOOKUP(B74,'Distribution %'!A:A,1,FALSE)),"NO","YES")</f>
        <v>YES</v>
      </c>
      <c r="G74" s="392"/>
      <c r="H74" s="430">
        <f ca="1">IFERROR(VLOOKUP(B74,'Expenses w MYP'!$A$8:$K$119,11,FALSE),"0")+0</f>
        <v>0</v>
      </c>
      <c r="I74" s="388">
        <f>IF(VLOOKUP("Net Income",'FY ACTUALS'!$A$1:$X$996,I$3,FALSE)&lt;&gt;0,IFERROR(VLOOKUP($B74,'FY ACTUALS'!$A$1:$X$996,I$3,FALSE),"0")+0,IFERROR(($H74-SUMIF($I$1:$W$1,"ACTUAL",$I74:$W74))*(VLOOKUP($B74,'Distribution %'!$A$2:$Q$232,MATCH(I$2,'Distribution %'!$A$2:$Q$2,0),FALSE)/(SUMIF('Distribution %'!$C$1:$Q$1,"BUDGET",'Distribution %'!$C10:$Q10))),"0")+0)</f>
        <v>0</v>
      </c>
      <c r="J74" s="389">
        <f>IF(VLOOKUP("Net Income",'FY ACTUALS'!$A$1:$X$996,J$3,FALSE)&lt;&gt;0,IFERROR(VLOOKUP($B74,'FY ACTUALS'!$A$1:$X$996,J$3,FALSE),"0")+0,IFERROR(($H74-SUMIF($I$1:$W$1,"ACTUAL",$I74:$W74))*(VLOOKUP($B74,'Distribution %'!$A$2:$Q$232,MATCH(J$2,'Distribution %'!$A$2:$Q$2,0),FALSE)/(SUMIF('Distribution %'!$C$1:$Q$1,"BUDGET",'Distribution %'!$C10:$Q10))),"0")+0)</f>
        <v>0</v>
      </c>
      <c r="K74" s="389">
        <f>IF(VLOOKUP("Net Income",'FY ACTUALS'!$A$1:$X$996,K$3,FALSE)&lt;&gt;0,IFERROR(VLOOKUP($B74,'FY ACTUALS'!$A$1:$X$996,K$3,FALSE),"0")+0,IFERROR(($H74-SUMIF($I$1:$W$1,"ACTUAL",$I74:$W74))*(VLOOKUP($B74,'Distribution %'!$A$2:$Q$232,MATCH(K$2,'Distribution %'!$A$2:$Q$2,0),FALSE)/(SUMIF('Distribution %'!$C$1:$Q$1,"BUDGET",'Distribution %'!$C10:$Q10))),"0")+0)</f>
        <v>0</v>
      </c>
      <c r="L74" s="389">
        <f>IF(VLOOKUP("Net Income",'FY ACTUALS'!$A$1:$X$996,L$3,FALSE)&lt;&gt;0,IFERROR(VLOOKUP($B74,'FY ACTUALS'!$A$1:$X$996,L$3,FALSE),"0")+0,IFERROR(($H74-SUMIF($I$1:$W$1,"ACTUAL",$I74:$W74))*(VLOOKUP($B74,'Distribution %'!$A$2:$Q$232,MATCH(L$2,'Distribution %'!$A$2:$Q$2,0),FALSE)/(SUMIF('Distribution %'!$C$1:$Q$1,"BUDGET",'Distribution %'!$C10:$Q10))),"0")+0)</f>
        <v>0</v>
      </c>
      <c r="M74" s="389">
        <f>IF(VLOOKUP("Net Income",'FY ACTUALS'!$A$1:$X$996,M$3,FALSE)&lt;&gt;0,IFERROR(VLOOKUP($B74,'FY ACTUALS'!$A$1:$X$996,M$3,FALSE),"0")+0,IFERROR(($H74-SUMIF($I$1:$W$1,"ACTUAL",$I74:$W74))*(VLOOKUP($B74,'Distribution %'!$A$2:$Q$232,MATCH(M$2,'Distribution %'!$A$2:$Q$2,0),FALSE)/(SUMIF('Distribution %'!$C$1:$Q$1,"BUDGET",'Distribution %'!$C10:$Q10))),"0")+0)</f>
        <v>0</v>
      </c>
      <c r="N74" s="389">
        <f>IF(VLOOKUP("Net Income",'FY ACTUALS'!$A$1:$X$996,N$3,FALSE)&lt;&gt;0,IFERROR(VLOOKUP($B74,'FY ACTUALS'!$A$1:$X$996,N$3,FALSE),"0")+0,IFERROR(($H74-SUMIF($I$1:$W$1,"ACTUAL",$I74:$W74))*(VLOOKUP($B74,'Distribution %'!$A$2:$Q$232,MATCH(N$2,'Distribution %'!$A$2:$Q$2,0),FALSE)/(SUMIF('Distribution %'!$C$1:$Q$1,"BUDGET",'Distribution %'!$C10:$Q10))),"0")+0)</f>
        <v>0</v>
      </c>
      <c r="O74" s="389">
        <f>IF(VLOOKUP("Net Income",'FY ACTUALS'!$A$1:$X$996,O$3,FALSE)&lt;&gt;0,IFERROR(VLOOKUP($B74,'FY ACTUALS'!$A$1:$X$996,O$3,FALSE),"0")+0,IFERROR(($H74-SUMIF($I$1:$W$1,"ACTUAL",$I74:$W74))*(VLOOKUP($B74,'Distribution %'!$A$2:$Q$232,MATCH(O$2,'Distribution %'!$A$2:$Q$2,0),FALSE)/(SUMIF('Distribution %'!$C$1:$Q$1,"BUDGET",'Distribution %'!$C10:$Q10))),"0")+0)</f>
        <v>0</v>
      </c>
      <c r="P74" s="389">
        <f ca="1">IF(VLOOKUP("Net Income",'FY ACTUALS'!$A$1:$X$996,P$3,FALSE)&lt;&gt;0,IFERROR(VLOOKUP($B74,'FY ACTUALS'!$A$1:$X$996,P$3,FALSE),"0")+0,IFERROR(($H74-SUMIF($I$1:$W$1,"ACTUAL",$I74:$W74))*(VLOOKUP($B74,'Distribution %'!$A$2:$Q$232,MATCH(P$2,'Distribution %'!$A$2:$Q$2,0),FALSE)/(SUMIF('Distribution %'!$C$1:$Q$1,"BUDGET",'Distribution %'!$C10:$Q10))),"0")+0)</f>
        <v>0</v>
      </c>
      <c r="Q74" s="389">
        <f ca="1">IF(VLOOKUP("Net Income",'FY ACTUALS'!$A$1:$X$996,Q$3,FALSE)&lt;&gt;0,IFERROR(VLOOKUP($B74,'FY ACTUALS'!$A$1:$X$996,Q$3,FALSE),"0")+0,IFERROR(($H74-SUMIF($I$1:$W$1,"ACTUAL",$I74:$W74))*(VLOOKUP($B74,'Distribution %'!$A$2:$Q$232,MATCH(Q$2,'Distribution %'!$A$2:$Q$2,0),FALSE)/(SUMIF('Distribution %'!$C$1:$Q$1,"BUDGET",'Distribution %'!$C10:$Q10))),"0")+0)</f>
        <v>0</v>
      </c>
      <c r="R74" s="389">
        <f ca="1">IF(VLOOKUP("Net Income",'FY ACTUALS'!$A$1:$X$996,R$3,FALSE)&lt;&gt;0,IFERROR(VLOOKUP($B74,'FY ACTUALS'!$A$1:$X$996,R$3,FALSE),"0")+0,IFERROR(($H74-SUMIF($I$1:$W$1,"ACTUAL",$I74:$W74))*(VLOOKUP($B74,'Distribution %'!$A$2:$Q$232,MATCH(R$2,'Distribution %'!$A$2:$Q$2,0),FALSE)/(SUMIF('Distribution %'!$C$1:$Q$1,"BUDGET",'Distribution %'!$C10:$Q10))),"0")+0)</f>
        <v>0</v>
      </c>
      <c r="S74" s="389">
        <f ca="1">IF(VLOOKUP("Net Income",'FY ACTUALS'!$A$1:$X$996,S$3,FALSE)&lt;&gt;0,IFERROR(VLOOKUP($B74,'FY ACTUALS'!$A$1:$X$996,S$3,FALSE),"0")+0,IFERROR(($H74-SUMIF($I$1:$W$1,"ACTUAL",$I74:$W74))*(VLOOKUP($B74,'Distribution %'!$A$2:$Q$232,MATCH(S$2,'Distribution %'!$A$2:$Q$2,0),FALSE)/(SUMIF('Distribution %'!$C$1:$Q$1,"BUDGET",'Distribution %'!$C10:$Q10))),"0")+0)</f>
        <v>0</v>
      </c>
      <c r="T74" s="389">
        <f ca="1">IF(VLOOKUP("Net Income",'FY ACTUALS'!$A$1:$X$996,T$3,FALSE)&lt;&gt;0,IFERROR(VLOOKUP($B74,'FY ACTUALS'!$A$1:$X$996,T$3,FALSE),"0")+0,IFERROR(($H74-SUMIF($I$1:$W$1,"ACTUAL",$I74:$W74))*(VLOOKUP($B74,'Distribution %'!$A$2:$Q$232,MATCH(T$2,'Distribution %'!$A$2:$Q$2,0),FALSE)/(SUMIF('Distribution %'!$C$1:$Q$1,"BUDGET",'Distribution %'!$C10:$Q10))),"0")+0)</f>
        <v>0</v>
      </c>
      <c r="U74" s="389">
        <f ca="1">IF(VLOOKUP("Net Income",'FY ACTUALS'!$A$1:$X$996,U$3,FALSE)&lt;&gt;0,IFERROR(VLOOKUP($B74,'FY ACTUALS'!$A$1:$X$996,U$3,FALSE),"0")+0,IFERROR(($H74-SUMIF($I$1:$W$1,"ACTUAL",$I74:$W74))*(VLOOKUP($B74,'Distribution %'!$A$2:$Q$232,MATCH(U$2,'Distribution %'!$A$2:$Q$2,0),FALSE)/(SUMIF('Distribution %'!$C$1:$Q$1,"BUDGET",'Distribution %'!$C10:$Q10))),"0")+0)</f>
        <v>0</v>
      </c>
      <c r="V74" s="389">
        <f ca="1">IF(VLOOKUP("Net Income",'FY ACTUALS'!$A$1:$X$996,V$3,FALSE)&lt;&gt;0,IFERROR(VLOOKUP($B74,'FY ACTUALS'!$A$1:$X$996,V$3,FALSE),"0")+0,IFERROR(($H74-SUMIF($I$1:$W$1,"ACTUAL",$I74:$W74))*(VLOOKUP($B74,'Distribution %'!$A$2:$Q$232,MATCH(V$2,'Distribution %'!$A$2:$Q$2,0),FALSE)/(SUMIF('Distribution %'!$C$1:$Q$1,"BUDGET",'Distribution %'!$C10:$Q10))),"0")+0)</f>
        <v>0</v>
      </c>
      <c r="W74" s="460">
        <f ca="1">IF(VLOOKUP("Net Income",'FY ACTUALS'!$A$1:$X$996,W$3,FALSE)&lt;&gt;0,IFERROR(VLOOKUP($B74,'FY ACTUALS'!$A$1:$X$996,W$3,FALSE),"0")+0,IFERROR(($H74-SUMIF($I$1:$W$1,"ACTUAL",$I74:$W74))*(VLOOKUP($B74,'Distribution %'!$A$2:$Q$232,MATCH(W$2,'Distribution %'!$A$2:$Q$2,0),FALSE)/(SUMIF('Distribution %'!$C$1:$Q$1,"BUDGET",'Distribution %'!$C10:$Q10))),"0")+0)</f>
        <v>0</v>
      </c>
      <c r="X74" s="387">
        <f t="shared" ca="1" si="20"/>
        <v>0</v>
      </c>
      <c r="Y74" s="387"/>
      <c r="Z74" s="387">
        <f t="shared" ca="1" si="21"/>
        <v>0</v>
      </c>
    </row>
    <row r="75" spans="1:26" x14ac:dyDescent="0.75">
      <c r="G75" s="392"/>
      <c r="H75" s="432"/>
      <c r="I75" s="398"/>
      <c r="J75" s="399"/>
      <c r="K75" s="399"/>
      <c r="L75" s="399"/>
      <c r="M75" s="399"/>
      <c r="N75" s="399"/>
      <c r="O75" s="399"/>
      <c r="P75" s="399"/>
      <c r="Q75" s="399"/>
      <c r="R75" s="399"/>
      <c r="S75" s="399"/>
      <c r="T75" s="399"/>
      <c r="U75" s="399"/>
      <c r="V75" s="399"/>
      <c r="W75" s="433"/>
      <c r="X75" s="400">
        <f t="shared" si="20"/>
        <v>0</v>
      </c>
      <c r="Y75" s="400"/>
      <c r="Z75" s="400">
        <f t="shared" si="21"/>
        <v>0</v>
      </c>
    </row>
    <row r="76" spans="1:26" x14ac:dyDescent="0.75">
      <c r="B76" s="412" t="s">
        <v>1381</v>
      </c>
      <c r="G76" s="392"/>
      <c r="H76" s="439">
        <f t="shared" ref="H76:X76" ca="1" si="26">+SUM(H68:H75)</f>
        <v>13558594.698760893</v>
      </c>
      <c r="I76" s="404">
        <f t="shared" si="26"/>
        <v>168389.97999999998</v>
      </c>
      <c r="J76" s="405">
        <f t="shared" si="26"/>
        <v>1000879.82</v>
      </c>
      <c r="K76" s="405">
        <f t="shared" si="26"/>
        <v>1003560.22</v>
      </c>
      <c r="L76" s="405">
        <f t="shared" si="26"/>
        <v>1038351.95</v>
      </c>
      <c r="M76" s="405">
        <f t="shared" si="26"/>
        <v>971382.65</v>
      </c>
      <c r="N76" s="405">
        <f t="shared" si="26"/>
        <v>984927.69</v>
      </c>
      <c r="O76" s="405">
        <f t="shared" si="26"/>
        <v>1203575.94</v>
      </c>
      <c r="P76" s="405">
        <f t="shared" ca="1" si="26"/>
        <v>1423782.0888953558</v>
      </c>
      <c r="Q76" s="405">
        <f t="shared" ca="1" si="26"/>
        <v>1440936.0899663838</v>
      </c>
      <c r="R76" s="405">
        <f t="shared" ca="1" si="26"/>
        <v>1440936.0899663838</v>
      </c>
      <c r="S76" s="406">
        <f t="shared" ca="1" si="26"/>
        <v>1440936.0899663838</v>
      </c>
      <c r="T76" s="406">
        <f t="shared" ca="1" si="26"/>
        <v>1440936.0899663838</v>
      </c>
      <c r="U76" s="387">
        <f t="shared" ca="1" si="26"/>
        <v>0</v>
      </c>
      <c r="V76" s="387">
        <f t="shared" ref="V76" ca="1" si="27">+SUM(V68:V75)</f>
        <v>0</v>
      </c>
      <c r="W76" s="438">
        <f t="shared" ca="1" si="26"/>
        <v>0</v>
      </c>
      <c r="X76" s="418">
        <f t="shared" ca="1" si="26"/>
        <v>13558594.698760893</v>
      </c>
      <c r="Y76" s="418"/>
      <c r="Z76" s="418">
        <f ca="1">+SUM(Z68:Z74)</f>
        <v>0</v>
      </c>
    </row>
    <row r="77" spans="1:26" x14ac:dyDescent="0.75">
      <c r="G77" s="392"/>
      <c r="H77" s="430"/>
      <c r="I77" s="388"/>
      <c r="J77" s="389"/>
      <c r="K77" s="389"/>
      <c r="L77" s="389"/>
      <c r="M77" s="389"/>
      <c r="N77" s="389"/>
      <c r="O77" s="389"/>
      <c r="P77" s="389"/>
      <c r="Q77" s="389"/>
      <c r="R77" s="389"/>
      <c r="S77" s="390"/>
      <c r="T77" s="390"/>
      <c r="U77" s="387"/>
      <c r="V77" s="387"/>
      <c r="W77" s="431"/>
      <c r="X77" s="387"/>
      <c r="Y77" s="387"/>
      <c r="Z77" s="387"/>
    </row>
    <row r="78" spans="1:26" x14ac:dyDescent="0.75">
      <c r="B78" s="379" t="s">
        <v>732</v>
      </c>
      <c r="G78" s="392"/>
      <c r="H78" s="430"/>
      <c r="I78" s="388"/>
      <c r="J78" s="389"/>
      <c r="K78" s="389"/>
      <c r="L78" s="389"/>
      <c r="M78" s="389"/>
      <c r="N78" s="389"/>
      <c r="O78" s="389"/>
      <c r="P78" s="389"/>
      <c r="Q78" s="389"/>
      <c r="R78" s="389"/>
      <c r="S78" s="390"/>
      <c r="T78" s="390"/>
      <c r="U78" s="387"/>
      <c r="V78" s="387"/>
      <c r="W78" s="431"/>
      <c r="X78" s="387"/>
      <c r="Y78" s="387"/>
      <c r="Z78" s="387"/>
    </row>
    <row r="79" spans="1:26" x14ac:dyDescent="0.75">
      <c r="B79" s="379">
        <v>2100</v>
      </c>
      <c r="C79" s="379" t="s">
        <v>1382</v>
      </c>
      <c r="F79" s="379" t="str">
        <f>IF(ISERROR(VLOOKUP(B79,'Distribution %'!A:A,1,FALSE)),"NO","YES")</f>
        <v>YES</v>
      </c>
      <c r="G79" s="392"/>
      <c r="H79" s="430">
        <f ca="1">IFERROR(VLOOKUP(B79,'Expenses w MYP'!$A$8:$K$119,11,FALSE),"0")+0</f>
        <v>363167.70930989995</v>
      </c>
      <c r="I79" s="388">
        <f>IF(VLOOKUP("Net Income",'FY ACTUALS'!$A$1:$X$996,I$3,FALSE)&lt;&gt;0,IFERROR(VLOOKUP($B79,'FY ACTUALS'!$A$1:$X$996,I$3,FALSE),"0")+0,IFERROR(($H79-SUMIF($I$1:$W$1,"ACTUAL",$I79:$W79))*(VLOOKUP($B79,'Distribution %'!$A$2:$Q$232,MATCH(I$2,'Distribution %'!$A$2:$Q$2,0),FALSE)/(SUMIF('Distribution %'!$C$1:$Q$1,"BUDGET",'Distribution %'!$C17:$Q17))),"0")+0)</f>
        <v>1674.13</v>
      </c>
      <c r="J79" s="389">
        <f>IF(VLOOKUP("Net Income",'FY ACTUALS'!$A$1:$X$996,J$3,FALSE)&lt;&gt;0,IFERROR(VLOOKUP($B79,'FY ACTUALS'!$A$1:$X$996,J$3,FALSE),"0")+0,IFERROR(($H79-SUMIF($I$1:$W$1,"ACTUAL",$I79:$W79))*(VLOOKUP($B79,'Distribution %'!$A$2:$Q$232,MATCH(J$2,'Distribution %'!$A$2:$Q$2,0),FALSE)/(SUMIF('Distribution %'!$C$1:$Q$1,"BUDGET",'Distribution %'!$C17:$Q17))),"0")+0)</f>
        <v>26573.94</v>
      </c>
      <c r="K79" s="389">
        <f>IF(VLOOKUP("Net Income",'FY ACTUALS'!$A$1:$X$996,K$3,FALSE)&lt;&gt;0,IFERROR(VLOOKUP($B79,'FY ACTUALS'!$A$1:$X$996,K$3,FALSE),"0")+0,IFERROR(($H79-SUMIF($I$1:$W$1,"ACTUAL",$I79:$W79))*(VLOOKUP($B79,'Distribution %'!$A$2:$Q$232,MATCH(K$2,'Distribution %'!$A$2:$Q$2,0),FALSE)/(SUMIF('Distribution %'!$C$1:$Q$1,"BUDGET",'Distribution %'!$C17:$Q17))),"0")+0)</f>
        <v>34604.81</v>
      </c>
      <c r="L79" s="389">
        <f>IF(VLOOKUP("Net Income",'FY ACTUALS'!$A$1:$X$996,L$3,FALSE)&lt;&gt;0,IFERROR(VLOOKUP($B79,'FY ACTUALS'!$A$1:$X$996,L$3,FALSE),"0")+0,IFERROR(($H79-SUMIF($I$1:$W$1,"ACTUAL",$I79:$W79))*(VLOOKUP($B79,'Distribution %'!$A$2:$Q$232,MATCH(L$2,'Distribution %'!$A$2:$Q$2,0),FALSE)/(SUMIF('Distribution %'!$C$1:$Q$1,"BUDGET",'Distribution %'!$C17:$Q17))),"0")+0)</f>
        <v>31807.8</v>
      </c>
      <c r="M79" s="389">
        <f>IF(VLOOKUP("Net Income",'FY ACTUALS'!$A$1:$X$996,M$3,FALSE)&lt;&gt;0,IFERROR(VLOOKUP($B79,'FY ACTUALS'!$A$1:$X$996,M$3,FALSE),"0")+0,IFERROR(($H79-SUMIF($I$1:$W$1,"ACTUAL",$I79:$W79))*(VLOOKUP($B79,'Distribution %'!$A$2:$Q$232,MATCH(M$2,'Distribution %'!$A$2:$Q$2,0),FALSE)/(SUMIF('Distribution %'!$C$1:$Q$1,"BUDGET",'Distribution %'!$C17:$Q17))),"0")+0)</f>
        <v>36528.870000000003</v>
      </c>
      <c r="N79" s="389">
        <f>IF(VLOOKUP("Net Income",'FY ACTUALS'!$A$1:$X$996,N$3,FALSE)&lt;&gt;0,IFERROR(VLOOKUP($B79,'FY ACTUALS'!$A$1:$X$996,N$3,FALSE),"0")+0,IFERROR(($H79-SUMIF($I$1:$W$1,"ACTUAL",$I79:$W79))*(VLOOKUP($B79,'Distribution %'!$A$2:$Q$232,MATCH(N$2,'Distribution %'!$A$2:$Q$2,0),FALSE)/(SUMIF('Distribution %'!$C$1:$Q$1,"BUDGET",'Distribution %'!$C17:$Q17))),"0")+0)</f>
        <v>35449.160000000003</v>
      </c>
      <c r="O79" s="389">
        <f>IF(VLOOKUP("Net Income",'FY ACTUALS'!$A$1:$X$996,O$3,FALSE)&lt;&gt;0,IFERROR(VLOOKUP($B79,'FY ACTUALS'!$A$1:$X$996,O$3,FALSE),"0")+0,IFERROR(($H79-SUMIF($I$1:$W$1,"ACTUAL",$I79:$W79))*(VLOOKUP($B79,'Distribution %'!$A$2:$Q$232,MATCH(O$2,'Distribution %'!$A$2:$Q$2,0),FALSE)/(SUMIF('Distribution %'!$C$1:$Q$1,"BUDGET",'Distribution %'!$C17:$Q17))),"0")+0)</f>
        <v>48150.13</v>
      </c>
      <c r="P79" s="389">
        <f ca="1">IF(VLOOKUP("Net Income",'FY ACTUALS'!$A$1:$X$996,P$3,FALSE)&lt;&gt;0,IFERROR(VLOOKUP($B79,'FY ACTUALS'!$A$1:$X$996,P$3,FALSE),"0")+0,IFERROR(($H79-SUMIF($I$1:$W$1,"ACTUAL",$I79:$W79))*(VLOOKUP($B79,'Distribution %'!$A$2:$Q$232,MATCH(P$2,'Distribution %'!$A$2:$Q$2,0),FALSE)/(SUMIF('Distribution %'!$C$1:$Q$1,"BUDGET",'Distribution %'!$C17:$Q17))),"0")+0)</f>
        <v>29392.472918190204</v>
      </c>
      <c r="Q79" s="389">
        <f ca="1">IF(VLOOKUP("Net Income",'FY ACTUALS'!$A$1:$X$996,Q$3,FALSE)&lt;&gt;0,IFERROR(VLOOKUP($B79,'FY ACTUALS'!$A$1:$X$996,Q$3,FALSE),"0")+0,IFERROR(($H79-SUMIF($I$1:$W$1,"ACTUAL",$I79:$W79))*(VLOOKUP($B79,'Distribution %'!$A$2:$Q$232,MATCH(Q$2,'Distribution %'!$A$2:$Q$2,0),FALSE)/(SUMIF('Distribution %'!$C$1:$Q$1,"BUDGET",'Distribution %'!$C17:$Q17))),"0")+0)</f>
        <v>29746.599097927436</v>
      </c>
      <c r="R79" s="389">
        <f ca="1">IF(VLOOKUP("Net Income",'FY ACTUALS'!$A$1:$X$996,R$3,FALSE)&lt;&gt;0,IFERROR(VLOOKUP($B79,'FY ACTUALS'!$A$1:$X$996,R$3,FALSE),"0")+0,IFERROR(($H79-SUMIF($I$1:$W$1,"ACTUAL",$I79:$W79))*(VLOOKUP($B79,'Distribution %'!$A$2:$Q$232,MATCH(R$2,'Distribution %'!$A$2:$Q$2,0),FALSE)/(SUMIF('Distribution %'!$C$1:$Q$1,"BUDGET",'Distribution %'!$C17:$Q17))),"0")+0)</f>
        <v>29746.599097927436</v>
      </c>
      <c r="S79" s="389">
        <f ca="1">IF(VLOOKUP("Net Income",'FY ACTUALS'!$A$1:$X$996,S$3,FALSE)&lt;&gt;0,IFERROR(VLOOKUP($B79,'FY ACTUALS'!$A$1:$X$996,S$3,FALSE),"0")+0,IFERROR(($H79-SUMIF($I$1:$W$1,"ACTUAL",$I79:$W79))*(VLOOKUP($B79,'Distribution %'!$A$2:$Q$232,MATCH(S$2,'Distribution %'!$A$2:$Q$2,0),FALSE)/(SUMIF('Distribution %'!$C$1:$Q$1,"BUDGET",'Distribution %'!$C17:$Q17))),"0")+0)</f>
        <v>29746.599097927436</v>
      </c>
      <c r="T79" s="389">
        <f ca="1">IF(VLOOKUP("Net Income",'FY ACTUALS'!$A$1:$X$996,T$3,FALSE)&lt;&gt;0,IFERROR(VLOOKUP($B79,'FY ACTUALS'!$A$1:$X$996,T$3,FALSE),"0")+0,IFERROR(($H79-SUMIF($I$1:$W$1,"ACTUAL",$I79:$W79))*(VLOOKUP($B79,'Distribution %'!$A$2:$Q$232,MATCH(T$2,'Distribution %'!$A$2:$Q$2,0),FALSE)/(SUMIF('Distribution %'!$C$1:$Q$1,"BUDGET",'Distribution %'!$C17:$Q17))),"0")+0)</f>
        <v>29746.599097927436</v>
      </c>
      <c r="U79" s="389">
        <f ca="1">IF(VLOOKUP("Net Income",'FY ACTUALS'!$A$1:$X$996,U$3,FALSE)&lt;&gt;0,IFERROR(VLOOKUP($B79,'FY ACTUALS'!$A$1:$X$996,U$3,FALSE),"0")+0,IFERROR(($H79-SUMIF($I$1:$W$1,"ACTUAL",$I79:$W79))*(VLOOKUP($B79,'Distribution %'!$A$2:$Q$232,MATCH(U$2,'Distribution %'!$A$2:$Q$2,0),FALSE)/(SUMIF('Distribution %'!$C$1:$Q$1,"BUDGET",'Distribution %'!$C17:$Q17))),"0")+0)</f>
        <v>0</v>
      </c>
      <c r="V79" s="389">
        <f ca="1">IF(VLOOKUP("Net Income",'FY ACTUALS'!$A$1:$X$996,V$3,FALSE)&lt;&gt;0,IFERROR(VLOOKUP($B79,'FY ACTUALS'!$A$1:$X$996,V$3,FALSE),"0")+0,IFERROR(($H79-SUMIF($I$1:$W$1,"ACTUAL",$I79:$W79))*(VLOOKUP($B79,'Distribution %'!$A$2:$Q$232,MATCH(V$2,'Distribution %'!$A$2:$Q$2,0),FALSE)/(SUMIF('Distribution %'!$C$1:$Q$1,"BUDGET",'Distribution %'!$C17:$Q17))),"0")+0)</f>
        <v>0</v>
      </c>
      <c r="W79" s="460">
        <f ca="1">IF(VLOOKUP("Net Income",'FY ACTUALS'!$A$1:$X$996,W$3,FALSE)&lt;&gt;0,IFERROR(VLOOKUP($B79,'FY ACTUALS'!$A$1:$X$996,W$3,FALSE),"0")+0,IFERROR(($H79-SUMIF($I$1:$W$1,"ACTUAL",$I79:$W79))*(VLOOKUP($B79,'Distribution %'!$A$2:$Q$232,MATCH(W$2,'Distribution %'!$A$2:$Q$2,0),FALSE)/(SUMIF('Distribution %'!$C$1:$Q$1,"BUDGET",'Distribution %'!$C17:$Q17))),"0")+0)</f>
        <v>0</v>
      </c>
      <c r="X79" s="387">
        <f t="shared" ref="X79:X83" ca="1" si="28">+SUM(I79:W79)</f>
        <v>363167.7093099</v>
      </c>
      <c r="Y79" s="387"/>
      <c r="Z79" s="387">
        <f t="shared" ref="Z79:Z83" ca="1" si="29">+H79-X79</f>
        <v>0</v>
      </c>
    </row>
    <row r="80" spans="1:26" x14ac:dyDescent="0.75">
      <c r="B80" s="379">
        <v>2200</v>
      </c>
      <c r="C80" s="379" t="s">
        <v>1383</v>
      </c>
      <c r="F80" s="379" t="str">
        <f>IF(ISERROR(VLOOKUP(B80,'Distribution %'!A:A,1,FALSE)),"NO","YES")</f>
        <v>YES</v>
      </c>
      <c r="G80" s="392"/>
      <c r="H80" s="430">
        <f ca="1">IFERROR(VLOOKUP(B80,'Expenses w MYP'!$A$8:$K$119,11,FALSE),"0")+0</f>
        <v>1615413.1333545281</v>
      </c>
      <c r="I80" s="388">
        <f>IF(VLOOKUP("Net Income",'FY ACTUALS'!$A$1:$X$996,I$3,FALSE)&lt;&gt;0,IFERROR(VLOOKUP($B80,'FY ACTUALS'!$A$1:$X$996,I$3,FALSE),"0")+0,IFERROR(($H80-SUMIF($I$1:$W$1,"ACTUAL",$I80:$W80))*(VLOOKUP($B80,'Distribution %'!$A$2:$Q$232,MATCH(I$2,'Distribution %'!$A$2:$Q$2,0),FALSE)/(SUMIF('Distribution %'!$C$1:$Q$1,"BUDGET",'Distribution %'!$C18:$Q18))),"0")+0)</f>
        <v>106258.83</v>
      </c>
      <c r="J80" s="389">
        <f>IF(VLOOKUP("Net Income",'FY ACTUALS'!$A$1:$X$996,J$3,FALSE)&lt;&gt;0,IFERROR(VLOOKUP($B80,'FY ACTUALS'!$A$1:$X$996,J$3,FALSE),"0")+0,IFERROR(($H80-SUMIF($I$1:$W$1,"ACTUAL",$I80:$W80))*(VLOOKUP($B80,'Distribution %'!$A$2:$Q$232,MATCH(J$2,'Distribution %'!$A$2:$Q$2,0),FALSE)/(SUMIF('Distribution %'!$C$1:$Q$1,"BUDGET",'Distribution %'!$C18:$Q18))),"0")+0)</f>
        <v>129038.57</v>
      </c>
      <c r="K80" s="389">
        <f>IF(VLOOKUP("Net Income",'FY ACTUALS'!$A$1:$X$996,K$3,FALSE)&lt;&gt;0,IFERROR(VLOOKUP($B80,'FY ACTUALS'!$A$1:$X$996,K$3,FALSE),"0")+0,IFERROR(($H80-SUMIF($I$1:$W$1,"ACTUAL",$I80:$W80))*(VLOOKUP($B80,'Distribution %'!$A$2:$Q$232,MATCH(K$2,'Distribution %'!$A$2:$Q$2,0),FALSE)/(SUMIF('Distribution %'!$C$1:$Q$1,"BUDGET",'Distribution %'!$C18:$Q18))),"0")+0)</f>
        <v>130679.66</v>
      </c>
      <c r="L80" s="389">
        <f>IF(VLOOKUP("Net Income",'FY ACTUALS'!$A$1:$X$996,L$3,FALSE)&lt;&gt;0,IFERROR(VLOOKUP($B80,'FY ACTUALS'!$A$1:$X$996,L$3,FALSE),"0")+0,IFERROR(($H80-SUMIF($I$1:$W$1,"ACTUAL",$I80:$W80))*(VLOOKUP($B80,'Distribution %'!$A$2:$Q$232,MATCH(L$2,'Distribution %'!$A$2:$Q$2,0),FALSE)/(SUMIF('Distribution %'!$C$1:$Q$1,"BUDGET",'Distribution %'!$C18:$Q18))),"0")+0)</f>
        <v>141700.42000000001</v>
      </c>
      <c r="M80" s="389">
        <f>IF(VLOOKUP("Net Income",'FY ACTUALS'!$A$1:$X$996,M$3,FALSE)&lt;&gt;0,IFERROR(VLOOKUP($B80,'FY ACTUALS'!$A$1:$X$996,M$3,FALSE),"0")+0,IFERROR(($H80-SUMIF($I$1:$W$1,"ACTUAL",$I80:$W80))*(VLOOKUP($B80,'Distribution %'!$A$2:$Q$232,MATCH(M$2,'Distribution %'!$A$2:$Q$2,0),FALSE)/(SUMIF('Distribution %'!$C$1:$Q$1,"BUDGET",'Distribution %'!$C18:$Q18))),"0")+0)</f>
        <v>133022.82</v>
      </c>
      <c r="N80" s="389">
        <f>IF(VLOOKUP("Net Income",'FY ACTUALS'!$A$1:$X$996,N$3,FALSE)&lt;&gt;0,IFERROR(VLOOKUP($B80,'FY ACTUALS'!$A$1:$X$996,N$3,FALSE),"0")+0,IFERROR(($H80-SUMIF($I$1:$W$1,"ACTUAL",$I80:$W80))*(VLOOKUP($B80,'Distribution %'!$A$2:$Q$232,MATCH(N$2,'Distribution %'!$A$2:$Q$2,0),FALSE)/(SUMIF('Distribution %'!$C$1:$Q$1,"BUDGET",'Distribution %'!$C18:$Q18))),"0")+0)</f>
        <v>140691.31</v>
      </c>
      <c r="O80" s="389">
        <f>IF(VLOOKUP("Net Income",'FY ACTUALS'!$A$1:$X$996,O$3,FALSE)&lt;&gt;0,IFERROR(VLOOKUP($B80,'FY ACTUALS'!$A$1:$X$996,O$3,FALSE),"0")+0,IFERROR(($H80-SUMIF($I$1:$W$1,"ACTUAL",$I80:$W80))*(VLOOKUP($B80,'Distribution %'!$A$2:$Q$232,MATCH(O$2,'Distribution %'!$A$2:$Q$2,0),FALSE)/(SUMIF('Distribution %'!$C$1:$Q$1,"BUDGET",'Distribution %'!$C18:$Q18))),"0")+0)</f>
        <v>163289.35999999999</v>
      </c>
      <c r="P80" s="389">
        <f ca="1">IF(VLOOKUP("Net Income",'FY ACTUALS'!$A$1:$X$996,P$3,FALSE)&lt;&gt;0,IFERROR(VLOOKUP($B80,'FY ACTUALS'!$A$1:$X$996,P$3,FALSE),"0")+0,IFERROR(($H80-SUMIF($I$1:$W$1,"ACTUAL",$I80:$W80))*(VLOOKUP($B80,'Distribution %'!$A$2:$Q$232,MATCH(P$2,'Distribution %'!$A$2:$Q$2,0),FALSE)/(SUMIF('Distribution %'!$C$1:$Q$1,"BUDGET",'Distribution %'!$C18:$Q18))),"0")+0)</f>
        <v>132865.79846879671</v>
      </c>
      <c r="Q80" s="389">
        <f ca="1">IF(VLOOKUP("Net Income",'FY ACTUALS'!$A$1:$X$996,Q$3,FALSE)&lt;&gt;0,IFERROR(VLOOKUP($B80,'FY ACTUALS'!$A$1:$X$996,Q$3,FALSE),"0")+0,IFERROR(($H80-SUMIF($I$1:$W$1,"ACTUAL",$I80:$W80))*(VLOOKUP($B80,'Distribution %'!$A$2:$Q$232,MATCH(Q$2,'Distribution %'!$A$2:$Q$2,0),FALSE)/(SUMIF('Distribution %'!$C$1:$Q$1,"BUDGET",'Distribution %'!$C18:$Q18))),"0")+0)</f>
        <v>134466.59122143281</v>
      </c>
      <c r="R80" s="389">
        <f ca="1">IF(VLOOKUP("Net Income",'FY ACTUALS'!$A$1:$X$996,R$3,FALSE)&lt;&gt;0,IFERROR(VLOOKUP($B80,'FY ACTUALS'!$A$1:$X$996,R$3,FALSE),"0")+0,IFERROR(($H80-SUMIF($I$1:$W$1,"ACTUAL",$I80:$W80))*(VLOOKUP($B80,'Distribution %'!$A$2:$Q$232,MATCH(R$2,'Distribution %'!$A$2:$Q$2,0),FALSE)/(SUMIF('Distribution %'!$C$1:$Q$1,"BUDGET",'Distribution %'!$C18:$Q18))),"0")+0)</f>
        <v>134466.59122143281</v>
      </c>
      <c r="S80" s="389">
        <f ca="1">IF(VLOOKUP("Net Income",'FY ACTUALS'!$A$1:$X$996,S$3,FALSE)&lt;&gt;0,IFERROR(VLOOKUP($B80,'FY ACTUALS'!$A$1:$X$996,S$3,FALSE),"0")+0,IFERROR(($H80-SUMIF($I$1:$W$1,"ACTUAL",$I80:$W80))*(VLOOKUP($B80,'Distribution %'!$A$2:$Q$232,MATCH(S$2,'Distribution %'!$A$2:$Q$2,0),FALSE)/(SUMIF('Distribution %'!$C$1:$Q$1,"BUDGET",'Distribution %'!$C18:$Q18))),"0")+0)</f>
        <v>134466.59122143281</v>
      </c>
      <c r="T80" s="389">
        <f ca="1">IF(VLOOKUP("Net Income",'FY ACTUALS'!$A$1:$X$996,T$3,FALSE)&lt;&gt;0,IFERROR(VLOOKUP($B80,'FY ACTUALS'!$A$1:$X$996,T$3,FALSE),"0")+0,IFERROR(($H80-SUMIF($I$1:$W$1,"ACTUAL",$I80:$W80))*(VLOOKUP($B80,'Distribution %'!$A$2:$Q$232,MATCH(T$2,'Distribution %'!$A$2:$Q$2,0),FALSE)/(SUMIF('Distribution %'!$C$1:$Q$1,"BUDGET",'Distribution %'!$C18:$Q18))),"0")+0)</f>
        <v>134466.59122143281</v>
      </c>
      <c r="U80" s="389">
        <f ca="1">IF(VLOOKUP("Net Income",'FY ACTUALS'!$A$1:$X$996,U$3,FALSE)&lt;&gt;0,IFERROR(VLOOKUP($B80,'FY ACTUALS'!$A$1:$X$996,U$3,FALSE),"0")+0,IFERROR(($H80-SUMIF($I$1:$W$1,"ACTUAL",$I80:$W80))*(VLOOKUP($B80,'Distribution %'!$A$2:$Q$232,MATCH(U$2,'Distribution %'!$A$2:$Q$2,0),FALSE)/(SUMIF('Distribution %'!$C$1:$Q$1,"BUDGET",'Distribution %'!$C18:$Q18))),"0")+0)</f>
        <v>0</v>
      </c>
      <c r="V80" s="389">
        <f ca="1">IF(VLOOKUP("Net Income",'FY ACTUALS'!$A$1:$X$996,V$3,FALSE)&lt;&gt;0,IFERROR(VLOOKUP($B80,'FY ACTUALS'!$A$1:$X$996,V$3,FALSE),"0")+0,IFERROR(($H80-SUMIF($I$1:$W$1,"ACTUAL",$I80:$W80))*(VLOOKUP($B80,'Distribution %'!$A$2:$Q$232,MATCH(V$2,'Distribution %'!$A$2:$Q$2,0),FALSE)/(SUMIF('Distribution %'!$C$1:$Q$1,"BUDGET",'Distribution %'!$C18:$Q18))),"0")+0)</f>
        <v>0</v>
      </c>
      <c r="W80" s="460">
        <f ca="1">IF(VLOOKUP("Net Income",'FY ACTUALS'!$A$1:$X$996,W$3,FALSE)&lt;&gt;0,IFERROR(VLOOKUP($B80,'FY ACTUALS'!$A$1:$X$996,W$3,FALSE),"0")+0,IFERROR(($H80-SUMIF($I$1:$W$1,"ACTUAL",$I80:$W80))*(VLOOKUP($B80,'Distribution %'!$A$2:$Q$232,MATCH(W$2,'Distribution %'!$A$2:$Q$2,0),FALSE)/(SUMIF('Distribution %'!$C$1:$Q$1,"BUDGET",'Distribution %'!$C18:$Q18))),"0")+0)</f>
        <v>0</v>
      </c>
      <c r="X80" s="387">
        <f t="shared" ca="1" si="28"/>
        <v>1615413.1333545283</v>
      </c>
      <c r="Y80" s="387"/>
      <c r="Z80" s="387">
        <f t="shared" ca="1" si="29"/>
        <v>0</v>
      </c>
    </row>
    <row r="81" spans="2:26" x14ac:dyDescent="0.75">
      <c r="B81" s="379">
        <v>2300</v>
      </c>
      <c r="C81" s="379" t="s">
        <v>1384</v>
      </c>
      <c r="F81" s="379" t="str">
        <f>IF(ISERROR(VLOOKUP(B81,'Distribution %'!A:A,1,FALSE)),"NO","YES")</f>
        <v>YES</v>
      </c>
      <c r="G81" s="392"/>
      <c r="H81" s="430">
        <f ca="1">IFERROR(VLOOKUP(B81,'Expenses w MYP'!$A$8:$K$119,11,FALSE),"0")+0</f>
        <v>587403.97866184008</v>
      </c>
      <c r="I81" s="388">
        <f>IF(VLOOKUP("Net Income",'FY ACTUALS'!$A$1:$X$996,I$3,FALSE)&lt;&gt;0,IFERROR(VLOOKUP($B81,'FY ACTUALS'!$A$1:$X$996,I$3,FALSE),"0")+0,IFERROR(($H81-SUMIF($I$1:$W$1,"ACTUAL",$I81:$W81))*(VLOOKUP($B81,'Distribution %'!$A$2:$Q$232,MATCH(I$2,'Distribution %'!$A$2:$Q$2,0),FALSE)/(SUMIF('Distribution %'!$C$1:$Q$1,"BUDGET",'Distribution %'!$C19:$Q19))),"0")+0)</f>
        <v>68608.210000000006</v>
      </c>
      <c r="J81" s="389">
        <f>IF(VLOOKUP("Net Income",'FY ACTUALS'!$A$1:$X$996,J$3,FALSE)&lt;&gt;0,IFERROR(VLOOKUP($B81,'FY ACTUALS'!$A$1:$X$996,J$3,FALSE),"0")+0,IFERROR(($H81-SUMIF($I$1:$W$1,"ACTUAL",$I81:$W81))*(VLOOKUP($B81,'Distribution %'!$A$2:$Q$232,MATCH(J$2,'Distribution %'!$A$2:$Q$2,0),FALSE)/(SUMIF('Distribution %'!$C$1:$Q$1,"BUDGET",'Distribution %'!$C19:$Q19))),"0")+0)</f>
        <v>68005.78</v>
      </c>
      <c r="K81" s="389">
        <f>IF(VLOOKUP("Net Income",'FY ACTUALS'!$A$1:$X$996,K$3,FALSE)&lt;&gt;0,IFERROR(VLOOKUP($B81,'FY ACTUALS'!$A$1:$X$996,K$3,FALSE),"0")+0,IFERROR(($H81-SUMIF($I$1:$W$1,"ACTUAL",$I81:$W81))*(VLOOKUP($B81,'Distribution %'!$A$2:$Q$232,MATCH(K$2,'Distribution %'!$A$2:$Q$2,0),FALSE)/(SUMIF('Distribution %'!$C$1:$Q$1,"BUDGET",'Distribution %'!$C19:$Q19))),"0")+0)</f>
        <v>71235</v>
      </c>
      <c r="L81" s="389">
        <f>IF(VLOOKUP("Net Income",'FY ACTUALS'!$A$1:$X$996,L$3,FALSE)&lt;&gt;0,IFERROR(VLOOKUP($B81,'FY ACTUALS'!$A$1:$X$996,L$3,FALSE),"0")+0,IFERROR(($H81-SUMIF($I$1:$W$1,"ACTUAL",$I81:$W81))*(VLOOKUP($B81,'Distribution %'!$A$2:$Q$232,MATCH(L$2,'Distribution %'!$A$2:$Q$2,0),FALSE)/(SUMIF('Distribution %'!$C$1:$Q$1,"BUDGET",'Distribution %'!$C19:$Q19))),"0")+0)</f>
        <v>22108.639999999999</v>
      </c>
      <c r="M81" s="389">
        <f>IF(VLOOKUP("Net Income",'FY ACTUALS'!$A$1:$X$996,M$3,FALSE)&lt;&gt;0,IFERROR(VLOOKUP($B81,'FY ACTUALS'!$A$1:$X$996,M$3,FALSE),"0")+0,IFERROR(($H81-SUMIF($I$1:$W$1,"ACTUAL",$I81:$W81))*(VLOOKUP($B81,'Distribution %'!$A$2:$Q$232,MATCH(M$2,'Distribution %'!$A$2:$Q$2,0),FALSE)/(SUMIF('Distribution %'!$C$1:$Q$1,"BUDGET",'Distribution %'!$C19:$Q19))),"0")+0)</f>
        <v>58557.91</v>
      </c>
      <c r="N81" s="389">
        <f>IF(VLOOKUP("Net Income",'FY ACTUALS'!$A$1:$X$996,N$3,FALSE)&lt;&gt;0,IFERROR(VLOOKUP($B81,'FY ACTUALS'!$A$1:$X$996,N$3,FALSE),"0")+0,IFERROR(($H81-SUMIF($I$1:$W$1,"ACTUAL",$I81:$W81))*(VLOOKUP($B81,'Distribution %'!$A$2:$Q$232,MATCH(N$2,'Distribution %'!$A$2:$Q$2,0),FALSE)/(SUMIF('Distribution %'!$C$1:$Q$1,"BUDGET",'Distribution %'!$C19:$Q19))),"0")+0)</f>
        <v>59489.24</v>
      </c>
      <c r="O81" s="389">
        <f>IF(VLOOKUP("Net Income",'FY ACTUALS'!$A$1:$X$996,O$3,FALSE)&lt;&gt;0,IFERROR(VLOOKUP($B81,'FY ACTUALS'!$A$1:$X$996,O$3,FALSE),"0")+0,IFERROR(($H81-SUMIF($I$1:$W$1,"ACTUAL",$I81:$W81))*(VLOOKUP($B81,'Distribution %'!$A$2:$Q$232,MATCH(O$2,'Distribution %'!$A$2:$Q$2,0),FALSE)/(SUMIF('Distribution %'!$C$1:$Q$1,"BUDGET",'Distribution %'!$C19:$Q19))),"0")+0)</f>
        <v>66861.45</v>
      </c>
      <c r="P81" s="389">
        <f ca="1">IF(VLOOKUP("Net Income",'FY ACTUALS'!$A$1:$X$996,P$3,FALSE)&lt;&gt;0,IFERROR(VLOOKUP($B81,'FY ACTUALS'!$A$1:$X$996,P$3,FALSE),"0")+0,IFERROR(($H81-SUMIF($I$1:$W$1,"ACTUAL",$I81:$W81))*(VLOOKUP($B81,'Distribution %'!$A$2:$Q$232,MATCH(P$2,'Distribution %'!$A$2:$Q$2,0),FALSE)/(SUMIF('Distribution %'!$C$1:$Q$1,"BUDGET",'Distribution %'!$C19:$Q19))),"0")+0)</f>
        <v>34178.122049958765</v>
      </c>
      <c r="Q81" s="389">
        <f ca="1">IF(VLOOKUP("Net Income",'FY ACTUALS'!$A$1:$X$996,Q$3,FALSE)&lt;&gt;0,IFERROR(VLOOKUP($B81,'FY ACTUALS'!$A$1:$X$996,Q$3,FALSE),"0")+0,IFERROR(($H81-SUMIF($I$1:$W$1,"ACTUAL",$I81:$W81))*(VLOOKUP($B81,'Distribution %'!$A$2:$Q$232,MATCH(Q$2,'Distribution %'!$A$2:$Q$2,0),FALSE)/(SUMIF('Distribution %'!$C$1:$Q$1,"BUDGET",'Distribution %'!$C19:$Q19))),"0")+0)</f>
        <v>34589.90665297032</v>
      </c>
      <c r="R81" s="389">
        <f ca="1">IF(VLOOKUP("Net Income",'FY ACTUALS'!$A$1:$X$996,R$3,FALSE)&lt;&gt;0,IFERROR(VLOOKUP($B81,'FY ACTUALS'!$A$1:$X$996,R$3,FALSE),"0")+0,IFERROR(($H81-SUMIF($I$1:$W$1,"ACTUAL",$I81:$W81))*(VLOOKUP($B81,'Distribution %'!$A$2:$Q$232,MATCH(R$2,'Distribution %'!$A$2:$Q$2,0),FALSE)/(SUMIF('Distribution %'!$C$1:$Q$1,"BUDGET",'Distribution %'!$C19:$Q19))),"0")+0)</f>
        <v>34589.90665297032</v>
      </c>
      <c r="S81" s="389">
        <f ca="1">IF(VLOOKUP("Net Income",'FY ACTUALS'!$A$1:$X$996,S$3,FALSE)&lt;&gt;0,IFERROR(VLOOKUP($B81,'FY ACTUALS'!$A$1:$X$996,S$3,FALSE),"0")+0,IFERROR(($H81-SUMIF($I$1:$W$1,"ACTUAL",$I81:$W81))*(VLOOKUP($B81,'Distribution %'!$A$2:$Q$232,MATCH(S$2,'Distribution %'!$A$2:$Q$2,0),FALSE)/(SUMIF('Distribution %'!$C$1:$Q$1,"BUDGET",'Distribution %'!$C19:$Q19))),"0")+0)</f>
        <v>34589.90665297032</v>
      </c>
      <c r="T81" s="389">
        <f ca="1">IF(VLOOKUP("Net Income",'FY ACTUALS'!$A$1:$X$996,T$3,FALSE)&lt;&gt;0,IFERROR(VLOOKUP($B81,'FY ACTUALS'!$A$1:$X$996,T$3,FALSE),"0")+0,IFERROR(($H81-SUMIF($I$1:$W$1,"ACTUAL",$I81:$W81))*(VLOOKUP($B81,'Distribution %'!$A$2:$Q$232,MATCH(T$2,'Distribution %'!$A$2:$Q$2,0),FALSE)/(SUMIF('Distribution %'!$C$1:$Q$1,"BUDGET",'Distribution %'!$C19:$Q19))),"0")+0)</f>
        <v>34589.90665297032</v>
      </c>
      <c r="U81" s="389">
        <f ca="1">IF(VLOOKUP("Net Income",'FY ACTUALS'!$A$1:$X$996,U$3,FALSE)&lt;&gt;0,IFERROR(VLOOKUP($B81,'FY ACTUALS'!$A$1:$X$996,U$3,FALSE),"0")+0,IFERROR(($H81-SUMIF($I$1:$W$1,"ACTUAL",$I81:$W81))*(VLOOKUP($B81,'Distribution %'!$A$2:$Q$232,MATCH(U$2,'Distribution %'!$A$2:$Q$2,0),FALSE)/(SUMIF('Distribution %'!$C$1:$Q$1,"BUDGET",'Distribution %'!$C19:$Q19))),"0")+0)</f>
        <v>0</v>
      </c>
      <c r="V81" s="389">
        <f ca="1">IF(VLOOKUP("Net Income",'FY ACTUALS'!$A$1:$X$996,V$3,FALSE)&lt;&gt;0,IFERROR(VLOOKUP($B81,'FY ACTUALS'!$A$1:$X$996,V$3,FALSE),"0")+0,IFERROR(($H81-SUMIF($I$1:$W$1,"ACTUAL",$I81:$W81))*(VLOOKUP($B81,'Distribution %'!$A$2:$Q$232,MATCH(V$2,'Distribution %'!$A$2:$Q$2,0),FALSE)/(SUMIF('Distribution %'!$C$1:$Q$1,"BUDGET",'Distribution %'!$C19:$Q19))),"0")+0)</f>
        <v>0</v>
      </c>
      <c r="W81" s="460">
        <f ca="1">IF(VLOOKUP("Net Income",'FY ACTUALS'!$A$1:$X$996,W$3,FALSE)&lt;&gt;0,IFERROR(VLOOKUP($B81,'FY ACTUALS'!$A$1:$X$996,W$3,FALSE),"0")+0,IFERROR(($H81-SUMIF($I$1:$W$1,"ACTUAL",$I81:$W81))*(VLOOKUP($B81,'Distribution %'!$A$2:$Q$232,MATCH(W$2,'Distribution %'!$A$2:$Q$2,0),FALSE)/(SUMIF('Distribution %'!$C$1:$Q$1,"BUDGET",'Distribution %'!$C19:$Q19))),"0")+0)</f>
        <v>0</v>
      </c>
      <c r="X81" s="387">
        <f t="shared" ca="1" si="28"/>
        <v>587403.97866184008</v>
      </c>
      <c r="Y81" s="387"/>
      <c r="Z81" s="387">
        <f t="shared" ca="1" si="29"/>
        <v>0</v>
      </c>
    </row>
    <row r="82" spans="2:26" x14ac:dyDescent="0.75">
      <c r="B82" s="379">
        <v>2400</v>
      </c>
      <c r="C82" s="379" t="s">
        <v>1385</v>
      </c>
      <c r="F82" s="379" t="str">
        <f>IF(ISERROR(VLOOKUP(B82,'Distribution %'!A:A,1,FALSE)),"NO","YES")</f>
        <v>YES</v>
      </c>
      <c r="G82" s="392"/>
      <c r="H82" s="430">
        <f ca="1">IFERROR(VLOOKUP(B82,'Expenses w MYP'!$A$8:$K$119,11,FALSE),"0")+0</f>
        <v>710167.41654550796</v>
      </c>
      <c r="I82" s="388">
        <f>IF(VLOOKUP("Net Income",'FY ACTUALS'!$A$1:$X$996,I$3,FALSE)&lt;&gt;0,IFERROR(VLOOKUP($B82,'FY ACTUALS'!$A$1:$X$996,I$3,FALSE),"0")+0,IFERROR(($H82-SUMIF($I$1:$W$1,"ACTUAL",$I82:$W82))*(VLOOKUP($B82,'Distribution %'!$A$2:$Q$232,MATCH(I$2,'Distribution %'!$A$2:$Q$2,0),FALSE)/(SUMIF('Distribution %'!$C$1:$Q$1,"BUDGET",'Distribution %'!$C20:$Q20))),"0")+0)</f>
        <v>53002.14</v>
      </c>
      <c r="J82" s="389">
        <f>IF(VLOOKUP("Net Income",'FY ACTUALS'!$A$1:$X$996,J$3,FALSE)&lt;&gt;0,IFERROR(VLOOKUP($B82,'FY ACTUALS'!$A$1:$X$996,J$3,FALSE),"0")+0,IFERROR(($H82-SUMIF($I$1:$W$1,"ACTUAL",$I82:$W82))*(VLOOKUP($B82,'Distribution %'!$A$2:$Q$232,MATCH(J$2,'Distribution %'!$A$2:$Q$2,0),FALSE)/(SUMIF('Distribution %'!$C$1:$Q$1,"BUDGET",'Distribution %'!$C20:$Q20))),"0")+0)</f>
        <v>56431.53</v>
      </c>
      <c r="K82" s="389">
        <f>IF(VLOOKUP("Net Income",'FY ACTUALS'!$A$1:$X$996,K$3,FALSE)&lt;&gt;0,IFERROR(VLOOKUP($B82,'FY ACTUALS'!$A$1:$X$996,K$3,FALSE),"0")+0,IFERROR(($H82-SUMIF($I$1:$W$1,"ACTUAL",$I82:$W82))*(VLOOKUP($B82,'Distribution %'!$A$2:$Q$232,MATCH(K$2,'Distribution %'!$A$2:$Q$2,0),FALSE)/(SUMIF('Distribution %'!$C$1:$Q$1,"BUDGET",'Distribution %'!$C20:$Q20))),"0")+0)</f>
        <v>55933</v>
      </c>
      <c r="L82" s="389">
        <f>IF(VLOOKUP("Net Income",'FY ACTUALS'!$A$1:$X$996,L$3,FALSE)&lt;&gt;0,IFERROR(VLOOKUP($B82,'FY ACTUALS'!$A$1:$X$996,L$3,FALSE),"0")+0,IFERROR(($H82-SUMIF($I$1:$W$1,"ACTUAL",$I82:$W82))*(VLOOKUP($B82,'Distribution %'!$A$2:$Q$232,MATCH(L$2,'Distribution %'!$A$2:$Q$2,0),FALSE)/(SUMIF('Distribution %'!$C$1:$Q$1,"BUDGET",'Distribution %'!$C20:$Q20))),"0")+0)</f>
        <v>34625.279999999999</v>
      </c>
      <c r="M82" s="389">
        <f>IF(VLOOKUP("Net Income",'FY ACTUALS'!$A$1:$X$996,M$3,FALSE)&lt;&gt;0,IFERROR(VLOOKUP($B82,'FY ACTUALS'!$A$1:$X$996,M$3,FALSE),"0")+0,IFERROR(($H82-SUMIF($I$1:$W$1,"ACTUAL",$I82:$W82))*(VLOOKUP($B82,'Distribution %'!$A$2:$Q$232,MATCH(M$2,'Distribution %'!$A$2:$Q$2,0),FALSE)/(SUMIF('Distribution %'!$C$1:$Q$1,"BUDGET",'Distribution %'!$C20:$Q20))),"0")+0)</f>
        <v>50839.34</v>
      </c>
      <c r="N82" s="389">
        <f>IF(VLOOKUP("Net Income",'FY ACTUALS'!$A$1:$X$996,N$3,FALSE)&lt;&gt;0,IFERROR(VLOOKUP($B82,'FY ACTUALS'!$A$1:$X$996,N$3,FALSE),"0")+0,IFERROR(($H82-SUMIF($I$1:$W$1,"ACTUAL",$I82:$W82))*(VLOOKUP($B82,'Distribution %'!$A$2:$Q$232,MATCH(N$2,'Distribution %'!$A$2:$Q$2,0),FALSE)/(SUMIF('Distribution %'!$C$1:$Q$1,"BUDGET",'Distribution %'!$C20:$Q20))),"0")+0)</f>
        <v>52973.58</v>
      </c>
      <c r="O82" s="389">
        <f>IF(VLOOKUP("Net Income",'FY ACTUALS'!$A$1:$X$996,O$3,FALSE)&lt;&gt;0,IFERROR(VLOOKUP($B82,'FY ACTUALS'!$A$1:$X$996,O$3,FALSE),"0")+0,IFERROR(($H82-SUMIF($I$1:$W$1,"ACTUAL",$I82:$W82))*(VLOOKUP($B82,'Distribution %'!$A$2:$Q$232,MATCH(O$2,'Distribution %'!$A$2:$Q$2,0),FALSE)/(SUMIF('Distribution %'!$C$1:$Q$1,"BUDGET",'Distribution %'!$C20:$Q20))),"0")+0)</f>
        <v>65868.56</v>
      </c>
      <c r="P82" s="389">
        <f ca="1">IF(VLOOKUP("Net Income",'FY ACTUALS'!$A$1:$X$996,P$3,FALSE)&lt;&gt;0,IFERROR(VLOOKUP($B82,'FY ACTUALS'!$A$1:$X$996,P$3,FALSE),"0")+0,IFERROR(($H82-SUMIF($I$1:$W$1,"ACTUAL",$I82:$W82))*(VLOOKUP($B82,'Distribution %'!$A$2:$Q$232,MATCH(P$2,'Distribution %'!$A$2:$Q$2,0),FALSE)/(SUMIF('Distribution %'!$C$1:$Q$1,"BUDGET",'Distribution %'!$C20:$Q20))),"0")+0)</f>
        <v>67448.689458895373</v>
      </c>
      <c r="Q82" s="389">
        <f ca="1">IF(VLOOKUP("Net Income",'FY ACTUALS'!$A$1:$X$996,Q$3,FALSE)&lt;&gt;0,IFERROR(VLOOKUP($B82,'FY ACTUALS'!$A$1:$X$996,Q$3,FALSE),"0")+0,IFERROR(($H82-SUMIF($I$1:$W$1,"ACTUAL",$I82:$W82))*(VLOOKUP($B82,'Distribution %'!$A$2:$Q$232,MATCH(Q$2,'Distribution %'!$A$2:$Q$2,0),FALSE)/(SUMIF('Distribution %'!$C$1:$Q$1,"BUDGET",'Distribution %'!$C20:$Q20))),"0")+0)</f>
        <v>68261.324271653153</v>
      </c>
      <c r="R82" s="389">
        <f ca="1">IF(VLOOKUP("Net Income",'FY ACTUALS'!$A$1:$X$996,R$3,FALSE)&lt;&gt;0,IFERROR(VLOOKUP($B82,'FY ACTUALS'!$A$1:$X$996,R$3,FALSE),"0")+0,IFERROR(($H82-SUMIF($I$1:$W$1,"ACTUAL",$I82:$W82))*(VLOOKUP($B82,'Distribution %'!$A$2:$Q$232,MATCH(R$2,'Distribution %'!$A$2:$Q$2,0),FALSE)/(SUMIF('Distribution %'!$C$1:$Q$1,"BUDGET",'Distribution %'!$C20:$Q20))),"0")+0)</f>
        <v>68261.324271653153</v>
      </c>
      <c r="S82" s="389">
        <f ca="1">IF(VLOOKUP("Net Income",'FY ACTUALS'!$A$1:$X$996,S$3,FALSE)&lt;&gt;0,IFERROR(VLOOKUP($B82,'FY ACTUALS'!$A$1:$X$996,S$3,FALSE),"0")+0,IFERROR(($H82-SUMIF($I$1:$W$1,"ACTUAL",$I82:$W82))*(VLOOKUP($B82,'Distribution %'!$A$2:$Q$232,MATCH(S$2,'Distribution %'!$A$2:$Q$2,0),FALSE)/(SUMIF('Distribution %'!$C$1:$Q$1,"BUDGET",'Distribution %'!$C20:$Q20))),"0")+0)</f>
        <v>68261.324271653153</v>
      </c>
      <c r="T82" s="389">
        <f ca="1">IF(VLOOKUP("Net Income",'FY ACTUALS'!$A$1:$X$996,T$3,FALSE)&lt;&gt;0,IFERROR(VLOOKUP($B82,'FY ACTUALS'!$A$1:$X$996,T$3,FALSE),"0")+0,IFERROR(($H82-SUMIF($I$1:$W$1,"ACTUAL",$I82:$W82))*(VLOOKUP($B82,'Distribution %'!$A$2:$Q$232,MATCH(T$2,'Distribution %'!$A$2:$Q$2,0),FALSE)/(SUMIF('Distribution %'!$C$1:$Q$1,"BUDGET",'Distribution %'!$C20:$Q20))),"0")+0)</f>
        <v>68261.324271653153</v>
      </c>
      <c r="U82" s="389">
        <f ca="1">IF(VLOOKUP("Net Income",'FY ACTUALS'!$A$1:$X$996,U$3,FALSE)&lt;&gt;0,IFERROR(VLOOKUP($B82,'FY ACTUALS'!$A$1:$X$996,U$3,FALSE),"0")+0,IFERROR(($H82-SUMIF($I$1:$W$1,"ACTUAL",$I82:$W82))*(VLOOKUP($B82,'Distribution %'!$A$2:$Q$232,MATCH(U$2,'Distribution %'!$A$2:$Q$2,0),FALSE)/(SUMIF('Distribution %'!$C$1:$Q$1,"BUDGET",'Distribution %'!$C20:$Q20))),"0")+0)</f>
        <v>0</v>
      </c>
      <c r="V82" s="389">
        <f ca="1">IF(VLOOKUP("Net Income",'FY ACTUALS'!$A$1:$X$996,V$3,FALSE)&lt;&gt;0,IFERROR(VLOOKUP($B82,'FY ACTUALS'!$A$1:$X$996,V$3,FALSE),"0")+0,IFERROR(($H82-SUMIF($I$1:$W$1,"ACTUAL",$I82:$W82))*(VLOOKUP($B82,'Distribution %'!$A$2:$Q$232,MATCH(V$2,'Distribution %'!$A$2:$Q$2,0),FALSE)/(SUMIF('Distribution %'!$C$1:$Q$1,"BUDGET",'Distribution %'!$C20:$Q20))),"0")+0)</f>
        <v>0</v>
      </c>
      <c r="W82" s="460">
        <f ca="1">IF(VLOOKUP("Net Income",'FY ACTUALS'!$A$1:$X$996,W$3,FALSE)&lt;&gt;0,IFERROR(VLOOKUP($B82,'FY ACTUALS'!$A$1:$X$996,W$3,FALSE),"0")+0,IFERROR(($H82-SUMIF($I$1:$W$1,"ACTUAL",$I82:$W82))*(VLOOKUP($B82,'Distribution %'!$A$2:$Q$232,MATCH(W$2,'Distribution %'!$A$2:$Q$2,0),FALSE)/(SUMIF('Distribution %'!$C$1:$Q$1,"BUDGET",'Distribution %'!$C20:$Q20))),"0")+0)</f>
        <v>0</v>
      </c>
      <c r="X82" s="387">
        <f t="shared" ca="1" si="28"/>
        <v>710167.41654550808</v>
      </c>
      <c r="Y82" s="387"/>
      <c r="Z82" s="387">
        <f t="shared" ca="1" si="29"/>
        <v>0</v>
      </c>
    </row>
    <row r="83" spans="2:26" x14ac:dyDescent="0.75">
      <c r="B83" s="379">
        <v>2900</v>
      </c>
      <c r="C83" s="379" t="s">
        <v>1386</v>
      </c>
      <c r="F83" s="379" t="str">
        <f>IF(ISERROR(VLOOKUP(B83,'Distribution %'!A:A,1,FALSE)),"NO","YES")</f>
        <v>YES</v>
      </c>
      <c r="G83" s="392"/>
      <c r="H83" s="430">
        <f ca="1">IFERROR(VLOOKUP(B83,'Expenses w MYP'!$A$8:$K$119,11,FALSE),"0")+0</f>
        <v>28800</v>
      </c>
      <c r="I83" s="388">
        <f>IF(VLOOKUP("Net Income",'FY ACTUALS'!$A$1:$X$996,I$3,FALSE)&lt;&gt;0,IFERROR(VLOOKUP($B83,'FY ACTUALS'!$A$1:$X$996,I$3,FALSE),"0")+0,IFERROR(($H83-SUMIF($I$1:$W$1,"ACTUAL",$I83:$W83))*(VLOOKUP($B83,'Distribution %'!$A$2:$Q$232,MATCH(I$2,'Distribution %'!$A$2:$Q$2,0),FALSE)/(SUMIF('Distribution %'!$C$1:$Q$1,"BUDGET",'Distribution %'!$C21:$Q21))),"0")+0)</f>
        <v>0</v>
      </c>
      <c r="J83" s="389">
        <f>IF(VLOOKUP("Net Income",'FY ACTUALS'!$A$1:$X$996,J$3,FALSE)&lt;&gt;0,IFERROR(VLOOKUP($B83,'FY ACTUALS'!$A$1:$X$996,J$3,FALSE),"0")+0,IFERROR(($H83-SUMIF($I$1:$W$1,"ACTUAL",$I83:$W83))*(VLOOKUP($B83,'Distribution %'!$A$2:$Q$232,MATCH(J$2,'Distribution %'!$A$2:$Q$2,0),FALSE)/(SUMIF('Distribution %'!$C$1:$Q$1,"BUDGET",'Distribution %'!$C21:$Q21))),"0")+0)</f>
        <v>36.17</v>
      </c>
      <c r="K83" s="389">
        <f>IF(VLOOKUP("Net Income",'FY ACTUALS'!$A$1:$X$996,K$3,FALSE)&lt;&gt;0,IFERROR(VLOOKUP($B83,'FY ACTUALS'!$A$1:$X$996,K$3,FALSE),"0")+0,IFERROR(($H83-SUMIF($I$1:$W$1,"ACTUAL",$I83:$W83))*(VLOOKUP($B83,'Distribution %'!$A$2:$Q$232,MATCH(K$2,'Distribution %'!$A$2:$Q$2,0),FALSE)/(SUMIF('Distribution %'!$C$1:$Q$1,"BUDGET",'Distribution %'!$C21:$Q21))),"0")+0)</f>
        <v>1505.63</v>
      </c>
      <c r="L83" s="389">
        <f>IF(VLOOKUP("Net Income",'FY ACTUALS'!$A$1:$X$996,L$3,FALSE)&lt;&gt;0,IFERROR(VLOOKUP($B83,'FY ACTUALS'!$A$1:$X$996,L$3,FALSE),"0")+0,IFERROR(($H83-SUMIF($I$1:$W$1,"ACTUAL",$I83:$W83))*(VLOOKUP($B83,'Distribution %'!$A$2:$Q$232,MATCH(L$2,'Distribution %'!$A$2:$Q$2,0),FALSE)/(SUMIF('Distribution %'!$C$1:$Q$1,"BUDGET",'Distribution %'!$C21:$Q21))),"0")+0)</f>
        <v>700.82</v>
      </c>
      <c r="M83" s="389">
        <f>IF(VLOOKUP("Net Income",'FY ACTUALS'!$A$1:$X$996,M$3,FALSE)&lt;&gt;0,IFERROR(VLOOKUP($B83,'FY ACTUALS'!$A$1:$X$996,M$3,FALSE),"0")+0,IFERROR(($H83-SUMIF($I$1:$W$1,"ACTUAL",$I83:$W83))*(VLOOKUP($B83,'Distribution %'!$A$2:$Q$232,MATCH(M$2,'Distribution %'!$A$2:$Q$2,0),FALSE)/(SUMIF('Distribution %'!$C$1:$Q$1,"BUDGET",'Distribution %'!$C21:$Q21))),"0")+0)</f>
        <v>1399.38</v>
      </c>
      <c r="N83" s="389">
        <f>IF(VLOOKUP("Net Income",'FY ACTUALS'!$A$1:$X$996,N$3,FALSE)&lt;&gt;0,IFERROR(VLOOKUP($B83,'FY ACTUALS'!$A$1:$X$996,N$3,FALSE),"0")+0,IFERROR(($H83-SUMIF($I$1:$W$1,"ACTUAL",$I83:$W83))*(VLOOKUP($B83,'Distribution %'!$A$2:$Q$232,MATCH(N$2,'Distribution %'!$A$2:$Q$2,0),FALSE)/(SUMIF('Distribution %'!$C$1:$Q$1,"BUDGET",'Distribution %'!$C21:$Q21))),"0")+0)</f>
        <v>270.14999999999998</v>
      </c>
      <c r="O83" s="389">
        <f>IF(VLOOKUP("Net Income",'FY ACTUALS'!$A$1:$X$996,O$3,FALSE)&lt;&gt;0,IFERROR(VLOOKUP($B83,'FY ACTUALS'!$A$1:$X$996,O$3,FALSE),"0")+0,IFERROR(($H83-SUMIF($I$1:$W$1,"ACTUAL",$I83:$W83))*(VLOOKUP($B83,'Distribution %'!$A$2:$Q$232,MATCH(O$2,'Distribution %'!$A$2:$Q$2,0),FALSE)/(SUMIF('Distribution %'!$C$1:$Q$1,"BUDGET",'Distribution %'!$C21:$Q21))),"0")+0)</f>
        <v>2009.98</v>
      </c>
      <c r="P83" s="389">
        <f ca="1">IF(VLOOKUP("Net Income",'FY ACTUALS'!$A$1:$X$996,P$3,FALSE)&lt;&gt;0,IFERROR(VLOOKUP($B83,'FY ACTUALS'!$A$1:$X$996,P$3,FALSE),"0")+0,IFERROR(($H83-SUMIF($I$1:$W$1,"ACTUAL",$I83:$W83))*(VLOOKUP($B83,'Distribution %'!$A$2:$Q$232,MATCH(P$2,'Distribution %'!$A$2:$Q$2,0),FALSE)/(SUMIF('Distribution %'!$C$1:$Q$1,"BUDGET",'Distribution %'!$C21:$Q21))),"0")+0)</f>
        <v>4531.8931026252985</v>
      </c>
      <c r="Q83" s="389">
        <f ca="1">IF(VLOOKUP("Net Income",'FY ACTUALS'!$A$1:$X$996,Q$3,FALSE)&lt;&gt;0,IFERROR(VLOOKUP($B83,'FY ACTUALS'!$A$1:$X$996,Q$3,FALSE),"0")+0,IFERROR(($H83-SUMIF($I$1:$W$1,"ACTUAL",$I83:$W83))*(VLOOKUP($B83,'Distribution %'!$A$2:$Q$232,MATCH(Q$2,'Distribution %'!$A$2:$Q$2,0),FALSE)/(SUMIF('Distribution %'!$C$1:$Q$1,"BUDGET",'Distribution %'!$C21:$Q21))),"0")+0)</f>
        <v>4586.4942243436753</v>
      </c>
      <c r="R83" s="389">
        <f ca="1">IF(VLOOKUP("Net Income",'FY ACTUALS'!$A$1:$X$996,R$3,FALSE)&lt;&gt;0,IFERROR(VLOOKUP($B83,'FY ACTUALS'!$A$1:$X$996,R$3,FALSE),"0")+0,IFERROR(($H83-SUMIF($I$1:$W$1,"ACTUAL",$I83:$W83))*(VLOOKUP($B83,'Distribution %'!$A$2:$Q$232,MATCH(R$2,'Distribution %'!$A$2:$Q$2,0),FALSE)/(SUMIF('Distribution %'!$C$1:$Q$1,"BUDGET",'Distribution %'!$C21:$Q21))),"0")+0)</f>
        <v>4586.4942243436753</v>
      </c>
      <c r="S83" s="389">
        <f ca="1">IF(VLOOKUP("Net Income",'FY ACTUALS'!$A$1:$X$996,S$3,FALSE)&lt;&gt;0,IFERROR(VLOOKUP($B83,'FY ACTUALS'!$A$1:$X$996,S$3,FALSE),"0")+0,IFERROR(($H83-SUMIF($I$1:$W$1,"ACTUAL",$I83:$W83))*(VLOOKUP($B83,'Distribution %'!$A$2:$Q$232,MATCH(S$2,'Distribution %'!$A$2:$Q$2,0),FALSE)/(SUMIF('Distribution %'!$C$1:$Q$1,"BUDGET",'Distribution %'!$C21:$Q21))),"0")+0)</f>
        <v>4586.4942243436753</v>
      </c>
      <c r="T83" s="389">
        <f ca="1">IF(VLOOKUP("Net Income",'FY ACTUALS'!$A$1:$X$996,T$3,FALSE)&lt;&gt;0,IFERROR(VLOOKUP($B83,'FY ACTUALS'!$A$1:$X$996,T$3,FALSE),"0")+0,IFERROR(($H83-SUMIF($I$1:$W$1,"ACTUAL",$I83:$W83))*(VLOOKUP($B83,'Distribution %'!$A$2:$Q$232,MATCH(T$2,'Distribution %'!$A$2:$Q$2,0),FALSE)/(SUMIF('Distribution %'!$C$1:$Q$1,"BUDGET",'Distribution %'!$C21:$Q21))),"0")+0)</f>
        <v>4586.4942243436753</v>
      </c>
      <c r="U83" s="389">
        <f ca="1">IF(VLOOKUP("Net Income",'FY ACTUALS'!$A$1:$X$996,U$3,FALSE)&lt;&gt;0,IFERROR(VLOOKUP($B83,'FY ACTUALS'!$A$1:$X$996,U$3,FALSE),"0")+0,IFERROR(($H83-SUMIF($I$1:$W$1,"ACTUAL",$I83:$W83))*(VLOOKUP($B83,'Distribution %'!$A$2:$Q$232,MATCH(U$2,'Distribution %'!$A$2:$Q$2,0),FALSE)/(SUMIF('Distribution %'!$C$1:$Q$1,"BUDGET",'Distribution %'!$C21:$Q21))),"0")+0)</f>
        <v>0</v>
      </c>
      <c r="V83" s="389">
        <f ca="1">IF(VLOOKUP("Net Income",'FY ACTUALS'!$A$1:$X$996,V$3,FALSE)&lt;&gt;0,IFERROR(VLOOKUP($B83,'FY ACTUALS'!$A$1:$X$996,V$3,FALSE),"0")+0,IFERROR(($H83-SUMIF($I$1:$W$1,"ACTUAL",$I83:$W83))*(VLOOKUP($B83,'Distribution %'!$A$2:$Q$232,MATCH(V$2,'Distribution %'!$A$2:$Q$2,0),FALSE)/(SUMIF('Distribution %'!$C$1:$Q$1,"BUDGET",'Distribution %'!$C21:$Q21))),"0")+0)</f>
        <v>0</v>
      </c>
      <c r="W83" s="460">
        <f ca="1">IF(VLOOKUP("Net Income",'FY ACTUALS'!$A$1:$X$996,W$3,FALSE)&lt;&gt;0,IFERROR(VLOOKUP($B83,'FY ACTUALS'!$A$1:$X$996,W$3,FALSE),"0")+0,IFERROR(($H83-SUMIF($I$1:$W$1,"ACTUAL",$I83:$W83))*(VLOOKUP($B83,'Distribution %'!$A$2:$Q$232,MATCH(W$2,'Distribution %'!$A$2:$Q$2,0),FALSE)/(SUMIF('Distribution %'!$C$1:$Q$1,"BUDGET",'Distribution %'!$C21:$Q21))),"0")+0)</f>
        <v>0</v>
      </c>
      <c r="X83" s="387">
        <f t="shared" ca="1" si="28"/>
        <v>28799.999999999996</v>
      </c>
      <c r="Y83" s="387"/>
      <c r="Z83" s="387">
        <f t="shared" ca="1" si="29"/>
        <v>0</v>
      </c>
    </row>
    <row r="84" spans="2:26" x14ac:dyDescent="0.75">
      <c r="G84" s="392"/>
      <c r="H84" s="430"/>
      <c r="I84" s="388"/>
      <c r="J84" s="389"/>
      <c r="K84" s="389"/>
      <c r="L84" s="389"/>
      <c r="M84" s="389"/>
      <c r="N84" s="389"/>
      <c r="O84" s="389"/>
      <c r="P84" s="389"/>
      <c r="Q84" s="389"/>
      <c r="R84" s="389"/>
      <c r="S84" s="389"/>
      <c r="T84" s="389"/>
      <c r="U84" s="389"/>
      <c r="V84" s="389"/>
      <c r="W84" s="431"/>
      <c r="X84" s="387"/>
      <c r="Y84" s="387"/>
      <c r="Z84" s="387"/>
    </row>
    <row r="85" spans="2:26" x14ac:dyDescent="0.75">
      <c r="G85" s="392"/>
      <c r="H85" s="432"/>
      <c r="I85" s="398"/>
      <c r="J85" s="399"/>
      <c r="K85" s="399"/>
      <c r="L85" s="399"/>
      <c r="M85" s="399"/>
      <c r="N85" s="399"/>
      <c r="O85" s="399"/>
      <c r="P85" s="399"/>
      <c r="Q85" s="399"/>
      <c r="R85" s="399"/>
      <c r="S85" s="399"/>
      <c r="T85" s="399"/>
      <c r="U85" s="399"/>
      <c r="V85" s="399"/>
      <c r="W85" s="433"/>
      <c r="X85" s="400"/>
      <c r="Y85" s="400"/>
      <c r="Z85" s="400"/>
    </row>
    <row r="86" spans="2:26" x14ac:dyDescent="0.75">
      <c r="B86" s="413" t="s">
        <v>1387</v>
      </c>
      <c r="G86" s="392"/>
      <c r="H86" s="439">
        <f t="shared" ref="H86:X86" ca="1" si="30">SUM(H79:H85)</f>
        <v>3304952.2378717759</v>
      </c>
      <c r="I86" s="404">
        <f t="shared" si="30"/>
        <v>229543.31</v>
      </c>
      <c r="J86" s="405">
        <f t="shared" si="30"/>
        <v>280085.99</v>
      </c>
      <c r="K86" s="405">
        <f t="shared" si="30"/>
        <v>293958.09999999998</v>
      </c>
      <c r="L86" s="405">
        <f t="shared" si="30"/>
        <v>230942.96</v>
      </c>
      <c r="M86" s="405">
        <f t="shared" si="30"/>
        <v>280348.32</v>
      </c>
      <c r="N86" s="405">
        <f t="shared" si="30"/>
        <v>288873.44</v>
      </c>
      <c r="O86" s="405">
        <f t="shared" si="30"/>
        <v>346179.48</v>
      </c>
      <c r="P86" s="405">
        <f t="shared" ca="1" si="30"/>
        <v>268416.97599846637</v>
      </c>
      <c r="Q86" s="405">
        <f t="shared" ca="1" si="30"/>
        <v>271650.91546832741</v>
      </c>
      <c r="R86" s="405">
        <f t="shared" ca="1" si="30"/>
        <v>271650.91546832741</v>
      </c>
      <c r="S86" s="406">
        <f t="shared" ca="1" si="30"/>
        <v>271650.91546832741</v>
      </c>
      <c r="T86" s="406">
        <f t="shared" ca="1" si="30"/>
        <v>271650.91546832741</v>
      </c>
      <c r="U86" s="406">
        <f t="shared" ca="1" si="30"/>
        <v>0</v>
      </c>
      <c r="V86" s="406">
        <f t="shared" ref="V86" ca="1" si="31">SUM(V79:V85)</f>
        <v>0</v>
      </c>
      <c r="W86" s="431">
        <f t="shared" ca="1" si="30"/>
        <v>0</v>
      </c>
      <c r="X86" s="387">
        <f t="shared" ca="1" si="30"/>
        <v>3304952.2378717763</v>
      </c>
      <c r="Y86" s="387"/>
      <c r="Z86" s="387">
        <f ca="1">SUM(Z79:Z85)</f>
        <v>0</v>
      </c>
    </row>
    <row r="87" spans="2:26" x14ac:dyDescent="0.75">
      <c r="B87" s="413"/>
      <c r="G87" s="392"/>
      <c r="H87" s="430"/>
      <c r="I87" s="388"/>
      <c r="J87" s="389"/>
      <c r="K87" s="389"/>
      <c r="L87" s="389"/>
      <c r="M87" s="389"/>
      <c r="N87" s="389"/>
      <c r="O87" s="389"/>
      <c r="P87" s="389"/>
      <c r="Q87" s="389"/>
      <c r="R87" s="389"/>
      <c r="S87" s="390"/>
      <c r="T87" s="390"/>
      <c r="U87" s="390"/>
      <c r="V87" s="390"/>
      <c r="W87" s="431"/>
      <c r="X87" s="387"/>
      <c r="Y87" s="387"/>
      <c r="Z87" s="387"/>
    </row>
    <row r="88" spans="2:26" x14ac:dyDescent="0.75">
      <c r="B88" s="364" t="s">
        <v>733</v>
      </c>
      <c r="G88" s="392"/>
      <c r="H88" s="430"/>
      <c r="I88" s="388"/>
      <c r="J88" s="389"/>
      <c r="K88" s="389"/>
      <c r="L88" s="389"/>
      <c r="M88" s="389"/>
      <c r="N88" s="389"/>
      <c r="O88" s="389"/>
      <c r="P88" s="389"/>
      <c r="Q88" s="389"/>
      <c r="R88" s="389"/>
      <c r="S88" s="390"/>
      <c r="T88" s="390"/>
      <c r="U88" s="390"/>
      <c r="V88" s="390"/>
      <c r="W88" s="431"/>
      <c r="X88" s="387">
        <f t="shared" ref="X88:X95" si="32">+SUM(I88:W88)</f>
        <v>0</v>
      </c>
      <c r="Y88" s="387"/>
      <c r="Z88" s="387">
        <f t="shared" ref="Z88:Z95" si="33">+H88-X88</f>
        <v>0</v>
      </c>
    </row>
    <row r="89" spans="2:26" x14ac:dyDescent="0.75">
      <c r="B89" s="379">
        <v>3101</v>
      </c>
      <c r="C89" s="379" t="s">
        <v>587</v>
      </c>
      <c r="F89" s="379" t="str">
        <f>IF(ISERROR(VLOOKUP(B89,'Distribution %'!A:A,1,FALSE)),"NO","YES")</f>
        <v>YES</v>
      </c>
      <c r="G89" s="392"/>
      <c r="H89" s="430">
        <f ca="1">IFERROR(VLOOKUP(B89,'Expenses w MYP'!$A$8:$K$119,11,FALSE),"0")+0</f>
        <v>2589691.5874633323</v>
      </c>
      <c r="I89" s="388">
        <f>IF(VLOOKUP("Net Income",'FY ACTUALS'!$A$1:$X$996,I$3,FALSE)&lt;&gt;0,IFERROR(VLOOKUP($B89,'FY ACTUALS'!$A$1:$X$996,I$3,FALSE),"0")+0,IFERROR(($H89-SUMIF($I$1:$W$1,"ACTUAL",$I89:$W89))*(VLOOKUP($B89,'Distribution %'!$A$2:$Q$232,MATCH(I$2,'Distribution %'!$A$2:$Q$2,0),FALSE)/(SUMIF('Distribution %'!$C$1:$Q$1,"BUDGET",'Distribution %'!$C29:$Q29))),"0")+0)</f>
        <v>4068.77</v>
      </c>
      <c r="J89" s="389">
        <f>IF(VLOOKUP("Net Income",'FY ACTUALS'!$A$1:$X$996,J$3,FALSE)&lt;&gt;0,IFERROR(VLOOKUP($B89,'FY ACTUALS'!$A$1:$X$996,J$3,FALSE),"0")+0,IFERROR(($H89-SUMIF($I$1:$W$1,"ACTUAL",$I89:$W89))*(VLOOKUP($B89,'Distribution %'!$A$2:$Q$232,MATCH(J$2,'Distribution %'!$A$2:$Q$2,0),FALSE)/(SUMIF('Distribution %'!$C$1:$Q$1,"BUDGET",'Distribution %'!$C29:$Q29))),"0")+0)</f>
        <v>154882.23000000001</v>
      </c>
      <c r="K89" s="389">
        <f>IF(VLOOKUP("Net Income",'FY ACTUALS'!$A$1:$X$996,K$3,FALSE)&lt;&gt;0,IFERROR(VLOOKUP($B89,'FY ACTUALS'!$A$1:$X$996,K$3,FALSE),"0")+0,IFERROR(($H89-SUMIF($I$1:$W$1,"ACTUAL",$I89:$W89))*(VLOOKUP($B89,'Distribution %'!$A$2:$Q$232,MATCH(K$2,'Distribution %'!$A$2:$Q$2,0),FALSE)/(SUMIF('Distribution %'!$C$1:$Q$1,"BUDGET",'Distribution %'!$C29:$Q29))),"0")+0)</f>
        <v>173508.06</v>
      </c>
      <c r="L89" s="389">
        <f>IF(VLOOKUP("Net Income",'FY ACTUALS'!$A$1:$X$996,L$3,FALSE)&lt;&gt;0,IFERROR(VLOOKUP($B89,'FY ACTUALS'!$A$1:$X$996,L$3,FALSE),"0")+0,IFERROR(($H89-SUMIF($I$1:$W$1,"ACTUAL",$I89:$W89))*(VLOOKUP($B89,'Distribution %'!$A$2:$Q$232,MATCH(L$2,'Distribution %'!$A$2:$Q$2,0),FALSE)/(SUMIF('Distribution %'!$C$1:$Q$1,"BUDGET",'Distribution %'!$C29:$Q29))),"0")+0)</f>
        <v>205477.63</v>
      </c>
      <c r="M89" s="389">
        <f>IF(VLOOKUP("Net Income",'FY ACTUALS'!$A$1:$X$996,M$3,FALSE)&lt;&gt;0,IFERROR(VLOOKUP($B89,'FY ACTUALS'!$A$1:$X$996,M$3,FALSE),"0")+0,IFERROR(($H89-SUMIF($I$1:$W$1,"ACTUAL",$I89:$W89))*(VLOOKUP($B89,'Distribution %'!$A$2:$Q$232,MATCH(M$2,'Distribution %'!$A$2:$Q$2,0),FALSE)/(SUMIF('Distribution %'!$C$1:$Q$1,"BUDGET",'Distribution %'!$C29:$Q29))),"0")+0)</f>
        <v>164417.49</v>
      </c>
      <c r="N89" s="389">
        <f>IF(VLOOKUP("Net Income",'FY ACTUALS'!$A$1:$X$996,N$3,FALSE)&lt;&gt;0,IFERROR(VLOOKUP($B89,'FY ACTUALS'!$A$1:$X$996,N$3,FALSE),"0")+0,IFERROR(($H89-SUMIF($I$1:$W$1,"ACTUAL",$I89:$W89))*(VLOOKUP($B89,'Distribution %'!$A$2:$Q$232,MATCH(N$2,'Distribution %'!$A$2:$Q$2,0),FALSE)/(SUMIF('Distribution %'!$C$1:$Q$1,"BUDGET",'Distribution %'!$C29:$Q29))),"0")+0)</f>
        <v>163914.92000000001</v>
      </c>
      <c r="O89" s="389">
        <f>IF(VLOOKUP("Net Income",'FY ACTUALS'!$A$1:$X$996,O$3,FALSE)&lt;&gt;0,IFERROR(VLOOKUP($B89,'FY ACTUALS'!$A$1:$X$996,O$3,FALSE),"0")+0,IFERROR(($H89-SUMIF($I$1:$W$1,"ACTUAL",$I89:$W89))*(VLOOKUP($B89,'Distribution %'!$A$2:$Q$232,MATCH(O$2,'Distribution %'!$A$2:$Q$2,0),FALSE)/(SUMIF('Distribution %'!$C$1:$Q$1,"BUDGET",'Distribution %'!$C29:$Q29))),"0")+0)</f>
        <v>207854.35</v>
      </c>
      <c r="P89" s="389">
        <f ca="1">IF(VLOOKUP("Net Income",'FY ACTUALS'!$A$1:$X$996,P$3,FALSE)&lt;&gt;0,IFERROR(VLOOKUP($B89,'FY ACTUALS'!$A$1:$X$996,P$3,FALSE),"0")+0,IFERROR(($H89-SUMIF($I$1:$W$1,"ACTUAL",$I89:$W89))*(VLOOKUP($B89,'Distribution %'!$A$2:$Q$232,MATCH(P$2,'Distribution %'!$A$2:$Q$2,0),FALSE)/(SUMIF('Distribution %'!$C$1:$Q$1,"BUDGET",'Distribution %'!$C29:$Q29))),"0")+0)</f>
        <v>300219.94131135225</v>
      </c>
      <c r="Q89" s="389">
        <f ca="1">IF(VLOOKUP("Net Income",'FY ACTUALS'!$A$1:$X$996,Q$3,FALSE)&lt;&gt;0,IFERROR(VLOOKUP($B89,'FY ACTUALS'!$A$1:$X$996,Q$3,FALSE),"0")+0,IFERROR(($H89-SUMIF($I$1:$W$1,"ACTUAL",$I89:$W89))*(VLOOKUP($B89,'Distribution %'!$A$2:$Q$232,MATCH(Q$2,'Distribution %'!$A$2:$Q$2,0),FALSE)/(SUMIF('Distribution %'!$C$1:$Q$1,"BUDGET",'Distribution %'!$C29:$Q29))),"0")+0)</f>
        <v>303837.04903799505</v>
      </c>
      <c r="R89" s="389">
        <f ca="1">IF(VLOOKUP("Net Income",'FY ACTUALS'!$A$1:$X$996,R$3,FALSE)&lt;&gt;0,IFERROR(VLOOKUP($B89,'FY ACTUALS'!$A$1:$X$996,R$3,FALSE),"0")+0,IFERROR(($H89-SUMIF($I$1:$W$1,"ACTUAL",$I89:$W89))*(VLOOKUP($B89,'Distribution %'!$A$2:$Q$232,MATCH(R$2,'Distribution %'!$A$2:$Q$2,0),FALSE)/(SUMIF('Distribution %'!$C$1:$Q$1,"BUDGET",'Distribution %'!$C29:$Q29))),"0")+0)</f>
        <v>303837.04903799505</v>
      </c>
      <c r="S89" s="389">
        <f ca="1">IF(VLOOKUP("Net Income",'FY ACTUALS'!$A$1:$X$996,S$3,FALSE)&lt;&gt;0,IFERROR(VLOOKUP($B89,'FY ACTUALS'!$A$1:$X$996,S$3,FALSE),"0")+0,IFERROR(($H89-SUMIF($I$1:$W$1,"ACTUAL",$I89:$W89))*(VLOOKUP($B89,'Distribution %'!$A$2:$Q$232,MATCH(S$2,'Distribution %'!$A$2:$Q$2,0),FALSE)/(SUMIF('Distribution %'!$C$1:$Q$1,"BUDGET",'Distribution %'!$C29:$Q29))),"0")+0)</f>
        <v>303837.04903799505</v>
      </c>
      <c r="T89" s="389">
        <f ca="1">IF(VLOOKUP("Net Income",'FY ACTUALS'!$A$1:$X$996,T$3,FALSE)&lt;&gt;0,IFERROR(VLOOKUP($B89,'FY ACTUALS'!$A$1:$X$996,T$3,FALSE),"0")+0,IFERROR(($H89-SUMIF($I$1:$W$1,"ACTUAL",$I89:$W89))*(VLOOKUP($B89,'Distribution %'!$A$2:$Q$232,MATCH(T$2,'Distribution %'!$A$2:$Q$2,0),FALSE)/(SUMIF('Distribution %'!$C$1:$Q$1,"BUDGET",'Distribution %'!$C29:$Q29))),"0")+0)</f>
        <v>303837.04903799505</v>
      </c>
      <c r="U89" s="389">
        <f ca="1">IF(VLOOKUP("Net Income",'FY ACTUALS'!$A$1:$X$996,U$3,FALSE)&lt;&gt;0,IFERROR(VLOOKUP($B89,'FY ACTUALS'!$A$1:$X$996,U$3,FALSE),"0")+0,IFERROR(($H89-SUMIF($I$1:$W$1,"ACTUAL",$I89:$W89))*(VLOOKUP($B89,'Distribution %'!$A$2:$Q$232,MATCH(U$2,'Distribution %'!$A$2:$Q$2,0),FALSE)/(SUMIF('Distribution %'!$C$1:$Q$1,"BUDGET",'Distribution %'!$C29:$Q29))),"0")+0)</f>
        <v>0</v>
      </c>
      <c r="V89" s="389">
        <f ca="1">IF(VLOOKUP("Net Income",'FY ACTUALS'!$A$1:$X$996,V$3,FALSE)&lt;&gt;0,IFERROR(VLOOKUP($B89,'FY ACTUALS'!$A$1:$X$996,V$3,FALSE),"0")+0,IFERROR(($H89-SUMIF($I$1:$W$1,"ACTUAL",$I89:$W89))*(VLOOKUP($B89,'Distribution %'!$A$2:$Q$232,MATCH(V$2,'Distribution %'!$A$2:$Q$2,0),FALSE)/(SUMIF('Distribution %'!$C$1:$Q$1,"BUDGET",'Distribution %'!$C29:$Q29))),"0")+0)</f>
        <v>0</v>
      </c>
      <c r="W89" s="431">
        <f ca="1">IF(VLOOKUP("Net Income",'FY ACTUALS'!$A$1:$X$996,W$3,FALSE)&lt;&gt;0,IFERROR(VLOOKUP($B89,'FY ACTUALS'!$A$1:$X$996,W$3,FALSE),"0")+0,IFERROR(($H89-SUMIF($I$1:$W$1,"ACTUAL",$I89:$W89))*(VLOOKUP($B89,'Distribution %'!$A$2:$Q$232,MATCH(W$2,'Distribution %'!$A$2:$Q$2,0),FALSE)/(SUMIF('Distribution %'!$C$1:$Q$1,"BUDGET",'Distribution %'!$C29:$Q29))),"0")+0)</f>
        <v>0</v>
      </c>
      <c r="X89" s="387">
        <f t="shared" ca="1" si="32"/>
        <v>2589691.5874633323</v>
      </c>
      <c r="Y89" s="387"/>
      <c r="Z89" s="387">
        <f t="shared" ca="1" si="33"/>
        <v>0</v>
      </c>
    </row>
    <row r="90" spans="2:26" x14ac:dyDescent="0.75">
      <c r="B90" s="379">
        <v>3202</v>
      </c>
      <c r="C90" s="379" t="s">
        <v>1457</v>
      </c>
      <c r="F90" s="379" t="str">
        <f>IF(ISERROR(VLOOKUP(B90,'Distribution %'!A:A,1,FALSE)),"NO","YES")</f>
        <v>YES</v>
      </c>
      <c r="G90" s="392"/>
      <c r="H90" s="430">
        <f ca="1">IFERROR(VLOOKUP(B90,'Expenses w MYP'!$A$8:$K$119,11,FALSE),"0")+0</f>
        <v>0</v>
      </c>
      <c r="I90" s="388">
        <f>IF(VLOOKUP("Net Income",'FY ACTUALS'!$A$1:$X$996,I$3,FALSE)&lt;&gt;0,IFERROR(VLOOKUP($B90,'FY ACTUALS'!$A$1:$X$996,I$3,FALSE),"0")+0,IFERROR(($H90-SUMIF($I$1:$W$1,"ACTUAL",$I90:$W90))*(VLOOKUP($B90,'Distribution %'!$A$2:$Q$232,MATCH(I$2,'Distribution %'!$A$2:$Q$2,0),FALSE)/(SUMIF('Distribution %'!$C$1:$Q$1,"BUDGET",'Distribution %'!$C30:$Q30))),"0")+0)</f>
        <v>0</v>
      </c>
      <c r="J90" s="389">
        <f>IF(VLOOKUP("Net Income",'FY ACTUALS'!$A$1:$X$996,J$3,FALSE)&lt;&gt;0,IFERROR(VLOOKUP($B90,'FY ACTUALS'!$A$1:$X$996,J$3,FALSE),"0")+0,IFERROR(($H90-SUMIF($I$1:$W$1,"ACTUAL",$I90:$W90))*(VLOOKUP($B90,'Distribution %'!$A$2:$Q$232,MATCH(J$2,'Distribution %'!$A$2:$Q$2,0),FALSE)/(SUMIF('Distribution %'!$C$1:$Q$1,"BUDGET",'Distribution %'!$C30:$Q30))),"0")+0)</f>
        <v>0</v>
      </c>
      <c r="K90" s="389">
        <f>IF(VLOOKUP("Net Income",'FY ACTUALS'!$A$1:$X$996,K$3,FALSE)&lt;&gt;0,IFERROR(VLOOKUP($B90,'FY ACTUALS'!$A$1:$X$996,K$3,FALSE),"0")+0,IFERROR(($H90-SUMIF($I$1:$W$1,"ACTUAL",$I90:$W90))*(VLOOKUP($B90,'Distribution %'!$A$2:$Q$232,MATCH(K$2,'Distribution %'!$A$2:$Q$2,0),FALSE)/(SUMIF('Distribution %'!$C$1:$Q$1,"BUDGET",'Distribution %'!$C30:$Q30))),"0")+0)</f>
        <v>0</v>
      </c>
      <c r="L90" s="389">
        <f>IF(VLOOKUP("Net Income",'FY ACTUALS'!$A$1:$X$996,L$3,FALSE)&lt;&gt;0,IFERROR(VLOOKUP($B90,'FY ACTUALS'!$A$1:$X$996,L$3,FALSE),"0")+0,IFERROR(($H90-SUMIF($I$1:$W$1,"ACTUAL",$I90:$W90))*(VLOOKUP($B90,'Distribution %'!$A$2:$Q$232,MATCH(L$2,'Distribution %'!$A$2:$Q$2,0),FALSE)/(SUMIF('Distribution %'!$C$1:$Q$1,"BUDGET",'Distribution %'!$C30:$Q30))),"0")+0)</f>
        <v>0</v>
      </c>
      <c r="M90" s="389">
        <f>IF(VLOOKUP("Net Income",'FY ACTUALS'!$A$1:$X$996,M$3,FALSE)&lt;&gt;0,IFERROR(VLOOKUP($B90,'FY ACTUALS'!$A$1:$X$996,M$3,FALSE),"0")+0,IFERROR(($H90-SUMIF($I$1:$W$1,"ACTUAL",$I90:$W90))*(VLOOKUP($B90,'Distribution %'!$A$2:$Q$232,MATCH(M$2,'Distribution %'!$A$2:$Q$2,0),FALSE)/(SUMIF('Distribution %'!$C$1:$Q$1,"BUDGET",'Distribution %'!$C30:$Q30))),"0")+0)</f>
        <v>0</v>
      </c>
      <c r="N90" s="389">
        <f>IF(VLOOKUP("Net Income",'FY ACTUALS'!$A$1:$X$996,N$3,FALSE)&lt;&gt;0,IFERROR(VLOOKUP($B90,'FY ACTUALS'!$A$1:$X$996,N$3,FALSE),"0")+0,IFERROR(($H90-SUMIF($I$1:$W$1,"ACTUAL",$I90:$W90))*(VLOOKUP($B90,'Distribution %'!$A$2:$Q$232,MATCH(N$2,'Distribution %'!$A$2:$Q$2,0),FALSE)/(SUMIF('Distribution %'!$C$1:$Q$1,"BUDGET",'Distribution %'!$C30:$Q30))),"0")+0)</f>
        <v>0</v>
      </c>
      <c r="O90" s="389">
        <f>IF(VLOOKUP("Net Income",'FY ACTUALS'!$A$1:$X$996,O$3,FALSE)&lt;&gt;0,IFERROR(VLOOKUP($B90,'FY ACTUALS'!$A$1:$X$996,O$3,FALSE),"0")+0,IFERROR(($H90-SUMIF($I$1:$W$1,"ACTUAL",$I90:$W90))*(VLOOKUP($B90,'Distribution %'!$A$2:$Q$232,MATCH(O$2,'Distribution %'!$A$2:$Q$2,0),FALSE)/(SUMIF('Distribution %'!$C$1:$Q$1,"BUDGET",'Distribution %'!$C30:$Q30))),"0")+0)</f>
        <v>0</v>
      </c>
      <c r="P90" s="389">
        <f ca="1">IF(VLOOKUP("Net Income",'FY ACTUALS'!$A$1:$X$996,P$3,FALSE)&lt;&gt;0,IFERROR(VLOOKUP($B90,'FY ACTUALS'!$A$1:$X$996,P$3,FALSE),"0")+0,IFERROR(($H90-SUMIF($I$1:$W$1,"ACTUAL",$I90:$W90))*(VLOOKUP($B90,'Distribution %'!$A$2:$Q$232,MATCH(P$2,'Distribution %'!$A$2:$Q$2,0),FALSE)/(SUMIF('Distribution %'!$C$1:$Q$1,"BUDGET",'Distribution %'!$C30:$Q30))),"0")+0)</f>
        <v>0</v>
      </c>
      <c r="Q90" s="389">
        <f ca="1">IF(VLOOKUP("Net Income",'FY ACTUALS'!$A$1:$X$996,Q$3,FALSE)&lt;&gt;0,IFERROR(VLOOKUP($B90,'FY ACTUALS'!$A$1:$X$996,Q$3,FALSE),"0")+0,IFERROR(($H90-SUMIF($I$1:$W$1,"ACTUAL",$I90:$W90))*(VLOOKUP($B90,'Distribution %'!$A$2:$Q$232,MATCH(Q$2,'Distribution %'!$A$2:$Q$2,0),FALSE)/(SUMIF('Distribution %'!$C$1:$Q$1,"BUDGET",'Distribution %'!$C30:$Q30))),"0")+0)</f>
        <v>0</v>
      </c>
      <c r="R90" s="389">
        <f ca="1">IF(VLOOKUP("Net Income",'FY ACTUALS'!$A$1:$X$996,R$3,FALSE)&lt;&gt;0,IFERROR(VLOOKUP($B90,'FY ACTUALS'!$A$1:$X$996,R$3,FALSE),"0")+0,IFERROR(($H90-SUMIF($I$1:$W$1,"ACTUAL",$I90:$W90))*(VLOOKUP($B90,'Distribution %'!$A$2:$Q$232,MATCH(R$2,'Distribution %'!$A$2:$Q$2,0),FALSE)/(SUMIF('Distribution %'!$C$1:$Q$1,"BUDGET",'Distribution %'!$C30:$Q30))),"0")+0)</f>
        <v>0</v>
      </c>
      <c r="S90" s="389">
        <f ca="1">IF(VLOOKUP("Net Income",'FY ACTUALS'!$A$1:$X$996,S$3,FALSE)&lt;&gt;0,IFERROR(VLOOKUP($B90,'FY ACTUALS'!$A$1:$X$996,S$3,FALSE),"0")+0,IFERROR(($H90-SUMIF($I$1:$W$1,"ACTUAL",$I90:$W90))*(VLOOKUP($B90,'Distribution %'!$A$2:$Q$232,MATCH(S$2,'Distribution %'!$A$2:$Q$2,0),FALSE)/(SUMIF('Distribution %'!$C$1:$Q$1,"BUDGET",'Distribution %'!$C30:$Q30))),"0")+0)</f>
        <v>0</v>
      </c>
      <c r="T90" s="389">
        <f ca="1">IF(VLOOKUP("Net Income",'FY ACTUALS'!$A$1:$X$996,T$3,FALSE)&lt;&gt;0,IFERROR(VLOOKUP($B90,'FY ACTUALS'!$A$1:$X$996,T$3,FALSE),"0")+0,IFERROR(($H90-SUMIF($I$1:$W$1,"ACTUAL",$I90:$W90))*(VLOOKUP($B90,'Distribution %'!$A$2:$Q$232,MATCH(T$2,'Distribution %'!$A$2:$Q$2,0),FALSE)/(SUMIF('Distribution %'!$C$1:$Q$1,"BUDGET",'Distribution %'!$C30:$Q30))),"0")+0)</f>
        <v>0</v>
      </c>
      <c r="U90" s="389">
        <f ca="1">IF(VLOOKUP("Net Income",'FY ACTUALS'!$A$1:$X$996,U$3,FALSE)&lt;&gt;0,IFERROR(VLOOKUP($B90,'FY ACTUALS'!$A$1:$X$996,U$3,FALSE),"0")+0,IFERROR(($H90-SUMIF($I$1:$W$1,"ACTUAL",$I90:$W90))*(VLOOKUP($B90,'Distribution %'!$A$2:$Q$232,MATCH(U$2,'Distribution %'!$A$2:$Q$2,0),FALSE)/(SUMIF('Distribution %'!$C$1:$Q$1,"BUDGET",'Distribution %'!$C30:$Q30))),"0")+0)</f>
        <v>0</v>
      </c>
      <c r="V90" s="389">
        <f ca="1">IF(VLOOKUP("Net Income",'FY ACTUALS'!$A$1:$X$996,V$3,FALSE)&lt;&gt;0,IFERROR(VLOOKUP($B90,'FY ACTUALS'!$A$1:$X$996,V$3,FALSE),"0")+0,IFERROR(($H90-SUMIF($I$1:$W$1,"ACTUAL",$I90:$W90))*(VLOOKUP($B90,'Distribution %'!$A$2:$Q$232,MATCH(V$2,'Distribution %'!$A$2:$Q$2,0),FALSE)/(SUMIF('Distribution %'!$C$1:$Q$1,"BUDGET",'Distribution %'!$C30:$Q30))),"0")+0)</f>
        <v>0</v>
      </c>
      <c r="W90" s="431">
        <f ca="1">IF(VLOOKUP("Net Income",'FY ACTUALS'!$A$1:$X$996,W$3,FALSE)&lt;&gt;0,IFERROR(VLOOKUP($B90,'FY ACTUALS'!$A$1:$X$996,W$3,FALSE),"0")+0,IFERROR(($H90-SUMIF($I$1:$W$1,"ACTUAL",$I90:$W90))*(VLOOKUP($B90,'Distribution %'!$A$2:$Q$232,MATCH(W$2,'Distribution %'!$A$2:$Q$2,0),FALSE)/(SUMIF('Distribution %'!$C$1:$Q$1,"BUDGET",'Distribution %'!$C30:$Q30))),"0")+0)</f>
        <v>0</v>
      </c>
      <c r="X90" s="387">
        <f t="shared" ca="1" si="32"/>
        <v>0</v>
      </c>
      <c r="Y90" s="387"/>
      <c r="Z90" s="387">
        <f t="shared" ca="1" si="33"/>
        <v>0</v>
      </c>
    </row>
    <row r="91" spans="2:26" x14ac:dyDescent="0.75">
      <c r="B91" s="379">
        <v>3301</v>
      </c>
      <c r="C91" s="379" t="s">
        <v>1519</v>
      </c>
      <c r="F91" s="379" t="str">
        <f>IF(ISERROR(VLOOKUP(B91,'Distribution %'!A:A,1,FALSE)),"NO","YES")</f>
        <v>YES</v>
      </c>
      <c r="G91" s="392"/>
      <c r="H91" s="430">
        <f ca="1">IFERROR(VLOOKUP(B91,'Expenses w MYP'!$A$8:$K$119,11,FALSE),"0")+0</f>
        <v>196599.62313203298</v>
      </c>
      <c r="I91" s="388">
        <f>IF(VLOOKUP("Net Income",'FY ACTUALS'!$A$1:$X$996,I$3,FALSE)&lt;&gt;0,IFERROR(VLOOKUP($B91,'FY ACTUALS'!$A$1:$X$996,I$3,FALSE),"0")+0,IFERROR(($H91-SUMIF($I$1:$W$1,"ACTUAL",$I91:$W91))*(VLOOKUP($B91,'Distribution %'!$A$2:$Q$232,MATCH(I$2,'Distribution %'!$A$2:$Q$2,0),FALSE)/(SUMIF('Distribution %'!$C$1:$Q$1,"BUDGET",'Distribution %'!$C33:$Q33))),"0")+0)</f>
        <v>0</v>
      </c>
      <c r="J91" s="389">
        <f>IF(VLOOKUP("Net Income",'FY ACTUALS'!$A$1:$X$996,J$3,FALSE)&lt;&gt;0,IFERROR(VLOOKUP($B91,'FY ACTUALS'!$A$1:$X$996,J$3,FALSE),"0")+0,IFERROR(($H91-SUMIF($I$1:$W$1,"ACTUAL",$I91:$W91))*(VLOOKUP($B91,'Distribution %'!$A$2:$Q$232,MATCH(J$2,'Distribution %'!$A$2:$Q$2,0),FALSE)/(SUMIF('Distribution %'!$C$1:$Q$1,"BUDGET",'Distribution %'!$C33:$Q33))),"0")+0)</f>
        <v>0</v>
      </c>
      <c r="K91" s="389">
        <f>IF(VLOOKUP("Net Income",'FY ACTUALS'!$A$1:$X$996,K$3,FALSE)&lt;&gt;0,IFERROR(VLOOKUP($B91,'FY ACTUALS'!$A$1:$X$996,K$3,FALSE),"0")+0,IFERROR(($H91-SUMIF($I$1:$W$1,"ACTUAL",$I91:$W91))*(VLOOKUP($B91,'Distribution %'!$A$2:$Q$232,MATCH(K$2,'Distribution %'!$A$2:$Q$2,0),FALSE)/(SUMIF('Distribution %'!$C$1:$Q$1,"BUDGET",'Distribution %'!$C33:$Q33))),"0")+0)</f>
        <v>0</v>
      </c>
      <c r="L91" s="389">
        <f>IF(VLOOKUP("Net Income",'FY ACTUALS'!$A$1:$X$996,L$3,FALSE)&lt;&gt;0,IFERROR(VLOOKUP($B91,'FY ACTUALS'!$A$1:$X$996,L$3,FALSE),"0")+0,IFERROR(($H91-SUMIF($I$1:$W$1,"ACTUAL",$I91:$W91))*(VLOOKUP($B91,'Distribution %'!$A$2:$Q$232,MATCH(L$2,'Distribution %'!$A$2:$Q$2,0),FALSE)/(SUMIF('Distribution %'!$C$1:$Q$1,"BUDGET",'Distribution %'!$C33:$Q33))),"0")+0)</f>
        <v>46982.31</v>
      </c>
      <c r="M91" s="389">
        <f>IF(VLOOKUP("Net Income",'FY ACTUALS'!$A$1:$X$996,M$3,FALSE)&lt;&gt;0,IFERROR(VLOOKUP($B91,'FY ACTUALS'!$A$1:$X$996,M$3,FALSE),"0")+0,IFERROR(($H91-SUMIF($I$1:$W$1,"ACTUAL",$I91:$W91))*(VLOOKUP($B91,'Distribution %'!$A$2:$Q$232,MATCH(M$2,'Distribution %'!$A$2:$Q$2,0),FALSE)/(SUMIF('Distribution %'!$C$1:$Q$1,"BUDGET",'Distribution %'!$C33:$Q33))),"0")+0)</f>
        <v>14074.27</v>
      </c>
      <c r="N91" s="389">
        <f>IF(VLOOKUP("Net Income",'FY ACTUALS'!$A$1:$X$996,N$3,FALSE)&lt;&gt;0,IFERROR(VLOOKUP($B91,'FY ACTUALS'!$A$1:$X$996,N$3,FALSE),"0")+0,IFERROR(($H91-SUMIF($I$1:$W$1,"ACTUAL",$I91:$W91))*(VLOOKUP($B91,'Distribution %'!$A$2:$Q$232,MATCH(N$2,'Distribution %'!$A$2:$Q$2,0),FALSE)/(SUMIF('Distribution %'!$C$1:$Q$1,"BUDGET",'Distribution %'!$C33:$Q33))),"0")+0)</f>
        <v>13877.41</v>
      </c>
      <c r="O91" s="389">
        <f>IF(VLOOKUP("Net Income",'FY ACTUALS'!$A$1:$X$996,O$3,FALSE)&lt;&gt;0,IFERROR(VLOOKUP($B91,'FY ACTUALS'!$A$1:$X$996,O$3,FALSE),"0")+0,IFERROR(($H91-SUMIF($I$1:$W$1,"ACTUAL",$I91:$W91))*(VLOOKUP($B91,'Distribution %'!$A$2:$Q$232,MATCH(O$2,'Distribution %'!$A$2:$Q$2,0),FALSE)/(SUMIF('Distribution %'!$C$1:$Q$1,"BUDGET",'Distribution %'!$C33:$Q33))),"0")+0)</f>
        <v>17035.7</v>
      </c>
      <c r="P91" s="389">
        <f ca="1">IF(VLOOKUP("Net Income",'FY ACTUALS'!$A$1:$X$996,P$3,FALSE)&lt;&gt;0,IFERROR(VLOOKUP($B91,'FY ACTUALS'!$A$1:$X$996,P$3,FALSE),"0")+0,IFERROR(($H91-SUMIF($I$1:$W$1,"ACTUAL",$I91:$W91))*(VLOOKUP($B91,'Distribution %'!$A$2:$Q$232,MATCH(P$2,'Distribution %'!$A$2:$Q$2,0),FALSE)/(SUMIF('Distribution %'!$C$1:$Q$1,"BUDGET",'Distribution %'!$C33:$Q33))),"0")+0)</f>
        <v>20726.21587102324</v>
      </c>
      <c r="Q91" s="389">
        <f ca="1">IF(VLOOKUP("Net Income",'FY ACTUALS'!$A$1:$X$996,Q$3,FALSE)&lt;&gt;0,IFERROR(VLOOKUP($B91,'FY ACTUALS'!$A$1:$X$996,Q$3,FALSE),"0")+0,IFERROR(($H91-SUMIF($I$1:$W$1,"ACTUAL",$I91:$W91))*(VLOOKUP($B91,'Distribution %'!$A$2:$Q$232,MATCH(Q$2,'Distribution %'!$A$2:$Q$2,0),FALSE)/(SUMIF('Distribution %'!$C$1:$Q$1,"BUDGET",'Distribution %'!$C33:$Q33))),"0")+0)</f>
        <v>20975.929315252433</v>
      </c>
      <c r="R91" s="389">
        <f ca="1">IF(VLOOKUP("Net Income",'FY ACTUALS'!$A$1:$X$996,R$3,FALSE)&lt;&gt;0,IFERROR(VLOOKUP($B91,'FY ACTUALS'!$A$1:$X$996,R$3,FALSE),"0")+0,IFERROR(($H91-SUMIF($I$1:$W$1,"ACTUAL",$I91:$W91))*(VLOOKUP($B91,'Distribution %'!$A$2:$Q$232,MATCH(R$2,'Distribution %'!$A$2:$Q$2,0),FALSE)/(SUMIF('Distribution %'!$C$1:$Q$1,"BUDGET",'Distribution %'!$C33:$Q33))),"0")+0)</f>
        <v>20975.929315252433</v>
      </c>
      <c r="S91" s="389">
        <f ca="1">IF(VLOOKUP("Net Income",'FY ACTUALS'!$A$1:$X$996,S$3,FALSE)&lt;&gt;0,IFERROR(VLOOKUP($B91,'FY ACTUALS'!$A$1:$X$996,S$3,FALSE),"0")+0,IFERROR(($H91-SUMIF($I$1:$W$1,"ACTUAL",$I91:$W91))*(VLOOKUP($B91,'Distribution %'!$A$2:$Q$232,MATCH(S$2,'Distribution %'!$A$2:$Q$2,0),FALSE)/(SUMIF('Distribution %'!$C$1:$Q$1,"BUDGET",'Distribution %'!$C33:$Q33))),"0")+0)</f>
        <v>20975.929315252433</v>
      </c>
      <c r="T91" s="389">
        <f ca="1">IF(VLOOKUP("Net Income",'FY ACTUALS'!$A$1:$X$996,T$3,FALSE)&lt;&gt;0,IFERROR(VLOOKUP($B91,'FY ACTUALS'!$A$1:$X$996,T$3,FALSE),"0")+0,IFERROR(($H91-SUMIF($I$1:$W$1,"ACTUAL",$I91:$W91))*(VLOOKUP($B91,'Distribution %'!$A$2:$Q$232,MATCH(T$2,'Distribution %'!$A$2:$Q$2,0),FALSE)/(SUMIF('Distribution %'!$C$1:$Q$1,"BUDGET",'Distribution %'!$C33:$Q33))),"0")+0)</f>
        <v>20975.929315252433</v>
      </c>
      <c r="U91" s="389">
        <f ca="1">IF(VLOOKUP("Net Income",'FY ACTUALS'!$A$1:$X$996,U$3,FALSE)&lt;&gt;0,IFERROR(VLOOKUP($B91,'FY ACTUALS'!$A$1:$X$996,U$3,FALSE),"0")+0,IFERROR(($H91-SUMIF($I$1:$W$1,"ACTUAL",$I91:$W91))*(VLOOKUP($B91,'Distribution %'!$A$2:$Q$232,MATCH(U$2,'Distribution %'!$A$2:$Q$2,0),FALSE)/(SUMIF('Distribution %'!$C$1:$Q$1,"BUDGET",'Distribution %'!$C33:$Q33))),"0")+0)</f>
        <v>0</v>
      </c>
      <c r="V91" s="389">
        <f ca="1">IF(VLOOKUP("Net Income",'FY ACTUALS'!$A$1:$X$996,V$3,FALSE)&lt;&gt;0,IFERROR(VLOOKUP($B91,'FY ACTUALS'!$A$1:$X$996,V$3,FALSE),"0")+0,IFERROR(($H91-SUMIF($I$1:$W$1,"ACTUAL",$I91:$W91))*(VLOOKUP($B91,'Distribution %'!$A$2:$Q$232,MATCH(V$2,'Distribution %'!$A$2:$Q$2,0),FALSE)/(SUMIF('Distribution %'!$C$1:$Q$1,"BUDGET",'Distribution %'!$C33:$Q33))),"0")+0)</f>
        <v>0</v>
      </c>
      <c r="W91" s="431">
        <f ca="1">IF(VLOOKUP("Net Income",'FY ACTUALS'!$A$1:$X$996,W$3,FALSE)&lt;&gt;0,IFERROR(VLOOKUP($B91,'FY ACTUALS'!$A$1:$X$996,W$3,FALSE),"0")+0,IFERROR(($H91-SUMIF($I$1:$W$1,"ACTUAL",$I91:$W91))*(VLOOKUP($B91,'Distribution %'!$A$2:$Q$232,MATCH(W$2,'Distribution %'!$A$2:$Q$2,0),FALSE)/(SUMIF('Distribution %'!$C$1:$Q$1,"BUDGET",'Distribution %'!$C33:$Q33))),"0")+0)</f>
        <v>0</v>
      </c>
      <c r="X91" s="387">
        <f t="shared" ca="1" si="32"/>
        <v>196599.62313203298</v>
      </c>
      <c r="Y91" s="387"/>
      <c r="Z91" s="387">
        <f t="shared" ca="1" si="33"/>
        <v>0</v>
      </c>
    </row>
    <row r="92" spans="2:26" x14ac:dyDescent="0.75">
      <c r="B92" s="379">
        <v>3302</v>
      </c>
      <c r="C92" s="379" t="s">
        <v>1520</v>
      </c>
      <c r="F92" s="379" t="str">
        <f>IF(ISERROR(VLOOKUP(B92,'Distribution %'!A:A,1,FALSE)),"NO","YES")</f>
        <v>YES</v>
      </c>
      <c r="G92" s="392"/>
      <c r="H92" s="430">
        <f ca="1">IFERROR(VLOOKUP(B92,'Expenses w MYP'!$A$8:$K$119,11,FALSE),"0")+0</f>
        <v>252828.84619719087</v>
      </c>
      <c r="I92" s="388">
        <f>IF(VLOOKUP("Net Income",'FY ACTUALS'!$A$1:$X$996,I$3,FALSE)&lt;&gt;0,IFERROR(VLOOKUP($B92,'FY ACTUALS'!$A$1:$X$996,I$3,FALSE),"0")+0,IFERROR(($H92-SUMIF($I$1:$W$1,"ACTUAL",$I92:$W92))*(VLOOKUP($B92,'Distribution %'!$A$2:$Q$232,MATCH(I$2,'Distribution %'!$A$2:$Q$2,0),FALSE)/(SUMIF('Distribution %'!$C$1:$Q$1,"BUDGET",'Distribution %'!$C34:$Q34))),"0")+0)</f>
        <v>0</v>
      </c>
      <c r="J92" s="389">
        <f>IF(VLOOKUP("Net Income",'FY ACTUALS'!$A$1:$X$996,J$3,FALSE)&lt;&gt;0,IFERROR(VLOOKUP($B92,'FY ACTUALS'!$A$1:$X$996,J$3,FALSE),"0")+0,IFERROR(($H92-SUMIF($I$1:$W$1,"ACTUAL",$I92:$W92))*(VLOOKUP($B92,'Distribution %'!$A$2:$Q$232,MATCH(J$2,'Distribution %'!$A$2:$Q$2,0),FALSE)/(SUMIF('Distribution %'!$C$1:$Q$1,"BUDGET",'Distribution %'!$C34:$Q34))),"0")+0)</f>
        <v>0</v>
      </c>
      <c r="K92" s="389">
        <f>IF(VLOOKUP("Net Income",'FY ACTUALS'!$A$1:$X$996,K$3,FALSE)&lt;&gt;0,IFERROR(VLOOKUP($B92,'FY ACTUALS'!$A$1:$X$996,K$3,FALSE),"0")+0,IFERROR(($H92-SUMIF($I$1:$W$1,"ACTUAL",$I92:$W92))*(VLOOKUP($B92,'Distribution %'!$A$2:$Q$232,MATCH(K$2,'Distribution %'!$A$2:$Q$2,0),FALSE)/(SUMIF('Distribution %'!$C$1:$Q$1,"BUDGET",'Distribution %'!$C34:$Q34))),"0")+0)</f>
        <v>0</v>
      </c>
      <c r="L92" s="389">
        <f>IF(VLOOKUP("Net Income",'FY ACTUALS'!$A$1:$X$996,L$3,FALSE)&lt;&gt;0,IFERROR(VLOOKUP($B92,'FY ACTUALS'!$A$1:$X$996,L$3,FALSE),"0")+0,IFERROR(($H92-SUMIF($I$1:$W$1,"ACTUAL",$I92:$W92))*(VLOOKUP($B92,'Distribution %'!$A$2:$Q$232,MATCH(L$2,'Distribution %'!$A$2:$Q$2,0),FALSE)/(SUMIF('Distribution %'!$C$1:$Q$1,"BUDGET",'Distribution %'!$C34:$Q34))),"0")+0)</f>
        <v>74674.19</v>
      </c>
      <c r="M92" s="389">
        <f>IF(VLOOKUP("Net Income",'FY ACTUALS'!$A$1:$X$996,M$3,FALSE)&lt;&gt;0,IFERROR(VLOOKUP($B92,'FY ACTUALS'!$A$1:$X$996,M$3,FALSE),"0")+0,IFERROR(($H92-SUMIF($I$1:$W$1,"ACTUAL",$I92:$W92))*(VLOOKUP($B92,'Distribution %'!$A$2:$Q$232,MATCH(M$2,'Distribution %'!$A$2:$Q$2,0),FALSE)/(SUMIF('Distribution %'!$C$1:$Q$1,"BUDGET",'Distribution %'!$C34:$Q34))),"0")+0)</f>
        <v>19242.78</v>
      </c>
      <c r="N92" s="389">
        <f>IF(VLOOKUP("Net Income",'FY ACTUALS'!$A$1:$X$996,N$3,FALSE)&lt;&gt;0,IFERROR(VLOOKUP($B92,'FY ACTUALS'!$A$1:$X$996,N$3,FALSE),"0")+0,IFERROR(($H92-SUMIF($I$1:$W$1,"ACTUAL",$I92:$W92))*(VLOOKUP($B92,'Distribution %'!$A$2:$Q$232,MATCH(N$2,'Distribution %'!$A$2:$Q$2,0),FALSE)/(SUMIF('Distribution %'!$C$1:$Q$1,"BUDGET",'Distribution %'!$C34:$Q34))),"0")+0)</f>
        <v>20518.009999999998</v>
      </c>
      <c r="O92" s="389">
        <f>IF(VLOOKUP("Net Income",'FY ACTUALS'!$A$1:$X$996,O$3,FALSE)&lt;&gt;0,IFERROR(VLOOKUP($B92,'FY ACTUALS'!$A$1:$X$996,O$3,FALSE),"0")+0,IFERROR(($H92-SUMIF($I$1:$W$1,"ACTUAL",$I92:$W92))*(VLOOKUP($B92,'Distribution %'!$A$2:$Q$232,MATCH(O$2,'Distribution %'!$A$2:$Q$2,0),FALSE)/(SUMIF('Distribution %'!$C$1:$Q$1,"BUDGET",'Distribution %'!$C34:$Q34))),"0")+0)</f>
        <v>25166.400000000001</v>
      </c>
      <c r="P92" s="389">
        <f ca="1">IF(VLOOKUP("Net Income",'FY ACTUALS'!$A$1:$X$996,P$3,FALSE)&lt;&gt;0,IFERROR(VLOOKUP($B92,'FY ACTUALS'!$A$1:$X$996,P$3,FALSE),"0")+0,IFERROR(($H92-SUMIF($I$1:$W$1,"ACTUAL",$I92:$W92))*(VLOOKUP($B92,'Distribution %'!$A$2:$Q$232,MATCH(P$2,'Distribution %'!$A$2:$Q$2,0),FALSE)/(SUMIF('Distribution %'!$C$1:$Q$1,"BUDGET",'Distribution %'!$C34:$Q34))),"0")+0)</f>
        <v>22429.307146460244</v>
      </c>
      <c r="Q92" s="389">
        <f ca="1">IF(VLOOKUP("Net Income",'FY ACTUALS'!$A$1:$X$996,Q$3,FALSE)&lt;&gt;0,IFERROR(VLOOKUP($B92,'FY ACTUALS'!$A$1:$X$996,Q$3,FALSE),"0")+0,IFERROR(($H92-SUMIF($I$1:$W$1,"ACTUAL",$I92:$W92))*(VLOOKUP($B92,'Distribution %'!$A$2:$Q$232,MATCH(Q$2,'Distribution %'!$A$2:$Q$2,0),FALSE)/(SUMIF('Distribution %'!$C$1:$Q$1,"BUDGET",'Distribution %'!$C34:$Q34))),"0")+0)</f>
        <v>22699.539762682656</v>
      </c>
      <c r="R92" s="389">
        <f ca="1">IF(VLOOKUP("Net Income",'FY ACTUALS'!$A$1:$X$996,R$3,FALSE)&lt;&gt;0,IFERROR(VLOOKUP($B92,'FY ACTUALS'!$A$1:$X$996,R$3,FALSE),"0")+0,IFERROR(($H92-SUMIF($I$1:$W$1,"ACTUAL",$I92:$W92))*(VLOOKUP($B92,'Distribution %'!$A$2:$Q$232,MATCH(R$2,'Distribution %'!$A$2:$Q$2,0),FALSE)/(SUMIF('Distribution %'!$C$1:$Q$1,"BUDGET",'Distribution %'!$C34:$Q34))),"0")+0)</f>
        <v>22699.539762682656</v>
      </c>
      <c r="S92" s="389">
        <f ca="1">IF(VLOOKUP("Net Income",'FY ACTUALS'!$A$1:$X$996,S$3,FALSE)&lt;&gt;0,IFERROR(VLOOKUP($B92,'FY ACTUALS'!$A$1:$X$996,S$3,FALSE),"0")+0,IFERROR(($H92-SUMIF($I$1:$W$1,"ACTUAL",$I92:$W92))*(VLOOKUP($B92,'Distribution %'!$A$2:$Q$232,MATCH(S$2,'Distribution %'!$A$2:$Q$2,0),FALSE)/(SUMIF('Distribution %'!$C$1:$Q$1,"BUDGET",'Distribution %'!$C34:$Q34))),"0")+0)</f>
        <v>22699.539762682656</v>
      </c>
      <c r="T92" s="389">
        <f ca="1">IF(VLOOKUP("Net Income",'FY ACTUALS'!$A$1:$X$996,T$3,FALSE)&lt;&gt;0,IFERROR(VLOOKUP($B92,'FY ACTUALS'!$A$1:$X$996,T$3,FALSE),"0")+0,IFERROR(($H92-SUMIF($I$1:$W$1,"ACTUAL",$I92:$W92))*(VLOOKUP($B92,'Distribution %'!$A$2:$Q$232,MATCH(T$2,'Distribution %'!$A$2:$Q$2,0),FALSE)/(SUMIF('Distribution %'!$C$1:$Q$1,"BUDGET",'Distribution %'!$C34:$Q34))),"0")+0)</f>
        <v>22699.539762682656</v>
      </c>
      <c r="U92" s="389">
        <f ca="1">IF(VLOOKUP("Net Income",'FY ACTUALS'!$A$1:$X$996,U$3,FALSE)&lt;&gt;0,IFERROR(VLOOKUP($B92,'FY ACTUALS'!$A$1:$X$996,U$3,FALSE),"0")+0,IFERROR(($H92-SUMIF($I$1:$W$1,"ACTUAL",$I92:$W92))*(VLOOKUP($B92,'Distribution %'!$A$2:$Q$232,MATCH(U$2,'Distribution %'!$A$2:$Q$2,0),FALSE)/(SUMIF('Distribution %'!$C$1:$Q$1,"BUDGET",'Distribution %'!$C34:$Q34))),"0")+0)</f>
        <v>0</v>
      </c>
      <c r="V92" s="389">
        <f ca="1">IF(VLOOKUP("Net Income",'FY ACTUALS'!$A$1:$X$996,V$3,FALSE)&lt;&gt;0,IFERROR(VLOOKUP($B92,'FY ACTUALS'!$A$1:$X$996,V$3,FALSE),"0")+0,IFERROR(($H92-SUMIF($I$1:$W$1,"ACTUAL",$I92:$W92))*(VLOOKUP($B92,'Distribution %'!$A$2:$Q$232,MATCH(V$2,'Distribution %'!$A$2:$Q$2,0),FALSE)/(SUMIF('Distribution %'!$C$1:$Q$1,"BUDGET",'Distribution %'!$C34:$Q34))),"0")+0)</f>
        <v>0</v>
      </c>
      <c r="W92" s="431">
        <f ca="1">IF(VLOOKUP("Net Income",'FY ACTUALS'!$A$1:$X$996,W$3,FALSE)&lt;&gt;0,IFERROR(VLOOKUP($B92,'FY ACTUALS'!$A$1:$X$996,W$3,FALSE),"0")+0,IFERROR(($H92-SUMIF($I$1:$W$1,"ACTUAL",$I92:$W92))*(VLOOKUP($B92,'Distribution %'!$A$2:$Q$232,MATCH(W$2,'Distribution %'!$A$2:$Q$2,0),FALSE)/(SUMIF('Distribution %'!$C$1:$Q$1,"BUDGET",'Distribution %'!$C34:$Q34))),"0")+0)</f>
        <v>0</v>
      </c>
      <c r="X92" s="387">
        <f t="shared" ca="1" si="32"/>
        <v>252828.8461971909</v>
      </c>
      <c r="Y92" s="387"/>
      <c r="Z92" s="387">
        <f t="shared" ca="1" si="33"/>
        <v>0</v>
      </c>
    </row>
    <row r="93" spans="2:26" x14ac:dyDescent="0.75">
      <c r="B93" s="379">
        <v>3313</v>
      </c>
      <c r="C93" s="379" t="s">
        <v>1066</v>
      </c>
      <c r="F93" s="379" t="str">
        <f>IF(ISERROR(VLOOKUP(B93,'Distribution %'!A:A,1,FALSE)),"NO","YES")</f>
        <v>YES</v>
      </c>
      <c r="G93" s="392"/>
      <c r="H93" s="430">
        <f ca="1">IFERROR(VLOOKUP(B93,'Expenses w MYP'!$A$8:$K$119,11,FALSE),"0")+0</f>
        <v>0</v>
      </c>
      <c r="I93" s="388">
        <f>IF(VLOOKUP("Net Income",'FY ACTUALS'!$A$1:$X$996,I$3,FALSE)&lt;&gt;0,IFERROR(VLOOKUP($B93,'FY ACTUALS'!$A$1:$X$996,I$3,FALSE),"0")+0,IFERROR(($H93-SUMIF($I$1:$W$1,"ACTUAL",$I93:$W93))*(VLOOKUP($B93,'Distribution %'!$A$2:$Q$232,MATCH(I$2,'Distribution %'!$A$2:$Q$2,0),FALSE)/(SUMIF('Distribution %'!$C$1:$Q$1,"BUDGET",'Distribution %'!$C37:$Q37))),"0")+0)</f>
        <v>13032.66</v>
      </c>
      <c r="J93" s="389">
        <f>IF(VLOOKUP("Net Income",'FY ACTUALS'!$A$1:$X$996,J$3,FALSE)&lt;&gt;0,IFERROR(VLOOKUP($B93,'FY ACTUALS'!$A$1:$X$996,J$3,FALSE),"0")+0,IFERROR(($H93-SUMIF($I$1:$W$1,"ACTUAL",$I93:$W93))*(VLOOKUP($B93,'Distribution %'!$A$2:$Q$232,MATCH(J$2,'Distribution %'!$A$2:$Q$2,0),FALSE)/(SUMIF('Distribution %'!$C$1:$Q$1,"BUDGET",'Distribution %'!$C37:$Q37))),"0")+0)</f>
        <v>16811.82</v>
      </c>
      <c r="K93" s="389">
        <f>IF(VLOOKUP("Net Income",'FY ACTUALS'!$A$1:$X$996,K$3,FALSE)&lt;&gt;0,IFERROR(VLOOKUP($B93,'FY ACTUALS'!$A$1:$X$996,K$3,FALSE),"0")+0,IFERROR(($H93-SUMIF($I$1:$W$1,"ACTUAL",$I93:$W93))*(VLOOKUP($B93,'Distribution %'!$A$2:$Q$232,MATCH(K$2,'Distribution %'!$A$2:$Q$2,0),FALSE)/(SUMIF('Distribution %'!$C$1:$Q$1,"BUDGET",'Distribution %'!$C37:$Q37))),"0")+0)</f>
        <v>16478.37</v>
      </c>
      <c r="L93" s="389">
        <f>IF(VLOOKUP("Net Income",'FY ACTUALS'!$A$1:$X$996,L$3,FALSE)&lt;&gt;0,IFERROR(VLOOKUP($B93,'FY ACTUALS'!$A$1:$X$996,L$3,FALSE),"0")+0,IFERROR(($H93-SUMIF($I$1:$W$1,"ACTUAL",$I93:$W93))*(VLOOKUP($B93,'Distribution %'!$A$2:$Q$232,MATCH(L$2,'Distribution %'!$A$2:$Q$2,0),FALSE)/(SUMIF('Distribution %'!$C$1:$Q$1,"BUDGET",'Distribution %'!$C37:$Q37))),"0")+0)</f>
        <v>-46322.85</v>
      </c>
      <c r="M93" s="389">
        <f>IF(VLOOKUP("Net Income",'FY ACTUALS'!$A$1:$X$996,M$3,FALSE)&lt;&gt;0,IFERROR(VLOOKUP($B93,'FY ACTUALS'!$A$1:$X$996,M$3,FALSE),"0")+0,IFERROR(($H93-SUMIF($I$1:$W$1,"ACTUAL",$I93:$W93))*(VLOOKUP($B93,'Distribution %'!$A$2:$Q$232,MATCH(M$2,'Distribution %'!$A$2:$Q$2,0),FALSE)/(SUMIF('Distribution %'!$C$1:$Q$1,"BUDGET",'Distribution %'!$C37:$Q37))),"0")+0)</f>
        <v>0</v>
      </c>
      <c r="N93" s="389">
        <f>IF(VLOOKUP("Net Income",'FY ACTUALS'!$A$1:$X$996,N$3,FALSE)&lt;&gt;0,IFERROR(VLOOKUP($B93,'FY ACTUALS'!$A$1:$X$996,N$3,FALSE),"0")+0,IFERROR(($H93-SUMIF($I$1:$W$1,"ACTUAL",$I93:$W93))*(VLOOKUP($B93,'Distribution %'!$A$2:$Q$232,MATCH(N$2,'Distribution %'!$A$2:$Q$2,0),FALSE)/(SUMIF('Distribution %'!$C$1:$Q$1,"BUDGET",'Distribution %'!$C37:$Q37))),"0")+0)</f>
        <v>0</v>
      </c>
      <c r="O93" s="389">
        <f>IF(VLOOKUP("Net Income",'FY ACTUALS'!$A$1:$X$996,O$3,FALSE)&lt;&gt;0,IFERROR(VLOOKUP($B93,'FY ACTUALS'!$A$1:$X$996,O$3,FALSE),"0")+0,IFERROR(($H93-SUMIF($I$1:$W$1,"ACTUAL",$I93:$W93))*(VLOOKUP($B93,'Distribution %'!$A$2:$Q$232,MATCH(O$2,'Distribution %'!$A$2:$Q$2,0),FALSE)/(SUMIF('Distribution %'!$C$1:$Q$1,"BUDGET",'Distribution %'!$C37:$Q37))),"0")+0)</f>
        <v>0</v>
      </c>
      <c r="P93" s="389">
        <f ca="1">IF(VLOOKUP("Net Income",'FY ACTUALS'!$A$1:$X$996,P$3,FALSE)&lt;&gt;0,IFERROR(VLOOKUP($B93,'FY ACTUALS'!$A$1:$X$996,P$3,FALSE),"0")+0,IFERROR(($H93-SUMIF($I$1:$W$1,"ACTUAL",$I93:$W93))*(VLOOKUP($B93,'Distribution %'!$A$2:$Q$232,MATCH(P$2,'Distribution %'!$A$2:$Q$2,0),FALSE)/(SUMIF('Distribution %'!$C$1:$Q$1,"BUDGET",'Distribution %'!$C37:$Q37))),"0")+0)</f>
        <v>0</v>
      </c>
      <c r="Q93" s="389">
        <f ca="1">IF(VLOOKUP("Net Income",'FY ACTUALS'!$A$1:$X$996,Q$3,FALSE)&lt;&gt;0,IFERROR(VLOOKUP($B93,'FY ACTUALS'!$A$1:$X$996,Q$3,FALSE),"0")+0,IFERROR(($H93-SUMIF($I$1:$W$1,"ACTUAL",$I93:$W93))*(VLOOKUP($B93,'Distribution %'!$A$2:$Q$232,MATCH(Q$2,'Distribution %'!$A$2:$Q$2,0),FALSE)/(SUMIF('Distribution %'!$C$1:$Q$1,"BUDGET",'Distribution %'!$C37:$Q37))),"0")+0)</f>
        <v>0</v>
      </c>
      <c r="R93" s="389">
        <f ca="1">IF(VLOOKUP("Net Income",'FY ACTUALS'!$A$1:$X$996,R$3,FALSE)&lt;&gt;0,IFERROR(VLOOKUP($B93,'FY ACTUALS'!$A$1:$X$996,R$3,FALSE),"0")+0,IFERROR(($H93-SUMIF($I$1:$W$1,"ACTUAL",$I93:$W93))*(VLOOKUP($B93,'Distribution %'!$A$2:$Q$232,MATCH(R$2,'Distribution %'!$A$2:$Q$2,0),FALSE)/(SUMIF('Distribution %'!$C$1:$Q$1,"BUDGET",'Distribution %'!$C37:$Q37))),"0")+0)</f>
        <v>0</v>
      </c>
      <c r="S93" s="389">
        <f ca="1">IF(VLOOKUP("Net Income",'FY ACTUALS'!$A$1:$X$996,S$3,FALSE)&lt;&gt;0,IFERROR(VLOOKUP($B93,'FY ACTUALS'!$A$1:$X$996,S$3,FALSE),"0")+0,IFERROR(($H93-SUMIF($I$1:$W$1,"ACTUAL",$I93:$W93))*(VLOOKUP($B93,'Distribution %'!$A$2:$Q$232,MATCH(S$2,'Distribution %'!$A$2:$Q$2,0),FALSE)/(SUMIF('Distribution %'!$C$1:$Q$1,"BUDGET",'Distribution %'!$C37:$Q37))),"0")+0)</f>
        <v>0</v>
      </c>
      <c r="T93" s="389">
        <f ca="1">IF(VLOOKUP("Net Income",'FY ACTUALS'!$A$1:$X$996,T$3,FALSE)&lt;&gt;0,IFERROR(VLOOKUP($B93,'FY ACTUALS'!$A$1:$X$996,T$3,FALSE),"0")+0,IFERROR(($H93-SUMIF($I$1:$W$1,"ACTUAL",$I93:$W93))*(VLOOKUP($B93,'Distribution %'!$A$2:$Q$232,MATCH(T$2,'Distribution %'!$A$2:$Q$2,0),FALSE)/(SUMIF('Distribution %'!$C$1:$Q$1,"BUDGET",'Distribution %'!$C37:$Q37))),"0")+0)</f>
        <v>0</v>
      </c>
      <c r="U93" s="389">
        <f ca="1">IF(VLOOKUP("Net Income",'FY ACTUALS'!$A$1:$X$996,U$3,FALSE)&lt;&gt;0,IFERROR(VLOOKUP($B93,'FY ACTUALS'!$A$1:$X$996,U$3,FALSE),"0")+0,IFERROR(($H93-SUMIF($I$1:$W$1,"ACTUAL",$I93:$W93))*(VLOOKUP($B93,'Distribution %'!$A$2:$Q$232,MATCH(U$2,'Distribution %'!$A$2:$Q$2,0),FALSE)/(SUMIF('Distribution %'!$C$1:$Q$1,"BUDGET",'Distribution %'!$C37:$Q37))),"0")+0)</f>
        <v>0</v>
      </c>
      <c r="V93" s="389">
        <f ca="1">IF(VLOOKUP("Net Income",'FY ACTUALS'!$A$1:$X$996,V$3,FALSE)&lt;&gt;0,IFERROR(VLOOKUP($B93,'FY ACTUALS'!$A$1:$X$996,V$3,FALSE),"0")+0,IFERROR(($H93-SUMIF($I$1:$W$1,"ACTUAL",$I93:$W93))*(VLOOKUP($B93,'Distribution %'!$A$2:$Q$232,MATCH(V$2,'Distribution %'!$A$2:$Q$2,0),FALSE)/(SUMIF('Distribution %'!$C$1:$Q$1,"BUDGET",'Distribution %'!$C37:$Q37))),"0")+0)</f>
        <v>0</v>
      </c>
      <c r="W93" s="431">
        <f ca="1">IF(VLOOKUP("Net Income",'FY ACTUALS'!$A$1:$X$996,W$3,FALSE)&lt;&gt;0,IFERROR(VLOOKUP($B93,'FY ACTUALS'!$A$1:$X$996,W$3,FALSE),"0")+0,IFERROR(($H93-SUMIF($I$1:$W$1,"ACTUAL",$I93:$W93))*(VLOOKUP($B93,'Distribution %'!$A$2:$Q$232,MATCH(W$2,'Distribution %'!$A$2:$Q$2,0),FALSE)/(SUMIF('Distribution %'!$C$1:$Q$1,"BUDGET",'Distribution %'!$C37:$Q37))),"0")+0)</f>
        <v>0</v>
      </c>
      <c r="X93" s="387">
        <f t="shared" ca="1" si="32"/>
        <v>0</v>
      </c>
      <c r="Y93" s="387"/>
      <c r="Z93" s="387">
        <f t="shared" ca="1" si="33"/>
        <v>0</v>
      </c>
    </row>
    <row r="94" spans="2:26" x14ac:dyDescent="0.75">
      <c r="B94" s="379">
        <v>3323</v>
      </c>
      <c r="C94" s="379" t="s">
        <v>1068</v>
      </c>
      <c r="F94" s="379" t="str">
        <f>IF(ISERROR(VLOOKUP(B94,'Distribution %'!A:A,1,FALSE)),"NO","YES")</f>
        <v>YES</v>
      </c>
      <c r="G94" s="392"/>
      <c r="H94" s="430">
        <f ca="1">IFERROR(VLOOKUP(B94,'Expenses w MYP'!$A$8:$K$119,11,FALSE),"0")+0</f>
        <v>0</v>
      </c>
      <c r="I94" s="388">
        <f>IF(VLOOKUP("Net Income",'FY ACTUALS'!$A$1:$X$996,I$3,FALSE)&lt;&gt;0,IFERROR(VLOOKUP($B94,'FY ACTUALS'!$A$1:$X$996,I$3,FALSE),"0")+0,IFERROR(($H94-SUMIF($I$1:$W$1,"ACTUAL",$I94:$W94))*(VLOOKUP($B94,'Distribution %'!$A$2:$Q$232,MATCH(I$2,'Distribution %'!$A$2:$Q$2,0),FALSE)/(SUMIF('Distribution %'!$C$1:$Q$1,"BUDGET",'Distribution %'!$C40:$Q40))),"0")+0)</f>
        <v>5619.8</v>
      </c>
      <c r="J94" s="389">
        <f>IF(VLOOKUP("Net Income",'FY ACTUALS'!$A$1:$X$996,J$3,FALSE)&lt;&gt;0,IFERROR(VLOOKUP($B94,'FY ACTUALS'!$A$1:$X$996,J$3,FALSE),"0")+0,IFERROR(($H94-SUMIF($I$1:$W$1,"ACTUAL",$I94:$W94))*(VLOOKUP($B94,'Distribution %'!$A$2:$Q$232,MATCH(J$2,'Distribution %'!$A$2:$Q$2,0),FALSE)/(SUMIF('Distribution %'!$C$1:$Q$1,"BUDGET",'Distribution %'!$C40:$Q40))),"0")+0)</f>
        <v>18180.330000000002</v>
      </c>
      <c r="K94" s="389">
        <f>IF(VLOOKUP("Net Income",'FY ACTUALS'!$A$1:$X$996,K$3,FALSE)&lt;&gt;0,IFERROR(VLOOKUP($B94,'FY ACTUALS'!$A$1:$X$996,K$3,FALSE),"0")+0,IFERROR(($H94-SUMIF($I$1:$W$1,"ACTUAL",$I94:$W94))*(VLOOKUP($B94,'Distribution %'!$A$2:$Q$232,MATCH(K$2,'Distribution %'!$A$2:$Q$2,0),FALSE)/(SUMIF('Distribution %'!$C$1:$Q$1,"BUDGET",'Distribution %'!$C40:$Q40))),"0")+0)</f>
        <v>18234.34</v>
      </c>
      <c r="L94" s="389">
        <f>IF(VLOOKUP("Net Income",'FY ACTUALS'!$A$1:$X$996,L$3,FALSE)&lt;&gt;0,IFERROR(VLOOKUP($B94,'FY ACTUALS'!$A$1:$X$996,L$3,FALSE),"0")+0,IFERROR(($H94-SUMIF($I$1:$W$1,"ACTUAL",$I94:$W94))*(VLOOKUP($B94,'Distribution %'!$A$2:$Q$232,MATCH(L$2,'Distribution %'!$A$2:$Q$2,0),FALSE)/(SUMIF('Distribution %'!$C$1:$Q$1,"BUDGET",'Distribution %'!$C40:$Q40))),"0")+0)</f>
        <v>-42034.47</v>
      </c>
      <c r="M94" s="389">
        <f>IF(VLOOKUP("Net Income",'FY ACTUALS'!$A$1:$X$996,M$3,FALSE)&lt;&gt;0,IFERROR(VLOOKUP($B94,'FY ACTUALS'!$A$1:$X$996,M$3,FALSE),"0")+0,IFERROR(($H94-SUMIF($I$1:$W$1,"ACTUAL",$I94:$W94))*(VLOOKUP($B94,'Distribution %'!$A$2:$Q$232,MATCH(M$2,'Distribution %'!$A$2:$Q$2,0),FALSE)/(SUMIF('Distribution %'!$C$1:$Q$1,"BUDGET",'Distribution %'!$C40:$Q40))),"0")+0)</f>
        <v>0</v>
      </c>
      <c r="N94" s="389">
        <f>IF(VLOOKUP("Net Income",'FY ACTUALS'!$A$1:$X$996,N$3,FALSE)&lt;&gt;0,IFERROR(VLOOKUP($B94,'FY ACTUALS'!$A$1:$X$996,N$3,FALSE),"0")+0,IFERROR(($H94-SUMIF($I$1:$W$1,"ACTUAL",$I94:$W94))*(VLOOKUP($B94,'Distribution %'!$A$2:$Q$232,MATCH(N$2,'Distribution %'!$A$2:$Q$2,0),FALSE)/(SUMIF('Distribution %'!$C$1:$Q$1,"BUDGET",'Distribution %'!$C40:$Q40))),"0")+0)</f>
        <v>0</v>
      </c>
      <c r="O94" s="389">
        <f>IF(VLOOKUP("Net Income",'FY ACTUALS'!$A$1:$X$996,O$3,FALSE)&lt;&gt;0,IFERROR(VLOOKUP($B94,'FY ACTUALS'!$A$1:$X$996,O$3,FALSE),"0")+0,IFERROR(($H94-SUMIF($I$1:$W$1,"ACTUAL",$I94:$W94))*(VLOOKUP($B94,'Distribution %'!$A$2:$Q$232,MATCH(O$2,'Distribution %'!$A$2:$Q$2,0),FALSE)/(SUMIF('Distribution %'!$C$1:$Q$1,"BUDGET",'Distribution %'!$C40:$Q40))),"0")+0)</f>
        <v>0</v>
      </c>
      <c r="P94" s="389">
        <f ca="1">IF(VLOOKUP("Net Income",'FY ACTUALS'!$A$1:$X$996,P$3,FALSE)&lt;&gt;0,IFERROR(VLOOKUP($B94,'FY ACTUALS'!$A$1:$X$996,P$3,FALSE),"0")+0,IFERROR(($H94-SUMIF($I$1:$W$1,"ACTUAL",$I94:$W94))*(VLOOKUP($B94,'Distribution %'!$A$2:$Q$232,MATCH(P$2,'Distribution %'!$A$2:$Q$2,0),FALSE)/(SUMIF('Distribution %'!$C$1:$Q$1,"BUDGET",'Distribution %'!$C40:$Q40))),"0")+0)</f>
        <v>0</v>
      </c>
      <c r="Q94" s="389">
        <f ca="1">IF(VLOOKUP("Net Income",'FY ACTUALS'!$A$1:$X$996,Q$3,FALSE)&lt;&gt;0,IFERROR(VLOOKUP($B94,'FY ACTUALS'!$A$1:$X$996,Q$3,FALSE),"0")+0,IFERROR(($H94-SUMIF($I$1:$W$1,"ACTUAL",$I94:$W94))*(VLOOKUP($B94,'Distribution %'!$A$2:$Q$232,MATCH(Q$2,'Distribution %'!$A$2:$Q$2,0),FALSE)/(SUMIF('Distribution %'!$C$1:$Q$1,"BUDGET",'Distribution %'!$C40:$Q40))),"0")+0)</f>
        <v>0</v>
      </c>
      <c r="R94" s="389">
        <f ca="1">IF(VLOOKUP("Net Income",'FY ACTUALS'!$A$1:$X$996,R$3,FALSE)&lt;&gt;0,IFERROR(VLOOKUP($B94,'FY ACTUALS'!$A$1:$X$996,R$3,FALSE),"0")+0,IFERROR(($H94-SUMIF($I$1:$W$1,"ACTUAL",$I94:$W94))*(VLOOKUP($B94,'Distribution %'!$A$2:$Q$232,MATCH(R$2,'Distribution %'!$A$2:$Q$2,0),FALSE)/(SUMIF('Distribution %'!$C$1:$Q$1,"BUDGET",'Distribution %'!$C40:$Q40))),"0")+0)</f>
        <v>0</v>
      </c>
      <c r="S94" s="389">
        <f ca="1">IF(VLOOKUP("Net Income",'FY ACTUALS'!$A$1:$X$996,S$3,FALSE)&lt;&gt;0,IFERROR(VLOOKUP($B94,'FY ACTUALS'!$A$1:$X$996,S$3,FALSE),"0")+0,IFERROR(($H94-SUMIF($I$1:$W$1,"ACTUAL",$I94:$W94))*(VLOOKUP($B94,'Distribution %'!$A$2:$Q$232,MATCH(S$2,'Distribution %'!$A$2:$Q$2,0),FALSE)/(SUMIF('Distribution %'!$C$1:$Q$1,"BUDGET",'Distribution %'!$C40:$Q40))),"0")+0)</f>
        <v>0</v>
      </c>
      <c r="T94" s="389">
        <f ca="1">IF(VLOOKUP("Net Income",'FY ACTUALS'!$A$1:$X$996,T$3,FALSE)&lt;&gt;0,IFERROR(VLOOKUP($B94,'FY ACTUALS'!$A$1:$X$996,T$3,FALSE),"0")+0,IFERROR(($H94-SUMIF($I$1:$W$1,"ACTUAL",$I94:$W94))*(VLOOKUP($B94,'Distribution %'!$A$2:$Q$232,MATCH(T$2,'Distribution %'!$A$2:$Q$2,0),FALSE)/(SUMIF('Distribution %'!$C$1:$Q$1,"BUDGET",'Distribution %'!$C40:$Q40))),"0")+0)</f>
        <v>0</v>
      </c>
      <c r="U94" s="389">
        <f ca="1">IF(VLOOKUP("Net Income",'FY ACTUALS'!$A$1:$X$996,U$3,FALSE)&lt;&gt;0,IFERROR(VLOOKUP($B94,'FY ACTUALS'!$A$1:$X$996,U$3,FALSE),"0")+0,IFERROR(($H94-SUMIF($I$1:$W$1,"ACTUAL",$I94:$W94))*(VLOOKUP($B94,'Distribution %'!$A$2:$Q$232,MATCH(U$2,'Distribution %'!$A$2:$Q$2,0),FALSE)/(SUMIF('Distribution %'!$C$1:$Q$1,"BUDGET",'Distribution %'!$C40:$Q40))),"0")+0)</f>
        <v>0</v>
      </c>
      <c r="V94" s="389">
        <f ca="1">IF(VLOOKUP("Net Income",'FY ACTUALS'!$A$1:$X$996,V$3,FALSE)&lt;&gt;0,IFERROR(VLOOKUP($B94,'FY ACTUALS'!$A$1:$X$996,V$3,FALSE),"0")+0,IFERROR(($H94-SUMIF($I$1:$W$1,"ACTUAL",$I94:$W94))*(VLOOKUP($B94,'Distribution %'!$A$2:$Q$232,MATCH(V$2,'Distribution %'!$A$2:$Q$2,0),FALSE)/(SUMIF('Distribution %'!$C$1:$Q$1,"BUDGET",'Distribution %'!$C40:$Q40))),"0")+0)</f>
        <v>0</v>
      </c>
      <c r="W94" s="431">
        <f ca="1">IF(VLOOKUP("Net Income",'FY ACTUALS'!$A$1:$X$996,W$3,FALSE)&lt;&gt;0,IFERROR(VLOOKUP($B94,'FY ACTUALS'!$A$1:$X$996,W$3,FALSE),"0")+0,IFERROR(($H94-SUMIF($I$1:$W$1,"ACTUAL",$I94:$W94))*(VLOOKUP($B94,'Distribution %'!$A$2:$Q$232,MATCH(W$2,'Distribution %'!$A$2:$Q$2,0),FALSE)/(SUMIF('Distribution %'!$C$1:$Q$1,"BUDGET",'Distribution %'!$C40:$Q40))),"0")+0)</f>
        <v>0</v>
      </c>
      <c r="X94" s="387">
        <f t="shared" ca="1" si="32"/>
        <v>0</v>
      </c>
      <c r="Y94" s="387"/>
      <c r="Z94" s="387">
        <f t="shared" ca="1" si="33"/>
        <v>0</v>
      </c>
    </row>
    <row r="95" spans="2:26" x14ac:dyDescent="0.75">
      <c r="B95" s="379">
        <v>3401</v>
      </c>
      <c r="C95" s="379" t="s">
        <v>1521</v>
      </c>
      <c r="F95" s="379" t="str">
        <f>IF(ISERROR(VLOOKUP(B95,'Distribution %'!A:A,1,FALSE)),"NO","YES")</f>
        <v>YES</v>
      </c>
      <c r="G95" s="392"/>
      <c r="H95" s="430">
        <f ca="1">IFERROR(VLOOKUP(B95,'Expenses w MYP'!$A$8:$K$119,11,FALSE),"0")+0</f>
        <v>1447503.08</v>
      </c>
      <c r="I95" s="388">
        <f>IF(VLOOKUP("Net Income",'FY ACTUALS'!$A$1:$X$996,I$3,FALSE)&lt;&gt;0,IFERROR(VLOOKUP($B95,'FY ACTUALS'!$A$1:$X$996,I$3,FALSE),"0")+0,IFERROR(($H95-SUMIF($I$1:$W$1,"ACTUAL",$I95:$W95))*(VLOOKUP($B95,'Distribution %'!$A$2:$Q$232,MATCH(I$2,'Distribution %'!$A$2:$Q$2,0),FALSE)/(SUMIF('Distribution %'!$C$1:$Q$1,"BUDGET",'Distribution %'!$C43:$Q43))),"0")+0)</f>
        <v>0</v>
      </c>
      <c r="J95" s="389">
        <f>IF(VLOOKUP("Net Income",'FY ACTUALS'!$A$1:$X$996,J$3,FALSE)&lt;&gt;0,IFERROR(VLOOKUP($B95,'FY ACTUALS'!$A$1:$X$996,J$3,FALSE),"0")+0,IFERROR(($H95-SUMIF($I$1:$W$1,"ACTUAL",$I95:$W95))*(VLOOKUP($B95,'Distribution %'!$A$2:$Q$232,MATCH(J$2,'Distribution %'!$A$2:$Q$2,0),FALSE)/(SUMIF('Distribution %'!$C$1:$Q$1,"BUDGET",'Distribution %'!$C43:$Q43))),"0")+0)</f>
        <v>0</v>
      </c>
      <c r="K95" s="389">
        <f>IF(VLOOKUP("Net Income",'FY ACTUALS'!$A$1:$X$996,K$3,FALSE)&lt;&gt;0,IFERROR(VLOOKUP($B95,'FY ACTUALS'!$A$1:$X$996,K$3,FALSE),"0")+0,IFERROR(($H95-SUMIF($I$1:$W$1,"ACTUAL",$I95:$W95))*(VLOOKUP($B95,'Distribution %'!$A$2:$Q$232,MATCH(K$2,'Distribution %'!$A$2:$Q$2,0),FALSE)/(SUMIF('Distribution %'!$C$1:$Q$1,"BUDGET",'Distribution %'!$C43:$Q43))),"0")+0)</f>
        <v>0</v>
      </c>
      <c r="L95" s="389">
        <f>IF(VLOOKUP("Net Income",'FY ACTUALS'!$A$1:$X$996,L$3,FALSE)&lt;&gt;0,IFERROR(VLOOKUP($B95,'FY ACTUALS'!$A$1:$X$996,L$3,FALSE),"0")+0,IFERROR(($H95-SUMIF($I$1:$W$1,"ACTUAL",$I95:$W95))*(VLOOKUP($B95,'Distribution %'!$A$2:$Q$232,MATCH(L$2,'Distribution %'!$A$2:$Q$2,0),FALSE)/(SUMIF('Distribution %'!$C$1:$Q$1,"BUDGET",'Distribution %'!$C43:$Q43))),"0")+0)</f>
        <v>469821.56</v>
      </c>
      <c r="M95" s="389">
        <f>IF(VLOOKUP("Net Income",'FY ACTUALS'!$A$1:$X$996,M$3,FALSE)&lt;&gt;0,IFERROR(VLOOKUP($B95,'FY ACTUALS'!$A$1:$X$996,M$3,FALSE),"0")+0,IFERROR(($H95-SUMIF($I$1:$W$1,"ACTUAL",$I95:$W95))*(VLOOKUP($B95,'Distribution %'!$A$2:$Q$232,MATCH(M$2,'Distribution %'!$A$2:$Q$2,0),FALSE)/(SUMIF('Distribution %'!$C$1:$Q$1,"BUDGET",'Distribution %'!$C43:$Q43))),"0")+0)</f>
        <v>152793.23000000001</v>
      </c>
      <c r="N95" s="389">
        <f>IF(VLOOKUP("Net Income",'FY ACTUALS'!$A$1:$X$996,N$3,FALSE)&lt;&gt;0,IFERROR(VLOOKUP($B95,'FY ACTUALS'!$A$1:$X$996,N$3,FALSE),"0")+0,IFERROR(($H95-SUMIF($I$1:$W$1,"ACTUAL",$I95:$W95))*(VLOOKUP($B95,'Distribution %'!$A$2:$Q$232,MATCH(N$2,'Distribution %'!$A$2:$Q$2,0),FALSE)/(SUMIF('Distribution %'!$C$1:$Q$1,"BUDGET",'Distribution %'!$C43:$Q43))),"0")+0)</f>
        <v>126693.08</v>
      </c>
      <c r="O95" s="389">
        <f>IF(VLOOKUP("Net Income",'FY ACTUALS'!$A$1:$X$996,O$3,FALSE)&lt;&gt;0,IFERROR(VLOOKUP($B95,'FY ACTUALS'!$A$1:$X$996,O$3,FALSE),"0")+0,IFERROR(($H95-SUMIF($I$1:$W$1,"ACTUAL",$I95:$W95))*(VLOOKUP($B95,'Distribution %'!$A$2:$Q$232,MATCH(O$2,'Distribution %'!$A$2:$Q$2,0),FALSE)/(SUMIF('Distribution %'!$C$1:$Q$1,"BUDGET",'Distribution %'!$C43:$Q43))),"0")+0)</f>
        <v>238677.51</v>
      </c>
      <c r="P95" s="389">
        <f ca="1">IF(VLOOKUP("Net Income",'FY ACTUALS'!$A$1:$X$996,P$3,FALSE)&lt;&gt;0,IFERROR(VLOOKUP($B95,'FY ACTUALS'!$A$1:$X$996,P$3,FALSE),"0")+0,IFERROR(($H95-SUMIF($I$1:$W$1,"ACTUAL",$I95:$W95))*(VLOOKUP($B95,'Distribution %'!$A$2:$Q$232,MATCH(P$2,'Distribution %'!$A$2:$Q$2,0),FALSE)/(SUMIF('Distribution %'!$C$1:$Q$1,"BUDGET",'Distribution %'!$C43:$Q43))),"0")+0)</f>
        <v>91026.179236276861</v>
      </c>
      <c r="Q95" s="389">
        <f ca="1">IF(VLOOKUP("Net Income",'FY ACTUALS'!$A$1:$X$996,Q$3,FALSE)&lt;&gt;0,IFERROR(VLOOKUP($B95,'FY ACTUALS'!$A$1:$X$996,Q$3,FALSE),"0")+0,IFERROR(($H95-SUMIF($I$1:$W$1,"ACTUAL",$I95:$W95))*(VLOOKUP($B95,'Distribution %'!$A$2:$Q$232,MATCH(Q$2,'Distribution %'!$A$2:$Q$2,0),FALSE)/(SUMIF('Distribution %'!$C$1:$Q$1,"BUDGET",'Distribution %'!$C43:$Q43))),"0")+0)</f>
        <v>92122.880190930795</v>
      </c>
      <c r="R95" s="389">
        <f ca="1">IF(VLOOKUP("Net Income",'FY ACTUALS'!$A$1:$X$996,R$3,FALSE)&lt;&gt;0,IFERROR(VLOOKUP($B95,'FY ACTUALS'!$A$1:$X$996,R$3,FALSE),"0")+0,IFERROR(($H95-SUMIF($I$1:$W$1,"ACTUAL",$I95:$W95))*(VLOOKUP($B95,'Distribution %'!$A$2:$Q$232,MATCH(R$2,'Distribution %'!$A$2:$Q$2,0),FALSE)/(SUMIF('Distribution %'!$C$1:$Q$1,"BUDGET",'Distribution %'!$C43:$Q43))),"0")+0)</f>
        <v>92122.880190930795</v>
      </c>
      <c r="S95" s="389">
        <f ca="1">IF(VLOOKUP("Net Income",'FY ACTUALS'!$A$1:$X$996,S$3,FALSE)&lt;&gt;0,IFERROR(VLOOKUP($B95,'FY ACTUALS'!$A$1:$X$996,S$3,FALSE),"0")+0,IFERROR(($H95-SUMIF($I$1:$W$1,"ACTUAL",$I95:$W95))*(VLOOKUP($B95,'Distribution %'!$A$2:$Q$232,MATCH(S$2,'Distribution %'!$A$2:$Q$2,0),FALSE)/(SUMIF('Distribution %'!$C$1:$Q$1,"BUDGET",'Distribution %'!$C43:$Q43))),"0")+0)</f>
        <v>92122.880190930795</v>
      </c>
      <c r="T95" s="389">
        <f ca="1">IF(VLOOKUP("Net Income",'FY ACTUALS'!$A$1:$X$996,T$3,FALSE)&lt;&gt;0,IFERROR(VLOOKUP($B95,'FY ACTUALS'!$A$1:$X$996,T$3,FALSE),"0")+0,IFERROR(($H95-SUMIF($I$1:$W$1,"ACTUAL",$I95:$W95))*(VLOOKUP($B95,'Distribution %'!$A$2:$Q$232,MATCH(T$2,'Distribution %'!$A$2:$Q$2,0),FALSE)/(SUMIF('Distribution %'!$C$1:$Q$1,"BUDGET",'Distribution %'!$C43:$Q43))),"0")+0)</f>
        <v>92122.880190930795</v>
      </c>
      <c r="U95" s="389">
        <f ca="1">IF(VLOOKUP("Net Income",'FY ACTUALS'!$A$1:$X$996,U$3,FALSE)&lt;&gt;0,IFERROR(VLOOKUP($B95,'FY ACTUALS'!$A$1:$X$996,U$3,FALSE),"0")+0,IFERROR(($H95-SUMIF($I$1:$W$1,"ACTUAL",$I95:$W95))*(VLOOKUP($B95,'Distribution %'!$A$2:$Q$232,MATCH(U$2,'Distribution %'!$A$2:$Q$2,0),FALSE)/(SUMIF('Distribution %'!$C$1:$Q$1,"BUDGET",'Distribution %'!$C43:$Q43))),"0")+0)</f>
        <v>0</v>
      </c>
      <c r="V95" s="389">
        <f ca="1">IF(VLOOKUP("Net Income",'FY ACTUALS'!$A$1:$X$996,V$3,FALSE)&lt;&gt;0,IFERROR(VLOOKUP($B95,'FY ACTUALS'!$A$1:$X$996,V$3,FALSE),"0")+0,IFERROR(($H95-SUMIF($I$1:$W$1,"ACTUAL",$I95:$W95))*(VLOOKUP($B95,'Distribution %'!$A$2:$Q$232,MATCH(V$2,'Distribution %'!$A$2:$Q$2,0),FALSE)/(SUMIF('Distribution %'!$C$1:$Q$1,"BUDGET",'Distribution %'!$C43:$Q43))),"0")+0)</f>
        <v>0</v>
      </c>
      <c r="W95" s="431">
        <f ca="1">IF(VLOOKUP("Net Income",'FY ACTUALS'!$A$1:$X$996,W$3,FALSE)&lt;&gt;0,IFERROR(VLOOKUP($B95,'FY ACTUALS'!$A$1:$X$996,W$3,FALSE),"0")+0,IFERROR(($H95-SUMIF($I$1:$W$1,"ACTUAL",$I95:$W95))*(VLOOKUP($B95,'Distribution %'!$A$2:$Q$232,MATCH(W$2,'Distribution %'!$A$2:$Q$2,0),FALSE)/(SUMIF('Distribution %'!$C$1:$Q$1,"BUDGET",'Distribution %'!$C43:$Q43))),"0")+0)</f>
        <v>0</v>
      </c>
      <c r="X95" s="387">
        <f t="shared" ca="1" si="32"/>
        <v>1447503.08</v>
      </c>
      <c r="Y95" s="387"/>
      <c r="Z95" s="387">
        <f t="shared" ca="1" si="33"/>
        <v>0</v>
      </c>
    </row>
    <row r="96" spans="2:26" x14ac:dyDescent="0.75">
      <c r="B96" s="379">
        <v>3402</v>
      </c>
      <c r="C96" s="379" t="s">
        <v>1522</v>
      </c>
      <c r="F96" s="379" t="str">
        <f>IF(ISERROR(VLOOKUP(B96,'Distribution %'!A:A,1,FALSE)),"NO","YES")</f>
        <v>YES</v>
      </c>
      <c r="G96" s="392"/>
      <c r="H96" s="430">
        <f ca="1">IFERROR(VLOOKUP(B96,'Expenses w MYP'!$A$8:$K$119,11,FALSE),"0")+0</f>
        <v>405591</v>
      </c>
      <c r="I96" s="388">
        <f>IF(VLOOKUP("Net Income",'FY ACTUALS'!$A$1:$X$996,I$3,FALSE)&lt;&gt;0,IFERROR(VLOOKUP($B96,'FY ACTUALS'!$A$1:$X$996,I$3,FALSE),"0")+0,IFERROR(($H96-SUMIF($I$1:$W$1,"ACTUAL",$I96:$W96))*(VLOOKUP($B96,'Distribution %'!$A$2:$Q$232,MATCH(I$2,'Distribution %'!$A$2:$Q$2,0),FALSE)/(SUMIF('Distribution %'!$C$1:$Q$1,"BUDGET",'Distribution %'!$C44:$Q44))),"0")+0)</f>
        <v>0</v>
      </c>
      <c r="J96" s="389">
        <f>IF(VLOOKUP("Net Income",'FY ACTUALS'!$A$1:$X$996,J$3,FALSE)&lt;&gt;0,IFERROR(VLOOKUP($B96,'FY ACTUALS'!$A$1:$X$996,J$3,FALSE),"0")+0,IFERROR(($H96-SUMIF($I$1:$W$1,"ACTUAL",$I96:$W96))*(VLOOKUP($B96,'Distribution %'!$A$2:$Q$232,MATCH(J$2,'Distribution %'!$A$2:$Q$2,0),FALSE)/(SUMIF('Distribution %'!$C$1:$Q$1,"BUDGET",'Distribution %'!$C44:$Q44))),"0")+0)</f>
        <v>0</v>
      </c>
      <c r="K96" s="389">
        <f>IF(VLOOKUP("Net Income",'FY ACTUALS'!$A$1:$X$996,K$3,FALSE)&lt;&gt;0,IFERROR(VLOOKUP($B96,'FY ACTUALS'!$A$1:$X$996,K$3,FALSE),"0")+0,IFERROR(($H96-SUMIF($I$1:$W$1,"ACTUAL",$I96:$W96))*(VLOOKUP($B96,'Distribution %'!$A$2:$Q$232,MATCH(K$2,'Distribution %'!$A$2:$Q$2,0),FALSE)/(SUMIF('Distribution %'!$C$1:$Q$1,"BUDGET",'Distribution %'!$C44:$Q44))),"0")+0)</f>
        <v>0</v>
      </c>
      <c r="L96" s="389">
        <f>IF(VLOOKUP("Net Income",'FY ACTUALS'!$A$1:$X$996,L$3,FALSE)&lt;&gt;0,IFERROR(VLOOKUP($B96,'FY ACTUALS'!$A$1:$X$996,L$3,FALSE),"0")+0,IFERROR(($H96-SUMIF($I$1:$W$1,"ACTUAL",$I96:$W96))*(VLOOKUP($B96,'Distribution %'!$A$2:$Q$232,MATCH(L$2,'Distribution %'!$A$2:$Q$2,0),FALSE)/(SUMIF('Distribution %'!$C$1:$Q$1,"BUDGET",'Distribution %'!$C44:$Q44))),"0")+0)</f>
        <v>151342.28</v>
      </c>
      <c r="M96" s="389">
        <f>IF(VLOOKUP("Net Income",'FY ACTUALS'!$A$1:$X$996,M$3,FALSE)&lt;&gt;0,IFERROR(VLOOKUP($B96,'FY ACTUALS'!$A$1:$X$996,M$3,FALSE),"0")+0,IFERROR(($H96-SUMIF($I$1:$W$1,"ACTUAL",$I96:$W96))*(VLOOKUP($B96,'Distribution %'!$A$2:$Q$232,MATCH(M$2,'Distribution %'!$A$2:$Q$2,0),FALSE)/(SUMIF('Distribution %'!$C$1:$Q$1,"BUDGET",'Distribution %'!$C44:$Q44))),"0")+0)</f>
        <v>44300</v>
      </c>
      <c r="N96" s="389">
        <f>IF(VLOOKUP("Net Income",'FY ACTUALS'!$A$1:$X$996,N$3,FALSE)&lt;&gt;0,IFERROR(VLOOKUP($B96,'FY ACTUALS'!$A$1:$X$996,N$3,FALSE),"0")+0,IFERROR(($H96-SUMIF($I$1:$W$1,"ACTUAL",$I96:$W96))*(VLOOKUP($B96,'Distribution %'!$A$2:$Q$232,MATCH(N$2,'Distribution %'!$A$2:$Q$2,0),FALSE)/(SUMIF('Distribution %'!$C$1:$Q$1,"BUDGET",'Distribution %'!$C44:$Q44))),"0")+0)</f>
        <v>37368.050000000003</v>
      </c>
      <c r="O96" s="389">
        <f>IF(VLOOKUP("Net Income",'FY ACTUALS'!$A$1:$X$996,O$3,FALSE)&lt;&gt;0,IFERROR(VLOOKUP($B96,'FY ACTUALS'!$A$1:$X$996,O$3,FALSE),"0")+0,IFERROR(($H96-SUMIF($I$1:$W$1,"ACTUAL",$I96:$W96))*(VLOOKUP($B96,'Distribution %'!$A$2:$Q$232,MATCH(O$2,'Distribution %'!$A$2:$Q$2,0),FALSE)/(SUMIF('Distribution %'!$C$1:$Q$1,"BUDGET",'Distribution %'!$C44:$Q44))),"0")+0)</f>
        <v>70987.28</v>
      </c>
      <c r="P96" s="389">
        <f ca="1">IF(VLOOKUP("Net Income",'FY ACTUALS'!$A$1:$X$996,P$3,FALSE)&lt;&gt;0,IFERROR(VLOOKUP($B96,'FY ACTUALS'!$A$1:$X$996,P$3,FALSE),"0")+0,IFERROR(($H96-SUMIF($I$1:$W$1,"ACTUAL",$I96:$W96))*(VLOOKUP($B96,'Distribution %'!$A$2:$Q$232,MATCH(P$2,'Distribution %'!$A$2:$Q$2,0),FALSE)/(SUMIF('Distribution %'!$C$1:$Q$1,"BUDGET",'Distribution %'!$C44:$Q44))),"0")+0)</f>
        <v>20124.704940334133</v>
      </c>
      <c r="Q96" s="389">
        <f ca="1">IF(VLOOKUP("Net Income",'FY ACTUALS'!$A$1:$X$996,Q$3,FALSE)&lt;&gt;0,IFERROR(VLOOKUP($B96,'FY ACTUALS'!$A$1:$X$996,Q$3,FALSE),"0")+0,IFERROR(($H96-SUMIF($I$1:$W$1,"ACTUAL",$I96:$W96))*(VLOOKUP($B96,'Distribution %'!$A$2:$Q$232,MATCH(Q$2,'Distribution %'!$A$2:$Q$2,0),FALSE)/(SUMIF('Distribution %'!$C$1:$Q$1,"BUDGET",'Distribution %'!$C44:$Q44))),"0")+0)</f>
        <v>20367.171264916469</v>
      </c>
      <c r="R96" s="389">
        <f ca="1">IF(VLOOKUP("Net Income",'FY ACTUALS'!$A$1:$X$996,R$3,FALSE)&lt;&gt;0,IFERROR(VLOOKUP($B96,'FY ACTUALS'!$A$1:$X$996,R$3,FALSE),"0")+0,IFERROR(($H96-SUMIF($I$1:$W$1,"ACTUAL",$I96:$W96))*(VLOOKUP($B96,'Distribution %'!$A$2:$Q$232,MATCH(R$2,'Distribution %'!$A$2:$Q$2,0),FALSE)/(SUMIF('Distribution %'!$C$1:$Q$1,"BUDGET",'Distribution %'!$C44:$Q44))),"0")+0)</f>
        <v>20367.171264916469</v>
      </c>
      <c r="S96" s="389">
        <f ca="1">IF(VLOOKUP("Net Income",'FY ACTUALS'!$A$1:$X$996,S$3,FALSE)&lt;&gt;0,IFERROR(VLOOKUP($B96,'FY ACTUALS'!$A$1:$X$996,S$3,FALSE),"0")+0,IFERROR(($H96-SUMIF($I$1:$W$1,"ACTUAL",$I96:$W96))*(VLOOKUP($B96,'Distribution %'!$A$2:$Q$232,MATCH(S$2,'Distribution %'!$A$2:$Q$2,0),FALSE)/(SUMIF('Distribution %'!$C$1:$Q$1,"BUDGET",'Distribution %'!$C44:$Q44))),"0")+0)</f>
        <v>20367.171264916469</v>
      </c>
      <c r="T96" s="389">
        <f ca="1">IF(VLOOKUP("Net Income",'FY ACTUALS'!$A$1:$X$996,T$3,FALSE)&lt;&gt;0,IFERROR(VLOOKUP($B96,'FY ACTUALS'!$A$1:$X$996,T$3,FALSE),"0")+0,IFERROR(($H96-SUMIF($I$1:$W$1,"ACTUAL",$I96:$W96))*(VLOOKUP($B96,'Distribution %'!$A$2:$Q$232,MATCH(T$2,'Distribution %'!$A$2:$Q$2,0),FALSE)/(SUMIF('Distribution %'!$C$1:$Q$1,"BUDGET",'Distribution %'!$C44:$Q44))),"0")+0)</f>
        <v>20367.171264916469</v>
      </c>
      <c r="U96" s="389">
        <f ca="1">IF(VLOOKUP("Net Income",'FY ACTUALS'!$A$1:$X$996,U$3,FALSE)&lt;&gt;0,IFERROR(VLOOKUP($B96,'FY ACTUALS'!$A$1:$X$996,U$3,FALSE),"0")+0,IFERROR(($H96-SUMIF($I$1:$W$1,"ACTUAL",$I96:$W96))*(VLOOKUP($B96,'Distribution %'!$A$2:$Q$232,MATCH(U$2,'Distribution %'!$A$2:$Q$2,0),FALSE)/(SUMIF('Distribution %'!$C$1:$Q$1,"BUDGET",'Distribution %'!$C44:$Q44))),"0")+0)</f>
        <v>0</v>
      </c>
      <c r="V96" s="389">
        <f ca="1">IF(VLOOKUP("Net Income",'FY ACTUALS'!$A$1:$X$996,V$3,FALSE)&lt;&gt;0,IFERROR(VLOOKUP($B96,'FY ACTUALS'!$A$1:$X$996,V$3,FALSE),"0")+0,IFERROR(($H96-SUMIF($I$1:$W$1,"ACTUAL",$I96:$W96))*(VLOOKUP($B96,'Distribution %'!$A$2:$Q$232,MATCH(V$2,'Distribution %'!$A$2:$Q$2,0),FALSE)/(SUMIF('Distribution %'!$C$1:$Q$1,"BUDGET",'Distribution %'!$C44:$Q44))),"0")+0)</f>
        <v>0</v>
      </c>
      <c r="W96" s="431">
        <f ca="1">IF(VLOOKUP("Net Income",'FY ACTUALS'!$A$1:$X$996,W$3,FALSE)&lt;&gt;0,IFERROR(VLOOKUP($B96,'FY ACTUALS'!$A$1:$X$996,W$3,FALSE),"0")+0,IFERROR(($H96-SUMIF($I$1:$W$1,"ACTUAL",$I96:$W96))*(VLOOKUP($B96,'Distribution %'!$A$2:$Q$232,MATCH(W$2,'Distribution %'!$A$2:$Q$2,0),FALSE)/(SUMIF('Distribution %'!$C$1:$Q$1,"BUDGET",'Distribution %'!$C44:$Q44))),"0")+0)</f>
        <v>0</v>
      </c>
      <c r="X96" s="387">
        <f t="shared" ref="X96:X112" ca="1" si="34">+SUM(I96:W96)</f>
        <v>405591.00000000006</v>
      </c>
      <c r="Y96" s="387"/>
      <c r="Z96" s="387">
        <f t="shared" ref="Z96:Z112" ca="1" si="35">+H96-X96</f>
        <v>0</v>
      </c>
    </row>
    <row r="97" spans="2:26" x14ac:dyDescent="0.75">
      <c r="B97" s="379">
        <v>3403</v>
      </c>
      <c r="C97" s="379" t="s">
        <v>589</v>
      </c>
      <c r="F97" s="379" t="str">
        <f>IF(ISERROR(VLOOKUP(B97,'Distribution %'!A:A,1,FALSE)),"NO","YES")</f>
        <v>YES</v>
      </c>
      <c r="G97" s="392"/>
      <c r="H97" s="430">
        <f ca="1">IFERROR(VLOOKUP(B97,'Expenses w MYP'!$A$8:$K$119,11,FALSE),"0")+0</f>
        <v>0</v>
      </c>
      <c r="I97" s="388">
        <f>IF(VLOOKUP("Net Income",'FY ACTUALS'!$A$1:$X$996,I$3,FALSE)&lt;&gt;0,IFERROR(VLOOKUP($B97,'FY ACTUALS'!$A$1:$X$996,I$3,FALSE),"0")+0,IFERROR(($H97-SUMIF($I$1:$W$1,"ACTUAL",$I97:$W97))*(VLOOKUP($B97,'Distribution %'!$A$2:$Q$232,MATCH(I$2,'Distribution %'!$A$2:$Q$2,0),FALSE)/(SUMIF('Distribution %'!$C$1:$Q$1,"BUDGET",'Distribution %'!$C45:$Q45))),"0")+0)</f>
        <v>219158.38</v>
      </c>
      <c r="J97" s="389">
        <f>IF(VLOOKUP("Net Income",'FY ACTUALS'!$A$1:$X$996,J$3,FALSE)&lt;&gt;0,IFERROR(VLOOKUP($B97,'FY ACTUALS'!$A$1:$X$996,J$3,FALSE),"0")+0,IFERROR(($H97-SUMIF($I$1:$W$1,"ACTUAL",$I97:$W97))*(VLOOKUP($B97,'Distribution %'!$A$2:$Q$232,MATCH(J$2,'Distribution %'!$A$2:$Q$2,0),FALSE)/(SUMIF('Distribution %'!$C$1:$Q$1,"BUDGET",'Distribution %'!$C45:$Q45))),"0")+0)</f>
        <v>106973.44</v>
      </c>
      <c r="K97" s="389">
        <f>IF(VLOOKUP("Net Income",'FY ACTUALS'!$A$1:$X$996,K$3,FALSE)&lt;&gt;0,IFERROR(VLOOKUP($B97,'FY ACTUALS'!$A$1:$X$996,K$3,FALSE),"0")+0,IFERROR(($H97-SUMIF($I$1:$W$1,"ACTUAL",$I97:$W97))*(VLOOKUP($B97,'Distribution %'!$A$2:$Q$232,MATCH(K$2,'Distribution %'!$A$2:$Q$2,0),FALSE)/(SUMIF('Distribution %'!$C$1:$Q$1,"BUDGET",'Distribution %'!$C45:$Q45))),"0")+0)</f>
        <v>160423.04000000001</v>
      </c>
      <c r="L97" s="389">
        <f>IF(VLOOKUP("Net Income",'FY ACTUALS'!$A$1:$X$996,L$3,FALSE)&lt;&gt;0,IFERROR(VLOOKUP($B97,'FY ACTUALS'!$A$1:$X$996,L$3,FALSE),"0")+0,IFERROR(($H97-SUMIF($I$1:$W$1,"ACTUAL",$I97:$W97))*(VLOOKUP($B97,'Distribution %'!$A$2:$Q$232,MATCH(L$2,'Distribution %'!$A$2:$Q$2,0),FALSE)/(SUMIF('Distribution %'!$C$1:$Q$1,"BUDGET",'Distribution %'!$C45:$Q45))),"0")+0)</f>
        <v>-486554.86</v>
      </c>
      <c r="M97" s="389">
        <f>IF(VLOOKUP("Net Income",'FY ACTUALS'!$A$1:$X$996,M$3,FALSE)&lt;&gt;0,IFERROR(VLOOKUP($B97,'FY ACTUALS'!$A$1:$X$996,M$3,FALSE),"0")+0,IFERROR(($H97-SUMIF($I$1:$W$1,"ACTUAL",$I97:$W97))*(VLOOKUP($B97,'Distribution %'!$A$2:$Q$232,MATCH(M$2,'Distribution %'!$A$2:$Q$2,0),FALSE)/(SUMIF('Distribution %'!$C$1:$Q$1,"BUDGET",'Distribution %'!$C45:$Q45))),"0")+0)</f>
        <v>0</v>
      </c>
      <c r="N97" s="389">
        <f>IF(VLOOKUP("Net Income",'FY ACTUALS'!$A$1:$X$996,N$3,FALSE)&lt;&gt;0,IFERROR(VLOOKUP($B97,'FY ACTUALS'!$A$1:$X$996,N$3,FALSE),"0")+0,IFERROR(($H97-SUMIF($I$1:$W$1,"ACTUAL",$I97:$W97))*(VLOOKUP($B97,'Distribution %'!$A$2:$Q$232,MATCH(N$2,'Distribution %'!$A$2:$Q$2,0),FALSE)/(SUMIF('Distribution %'!$C$1:$Q$1,"BUDGET",'Distribution %'!$C45:$Q45))),"0")+0)</f>
        <v>0</v>
      </c>
      <c r="O97" s="389">
        <f>IF(VLOOKUP("Net Income",'FY ACTUALS'!$A$1:$X$996,O$3,FALSE)&lt;&gt;0,IFERROR(VLOOKUP($B97,'FY ACTUALS'!$A$1:$X$996,O$3,FALSE),"0")+0,IFERROR(($H97-SUMIF($I$1:$W$1,"ACTUAL",$I97:$W97))*(VLOOKUP($B97,'Distribution %'!$A$2:$Q$232,MATCH(O$2,'Distribution %'!$A$2:$Q$2,0),FALSE)/(SUMIF('Distribution %'!$C$1:$Q$1,"BUDGET",'Distribution %'!$C45:$Q45))),"0")+0)</f>
        <v>0</v>
      </c>
      <c r="P97" s="389">
        <f ca="1">IF(VLOOKUP("Net Income",'FY ACTUALS'!$A$1:$X$996,P$3,FALSE)&lt;&gt;0,IFERROR(VLOOKUP($B97,'FY ACTUALS'!$A$1:$X$996,P$3,FALSE),"0")+0,IFERROR(($H97-SUMIF($I$1:$W$1,"ACTUAL",$I97:$W97))*(VLOOKUP($B97,'Distribution %'!$A$2:$Q$232,MATCH(P$2,'Distribution %'!$A$2:$Q$2,0),FALSE)/(SUMIF('Distribution %'!$C$1:$Q$1,"BUDGET",'Distribution %'!$C45:$Q45))),"0")+0)</f>
        <v>0</v>
      </c>
      <c r="Q97" s="389">
        <f ca="1">IF(VLOOKUP("Net Income",'FY ACTUALS'!$A$1:$X$996,Q$3,FALSE)&lt;&gt;0,IFERROR(VLOOKUP($B97,'FY ACTUALS'!$A$1:$X$996,Q$3,FALSE),"0")+0,IFERROR(($H97-SUMIF($I$1:$W$1,"ACTUAL",$I97:$W97))*(VLOOKUP($B97,'Distribution %'!$A$2:$Q$232,MATCH(Q$2,'Distribution %'!$A$2:$Q$2,0),FALSE)/(SUMIF('Distribution %'!$C$1:$Q$1,"BUDGET",'Distribution %'!$C45:$Q45))),"0")+0)</f>
        <v>0</v>
      </c>
      <c r="R97" s="389">
        <f ca="1">IF(VLOOKUP("Net Income",'FY ACTUALS'!$A$1:$X$996,R$3,FALSE)&lt;&gt;0,IFERROR(VLOOKUP($B97,'FY ACTUALS'!$A$1:$X$996,R$3,FALSE),"0")+0,IFERROR(($H97-SUMIF($I$1:$W$1,"ACTUAL",$I97:$W97))*(VLOOKUP($B97,'Distribution %'!$A$2:$Q$232,MATCH(R$2,'Distribution %'!$A$2:$Q$2,0),FALSE)/(SUMIF('Distribution %'!$C$1:$Q$1,"BUDGET",'Distribution %'!$C45:$Q45))),"0")+0)</f>
        <v>0</v>
      </c>
      <c r="S97" s="389">
        <f ca="1">IF(VLOOKUP("Net Income",'FY ACTUALS'!$A$1:$X$996,S$3,FALSE)&lt;&gt;0,IFERROR(VLOOKUP($B97,'FY ACTUALS'!$A$1:$X$996,S$3,FALSE),"0")+0,IFERROR(($H97-SUMIF($I$1:$W$1,"ACTUAL",$I97:$W97))*(VLOOKUP($B97,'Distribution %'!$A$2:$Q$232,MATCH(S$2,'Distribution %'!$A$2:$Q$2,0),FALSE)/(SUMIF('Distribution %'!$C$1:$Q$1,"BUDGET",'Distribution %'!$C45:$Q45))),"0")+0)</f>
        <v>0</v>
      </c>
      <c r="T97" s="389">
        <f ca="1">IF(VLOOKUP("Net Income",'FY ACTUALS'!$A$1:$X$996,T$3,FALSE)&lt;&gt;0,IFERROR(VLOOKUP($B97,'FY ACTUALS'!$A$1:$X$996,T$3,FALSE),"0")+0,IFERROR(($H97-SUMIF($I$1:$W$1,"ACTUAL",$I97:$W97))*(VLOOKUP($B97,'Distribution %'!$A$2:$Q$232,MATCH(T$2,'Distribution %'!$A$2:$Q$2,0),FALSE)/(SUMIF('Distribution %'!$C$1:$Q$1,"BUDGET",'Distribution %'!$C45:$Q45))),"0")+0)</f>
        <v>0</v>
      </c>
      <c r="U97" s="389">
        <f ca="1">IF(VLOOKUP("Net Income",'FY ACTUALS'!$A$1:$X$996,U$3,FALSE)&lt;&gt;0,IFERROR(VLOOKUP($B97,'FY ACTUALS'!$A$1:$X$996,U$3,FALSE),"0")+0,IFERROR(($H97-SUMIF($I$1:$W$1,"ACTUAL",$I97:$W97))*(VLOOKUP($B97,'Distribution %'!$A$2:$Q$232,MATCH(U$2,'Distribution %'!$A$2:$Q$2,0),FALSE)/(SUMIF('Distribution %'!$C$1:$Q$1,"BUDGET",'Distribution %'!$C45:$Q45))),"0")+0)</f>
        <v>0</v>
      </c>
      <c r="V97" s="389">
        <f ca="1">IF(VLOOKUP("Net Income",'FY ACTUALS'!$A$1:$X$996,V$3,FALSE)&lt;&gt;0,IFERROR(VLOOKUP($B97,'FY ACTUALS'!$A$1:$X$996,V$3,FALSE),"0")+0,IFERROR(($H97-SUMIF($I$1:$W$1,"ACTUAL",$I97:$W97))*(VLOOKUP($B97,'Distribution %'!$A$2:$Q$232,MATCH(V$2,'Distribution %'!$A$2:$Q$2,0),FALSE)/(SUMIF('Distribution %'!$C$1:$Q$1,"BUDGET",'Distribution %'!$C45:$Q45))),"0")+0)</f>
        <v>0</v>
      </c>
      <c r="W97" s="431">
        <f ca="1">IF(VLOOKUP("Net Income",'FY ACTUALS'!$A$1:$X$996,W$3,FALSE)&lt;&gt;0,IFERROR(VLOOKUP($B97,'FY ACTUALS'!$A$1:$X$996,W$3,FALSE),"0")+0,IFERROR(($H97-SUMIF($I$1:$W$1,"ACTUAL",$I97:$W97))*(VLOOKUP($B97,'Distribution %'!$A$2:$Q$232,MATCH(W$2,'Distribution %'!$A$2:$Q$2,0),FALSE)/(SUMIF('Distribution %'!$C$1:$Q$1,"BUDGET",'Distribution %'!$C45:$Q45))),"0")+0)</f>
        <v>0</v>
      </c>
      <c r="X97" s="387">
        <f t="shared" ca="1" si="34"/>
        <v>0</v>
      </c>
      <c r="Y97" s="387"/>
      <c r="Z97" s="387">
        <f t="shared" ca="1" si="35"/>
        <v>0</v>
      </c>
    </row>
    <row r="98" spans="2:26" x14ac:dyDescent="0.75">
      <c r="B98" s="379">
        <v>3501</v>
      </c>
      <c r="C98" s="379" t="s">
        <v>1523</v>
      </c>
      <c r="F98" s="379" t="str">
        <f>IF(ISERROR(VLOOKUP(B98,'Distribution %'!A:A,1,FALSE)),"NO","YES")</f>
        <v>YES</v>
      </c>
      <c r="G98" s="392"/>
      <c r="H98" s="430">
        <f ca="1">IFERROR(VLOOKUP(B98,'Expenses w MYP'!$A$8:$K$119,11,FALSE),"0")+0</f>
        <v>74910.000000000102</v>
      </c>
      <c r="I98" s="388">
        <f>IF(VLOOKUP("Net Income",'FY ACTUALS'!$A$1:$X$996,I$3,FALSE)&lt;&gt;0,IFERROR(VLOOKUP($B98,'FY ACTUALS'!$A$1:$X$996,I$3,FALSE),"0")+0,IFERROR(($H98-SUMIF($I$1:$W$1,"ACTUAL",$I98:$W98))*(VLOOKUP($B98,'Distribution %'!$A$2:$Q$232,MATCH(I$2,'Distribution %'!$A$2:$Q$2,0),FALSE)/(SUMIF('Distribution %'!$C$1:$Q$1,"BUDGET",'Distribution %'!$C46:$Q46))),"0")+0)</f>
        <v>0</v>
      </c>
      <c r="J98" s="389">
        <f>IF(VLOOKUP("Net Income",'FY ACTUALS'!$A$1:$X$996,J$3,FALSE)&lt;&gt;0,IFERROR(VLOOKUP($B98,'FY ACTUALS'!$A$1:$X$996,J$3,FALSE),"0")+0,IFERROR(($H98-SUMIF($I$1:$W$1,"ACTUAL",$I98:$W98))*(VLOOKUP($B98,'Distribution %'!$A$2:$Q$232,MATCH(J$2,'Distribution %'!$A$2:$Q$2,0),FALSE)/(SUMIF('Distribution %'!$C$1:$Q$1,"BUDGET",'Distribution %'!$C46:$Q46))),"0")+0)</f>
        <v>0</v>
      </c>
      <c r="K98" s="389">
        <f>IF(VLOOKUP("Net Income",'FY ACTUALS'!$A$1:$X$996,K$3,FALSE)&lt;&gt;0,IFERROR(VLOOKUP($B98,'FY ACTUALS'!$A$1:$X$996,K$3,FALSE),"0")+0,IFERROR(($H98-SUMIF($I$1:$W$1,"ACTUAL",$I98:$W98))*(VLOOKUP($B98,'Distribution %'!$A$2:$Q$232,MATCH(K$2,'Distribution %'!$A$2:$Q$2,0),FALSE)/(SUMIF('Distribution %'!$C$1:$Q$1,"BUDGET",'Distribution %'!$C46:$Q46))),"0")+0)</f>
        <v>0</v>
      </c>
      <c r="L98" s="389">
        <f>IF(VLOOKUP("Net Income",'FY ACTUALS'!$A$1:$X$996,L$3,FALSE)&lt;&gt;0,IFERROR(VLOOKUP($B98,'FY ACTUALS'!$A$1:$X$996,L$3,FALSE),"0")+0,IFERROR(($H98-SUMIF($I$1:$W$1,"ACTUAL",$I98:$W98))*(VLOOKUP($B98,'Distribution %'!$A$2:$Q$232,MATCH(L$2,'Distribution %'!$A$2:$Q$2,0),FALSE)/(SUMIF('Distribution %'!$C$1:$Q$1,"BUDGET",'Distribution %'!$C46:$Q46))),"0")+0)</f>
        <v>10038.049999999999</v>
      </c>
      <c r="M98" s="389">
        <f>IF(VLOOKUP("Net Income",'FY ACTUALS'!$A$1:$X$996,M$3,FALSE)&lt;&gt;0,IFERROR(VLOOKUP($B98,'FY ACTUALS'!$A$1:$X$996,M$3,FALSE),"0")+0,IFERROR(($H98-SUMIF($I$1:$W$1,"ACTUAL",$I98:$W98))*(VLOOKUP($B98,'Distribution %'!$A$2:$Q$232,MATCH(M$2,'Distribution %'!$A$2:$Q$2,0),FALSE)/(SUMIF('Distribution %'!$C$1:$Q$1,"BUDGET",'Distribution %'!$C46:$Q46))),"0")+0)</f>
        <v>244.84</v>
      </c>
      <c r="N98" s="389">
        <f>IF(VLOOKUP("Net Income",'FY ACTUALS'!$A$1:$X$996,N$3,FALSE)&lt;&gt;0,IFERROR(VLOOKUP($B98,'FY ACTUALS'!$A$1:$X$996,N$3,FALSE),"0")+0,IFERROR(($H98-SUMIF($I$1:$W$1,"ACTUAL",$I98:$W98))*(VLOOKUP($B98,'Distribution %'!$A$2:$Q$232,MATCH(N$2,'Distribution %'!$A$2:$Q$2,0),FALSE)/(SUMIF('Distribution %'!$C$1:$Q$1,"BUDGET",'Distribution %'!$C46:$Q46))),"0")+0)</f>
        <v>29918.85</v>
      </c>
      <c r="O98" s="389">
        <f>IF(VLOOKUP("Net Income",'FY ACTUALS'!$A$1:$X$996,O$3,FALSE)&lt;&gt;0,IFERROR(VLOOKUP($B98,'FY ACTUALS'!$A$1:$X$996,O$3,FALSE),"0")+0,IFERROR(($H98-SUMIF($I$1:$W$1,"ACTUAL",$I98:$W98))*(VLOOKUP($B98,'Distribution %'!$A$2:$Q$232,MATCH(O$2,'Distribution %'!$A$2:$Q$2,0),FALSE)/(SUMIF('Distribution %'!$C$1:$Q$1,"BUDGET",'Distribution %'!$C46:$Q46))),"0")+0)</f>
        <v>37007.75</v>
      </c>
      <c r="P98" s="389">
        <f ca="1">IF(VLOOKUP("Net Income",'FY ACTUALS'!$A$1:$X$996,P$3,FALSE)&lt;&gt;0,IFERROR(VLOOKUP($B98,'FY ACTUALS'!$A$1:$X$996,P$3,FALSE),"0")+0,IFERROR(($H98-SUMIF($I$1:$W$1,"ACTUAL",$I98:$W98))*(VLOOKUP($B98,'Distribution %'!$A$2:$Q$232,MATCH(P$2,'Distribution %'!$A$2:$Q$2,0),FALSE)/(SUMIF('Distribution %'!$C$1:$Q$1,"BUDGET",'Distribution %'!$C46:$Q46))),"0")+0)</f>
        <v>-455.50756563243624</v>
      </c>
      <c r="Q98" s="389">
        <f ca="1">IF(VLOOKUP("Net Income",'FY ACTUALS'!$A$1:$X$996,Q$3,FALSE)&lt;&gt;0,IFERROR(VLOOKUP($B98,'FY ACTUALS'!$A$1:$X$996,Q$3,FALSE),"0")+0,IFERROR(($H98-SUMIF($I$1:$W$1,"ACTUAL",$I98:$W98))*(VLOOKUP($B98,'Distribution %'!$A$2:$Q$232,MATCH(Q$2,'Distribution %'!$A$2:$Q$2,0),FALSE)/(SUMIF('Distribution %'!$C$1:$Q$1,"BUDGET",'Distribution %'!$C46:$Q46))),"0")+0)</f>
        <v>-460.99560859186317</v>
      </c>
      <c r="R98" s="389">
        <f ca="1">IF(VLOOKUP("Net Income",'FY ACTUALS'!$A$1:$X$996,R$3,FALSE)&lt;&gt;0,IFERROR(VLOOKUP($B98,'FY ACTUALS'!$A$1:$X$996,R$3,FALSE),"0")+0,IFERROR(($H98-SUMIF($I$1:$W$1,"ACTUAL",$I98:$W98))*(VLOOKUP($B98,'Distribution %'!$A$2:$Q$232,MATCH(R$2,'Distribution %'!$A$2:$Q$2,0),FALSE)/(SUMIF('Distribution %'!$C$1:$Q$1,"BUDGET",'Distribution %'!$C46:$Q46))),"0")+0)</f>
        <v>-460.99560859186317</v>
      </c>
      <c r="S98" s="389">
        <f ca="1">IF(VLOOKUP("Net Income",'FY ACTUALS'!$A$1:$X$996,S$3,FALSE)&lt;&gt;0,IFERROR(VLOOKUP($B98,'FY ACTUALS'!$A$1:$X$996,S$3,FALSE),"0")+0,IFERROR(($H98-SUMIF($I$1:$W$1,"ACTUAL",$I98:$W98))*(VLOOKUP($B98,'Distribution %'!$A$2:$Q$232,MATCH(S$2,'Distribution %'!$A$2:$Q$2,0),FALSE)/(SUMIF('Distribution %'!$C$1:$Q$1,"BUDGET",'Distribution %'!$C46:$Q46))),"0")+0)</f>
        <v>-460.99560859186317</v>
      </c>
      <c r="T98" s="389">
        <f ca="1">IF(VLOOKUP("Net Income",'FY ACTUALS'!$A$1:$X$996,T$3,FALSE)&lt;&gt;0,IFERROR(VLOOKUP($B98,'FY ACTUALS'!$A$1:$X$996,T$3,FALSE),"0")+0,IFERROR(($H98-SUMIF($I$1:$W$1,"ACTUAL",$I98:$W98))*(VLOOKUP($B98,'Distribution %'!$A$2:$Q$232,MATCH(T$2,'Distribution %'!$A$2:$Q$2,0),FALSE)/(SUMIF('Distribution %'!$C$1:$Q$1,"BUDGET",'Distribution %'!$C46:$Q46))),"0")+0)</f>
        <v>-460.99560859186317</v>
      </c>
      <c r="U98" s="389">
        <f ca="1">IF(VLOOKUP("Net Income",'FY ACTUALS'!$A$1:$X$996,U$3,FALSE)&lt;&gt;0,IFERROR(VLOOKUP($B98,'FY ACTUALS'!$A$1:$X$996,U$3,FALSE),"0")+0,IFERROR(($H98-SUMIF($I$1:$W$1,"ACTUAL",$I98:$W98))*(VLOOKUP($B98,'Distribution %'!$A$2:$Q$232,MATCH(U$2,'Distribution %'!$A$2:$Q$2,0),FALSE)/(SUMIF('Distribution %'!$C$1:$Q$1,"BUDGET",'Distribution %'!$C46:$Q46))),"0")+0)</f>
        <v>0</v>
      </c>
      <c r="V98" s="389">
        <f ca="1">IF(VLOOKUP("Net Income",'FY ACTUALS'!$A$1:$X$996,V$3,FALSE)&lt;&gt;0,IFERROR(VLOOKUP($B98,'FY ACTUALS'!$A$1:$X$996,V$3,FALSE),"0")+0,IFERROR(($H98-SUMIF($I$1:$W$1,"ACTUAL",$I98:$W98))*(VLOOKUP($B98,'Distribution %'!$A$2:$Q$232,MATCH(V$2,'Distribution %'!$A$2:$Q$2,0),FALSE)/(SUMIF('Distribution %'!$C$1:$Q$1,"BUDGET",'Distribution %'!$C46:$Q46))),"0")+0)</f>
        <v>0</v>
      </c>
      <c r="W98" s="431">
        <f ca="1">IF(VLOOKUP("Net Income",'FY ACTUALS'!$A$1:$X$996,W$3,FALSE)&lt;&gt;0,IFERROR(VLOOKUP($B98,'FY ACTUALS'!$A$1:$X$996,W$3,FALSE),"0")+0,IFERROR(($H98-SUMIF($I$1:$W$1,"ACTUAL",$I98:$W98))*(VLOOKUP($B98,'Distribution %'!$A$2:$Q$232,MATCH(W$2,'Distribution %'!$A$2:$Q$2,0),FALSE)/(SUMIF('Distribution %'!$C$1:$Q$1,"BUDGET",'Distribution %'!$C46:$Q46))),"0")+0)</f>
        <v>0</v>
      </c>
      <c r="X98" s="387">
        <f t="shared" ca="1" si="34"/>
        <v>74910.000000000087</v>
      </c>
      <c r="Y98" s="387"/>
      <c r="Z98" s="387">
        <f t="shared" ca="1" si="35"/>
        <v>0</v>
      </c>
    </row>
    <row r="99" spans="2:26" x14ac:dyDescent="0.75">
      <c r="B99" s="379">
        <v>3502</v>
      </c>
      <c r="C99" s="379" t="s">
        <v>1524</v>
      </c>
      <c r="F99" s="379" t="str">
        <f>IF(ISERROR(VLOOKUP(B99,'Distribution %'!A:A,1,FALSE)),"NO","YES")</f>
        <v>YES</v>
      </c>
      <c r="G99" s="392"/>
      <c r="H99" s="430">
        <f ca="1">IFERROR(VLOOKUP(B99,'Expenses w MYP'!$A$8:$K$119,11,FALSE),"0")+0</f>
        <v>21338</v>
      </c>
      <c r="I99" s="388">
        <f>IF(VLOOKUP("Net Income",'FY ACTUALS'!$A$1:$X$996,I$3,FALSE)&lt;&gt;0,IFERROR(VLOOKUP($B99,'FY ACTUALS'!$A$1:$X$996,I$3,FALSE),"0")+0,IFERROR(($H99-SUMIF($I$1:$W$1,"ACTUAL",$I99:$W99))*(VLOOKUP($B99,'Distribution %'!$A$2:$Q$232,MATCH(I$2,'Distribution %'!$A$2:$Q$2,0),FALSE)/(SUMIF('Distribution %'!$C$1:$Q$1,"BUDGET",'Distribution %'!$C47:$Q47))),"0")+0)</f>
        <v>0</v>
      </c>
      <c r="J99" s="389">
        <f>IF(VLOOKUP("Net Income",'FY ACTUALS'!$A$1:$X$996,J$3,FALSE)&lt;&gt;0,IFERROR(VLOOKUP($B99,'FY ACTUALS'!$A$1:$X$996,J$3,FALSE),"0")+0,IFERROR(($H99-SUMIF($I$1:$W$1,"ACTUAL",$I99:$W99))*(VLOOKUP($B99,'Distribution %'!$A$2:$Q$232,MATCH(J$2,'Distribution %'!$A$2:$Q$2,0),FALSE)/(SUMIF('Distribution %'!$C$1:$Q$1,"BUDGET",'Distribution %'!$C47:$Q47))),"0")+0)</f>
        <v>0</v>
      </c>
      <c r="K99" s="389">
        <f>IF(VLOOKUP("Net Income",'FY ACTUALS'!$A$1:$X$996,K$3,FALSE)&lt;&gt;0,IFERROR(VLOOKUP($B99,'FY ACTUALS'!$A$1:$X$996,K$3,FALSE),"0")+0,IFERROR(($H99-SUMIF($I$1:$W$1,"ACTUAL",$I99:$W99))*(VLOOKUP($B99,'Distribution %'!$A$2:$Q$232,MATCH(K$2,'Distribution %'!$A$2:$Q$2,0),FALSE)/(SUMIF('Distribution %'!$C$1:$Q$1,"BUDGET",'Distribution %'!$C47:$Q47))),"0")+0)</f>
        <v>0</v>
      </c>
      <c r="L99" s="389">
        <f>IF(VLOOKUP("Net Income",'FY ACTUALS'!$A$1:$X$996,L$3,FALSE)&lt;&gt;0,IFERROR(VLOOKUP($B99,'FY ACTUALS'!$A$1:$X$996,L$3,FALSE),"0")+0,IFERROR(($H99-SUMIF($I$1:$W$1,"ACTUAL",$I99:$W99))*(VLOOKUP($B99,'Distribution %'!$A$2:$Q$232,MATCH(L$2,'Distribution %'!$A$2:$Q$2,0),FALSE)/(SUMIF('Distribution %'!$C$1:$Q$1,"BUDGET",'Distribution %'!$C47:$Q47))),"0")+0)</f>
        <v>3231.68</v>
      </c>
      <c r="M99" s="389">
        <f>IF(VLOOKUP("Net Income",'FY ACTUALS'!$A$1:$X$996,M$3,FALSE)&lt;&gt;0,IFERROR(VLOOKUP($B99,'FY ACTUALS'!$A$1:$X$996,M$3,FALSE),"0")+0,IFERROR(($H99-SUMIF($I$1:$W$1,"ACTUAL",$I99:$W99))*(VLOOKUP($B99,'Distribution %'!$A$2:$Q$232,MATCH(M$2,'Distribution %'!$A$2:$Q$2,0),FALSE)/(SUMIF('Distribution %'!$C$1:$Q$1,"BUDGET",'Distribution %'!$C47:$Q47))),"0")+0)</f>
        <v>0</v>
      </c>
      <c r="N99" s="389">
        <f>IF(VLOOKUP("Net Income",'FY ACTUALS'!$A$1:$X$996,N$3,FALSE)&lt;&gt;0,IFERROR(VLOOKUP($B99,'FY ACTUALS'!$A$1:$X$996,N$3,FALSE),"0")+0,IFERROR(($H99-SUMIF($I$1:$W$1,"ACTUAL",$I99:$W99))*(VLOOKUP($B99,'Distribution %'!$A$2:$Q$232,MATCH(N$2,'Distribution %'!$A$2:$Q$2,0),FALSE)/(SUMIF('Distribution %'!$C$1:$Q$1,"BUDGET",'Distribution %'!$C47:$Q47))),"0")+0)</f>
        <v>8798.4699999999993</v>
      </c>
      <c r="O99" s="389">
        <f>IF(VLOOKUP("Net Income",'FY ACTUALS'!$A$1:$X$996,O$3,FALSE)&lt;&gt;0,IFERROR(VLOOKUP($B99,'FY ACTUALS'!$A$1:$X$996,O$3,FALSE),"0")+0,IFERROR(($H99-SUMIF($I$1:$W$1,"ACTUAL",$I99:$W99))*(VLOOKUP($B99,'Distribution %'!$A$2:$Q$232,MATCH(O$2,'Distribution %'!$A$2:$Q$2,0),FALSE)/(SUMIF('Distribution %'!$C$1:$Q$1,"BUDGET",'Distribution %'!$C47:$Q47))),"0")+0)</f>
        <v>10939.37</v>
      </c>
      <c r="P99" s="389">
        <f ca="1">IF(VLOOKUP("Net Income",'FY ACTUALS'!$A$1:$X$996,P$3,FALSE)&lt;&gt;0,IFERROR(VLOOKUP($B99,'FY ACTUALS'!$A$1:$X$996,P$3,FALSE),"0")+0,IFERROR(($H99-SUMIF($I$1:$W$1,"ACTUAL",$I99:$W99))*(VLOOKUP($B99,'Distribution %'!$A$2:$Q$232,MATCH(P$2,'Distribution %'!$A$2:$Q$2,0),FALSE)/(SUMIF('Distribution %'!$C$1:$Q$1,"BUDGET",'Distribution %'!$C47:$Q47))),"0")+0)</f>
        <v>-323.18892601431992</v>
      </c>
      <c r="Q99" s="389">
        <f ca="1">IF(VLOOKUP("Net Income",'FY ACTUALS'!$A$1:$X$996,Q$3,FALSE)&lt;&gt;0,IFERROR(VLOOKUP($B99,'FY ACTUALS'!$A$1:$X$996,Q$3,FALSE),"0")+0,IFERROR(($H99-SUMIF($I$1:$W$1,"ACTUAL",$I99:$W99))*(VLOOKUP($B99,'Distribution %'!$A$2:$Q$232,MATCH(Q$2,'Distribution %'!$A$2:$Q$2,0),FALSE)/(SUMIF('Distribution %'!$C$1:$Q$1,"BUDGET",'Distribution %'!$C47:$Q47))),"0")+0)</f>
        <v>-327.08276849642016</v>
      </c>
      <c r="R99" s="389">
        <f ca="1">IF(VLOOKUP("Net Income",'FY ACTUALS'!$A$1:$X$996,R$3,FALSE)&lt;&gt;0,IFERROR(VLOOKUP($B99,'FY ACTUALS'!$A$1:$X$996,R$3,FALSE),"0")+0,IFERROR(($H99-SUMIF($I$1:$W$1,"ACTUAL",$I99:$W99))*(VLOOKUP($B99,'Distribution %'!$A$2:$Q$232,MATCH(R$2,'Distribution %'!$A$2:$Q$2,0),FALSE)/(SUMIF('Distribution %'!$C$1:$Q$1,"BUDGET",'Distribution %'!$C47:$Q47))),"0")+0)</f>
        <v>-327.08276849642016</v>
      </c>
      <c r="S99" s="389">
        <f ca="1">IF(VLOOKUP("Net Income",'FY ACTUALS'!$A$1:$X$996,S$3,FALSE)&lt;&gt;0,IFERROR(VLOOKUP($B99,'FY ACTUALS'!$A$1:$X$996,S$3,FALSE),"0")+0,IFERROR(($H99-SUMIF($I$1:$W$1,"ACTUAL",$I99:$W99))*(VLOOKUP($B99,'Distribution %'!$A$2:$Q$232,MATCH(S$2,'Distribution %'!$A$2:$Q$2,0),FALSE)/(SUMIF('Distribution %'!$C$1:$Q$1,"BUDGET",'Distribution %'!$C47:$Q47))),"0")+0)</f>
        <v>-327.08276849642016</v>
      </c>
      <c r="T99" s="389">
        <f ca="1">IF(VLOOKUP("Net Income",'FY ACTUALS'!$A$1:$X$996,T$3,FALSE)&lt;&gt;0,IFERROR(VLOOKUP($B99,'FY ACTUALS'!$A$1:$X$996,T$3,FALSE),"0")+0,IFERROR(($H99-SUMIF($I$1:$W$1,"ACTUAL",$I99:$W99))*(VLOOKUP($B99,'Distribution %'!$A$2:$Q$232,MATCH(T$2,'Distribution %'!$A$2:$Q$2,0),FALSE)/(SUMIF('Distribution %'!$C$1:$Q$1,"BUDGET",'Distribution %'!$C47:$Q47))),"0")+0)</f>
        <v>-327.08276849642016</v>
      </c>
      <c r="U99" s="389">
        <f ca="1">IF(VLOOKUP("Net Income",'FY ACTUALS'!$A$1:$X$996,U$3,FALSE)&lt;&gt;0,IFERROR(VLOOKUP($B99,'FY ACTUALS'!$A$1:$X$996,U$3,FALSE),"0")+0,IFERROR(($H99-SUMIF($I$1:$W$1,"ACTUAL",$I99:$W99))*(VLOOKUP($B99,'Distribution %'!$A$2:$Q$232,MATCH(U$2,'Distribution %'!$A$2:$Q$2,0),FALSE)/(SUMIF('Distribution %'!$C$1:$Q$1,"BUDGET",'Distribution %'!$C47:$Q47))),"0")+0)</f>
        <v>0</v>
      </c>
      <c r="V99" s="389">
        <f ca="1">IF(VLOOKUP("Net Income",'FY ACTUALS'!$A$1:$X$996,V$3,FALSE)&lt;&gt;0,IFERROR(VLOOKUP($B99,'FY ACTUALS'!$A$1:$X$996,V$3,FALSE),"0")+0,IFERROR(($H99-SUMIF($I$1:$W$1,"ACTUAL",$I99:$W99))*(VLOOKUP($B99,'Distribution %'!$A$2:$Q$232,MATCH(V$2,'Distribution %'!$A$2:$Q$2,0),FALSE)/(SUMIF('Distribution %'!$C$1:$Q$1,"BUDGET",'Distribution %'!$C47:$Q47))),"0")+0)</f>
        <v>0</v>
      </c>
      <c r="W99" s="431">
        <f ca="1">IF(VLOOKUP("Net Income",'FY ACTUALS'!$A$1:$X$996,W$3,FALSE)&lt;&gt;0,IFERROR(VLOOKUP($B99,'FY ACTUALS'!$A$1:$X$996,W$3,FALSE),"0")+0,IFERROR(($H99-SUMIF($I$1:$W$1,"ACTUAL",$I99:$W99))*(VLOOKUP($B99,'Distribution %'!$A$2:$Q$232,MATCH(W$2,'Distribution %'!$A$2:$Q$2,0),FALSE)/(SUMIF('Distribution %'!$C$1:$Q$1,"BUDGET",'Distribution %'!$C47:$Q47))),"0")+0)</f>
        <v>0</v>
      </c>
      <c r="X99" s="387">
        <f t="shared" ca="1" si="34"/>
        <v>21337.999999999996</v>
      </c>
      <c r="Y99" s="387"/>
      <c r="Z99" s="387">
        <f t="shared" ca="1" si="35"/>
        <v>0</v>
      </c>
    </row>
    <row r="100" spans="2:26" x14ac:dyDescent="0.75">
      <c r="B100" s="379">
        <v>3503</v>
      </c>
      <c r="C100" s="379" t="s">
        <v>590</v>
      </c>
      <c r="F100" s="379" t="str">
        <f>IF(ISERROR(VLOOKUP(B100,'Distribution %'!A:A,1,FALSE)),"NO","YES")</f>
        <v>YES</v>
      </c>
      <c r="G100" s="392"/>
      <c r="H100" s="430">
        <f ca="1">IFERROR(VLOOKUP(B100,'Expenses w MYP'!$A$8:$K$119,11,FALSE),"0")+0</f>
        <v>0</v>
      </c>
      <c r="I100" s="388">
        <f>IF(VLOOKUP("Net Income",'FY ACTUALS'!$A$1:$X$996,I$3,FALSE)&lt;&gt;0,IFERROR(VLOOKUP($B100,'FY ACTUALS'!$A$1:$X$996,I$3,FALSE),"0")+0,IFERROR(($H100-SUMIF($I$1:$W$1,"ACTUAL",$I100:$W100))*(VLOOKUP($B100,'Distribution %'!$A$2:$Q$232,MATCH(I$2,'Distribution %'!$A$2:$Q$2,0),FALSE)/(SUMIF('Distribution %'!$C$1:$Q$1,"BUDGET",'Distribution %'!$C48:$Q48))),"0")+0)</f>
        <v>244.82</v>
      </c>
      <c r="J100" s="389">
        <f>IF(VLOOKUP("Net Income",'FY ACTUALS'!$A$1:$X$996,J$3,FALSE)&lt;&gt;0,IFERROR(VLOOKUP($B100,'FY ACTUALS'!$A$1:$X$996,J$3,FALSE),"0")+0,IFERROR(($H100-SUMIF($I$1:$W$1,"ACTUAL",$I100:$W100))*(VLOOKUP($B100,'Distribution %'!$A$2:$Q$232,MATCH(J$2,'Distribution %'!$A$2:$Q$2,0),FALSE)/(SUMIF('Distribution %'!$C$1:$Q$1,"BUDGET",'Distribution %'!$C48:$Q48))),"0")+0)</f>
        <v>8581.3799999999992</v>
      </c>
      <c r="K100" s="389">
        <f>IF(VLOOKUP("Net Income",'FY ACTUALS'!$A$1:$X$996,K$3,FALSE)&lt;&gt;0,IFERROR(VLOOKUP($B100,'FY ACTUALS'!$A$1:$X$996,K$3,FALSE),"0")+0,IFERROR(($H100-SUMIF($I$1:$W$1,"ACTUAL",$I100:$W100))*(VLOOKUP($B100,'Distribution %'!$A$2:$Q$232,MATCH(K$2,'Distribution %'!$A$2:$Q$2,0),FALSE)/(SUMIF('Distribution %'!$C$1:$Q$1,"BUDGET",'Distribution %'!$C48:$Q48))),"0")+0)</f>
        <v>4010.06</v>
      </c>
      <c r="L100" s="389">
        <f>IF(VLOOKUP("Net Income",'FY ACTUALS'!$A$1:$X$996,L$3,FALSE)&lt;&gt;0,IFERROR(VLOOKUP($B100,'FY ACTUALS'!$A$1:$X$996,L$3,FALSE),"0")+0,IFERROR(($H100-SUMIF($I$1:$W$1,"ACTUAL",$I100:$W100))*(VLOOKUP($B100,'Distribution %'!$A$2:$Q$232,MATCH(L$2,'Distribution %'!$A$2:$Q$2,0),FALSE)/(SUMIF('Distribution %'!$C$1:$Q$1,"BUDGET",'Distribution %'!$C48:$Q48))),"0")+0)</f>
        <v>-12836.26</v>
      </c>
      <c r="M100" s="389">
        <f>IF(VLOOKUP("Net Income",'FY ACTUALS'!$A$1:$X$996,M$3,FALSE)&lt;&gt;0,IFERROR(VLOOKUP($B100,'FY ACTUALS'!$A$1:$X$996,M$3,FALSE),"0")+0,IFERROR(($H100-SUMIF($I$1:$W$1,"ACTUAL",$I100:$W100))*(VLOOKUP($B100,'Distribution %'!$A$2:$Q$232,MATCH(M$2,'Distribution %'!$A$2:$Q$2,0),FALSE)/(SUMIF('Distribution %'!$C$1:$Q$1,"BUDGET",'Distribution %'!$C48:$Q48))),"0")+0)</f>
        <v>0</v>
      </c>
      <c r="N100" s="389">
        <f>IF(VLOOKUP("Net Income",'FY ACTUALS'!$A$1:$X$996,N$3,FALSE)&lt;&gt;0,IFERROR(VLOOKUP($B100,'FY ACTUALS'!$A$1:$X$996,N$3,FALSE),"0")+0,IFERROR(($H100-SUMIF($I$1:$W$1,"ACTUAL",$I100:$W100))*(VLOOKUP($B100,'Distribution %'!$A$2:$Q$232,MATCH(N$2,'Distribution %'!$A$2:$Q$2,0),FALSE)/(SUMIF('Distribution %'!$C$1:$Q$1,"BUDGET",'Distribution %'!$C48:$Q48))),"0")+0)</f>
        <v>0</v>
      </c>
      <c r="O100" s="389">
        <f>IF(VLOOKUP("Net Income",'FY ACTUALS'!$A$1:$X$996,O$3,FALSE)&lt;&gt;0,IFERROR(VLOOKUP($B100,'FY ACTUALS'!$A$1:$X$996,O$3,FALSE),"0")+0,IFERROR(($H100-SUMIF($I$1:$W$1,"ACTUAL",$I100:$W100))*(VLOOKUP($B100,'Distribution %'!$A$2:$Q$232,MATCH(O$2,'Distribution %'!$A$2:$Q$2,0),FALSE)/(SUMIF('Distribution %'!$C$1:$Q$1,"BUDGET",'Distribution %'!$C48:$Q48))),"0")+0)</f>
        <v>0</v>
      </c>
      <c r="P100" s="389">
        <f ca="1">IF(VLOOKUP("Net Income",'FY ACTUALS'!$A$1:$X$996,P$3,FALSE)&lt;&gt;0,IFERROR(VLOOKUP($B100,'FY ACTUALS'!$A$1:$X$996,P$3,FALSE),"0")+0,IFERROR(($H100-SUMIF($I$1:$W$1,"ACTUAL",$I100:$W100))*(VLOOKUP($B100,'Distribution %'!$A$2:$Q$232,MATCH(P$2,'Distribution %'!$A$2:$Q$2,0),FALSE)/(SUMIF('Distribution %'!$C$1:$Q$1,"BUDGET",'Distribution %'!$C48:$Q48))),"0")+0)</f>
        <v>3.6032486991481167E-13</v>
      </c>
      <c r="Q100" s="389">
        <f ca="1">IF(VLOOKUP("Net Income",'FY ACTUALS'!$A$1:$X$996,Q$3,FALSE)&lt;&gt;0,IFERROR(VLOOKUP($B100,'FY ACTUALS'!$A$1:$X$996,Q$3,FALSE),"0")+0,IFERROR(($H100-SUMIF($I$1:$W$1,"ACTUAL",$I100:$W100))*(VLOOKUP($B100,'Distribution %'!$A$2:$Q$232,MATCH(Q$2,'Distribution %'!$A$2:$Q$2,0),FALSE)/(SUMIF('Distribution %'!$C$1:$Q$1,"BUDGET",'Distribution %'!$C48:$Q48))),"0")+0)</f>
        <v>3.646661334077612E-13</v>
      </c>
      <c r="R100" s="389">
        <f ca="1">IF(VLOOKUP("Net Income",'FY ACTUALS'!$A$1:$X$996,R$3,FALSE)&lt;&gt;0,IFERROR(VLOOKUP($B100,'FY ACTUALS'!$A$1:$X$996,R$3,FALSE),"0")+0,IFERROR(($H100-SUMIF($I$1:$W$1,"ACTUAL",$I100:$W100))*(VLOOKUP($B100,'Distribution %'!$A$2:$Q$232,MATCH(R$2,'Distribution %'!$A$2:$Q$2,0),FALSE)/(SUMIF('Distribution %'!$C$1:$Q$1,"BUDGET",'Distribution %'!$C48:$Q48))),"0")+0)</f>
        <v>3.646661334077612E-13</v>
      </c>
      <c r="S100" s="389">
        <f ca="1">IF(VLOOKUP("Net Income",'FY ACTUALS'!$A$1:$X$996,S$3,FALSE)&lt;&gt;0,IFERROR(VLOOKUP($B100,'FY ACTUALS'!$A$1:$X$996,S$3,FALSE),"0")+0,IFERROR(($H100-SUMIF($I$1:$W$1,"ACTUAL",$I100:$W100))*(VLOOKUP($B100,'Distribution %'!$A$2:$Q$232,MATCH(S$2,'Distribution %'!$A$2:$Q$2,0),FALSE)/(SUMIF('Distribution %'!$C$1:$Q$1,"BUDGET",'Distribution %'!$C48:$Q48))),"0")+0)</f>
        <v>3.646661334077612E-13</v>
      </c>
      <c r="T100" s="389">
        <f ca="1">IF(VLOOKUP("Net Income",'FY ACTUALS'!$A$1:$X$996,T$3,FALSE)&lt;&gt;0,IFERROR(VLOOKUP($B100,'FY ACTUALS'!$A$1:$X$996,T$3,FALSE),"0")+0,IFERROR(($H100-SUMIF($I$1:$W$1,"ACTUAL",$I100:$W100))*(VLOOKUP($B100,'Distribution %'!$A$2:$Q$232,MATCH(T$2,'Distribution %'!$A$2:$Q$2,0),FALSE)/(SUMIF('Distribution %'!$C$1:$Q$1,"BUDGET",'Distribution %'!$C48:$Q48))),"0")+0)</f>
        <v>3.646661334077612E-13</v>
      </c>
      <c r="U100" s="389">
        <f ca="1">IF(VLOOKUP("Net Income",'FY ACTUALS'!$A$1:$X$996,U$3,FALSE)&lt;&gt;0,IFERROR(VLOOKUP($B100,'FY ACTUALS'!$A$1:$X$996,U$3,FALSE),"0")+0,IFERROR(($H100-SUMIF($I$1:$W$1,"ACTUAL",$I100:$W100))*(VLOOKUP($B100,'Distribution %'!$A$2:$Q$232,MATCH(U$2,'Distribution %'!$A$2:$Q$2,0),FALSE)/(SUMIF('Distribution %'!$C$1:$Q$1,"BUDGET",'Distribution %'!$C48:$Q48))),"0")+0)</f>
        <v>0</v>
      </c>
      <c r="V100" s="389">
        <f ca="1">IF(VLOOKUP("Net Income",'FY ACTUALS'!$A$1:$X$996,V$3,FALSE)&lt;&gt;0,IFERROR(VLOOKUP($B100,'FY ACTUALS'!$A$1:$X$996,V$3,FALSE),"0")+0,IFERROR(($H100-SUMIF($I$1:$W$1,"ACTUAL",$I100:$W100))*(VLOOKUP($B100,'Distribution %'!$A$2:$Q$232,MATCH(V$2,'Distribution %'!$A$2:$Q$2,0),FALSE)/(SUMIF('Distribution %'!$C$1:$Q$1,"BUDGET",'Distribution %'!$C48:$Q48))),"0")+0)</f>
        <v>0</v>
      </c>
      <c r="W100" s="431">
        <f ca="1">IF(VLOOKUP("Net Income",'FY ACTUALS'!$A$1:$X$996,W$3,FALSE)&lt;&gt;0,IFERROR(VLOOKUP($B100,'FY ACTUALS'!$A$1:$X$996,W$3,FALSE),"0")+0,IFERROR(($H100-SUMIF($I$1:$W$1,"ACTUAL",$I100:$W100))*(VLOOKUP($B100,'Distribution %'!$A$2:$Q$232,MATCH(W$2,'Distribution %'!$A$2:$Q$2,0),FALSE)/(SUMIF('Distribution %'!$C$1:$Q$1,"BUDGET",'Distribution %'!$C48:$Q48))),"0")+0)</f>
        <v>0</v>
      </c>
      <c r="X100" s="387">
        <f t="shared" ca="1" si="34"/>
        <v>-1.0097419586828951E-28</v>
      </c>
      <c r="Y100" s="387"/>
      <c r="Z100" s="387">
        <f t="shared" ca="1" si="35"/>
        <v>1.0097419586828951E-28</v>
      </c>
    </row>
    <row r="101" spans="2:26" x14ac:dyDescent="0.75">
      <c r="B101" s="379">
        <v>3601</v>
      </c>
      <c r="C101" s="379" t="s">
        <v>1525</v>
      </c>
      <c r="F101" s="379" t="str">
        <f>IF(ISERROR(VLOOKUP(B101,'Distribution %'!A:A,1,FALSE)),"NO","YES")</f>
        <v>YES</v>
      </c>
      <c r="G101" s="392"/>
      <c r="H101" s="430">
        <f ca="1">IFERROR(VLOOKUP(B101,'Expenses w MYP'!$A$8:$K$119,11,FALSE),"0")+0</f>
        <v>284730.48867397883</v>
      </c>
      <c r="I101" s="388">
        <f>IF(VLOOKUP("Net Income",'FY ACTUALS'!$A$1:$X$996,I$3,FALSE)&lt;&gt;0,IFERROR(VLOOKUP($B101,'FY ACTUALS'!$A$1:$X$996,I$3,FALSE),"0")+0,IFERROR(($H101-SUMIF($I$1:$W$1,"ACTUAL",$I101:$W101))*(VLOOKUP($B101,'Distribution %'!$A$2:$Q$232,MATCH(I$2,'Distribution %'!$A$2:$Q$2,0),FALSE)/(SUMIF('Distribution %'!$C$1:$Q$1,"BUDGET",'Distribution %'!$C49:$Q49))),"0")+0)</f>
        <v>0</v>
      </c>
      <c r="J101" s="389">
        <f>IF(VLOOKUP("Net Income",'FY ACTUALS'!$A$1:$X$996,J$3,FALSE)&lt;&gt;0,IFERROR(VLOOKUP($B101,'FY ACTUALS'!$A$1:$X$996,J$3,FALSE),"0")+0,IFERROR(($H101-SUMIF($I$1:$W$1,"ACTUAL",$I101:$W101))*(VLOOKUP($B101,'Distribution %'!$A$2:$Q$232,MATCH(J$2,'Distribution %'!$A$2:$Q$2,0),FALSE)/(SUMIF('Distribution %'!$C$1:$Q$1,"BUDGET",'Distribution %'!$C49:$Q49))),"0")+0)</f>
        <v>0</v>
      </c>
      <c r="K101" s="389">
        <f>IF(VLOOKUP("Net Income",'FY ACTUALS'!$A$1:$X$996,K$3,FALSE)&lt;&gt;0,IFERROR(VLOOKUP($B101,'FY ACTUALS'!$A$1:$X$996,K$3,FALSE),"0")+0,IFERROR(($H101-SUMIF($I$1:$W$1,"ACTUAL",$I101:$W101))*(VLOOKUP($B101,'Distribution %'!$A$2:$Q$232,MATCH(K$2,'Distribution %'!$A$2:$Q$2,0),FALSE)/(SUMIF('Distribution %'!$C$1:$Q$1,"BUDGET",'Distribution %'!$C49:$Q49))),"0")+0)</f>
        <v>0</v>
      </c>
      <c r="L101" s="389">
        <f>IF(VLOOKUP("Net Income",'FY ACTUALS'!$A$1:$X$996,L$3,FALSE)&lt;&gt;0,IFERROR(VLOOKUP($B101,'FY ACTUALS'!$A$1:$X$996,L$3,FALSE),"0")+0,IFERROR(($H101-SUMIF($I$1:$W$1,"ACTUAL",$I101:$W101))*(VLOOKUP($B101,'Distribution %'!$A$2:$Q$232,MATCH(L$2,'Distribution %'!$A$2:$Q$2,0),FALSE)/(SUMIF('Distribution %'!$C$1:$Q$1,"BUDGET",'Distribution %'!$C49:$Q49))),"0")+0)</f>
        <v>36195.72</v>
      </c>
      <c r="M101" s="389">
        <f>IF(VLOOKUP("Net Income",'FY ACTUALS'!$A$1:$X$996,M$3,FALSE)&lt;&gt;0,IFERROR(VLOOKUP($B101,'FY ACTUALS'!$A$1:$X$996,M$3,FALSE),"0")+0,IFERROR(($H101-SUMIF($I$1:$W$1,"ACTUAL",$I101:$W101))*(VLOOKUP($B101,'Distribution %'!$A$2:$Q$232,MATCH(M$2,'Distribution %'!$A$2:$Q$2,0),FALSE)/(SUMIF('Distribution %'!$C$1:$Q$1,"BUDGET",'Distribution %'!$C49:$Q49))),"0")+0)</f>
        <v>0</v>
      </c>
      <c r="N101" s="389">
        <f>IF(VLOOKUP("Net Income",'FY ACTUALS'!$A$1:$X$996,N$3,FALSE)&lt;&gt;0,IFERROR(VLOOKUP($B101,'FY ACTUALS'!$A$1:$X$996,N$3,FALSE),"0")+0,IFERROR(($H101-SUMIF($I$1:$W$1,"ACTUAL",$I101:$W101))*(VLOOKUP($B101,'Distribution %'!$A$2:$Q$232,MATCH(N$2,'Distribution %'!$A$2:$Q$2,0),FALSE)/(SUMIF('Distribution %'!$C$1:$Q$1,"BUDGET",'Distribution %'!$C49:$Q49))),"0")+0)</f>
        <v>0</v>
      </c>
      <c r="O101" s="389">
        <f>IF(VLOOKUP("Net Income",'FY ACTUALS'!$A$1:$X$996,O$3,FALSE)&lt;&gt;0,IFERROR(VLOOKUP($B101,'FY ACTUALS'!$A$1:$X$996,O$3,FALSE),"0")+0,IFERROR(($H101-SUMIF($I$1:$W$1,"ACTUAL",$I101:$W101))*(VLOOKUP($B101,'Distribution %'!$A$2:$Q$232,MATCH(O$2,'Distribution %'!$A$2:$Q$2,0),FALSE)/(SUMIF('Distribution %'!$C$1:$Q$1,"BUDGET",'Distribution %'!$C49:$Q49))),"0")+0)</f>
        <v>7921.68</v>
      </c>
      <c r="P101" s="389">
        <f ca="1">IF(VLOOKUP("Net Income",'FY ACTUALS'!$A$1:$X$996,P$3,FALSE)&lt;&gt;0,IFERROR(VLOOKUP($B101,'FY ACTUALS'!$A$1:$X$996,P$3,FALSE),"0")+0,IFERROR(($H101-SUMIF($I$1:$W$1,"ACTUAL",$I101:$W101))*(VLOOKUP($B101,'Distribution %'!$A$2:$Q$232,MATCH(P$2,'Distribution %'!$A$2:$Q$2,0),FALSE)/(SUMIF('Distribution %'!$C$1:$Q$1,"BUDGET",'Distribution %'!$C49:$Q49))),"0")+0)</f>
        <v>47663.213269547123</v>
      </c>
      <c r="Q101" s="389">
        <f ca="1">IF(VLOOKUP("Net Income",'FY ACTUALS'!$A$1:$X$996,Q$3,FALSE)&lt;&gt;0,IFERROR(VLOOKUP($B101,'FY ACTUALS'!$A$1:$X$996,Q$3,FALSE),"0")+0,IFERROR(($H101-SUMIF($I$1:$W$1,"ACTUAL",$I101:$W101))*(VLOOKUP($B101,'Distribution %'!$A$2:$Q$232,MATCH(Q$2,'Distribution %'!$A$2:$Q$2,0),FALSE)/(SUMIF('Distribution %'!$C$1:$Q$1,"BUDGET",'Distribution %'!$C49:$Q49))),"0")+0)</f>
        <v>48237.468851107929</v>
      </c>
      <c r="R101" s="389">
        <f ca="1">IF(VLOOKUP("Net Income",'FY ACTUALS'!$A$1:$X$996,R$3,FALSE)&lt;&gt;0,IFERROR(VLOOKUP($B101,'FY ACTUALS'!$A$1:$X$996,R$3,FALSE),"0")+0,IFERROR(($H101-SUMIF($I$1:$W$1,"ACTUAL",$I101:$W101))*(VLOOKUP($B101,'Distribution %'!$A$2:$Q$232,MATCH(R$2,'Distribution %'!$A$2:$Q$2,0),FALSE)/(SUMIF('Distribution %'!$C$1:$Q$1,"BUDGET",'Distribution %'!$C49:$Q49))),"0")+0)</f>
        <v>48237.468851107929</v>
      </c>
      <c r="S101" s="389">
        <f ca="1">IF(VLOOKUP("Net Income",'FY ACTUALS'!$A$1:$X$996,S$3,FALSE)&lt;&gt;0,IFERROR(VLOOKUP($B101,'FY ACTUALS'!$A$1:$X$996,S$3,FALSE),"0")+0,IFERROR(($H101-SUMIF($I$1:$W$1,"ACTUAL",$I101:$W101))*(VLOOKUP($B101,'Distribution %'!$A$2:$Q$232,MATCH(S$2,'Distribution %'!$A$2:$Q$2,0),FALSE)/(SUMIF('Distribution %'!$C$1:$Q$1,"BUDGET",'Distribution %'!$C49:$Q49))),"0")+0)</f>
        <v>48237.468851107929</v>
      </c>
      <c r="T101" s="389">
        <f ca="1">IF(VLOOKUP("Net Income",'FY ACTUALS'!$A$1:$X$996,T$3,FALSE)&lt;&gt;0,IFERROR(VLOOKUP($B101,'FY ACTUALS'!$A$1:$X$996,T$3,FALSE),"0")+0,IFERROR(($H101-SUMIF($I$1:$W$1,"ACTUAL",$I101:$W101))*(VLOOKUP($B101,'Distribution %'!$A$2:$Q$232,MATCH(T$2,'Distribution %'!$A$2:$Q$2,0),FALSE)/(SUMIF('Distribution %'!$C$1:$Q$1,"BUDGET",'Distribution %'!$C49:$Q49))),"0")+0)</f>
        <v>48237.468851107929</v>
      </c>
      <c r="U101" s="389">
        <f ca="1">IF(VLOOKUP("Net Income",'FY ACTUALS'!$A$1:$X$996,U$3,FALSE)&lt;&gt;0,IFERROR(VLOOKUP($B101,'FY ACTUALS'!$A$1:$X$996,U$3,FALSE),"0")+0,IFERROR(($H101-SUMIF($I$1:$W$1,"ACTUAL",$I101:$W101))*(VLOOKUP($B101,'Distribution %'!$A$2:$Q$232,MATCH(U$2,'Distribution %'!$A$2:$Q$2,0),FALSE)/(SUMIF('Distribution %'!$C$1:$Q$1,"BUDGET",'Distribution %'!$C49:$Q49))),"0")+0)</f>
        <v>0</v>
      </c>
      <c r="V101" s="389">
        <f ca="1">IF(VLOOKUP("Net Income",'FY ACTUALS'!$A$1:$X$996,V$3,FALSE)&lt;&gt;0,IFERROR(VLOOKUP($B101,'FY ACTUALS'!$A$1:$X$996,V$3,FALSE),"0")+0,IFERROR(($H101-SUMIF($I$1:$W$1,"ACTUAL",$I101:$W101))*(VLOOKUP($B101,'Distribution %'!$A$2:$Q$232,MATCH(V$2,'Distribution %'!$A$2:$Q$2,0),FALSE)/(SUMIF('Distribution %'!$C$1:$Q$1,"BUDGET",'Distribution %'!$C49:$Q49))),"0")+0)</f>
        <v>0</v>
      </c>
      <c r="W101" s="431">
        <f ca="1">IF(VLOOKUP("Net Income",'FY ACTUALS'!$A$1:$X$996,W$3,FALSE)&lt;&gt;0,IFERROR(VLOOKUP($B101,'FY ACTUALS'!$A$1:$X$996,W$3,FALSE),"0")+0,IFERROR(($H101-SUMIF($I$1:$W$1,"ACTUAL",$I101:$W101))*(VLOOKUP($B101,'Distribution %'!$A$2:$Q$232,MATCH(W$2,'Distribution %'!$A$2:$Q$2,0),FALSE)/(SUMIF('Distribution %'!$C$1:$Q$1,"BUDGET",'Distribution %'!$C49:$Q49))),"0")+0)</f>
        <v>0</v>
      </c>
      <c r="X101" s="387">
        <f t="shared" ca="1" si="34"/>
        <v>284730.48867397883</v>
      </c>
      <c r="Y101" s="387"/>
      <c r="Z101" s="387">
        <f t="shared" ca="1" si="35"/>
        <v>0</v>
      </c>
    </row>
    <row r="102" spans="2:26" x14ac:dyDescent="0.75">
      <c r="B102" s="379">
        <v>3602</v>
      </c>
      <c r="C102" s="379" t="s">
        <v>1526</v>
      </c>
      <c r="F102" s="379" t="str">
        <f>IF(ISERROR(VLOOKUP(B102,'Distribution %'!A:A,1,FALSE)),"NO","YES")</f>
        <v>YES</v>
      </c>
      <c r="G102" s="392"/>
      <c r="H102" s="430">
        <f ca="1">IFERROR(VLOOKUP(B102,'Expenses w MYP'!$A$8:$K$119,11,FALSE),"0")+0</f>
        <v>69403.996995307301</v>
      </c>
      <c r="I102" s="388">
        <f>IF(VLOOKUP("Net Income",'FY ACTUALS'!$A$1:$X$996,I$3,FALSE)&lt;&gt;0,IFERROR(VLOOKUP($B102,'FY ACTUALS'!$A$1:$X$996,I$3,FALSE),"0")+0,IFERROR(($H102-SUMIF($I$1:$W$1,"ACTUAL",$I102:$W102))*(VLOOKUP($B102,'Distribution %'!$A$2:$Q$232,MATCH(I$2,'Distribution %'!$A$2:$Q$2,0),FALSE)/(SUMIF('Distribution %'!$C$1:$Q$1,"BUDGET",'Distribution %'!$C50:$Q50))),"0")+0)</f>
        <v>0</v>
      </c>
      <c r="J102" s="389">
        <f>IF(VLOOKUP("Net Income",'FY ACTUALS'!$A$1:$X$996,J$3,FALSE)&lt;&gt;0,IFERROR(VLOOKUP($B102,'FY ACTUALS'!$A$1:$X$996,J$3,FALSE),"0")+0,IFERROR(($H102-SUMIF($I$1:$W$1,"ACTUAL",$I102:$W102))*(VLOOKUP($B102,'Distribution %'!$A$2:$Q$232,MATCH(J$2,'Distribution %'!$A$2:$Q$2,0),FALSE)/(SUMIF('Distribution %'!$C$1:$Q$1,"BUDGET",'Distribution %'!$C50:$Q50))),"0")+0)</f>
        <v>0</v>
      </c>
      <c r="K102" s="389">
        <f>IF(VLOOKUP("Net Income",'FY ACTUALS'!$A$1:$X$996,K$3,FALSE)&lt;&gt;0,IFERROR(VLOOKUP($B102,'FY ACTUALS'!$A$1:$X$996,K$3,FALSE),"0")+0,IFERROR(($H102-SUMIF($I$1:$W$1,"ACTUAL",$I102:$W102))*(VLOOKUP($B102,'Distribution %'!$A$2:$Q$232,MATCH(K$2,'Distribution %'!$A$2:$Q$2,0),FALSE)/(SUMIF('Distribution %'!$C$1:$Q$1,"BUDGET",'Distribution %'!$C50:$Q50))),"0")+0)</f>
        <v>0</v>
      </c>
      <c r="L102" s="389">
        <f>IF(VLOOKUP("Net Income",'FY ACTUALS'!$A$1:$X$996,L$3,FALSE)&lt;&gt;0,IFERROR(VLOOKUP($B102,'FY ACTUALS'!$A$1:$X$996,L$3,FALSE),"0")+0,IFERROR(($H102-SUMIF($I$1:$W$1,"ACTUAL",$I102:$W102))*(VLOOKUP($B102,'Distribution %'!$A$2:$Q$232,MATCH(L$2,'Distribution %'!$A$2:$Q$2,0),FALSE)/(SUMIF('Distribution %'!$C$1:$Q$1,"BUDGET",'Distribution %'!$C50:$Q50))),"0")+0)</f>
        <v>11684.87</v>
      </c>
      <c r="M102" s="389">
        <f>IF(VLOOKUP("Net Income",'FY ACTUALS'!$A$1:$X$996,M$3,FALSE)&lt;&gt;0,IFERROR(VLOOKUP($B102,'FY ACTUALS'!$A$1:$X$996,M$3,FALSE),"0")+0,IFERROR(($H102-SUMIF($I$1:$W$1,"ACTUAL",$I102:$W102))*(VLOOKUP($B102,'Distribution %'!$A$2:$Q$232,MATCH(M$2,'Distribution %'!$A$2:$Q$2,0),FALSE)/(SUMIF('Distribution %'!$C$1:$Q$1,"BUDGET",'Distribution %'!$C50:$Q50))),"0")+0)</f>
        <v>0</v>
      </c>
      <c r="N102" s="389">
        <f>IF(VLOOKUP("Net Income",'FY ACTUALS'!$A$1:$X$996,N$3,FALSE)&lt;&gt;0,IFERROR(VLOOKUP($B102,'FY ACTUALS'!$A$1:$X$996,N$3,FALSE),"0")+0,IFERROR(($H102-SUMIF($I$1:$W$1,"ACTUAL",$I102:$W102))*(VLOOKUP($B102,'Distribution %'!$A$2:$Q$232,MATCH(N$2,'Distribution %'!$A$2:$Q$2,0),FALSE)/(SUMIF('Distribution %'!$C$1:$Q$1,"BUDGET",'Distribution %'!$C50:$Q50))),"0")+0)</f>
        <v>0</v>
      </c>
      <c r="O102" s="389">
        <f>IF(VLOOKUP("Net Income",'FY ACTUALS'!$A$1:$X$996,O$3,FALSE)&lt;&gt;0,IFERROR(VLOOKUP($B102,'FY ACTUALS'!$A$1:$X$996,O$3,FALSE),"0")+0,IFERROR(($H102-SUMIF($I$1:$W$1,"ACTUAL",$I102:$W102))*(VLOOKUP($B102,'Distribution %'!$A$2:$Q$232,MATCH(O$2,'Distribution %'!$A$2:$Q$2,0),FALSE)/(SUMIF('Distribution %'!$C$1:$Q$1,"BUDGET",'Distribution %'!$C50:$Q50))),"0")+0)</f>
        <v>2557.3200000000002</v>
      </c>
      <c r="P102" s="389">
        <f ca="1">IF(VLOOKUP("Net Income",'FY ACTUALS'!$A$1:$X$996,P$3,FALSE)&lt;&gt;0,IFERROR(VLOOKUP($B102,'FY ACTUALS'!$A$1:$X$996,P$3,FALSE),"0")+0,IFERROR(($H102-SUMIF($I$1:$W$1,"ACTUAL",$I102:$W102))*(VLOOKUP($B102,'Distribution %'!$A$2:$Q$232,MATCH(P$2,'Distribution %'!$A$2:$Q$2,0),FALSE)/(SUMIF('Distribution %'!$C$1:$Q$1,"BUDGET",'Distribution %'!$C50:$Q50))),"0")+0)</f>
        <v>10927.040526516721</v>
      </c>
      <c r="Q102" s="389">
        <f ca="1">IF(VLOOKUP("Net Income",'FY ACTUALS'!$A$1:$X$996,Q$3,FALSE)&lt;&gt;0,IFERROR(VLOOKUP($B102,'FY ACTUALS'!$A$1:$X$996,Q$3,FALSE),"0")+0,IFERROR(($H102-SUMIF($I$1:$W$1,"ACTUAL",$I102:$W102))*(VLOOKUP($B102,'Distribution %'!$A$2:$Q$232,MATCH(Q$2,'Distribution %'!$A$2:$Q$2,0),FALSE)/(SUMIF('Distribution %'!$C$1:$Q$1,"BUDGET",'Distribution %'!$C50:$Q50))),"0")+0)</f>
        <v>11058.691617197645</v>
      </c>
      <c r="R102" s="389">
        <f ca="1">IF(VLOOKUP("Net Income",'FY ACTUALS'!$A$1:$X$996,R$3,FALSE)&lt;&gt;0,IFERROR(VLOOKUP($B102,'FY ACTUALS'!$A$1:$X$996,R$3,FALSE),"0")+0,IFERROR(($H102-SUMIF($I$1:$W$1,"ACTUAL",$I102:$W102))*(VLOOKUP($B102,'Distribution %'!$A$2:$Q$232,MATCH(R$2,'Distribution %'!$A$2:$Q$2,0),FALSE)/(SUMIF('Distribution %'!$C$1:$Q$1,"BUDGET",'Distribution %'!$C50:$Q50))),"0")+0)</f>
        <v>11058.691617197645</v>
      </c>
      <c r="S102" s="389">
        <f ca="1">IF(VLOOKUP("Net Income",'FY ACTUALS'!$A$1:$X$996,S$3,FALSE)&lt;&gt;0,IFERROR(VLOOKUP($B102,'FY ACTUALS'!$A$1:$X$996,S$3,FALSE),"0")+0,IFERROR(($H102-SUMIF($I$1:$W$1,"ACTUAL",$I102:$W102))*(VLOOKUP($B102,'Distribution %'!$A$2:$Q$232,MATCH(S$2,'Distribution %'!$A$2:$Q$2,0),FALSE)/(SUMIF('Distribution %'!$C$1:$Q$1,"BUDGET",'Distribution %'!$C50:$Q50))),"0")+0)</f>
        <v>11058.691617197645</v>
      </c>
      <c r="T102" s="389">
        <f ca="1">IF(VLOOKUP("Net Income",'FY ACTUALS'!$A$1:$X$996,T$3,FALSE)&lt;&gt;0,IFERROR(VLOOKUP($B102,'FY ACTUALS'!$A$1:$X$996,T$3,FALSE),"0")+0,IFERROR(($H102-SUMIF($I$1:$W$1,"ACTUAL",$I102:$W102))*(VLOOKUP($B102,'Distribution %'!$A$2:$Q$232,MATCH(T$2,'Distribution %'!$A$2:$Q$2,0),FALSE)/(SUMIF('Distribution %'!$C$1:$Q$1,"BUDGET",'Distribution %'!$C50:$Q50))),"0")+0)</f>
        <v>11058.691617197645</v>
      </c>
      <c r="U102" s="389">
        <f ca="1">IF(VLOOKUP("Net Income",'FY ACTUALS'!$A$1:$X$996,U$3,FALSE)&lt;&gt;0,IFERROR(VLOOKUP($B102,'FY ACTUALS'!$A$1:$X$996,U$3,FALSE),"0")+0,IFERROR(($H102-SUMIF($I$1:$W$1,"ACTUAL",$I102:$W102))*(VLOOKUP($B102,'Distribution %'!$A$2:$Q$232,MATCH(U$2,'Distribution %'!$A$2:$Q$2,0),FALSE)/(SUMIF('Distribution %'!$C$1:$Q$1,"BUDGET",'Distribution %'!$C50:$Q50))),"0")+0)</f>
        <v>0</v>
      </c>
      <c r="V102" s="389">
        <f ca="1">IF(VLOOKUP("Net Income",'FY ACTUALS'!$A$1:$X$996,V$3,FALSE)&lt;&gt;0,IFERROR(VLOOKUP($B102,'FY ACTUALS'!$A$1:$X$996,V$3,FALSE),"0")+0,IFERROR(($H102-SUMIF($I$1:$W$1,"ACTUAL",$I102:$W102))*(VLOOKUP($B102,'Distribution %'!$A$2:$Q$232,MATCH(V$2,'Distribution %'!$A$2:$Q$2,0),FALSE)/(SUMIF('Distribution %'!$C$1:$Q$1,"BUDGET",'Distribution %'!$C50:$Q50))),"0")+0)</f>
        <v>0</v>
      </c>
      <c r="W102" s="431">
        <f ca="1">IF(VLOOKUP("Net Income",'FY ACTUALS'!$A$1:$X$996,W$3,FALSE)&lt;&gt;0,IFERROR(VLOOKUP($B102,'FY ACTUALS'!$A$1:$X$996,W$3,FALSE),"0")+0,IFERROR(($H102-SUMIF($I$1:$W$1,"ACTUAL",$I102:$W102))*(VLOOKUP($B102,'Distribution %'!$A$2:$Q$232,MATCH(W$2,'Distribution %'!$A$2:$Q$2,0),FALSE)/(SUMIF('Distribution %'!$C$1:$Q$1,"BUDGET",'Distribution %'!$C50:$Q50))),"0")+0)</f>
        <v>0</v>
      </c>
      <c r="X102" s="387">
        <f t="shared" ca="1" si="34"/>
        <v>69403.996995307316</v>
      </c>
      <c r="Y102" s="387"/>
      <c r="Z102" s="387">
        <f t="shared" ca="1" si="35"/>
        <v>0</v>
      </c>
    </row>
    <row r="103" spans="2:26" x14ac:dyDescent="0.75">
      <c r="B103" s="379">
        <v>3603</v>
      </c>
      <c r="C103" s="379" t="s">
        <v>591</v>
      </c>
      <c r="F103" s="379" t="str">
        <f>IF(ISERROR(VLOOKUP(B103,'Distribution %'!A:A,1,FALSE)),"NO","YES")</f>
        <v>YES</v>
      </c>
      <c r="G103" s="392"/>
      <c r="H103" s="430">
        <f ca="1">IFERROR(VLOOKUP(B103,'Expenses w MYP'!$A$8:$K$119,11,FALSE),"0")+0</f>
        <v>0</v>
      </c>
      <c r="I103" s="388">
        <f>IF(VLOOKUP("Net Income",'FY ACTUALS'!$A$1:$X$996,I$3,FALSE)&lt;&gt;0,IFERROR(VLOOKUP($B103,'FY ACTUALS'!$A$1:$X$996,I$3,FALSE),"0")+0,IFERROR(($H103-SUMIF($I$1:$W$1,"ACTUAL",$I103:$W103))*(VLOOKUP($B103,'Distribution %'!$A$2:$Q$232,MATCH(I$2,'Distribution %'!$A$2:$Q$2,0),FALSE)/(SUMIF('Distribution %'!$C$1:$Q$1,"BUDGET",'Distribution %'!$C51:$Q51))),"0")+0)</f>
        <v>0</v>
      </c>
      <c r="J103" s="389">
        <f>IF(VLOOKUP("Net Income",'FY ACTUALS'!$A$1:$X$996,J$3,FALSE)&lt;&gt;0,IFERROR(VLOOKUP($B103,'FY ACTUALS'!$A$1:$X$996,J$3,FALSE),"0")+0,IFERROR(($H103-SUMIF($I$1:$W$1,"ACTUAL",$I103:$W103))*(VLOOKUP($B103,'Distribution %'!$A$2:$Q$232,MATCH(J$2,'Distribution %'!$A$2:$Q$2,0),FALSE)/(SUMIF('Distribution %'!$C$1:$Q$1,"BUDGET",'Distribution %'!$C51:$Q51))),"0")+0)</f>
        <v>0</v>
      </c>
      <c r="K103" s="389">
        <f>IF(VLOOKUP("Net Income",'FY ACTUALS'!$A$1:$X$996,K$3,FALSE)&lt;&gt;0,IFERROR(VLOOKUP($B103,'FY ACTUALS'!$A$1:$X$996,K$3,FALSE),"0")+0,IFERROR(($H103-SUMIF($I$1:$W$1,"ACTUAL",$I103:$W103))*(VLOOKUP($B103,'Distribution %'!$A$2:$Q$232,MATCH(K$2,'Distribution %'!$A$2:$Q$2,0),FALSE)/(SUMIF('Distribution %'!$C$1:$Q$1,"BUDGET",'Distribution %'!$C51:$Q51))),"0")+0)</f>
        <v>47880.59</v>
      </c>
      <c r="L103" s="389">
        <f>IF(VLOOKUP("Net Income",'FY ACTUALS'!$A$1:$X$996,L$3,FALSE)&lt;&gt;0,IFERROR(VLOOKUP($B103,'FY ACTUALS'!$A$1:$X$996,L$3,FALSE),"0")+0,IFERROR(($H103-SUMIF($I$1:$W$1,"ACTUAL",$I103:$W103))*(VLOOKUP($B103,'Distribution %'!$A$2:$Q$232,MATCH(L$2,'Distribution %'!$A$2:$Q$2,0),FALSE)/(SUMIF('Distribution %'!$C$1:$Q$1,"BUDGET",'Distribution %'!$C51:$Q51))),"0")+0)</f>
        <v>-47880.59</v>
      </c>
      <c r="M103" s="389">
        <f>IF(VLOOKUP("Net Income",'FY ACTUALS'!$A$1:$X$996,M$3,FALSE)&lt;&gt;0,IFERROR(VLOOKUP($B103,'FY ACTUALS'!$A$1:$X$996,M$3,FALSE),"0")+0,IFERROR(($H103-SUMIF($I$1:$W$1,"ACTUAL",$I103:$W103))*(VLOOKUP($B103,'Distribution %'!$A$2:$Q$232,MATCH(M$2,'Distribution %'!$A$2:$Q$2,0),FALSE)/(SUMIF('Distribution %'!$C$1:$Q$1,"BUDGET",'Distribution %'!$C51:$Q51))),"0")+0)</f>
        <v>0</v>
      </c>
      <c r="N103" s="389">
        <f>IF(VLOOKUP("Net Income",'FY ACTUALS'!$A$1:$X$996,N$3,FALSE)&lt;&gt;0,IFERROR(VLOOKUP($B103,'FY ACTUALS'!$A$1:$X$996,N$3,FALSE),"0")+0,IFERROR(($H103-SUMIF($I$1:$W$1,"ACTUAL",$I103:$W103))*(VLOOKUP($B103,'Distribution %'!$A$2:$Q$232,MATCH(N$2,'Distribution %'!$A$2:$Q$2,0),FALSE)/(SUMIF('Distribution %'!$C$1:$Q$1,"BUDGET",'Distribution %'!$C51:$Q51))),"0")+0)</f>
        <v>0</v>
      </c>
      <c r="O103" s="389">
        <f>IF(VLOOKUP("Net Income",'FY ACTUALS'!$A$1:$X$996,O$3,FALSE)&lt;&gt;0,IFERROR(VLOOKUP($B103,'FY ACTUALS'!$A$1:$X$996,O$3,FALSE),"0")+0,IFERROR(($H103-SUMIF($I$1:$W$1,"ACTUAL",$I103:$W103))*(VLOOKUP($B103,'Distribution %'!$A$2:$Q$232,MATCH(O$2,'Distribution %'!$A$2:$Q$2,0),FALSE)/(SUMIF('Distribution %'!$C$1:$Q$1,"BUDGET",'Distribution %'!$C51:$Q51))),"0")+0)</f>
        <v>0</v>
      </c>
      <c r="P103" s="389">
        <f ca="1">IF(VLOOKUP("Net Income",'FY ACTUALS'!$A$1:$X$996,P$3,FALSE)&lt;&gt;0,IFERROR(VLOOKUP($B103,'FY ACTUALS'!$A$1:$X$996,P$3,FALSE),"0")+0,IFERROR(($H103-SUMIF($I$1:$W$1,"ACTUAL",$I103:$W103))*(VLOOKUP($B103,'Distribution %'!$A$2:$Q$232,MATCH(P$2,'Distribution %'!$A$2:$Q$2,0),FALSE)/(SUMIF('Distribution %'!$C$1:$Q$1,"BUDGET",'Distribution %'!$C51:$Q51))),"0")+0)</f>
        <v>0</v>
      </c>
      <c r="Q103" s="389">
        <f ca="1">IF(VLOOKUP("Net Income",'FY ACTUALS'!$A$1:$X$996,Q$3,FALSE)&lt;&gt;0,IFERROR(VLOOKUP($B103,'FY ACTUALS'!$A$1:$X$996,Q$3,FALSE),"0")+0,IFERROR(($H103-SUMIF($I$1:$W$1,"ACTUAL",$I103:$W103))*(VLOOKUP($B103,'Distribution %'!$A$2:$Q$232,MATCH(Q$2,'Distribution %'!$A$2:$Q$2,0),FALSE)/(SUMIF('Distribution %'!$C$1:$Q$1,"BUDGET",'Distribution %'!$C51:$Q51))),"0")+0)</f>
        <v>0</v>
      </c>
      <c r="R103" s="389">
        <f ca="1">IF(VLOOKUP("Net Income",'FY ACTUALS'!$A$1:$X$996,R$3,FALSE)&lt;&gt;0,IFERROR(VLOOKUP($B103,'FY ACTUALS'!$A$1:$X$996,R$3,FALSE),"0")+0,IFERROR(($H103-SUMIF($I$1:$W$1,"ACTUAL",$I103:$W103))*(VLOOKUP($B103,'Distribution %'!$A$2:$Q$232,MATCH(R$2,'Distribution %'!$A$2:$Q$2,0),FALSE)/(SUMIF('Distribution %'!$C$1:$Q$1,"BUDGET",'Distribution %'!$C51:$Q51))),"0")+0)</f>
        <v>0</v>
      </c>
      <c r="S103" s="389">
        <f ca="1">IF(VLOOKUP("Net Income",'FY ACTUALS'!$A$1:$X$996,S$3,FALSE)&lt;&gt;0,IFERROR(VLOOKUP($B103,'FY ACTUALS'!$A$1:$X$996,S$3,FALSE),"0")+0,IFERROR(($H103-SUMIF($I$1:$W$1,"ACTUAL",$I103:$W103))*(VLOOKUP($B103,'Distribution %'!$A$2:$Q$232,MATCH(S$2,'Distribution %'!$A$2:$Q$2,0),FALSE)/(SUMIF('Distribution %'!$C$1:$Q$1,"BUDGET",'Distribution %'!$C51:$Q51))),"0")+0)</f>
        <v>0</v>
      </c>
      <c r="T103" s="389">
        <f ca="1">IF(VLOOKUP("Net Income",'FY ACTUALS'!$A$1:$X$996,T$3,FALSE)&lt;&gt;0,IFERROR(VLOOKUP($B103,'FY ACTUALS'!$A$1:$X$996,T$3,FALSE),"0")+0,IFERROR(($H103-SUMIF($I$1:$W$1,"ACTUAL",$I103:$W103))*(VLOOKUP($B103,'Distribution %'!$A$2:$Q$232,MATCH(T$2,'Distribution %'!$A$2:$Q$2,0),FALSE)/(SUMIF('Distribution %'!$C$1:$Q$1,"BUDGET",'Distribution %'!$C51:$Q51))),"0")+0)</f>
        <v>0</v>
      </c>
      <c r="U103" s="389">
        <f ca="1">IF(VLOOKUP("Net Income",'FY ACTUALS'!$A$1:$X$996,U$3,FALSE)&lt;&gt;0,IFERROR(VLOOKUP($B103,'FY ACTUALS'!$A$1:$X$996,U$3,FALSE),"0")+0,IFERROR(($H103-SUMIF($I$1:$W$1,"ACTUAL",$I103:$W103))*(VLOOKUP($B103,'Distribution %'!$A$2:$Q$232,MATCH(U$2,'Distribution %'!$A$2:$Q$2,0),FALSE)/(SUMIF('Distribution %'!$C$1:$Q$1,"BUDGET",'Distribution %'!$C51:$Q51))),"0")+0)</f>
        <v>0</v>
      </c>
      <c r="V103" s="389">
        <f ca="1">IF(VLOOKUP("Net Income",'FY ACTUALS'!$A$1:$X$996,V$3,FALSE)&lt;&gt;0,IFERROR(VLOOKUP($B103,'FY ACTUALS'!$A$1:$X$996,V$3,FALSE),"0")+0,IFERROR(($H103-SUMIF($I$1:$W$1,"ACTUAL",$I103:$W103))*(VLOOKUP($B103,'Distribution %'!$A$2:$Q$232,MATCH(V$2,'Distribution %'!$A$2:$Q$2,0),FALSE)/(SUMIF('Distribution %'!$C$1:$Q$1,"BUDGET",'Distribution %'!$C51:$Q51))),"0")+0)</f>
        <v>0</v>
      </c>
      <c r="W103" s="431">
        <f ca="1">IF(VLOOKUP("Net Income",'FY ACTUALS'!$A$1:$X$996,W$3,FALSE)&lt;&gt;0,IFERROR(VLOOKUP($B103,'FY ACTUALS'!$A$1:$X$996,W$3,FALSE),"0")+0,IFERROR(($H103-SUMIF($I$1:$W$1,"ACTUAL",$I103:$W103))*(VLOOKUP($B103,'Distribution %'!$A$2:$Q$232,MATCH(W$2,'Distribution %'!$A$2:$Q$2,0),FALSE)/(SUMIF('Distribution %'!$C$1:$Q$1,"BUDGET",'Distribution %'!$C51:$Q51))),"0")+0)</f>
        <v>0</v>
      </c>
      <c r="X103" s="387">
        <f t="shared" ca="1" si="34"/>
        <v>0</v>
      </c>
      <c r="Y103" s="387"/>
      <c r="Z103" s="387">
        <f t="shared" ca="1" si="35"/>
        <v>0</v>
      </c>
    </row>
    <row r="104" spans="2:26" x14ac:dyDescent="0.75">
      <c r="B104" s="379">
        <v>3703</v>
      </c>
      <c r="C104" s="379">
        <v>0</v>
      </c>
      <c r="F104" s="379" t="str">
        <f>IF(ISERROR(VLOOKUP(B104,'Distribution %'!A:A,1,FALSE)),"NO","YES")</f>
        <v>YES</v>
      </c>
      <c r="G104" s="392"/>
      <c r="H104" s="430">
        <f ca="1">IFERROR(VLOOKUP(B104,'Expenses w MYP'!$A$8:$K$119,11,FALSE),"0")+0</f>
        <v>0</v>
      </c>
      <c r="I104" s="388">
        <f>IF(VLOOKUP("Net Income",'FY ACTUALS'!$A$1:$X$996,I$3,FALSE)&lt;&gt;0,IFERROR(VLOOKUP($B104,'FY ACTUALS'!$A$1:$X$996,I$3,FALSE),"0")+0,IFERROR(($H104-SUMIF($I$1:$W$1,"ACTUAL",$I104:$W104))*(VLOOKUP($B104,'Distribution %'!$A$2:$Q$232,MATCH(I$2,'Distribution %'!$A$2:$Q$2,0),FALSE)/(SUMIF('Distribution %'!$C$1:$Q$1,"BUDGET",'Distribution %'!$C52:$Q52))),"0")+0)</f>
        <v>0</v>
      </c>
      <c r="J104" s="389">
        <f>IF(VLOOKUP("Net Income",'FY ACTUALS'!$A$1:$X$996,J$3,FALSE)&lt;&gt;0,IFERROR(VLOOKUP($B104,'FY ACTUALS'!$A$1:$X$996,J$3,FALSE),"0")+0,IFERROR(($H104-SUMIF($I$1:$W$1,"ACTUAL",$I104:$W104))*(VLOOKUP($B104,'Distribution %'!$A$2:$Q$232,MATCH(J$2,'Distribution %'!$A$2:$Q$2,0),FALSE)/(SUMIF('Distribution %'!$C$1:$Q$1,"BUDGET",'Distribution %'!$C52:$Q52))),"0")+0)</f>
        <v>0</v>
      </c>
      <c r="K104" s="389">
        <f>IF(VLOOKUP("Net Income",'FY ACTUALS'!$A$1:$X$996,K$3,FALSE)&lt;&gt;0,IFERROR(VLOOKUP($B104,'FY ACTUALS'!$A$1:$X$996,K$3,FALSE),"0")+0,IFERROR(($H104-SUMIF($I$1:$W$1,"ACTUAL",$I104:$W104))*(VLOOKUP($B104,'Distribution %'!$A$2:$Q$232,MATCH(K$2,'Distribution %'!$A$2:$Q$2,0),FALSE)/(SUMIF('Distribution %'!$C$1:$Q$1,"BUDGET",'Distribution %'!$C52:$Q52))),"0")+0)</f>
        <v>0</v>
      </c>
      <c r="L104" s="389">
        <f>IF(VLOOKUP("Net Income",'FY ACTUALS'!$A$1:$X$996,L$3,FALSE)&lt;&gt;0,IFERROR(VLOOKUP($B104,'FY ACTUALS'!$A$1:$X$996,L$3,FALSE),"0")+0,IFERROR(($H104-SUMIF($I$1:$W$1,"ACTUAL",$I104:$W104))*(VLOOKUP($B104,'Distribution %'!$A$2:$Q$232,MATCH(L$2,'Distribution %'!$A$2:$Q$2,0),FALSE)/(SUMIF('Distribution %'!$C$1:$Q$1,"BUDGET",'Distribution %'!$C52:$Q52))),"0")+0)</f>
        <v>0</v>
      </c>
      <c r="M104" s="389">
        <f>IF(VLOOKUP("Net Income",'FY ACTUALS'!$A$1:$X$996,M$3,FALSE)&lt;&gt;0,IFERROR(VLOOKUP($B104,'FY ACTUALS'!$A$1:$X$996,M$3,FALSE),"0")+0,IFERROR(($H104-SUMIF($I$1:$W$1,"ACTUAL",$I104:$W104))*(VLOOKUP($B104,'Distribution %'!$A$2:$Q$232,MATCH(M$2,'Distribution %'!$A$2:$Q$2,0),FALSE)/(SUMIF('Distribution %'!$C$1:$Q$1,"BUDGET",'Distribution %'!$C52:$Q52))),"0")+0)</f>
        <v>0</v>
      </c>
      <c r="N104" s="389">
        <f>IF(VLOOKUP("Net Income",'FY ACTUALS'!$A$1:$X$996,N$3,FALSE)&lt;&gt;0,IFERROR(VLOOKUP($B104,'FY ACTUALS'!$A$1:$X$996,N$3,FALSE),"0")+0,IFERROR(($H104-SUMIF($I$1:$W$1,"ACTUAL",$I104:$W104))*(VLOOKUP($B104,'Distribution %'!$A$2:$Q$232,MATCH(N$2,'Distribution %'!$A$2:$Q$2,0),FALSE)/(SUMIF('Distribution %'!$C$1:$Q$1,"BUDGET",'Distribution %'!$C52:$Q52))),"0")+0)</f>
        <v>0</v>
      </c>
      <c r="O104" s="389">
        <f>IF(VLOOKUP("Net Income",'FY ACTUALS'!$A$1:$X$996,O$3,FALSE)&lt;&gt;0,IFERROR(VLOOKUP($B104,'FY ACTUALS'!$A$1:$X$996,O$3,FALSE),"0")+0,IFERROR(($H104-SUMIF($I$1:$W$1,"ACTUAL",$I104:$W104))*(VLOOKUP($B104,'Distribution %'!$A$2:$Q$232,MATCH(O$2,'Distribution %'!$A$2:$Q$2,0),FALSE)/(SUMIF('Distribution %'!$C$1:$Q$1,"BUDGET",'Distribution %'!$C52:$Q52))),"0")+0)</f>
        <v>0</v>
      </c>
      <c r="P104" s="389">
        <f ca="1">IF(VLOOKUP("Net Income",'FY ACTUALS'!$A$1:$X$996,P$3,FALSE)&lt;&gt;0,IFERROR(VLOOKUP($B104,'FY ACTUALS'!$A$1:$X$996,P$3,FALSE),"0")+0,IFERROR(($H104-SUMIF($I$1:$W$1,"ACTUAL",$I104:$W104))*(VLOOKUP($B104,'Distribution %'!$A$2:$Q$232,MATCH(P$2,'Distribution %'!$A$2:$Q$2,0),FALSE)/(SUMIF('Distribution %'!$C$1:$Q$1,"BUDGET",'Distribution %'!$C52:$Q52))),"0")+0)</f>
        <v>0</v>
      </c>
      <c r="Q104" s="389">
        <f ca="1">IF(VLOOKUP("Net Income",'FY ACTUALS'!$A$1:$X$996,Q$3,FALSE)&lt;&gt;0,IFERROR(VLOOKUP($B104,'FY ACTUALS'!$A$1:$X$996,Q$3,FALSE),"0")+0,IFERROR(($H104-SUMIF($I$1:$W$1,"ACTUAL",$I104:$W104))*(VLOOKUP($B104,'Distribution %'!$A$2:$Q$232,MATCH(Q$2,'Distribution %'!$A$2:$Q$2,0),FALSE)/(SUMIF('Distribution %'!$C$1:$Q$1,"BUDGET",'Distribution %'!$C52:$Q52))),"0")+0)</f>
        <v>0</v>
      </c>
      <c r="R104" s="389">
        <f ca="1">IF(VLOOKUP("Net Income",'FY ACTUALS'!$A$1:$X$996,R$3,FALSE)&lt;&gt;0,IFERROR(VLOOKUP($B104,'FY ACTUALS'!$A$1:$X$996,R$3,FALSE),"0")+0,IFERROR(($H104-SUMIF($I$1:$W$1,"ACTUAL",$I104:$W104))*(VLOOKUP($B104,'Distribution %'!$A$2:$Q$232,MATCH(R$2,'Distribution %'!$A$2:$Q$2,0),FALSE)/(SUMIF('Distribution %'!$C$1:$Q$1,"BUDGET",'Distribution %'!$C52:$Q52))),"0")+0)</f>
        <v>0</v>
      </c>
      <c r="S104" s="389">
        <f ca="1">IF(VLOOKUP("Net Income",'FY ACTUALS'!$A$1:$X$996,S$3,FALSE)&lt;&gt;0,IFERROR(VLOOKUP($B104,'FY ACTUALS'!$A$1:$X$996,S$3,FALSE),"0")+0,IFERROR(($H104-SUMIF($I$1:$W$1,"ACTUAL",$I104:$W104))*(VLOOKUP($B104,'Distribution %'!$A$2:$Q$232,MATCH(S$2,'Distribution %'!$A$2:$Q$2,0),FALSE)/(SUMIF('Distribution %'!$C$1:$Q$1,"BUDGET",'Distribution %'!$C52:$Q52))),"0")+0)</f>
        <v>0</v>
      </c>
      <c r="T104" s="389">
        <f ca="1">IF(VLOOKUP("Net Income",'FY ACTUALS'!$A$1:$X$996,T$3,FALSE)&lt;&gt;0,IFERROR(VLOOKUP($B104,'FY ACTUALS'!$A$1:$X$996,T$3,FALSE),"0")+0,IFERROR(($H104-SUMIF($I$1:$W$1,"ACTUAL",$I104:$W104))*(VLOOKUP($B104,'Distribution %'!$A$2:$Q$232,MATCH(T$2,'Distribution %'!$A$2:$Q$2,0),FALSE)/(SUMIF('Distribution %'!$C$1:$Q$1,"BUDGET",'Distribution %'!$C52:$Q52))),"0")+0)</f>
        <v>0</v>
      </c>
      <c r="U104" s="389">
        <f ca="1">IF(VLOOKUP("Net Income",'FY ACTUALS'!$A$1:$X$996,U$3,FALSE)&lt;&gt;0,IFERROR(VLOOKUP($B104,'FY ACTUALS'!$A$1:$X$996,U$3,FALSE),"0")+0,IFERROR(($H104-SUMIF($I$1:$W$1,"ACTUAL",$I104:$W104))*(VLOOKUP($B104,'Distribution %'!$A$2:$Q$232,MATCH(U$2,'Distribution %'!$A$2:$Q$2,0),FALSE)/(SUMIF('Distribution %'!$C$1:$Q$1,"BUDGET",'Distribution %'!$C52:$Q52))),"0")+0)</f>
        <v>0</v>
      </c>
      <c r="V104" s="389">
        <f ca="1">IF(VLOOKUP("Net Income",'FY ACTUALS'!$A$1:$X$996,V$3,FALSE)&lt;&gt;0,IFERROR(VLOOKUP($B104,'FY ACTUALS'!$A$1:$X$996,V$3,FALSE),"0")+0,IFERROR(($H104-SUMIF($I$1:$W$1,"ACTUAL",$I104:$W104))*(VLOOKUP($B104,'Distribution %'!$A$2:$Q$232,MATCH(V$2,'Distribution %'!$A$2:$Q$2,0),FALSE)/(SUMIF('Distribution %'!$C$1:$Q$1,"BUDGET",'Distribution %'!$C52:$Q52))),"0")+0)</f>
        <v>0</v>
      </c>
      <c r="W104" s="431">
        <f ca="1">IF(VLOOKUP("Net Income",'FY ACTUALS'!$A$1:$X$996,W$3,FALSE)&lt;&gt;0,IFERROR(VLOOKUP($B104,'FY ACTUALS'!$A$1:$X$996,W$3,FALSE),"0")+0,IFERROR(($H104-SUMIF($I$1:$W$1,"ACTUAL",$I104:$W104))*(VLOOKUP($B104,'Distribution %'!$A$2:$Q$232,MATCH(W$2,'Distribution %'!$A$2:$Q$2,0),FALSE)/(SUMIF('Distribution %'!$C$1:$Q$1,"BUDGET",'Distribution %'!$C52:$Q52))),"0")+0)</f>
        <v>0</v>
      </c>
      <c r="X104" s="387">
        <f t="shared" ca="1" si="34"/>
        <v>0</v>
      </c>
      <c r="Y104" s="387"/>
      <c r="Z104" s="387">
        <f t="shared" ca="1" si="35"/>
        <v>0</v>
      </c>
    </row>
    <row r="105" spans="2:26" x14ac:dyDescent="0.75">
      <c r="B105" s="379">
        <v>3901</v>
      </c>
      <c r="C105" s="379" t="s">
        <v>1527</v>
      </c>
      <c r="F105" s="379" t="str">
        <f>IF(ISERROR(VLOOKUP(B105,'Distribution %'!A:A,1,FALSE)),"NO","YES")</f>
        <v>YES</v>
      </c>
      <c r="G105" s="392"/>
      <c r="H105" s="430">
        <f ca="1">IFERROR(VLOOKUP(B105,'Expenses w MYP'!$A$8:$K$119,11,FALSE),"0")+0</f>
        <v>88716.390975596994</v>
      </c>
      <c r="I105" s="388">
        <f>IF(VLOOKUP("Net Income",'FY ACTUALS'!$A$1:$X$996,I$3,FALSE)&lt;&gt;0,IFERROR(VLOOKUP($B105,'FY ACTUALS'!$A$1:$X$996,I$3,FALSE),"0")+0,IFERROR(($H105-SUMIF($I$1:$W$1,"ACTUAL",$I105:$W105))*(VLOOKUP($B105,'Distribution %'!$A$2:$Q$232,MATCH(I$2,'Distribution %'!$A$2:$Q$2,0),FALSE)/(SUMIF('Distribution %'!$C$1:$Q$1,"BUDGET",'Distribution %'!$C45:$Q45))),"0")+0)</f>
        <v>0</v>
      </c>
      <c r="J105" s="389">
        <f>IF(VLOOKUP("Net Income",'FY ACTUALS'!$A$1:$X$996,J$3,FALSE)&lt;&gt;0,IFERROR(VLOOKUP($B105,'FY ACTUALS'!$A$1:$X$996,J$3,FALSE),"0")+0,IFERROR(($H105-SUMIF($I$1:$W$1,"ACTUAL",$I105:$W105))*(VLOOKUP($B105,'Distribution %'!$A$2:$Q$232,MATCH(J$2,'Distribution %'!$A$2:$Q$2,0),FALSE)/(SUMIF('Distribution %'!$C$1:$Q$1,"BUDGET",'Distribution %'!$C45:$Q45))),"0")+0)</f>
        <v>0</v>
      </c>
      <c r="K105" s="389">
        <f>IF(VLOOKUP("Net Income",'FY ACTUALS'!$A$1:$X$996,K$3,FALSE)&lt;&gt;0,IFERROR(VLOOKUP($B105,'FY ACTUALS'!$A$1:$X$996,K$3,FALSE),"0")+0,IFERROR(($H105-SUMIF($I$1:$W$1,"ACTUAL",$I105:$W105))*(VLOOKUP($B105,'Distribution %'!$A$2:$Q$232,MATCH(K$2,'Distribution %'!$A$2:$Q$2,0),FALSE)/(SUMIF('Distribution %'!$C$1:$Q$1,"BUDGET",'Distribution %'!$C45:$Q45))),"0")+0)</f>
        <v>0</v>
      </c>
      <c r="L105" s="389">
        <f>IF(VLOOKUP("Net Income",'FY ACTUALS'!$A$1:$X$996,L$3,FALSE)&lt;&gt;0,IFERROR(VLOOKUP($B105,'FY ACTUALS'!$A$1:$X$996,L$3,FALSE),"0")+0,IFERROR(($H105-SUMIF($I$1:$W$1,"ACTUAL",$I105:$W105))*(VLOOKUP($B105,'Distribution %'!$A$2:$Q$232,MATCH(L$2,'Distribution %'!$A$2:$Q$2,0),FALSE)/(SUMIF('Distribution %'!$C$1:$Q$1,"BUDGET",'Distribution %'!$C45:$Q45))),"0")+0)</f>
        <v>28020.13</v>
      </c>
      <c r="M105" s="389">
        <f>IF(VLOOKUP("Net Income",'FY ACTUALS'!$A$1:$X$996,M$3,FALSE)&lt;&gt;0,IFERROR(VLOOKUP($B105,'FY ACTUALS'!$A$1:$X$996,M$3,FALSE),"0")+0,IFERROR(($H105-SUMIF($I$1:$W$1,"ACTUAL",$I105:$W105))*(VLOOKUP($B105,'Distribution %'!$A$2:$Q$232,MATCH(M$2,'Distribution %'!$A$2:$Q$2,0),FALSE)/(SUMIF('Distribution %'!$C$1:$Q$1,"BUDGET",'Distribution %'!$C45:$Q45))),"0")+0)</f>
        <v>7179.13</v>
      </c>
      <c r="N105" s="389">
        <f>IF(VLOOKUP("Net Income",'FY ACTUALS'!$A$1:$X$996,N$3,FALSE)&lt;&gt;0,IFERROR(VLOOKUP($B105,'FY ACTUALS'!$A$1:$X$996,N$3,FALSE),"0")+0,IFERROR(($H105-SUMIF($I$1:$W$1,"ACTUAL",$I105:$W105))*(VLOOKUP($B105,'Distribution %'!$A$2:$Q$232,MATCH(N$2,'Distribution %'!$A$2:$Q$2,0),FALSE)/(SUMIF('Distribution %'!$C$1:$Q$1,"BUDGET",'Distribution %'!$C45:$Q45))),"0")+0)</f>
        <v>7690.76</v>
      </c>
      <c r="O105" s="389">
        <f>IF(VLOOKUP("Net Income",'FY ACTUALS'!$A$1:$X$996,O$3,FALSE)&lt;&gt;0,IFERROR(VLOOKUP($B105,'FY ACTUALS'!$A$1:$X$996,O$3,FALSE),"0")+0,IFERROR(($H105-SUMIF($I$1:$W$1,"ACTUAL",$I105:$W105))*(VLOOKUP($B105,'Distribution %'!$A$2:$Q$232,MATCH(O$2,'Distribution %'!$A$2:$Q$2,0),FALSE)/(SUMIF('Distribution %'!$C$1:$Q$1,"BUDGET",'Distribution %'!$C45:$Q45))),"0")+0)</f>
        <v>5940.6</v>
      </c>
      <c r="P105" s="389">
        <f ca="1">IF(VLOOKUP("Net Income",'FY ACTUALS'!$A$1:$X$996,P$3,FALSE)&lt;&gt;0,IFERROR(VLOOKUP($B105,'FY ACTUALS'!$A$1:$X$996,P$3,FALSE),"0")+0,IFERROR(($H105-SUMIF($I$1:$W$1,"ACTUAL",$I105:$W105))*(VLOOKUP($B105,'Distribution %'!$A$2:$Q$232,MATCH(P$2,'Distribution %'!$A$2:$Q$2,0),FALSE)/(SUMIF('Distribution %'!$C$1:$Q$1,"BUDGET",'Distribution %'!$C45:$Q45))),"0")+0)</f>
        <v>7900.9999784595475</v>
      </c>
      <c r="Q105" s="389">
        <f ca="1">IF(VLOOKUP("Net Income",'FY ACTUALS'!$A$1:$X$996,Q$3,FALSE)&lt;&gt;0,IFERROR(VLOOKUP($B105,'FY ACTUALS'!$A$1:$X$996,Q$3,FALSE),"0")+0,IFERROR(($H105-SUMIF($I$1:$W$1,"ACTUAL",$I105:$W105))*(VLOOKUP($B105,'Distribution %'!$A$2:$Q$232,MATCH(Q$2,'Distribution %'!$A$2:$Q$2,0),FALSE)/(SUMIF('Distribution %'!$C$1:$Q$1,"BUDGET",'Distribution %'!$C45:$Q45))),"0")+0)</f>
        <v>7996.1927492843615</v>
      </c>
      <c r="R105" s="389">
        <f ca="1">IF(VLOOKUP("Net Income",'FY ACTUALS'!$A$1:$X$996,R$3,FALSE)&lt;&gt;0,IFERROR(VLOOKUP($B105,'FY ACTUALS'!$A$1:$X$996,R$3,FALSE),"0")+0,IFERROR(($H105-SUMIF($I$1:$W$1,"ACTUAL",$I105:$W105))*(VLOOKUP($B105,'Distribution %'!$A$2:$Q$232,MATCH(R$2,'Distribution %'!$A$2:$Q$2,0),FALSE)/(SUMIF('Distribution %'!$C$1:$Q$1,"BUDGET",'Distribution %'!$C45:$Q45))),"0")+0)</f>
        <v>7996.1927492843615</v>
      </c>
      <c r="S105" s="389">
        <f ca="1">IF(VLOOKUP("Net Income",'FY ACTUALS'!$A$1:$X$996,S$3,FALSE)&lt;&gt;0,IFERROR(VLOOKUP($B105,'FY ACTUALS'!$A$1:$X$996,S$3,FALSE),"0")+0,IFERROR(($H105-SUMIF($I$1:$W$1,"ACTUAL",$I105:$W105))*(VLOOKUP($B105,'Distribution %'!$A$2:$Q$232,MATCH(S$2,'Distribution %'!$A$2:$Q$2,0),FALSE)/(SUMIF('Distribution %'!$C$1:$Q$1,"BUDGET",'Distribution %'!$C45:$Q45))),"0")+0)</f>
        <v>7996.1927492843615</v>
      </c>
      <c r="T105" s="389">
        <f ca="1">IF(VLOOKUP("Net Income",'FY ACTUALS'!$A$1:$X$996,T$3,FALSE)&lt;&gt;0,IFERROR(VLOOKUP($B105,'FY ACTUALS'!$A$1:$X$996,T$3,FALSE),"0")+0,IFERROR(($H105-SUMIF($I$1:$W$1,"ACTUAL",$I105:$W105))*(VLOOKUP($B105,'Distribution %'!$A$2:$Q$232,MATCH(T$2,'Distribution %'!$A$2:$Q$2,0),FALSE)/(SUMIF('Distribution %'!$C$1:$Q$1,"BUDGET",'Distribution %'!$C45:$Q45))),"0")+0)</f>
        <v>7996.1927492843615</v>
      </c>
      <c r="U105" s="389">
        <f ca="1">IF(VLOOKUP("Net Income",'FY ACTUALS'!$A$1:$X$996,U$3,FALSE)&lt;&gt;0,IFERROR(VLOOKUP($B105,'FY ACTUALS'!$A$1:$X$996,U$3,FALSE),"0")+0,IFERROR(($H105-SUMIF($I$1:$W$1,"ACTUAL",$I105:$W105))*(VLOOKUP($B105,'Distribution %'!$A$2:$Q$232,MATCH(U$2,'Distribution %'!$A$2:$Q$2,0),FALSE)/(SUMIF('Distribution %'!$C$1:$Q$1,"BUDGET",'Distribution %'!$C45:$Q45))),"0")+0)</f>
        <v>0</v>
      </c>
      <c r="V105" s="389">
        <f ca="1">IF(VLOOKUP("Net Income",'FY ACTUALS'!$A$1:$X$996,V$3,FALSE)&lt;&gt;0,IFERROR(VLOOKUP($B105,'FY ACTUALS'!$A$1:$X$996,V$3,FALSE),"0")+0,IFERROR(($H105-SUMIF($I$1:$W$1,"ACTUAL",$I105:$W105))*(VLOOKUP($B105,'Distribution %'!$A$2:$Q$232,MATCH(V$2,'Distribution %'!$A$2:$Q$2,0),FALSE)/(SUMIF('Distribution %'!$C$1:$Q$1,"BUDGET",'Distribution %'!$C45:$Q45))),"0")+0)</f>
        <v>0</v>
      </c>
      <c r="W105" s="431">
        <f ca="1">IF(VLOOKUP("Net Income",'FY ACTUALS'!$A$1:$X$996,W$3,FALSE)&lt;&gt;0,IFERROR(VLOOKUP($B105,'FY ACTUALS'!$A$1:$X$996,W$3,FALSE),"0")+0,IFERROR(($H105-SUMIF($I$1:$W$1,"ACTUAL",$I105:$W105))*(VLOOKUP($B105,'Distribution %'!$A$2:$Q$232,MATCH(W$2,'Distribution %'!$A$2:$Q$2,0),FALSE)/(SUMIF('Distribution %'!$C$1:$Q$1,"BUDGET",'Distribution %'!$C45:$Q45))),"0")+0)</f>
        <v>0</v>
      </c>
      <c r="X105" s="387">
        <f t="shared" ca="1" si="34"/>
        <v>88716.390975597009</v>
      </c>
      <c r="Y105" s="387"/>
      <c r="Z105" s="387">
        <f t="shared" ca="1" si="35"/>
        <v>0</v>
      </c>
    </row>
    <row r="106" spans="2:26" x14ac:dyDescent="0.75">
      <c r="B106" s="379">
        <v>3902</v>
      </c>
      <c r="C106" s="379" t="s">
        <v>1528</v>
      </c>
      <c r="F106" s="379" t="str">
        <f>IF(ISERROR(VLOOKUP(B106,'Distribution %'!A:A,1,FALSE)),"NO","YES")</f>
        <v>YES</v>
      </c>
      <c r="G106" s="392"/>
      <c r="H106" s="430">
        <f ca="1">IFERROR(VLOOKUP(B106,'Expenses w MYP'!$A$8:$K$119,11,FALSE),"0")+0</f>
        <v>0</v>
      </c>
      <c r="I106" s="388">
        <f>IF(VLOOKUP("Net Income",'FY ACTUALS'!$A$1:$X$996,I$3,FALSE)&lt;&gt;0,IFERROR(VLOOKUP($B106,'FY ACTUALS'!$A$1:$X$996,I$3,FALSE),"0")+0,IFERROR(($H106-SUMIF($I$1:$W$1,"ACTUAL",$I106:$W106))*(VLOOKUP($B106,'Distribution %'!$A$2:$Q$232,MATCH(I$2,'Distribution %'!$A$2:$Q$2,0),FALSE)/(SUMIF('Distribution %'!$C$1:$Q$1,"BUDGET",'Distribution %'!$C56:$Q56))),"0")+0)</f>
        <v>0</v>
      </c>
      <c r="J106" s="389">
        <f>IF(VLOOKUP("Net Income",'FY ACTUALS'!$A$1:$X$996,J$3,FALSE)&lt;&gt;0,IFERROR(VLOOKUP($B106,'FY ACTUALS'!$A$1:$X$996,J$3,FALSE),"0")+0,IFERROR(($H106-SUMIF($I$1:$W$1,"ACTUAL",$I106:$W106))*(VLOOKUP($B106,'Distribution %'!$A$2:$Q$232,MATCH(J$2,'Distribution %'!$A$2:$Q$2,0),FALSE)/(SUMIF('Distribution %'!$C$1:$Q$1,"BUDGET",'Distribution %'!$C56:$Q56))),"0")+0)</f>
        <v>0</v>
      </c>
      <c r="K106" s="389">
        <f>IF(VLOOKUP("Net Income",'FY ACTUALS'!$A$1:$X$996,K$3,FALSE)&lt;&gt;0,IFERROR(VLOOKUP($B106,'FY ACTUALS'!$A$1:$X$996,K$3,FALSE),"0")+0,IFERROR(($H106-SUMIF($I$1:$W$1,"ACTUAL",$I106:$W106))*(VLOOKUP($B106,'Distribution %'!$A$2:$Q$232,MATCH(K$2,'Distribution %'!$A$2:$Q$2,0),FALSE)/(SUMIF('Distribution %'!$C$1:$Q$1,"BUDGET",'Distribution %'!$C56:$Q56))),"0")+0)</f>
        <v>0</v>
      </c>
      <c r="L106" s="389">
        <f>IF(VLOOKUP("Net Income",'FY ACTUALS'!$A$1:$X$996,L$3,FALSE)&lt;&gt;0,IFERROR(VLOOKUP($B106,'FY ACTUALS'!$A$1:$X$996,L$3,FALSE),"0")+0,IFERROR(($H106-SUMIF($I$1:$W$1,"ACTUAL",$I106:$W106))*(VLOOKUP($B106,'Distribution %'!$A$2:$Q$232,MATCH(L$2,'Distribution %'!$A$2:$Q$2,0),FALSE)/(SUMIF('Distribution %'!$C$1:$Q$1,"BUDGET",'Distribution %'!$C56:$Q56))),"0")+0)</f>
        <v>0</v>
      </c>
      <c r="M106" s="389">
        <f>IF(VLOOKUP("Net Income",'FY ACTUALS'!$A$1:$X$996,M$3,FALSE)&lt;&gt;0,IFERROR(VLOOKUP($B106,'FY ACTUALS'!$A$1:$X$996,M$3,FALSE),"0")+0,IFERROR(($H106-SUMIF($I$1:$W$1,"ACTUAL",$I106:$W106))*(VLOOKUP($B106,'Distribution %'!$A$2:$Q$232,MATCH(M$2,'Distribution %'!$A$2:$Q$2,0),FALSE)/(SUMIF('Distribution %'!$C$1:$Q$1,"BUDGET",'Distribution %'!$C56:$Q56))),"0")+0)</f>
        <v>0</v>
      </c>
      <c r="N106" s="389">
        <f>IF(VLOOKUP("Net Income",'FY ACTUALS'!$A$1:$X$996,N$3,FALSE)&lt;&gt;0,IFERROR(VLOOKUP($B106,'FY ACTUALS'!$A$1:$X$996,N$3,FALSE),"0")+0,IFERROR(($H106-SUMIF($I$1:$W$1,"ACTUAL",$I106:$W106))*(VLOOKUP($B106,'Distribution %'!$A$2:$Q$232,MATCH(N$2,'Distribution %'!$A$2:$Q$2,0),FALSE)/(SUMIF('Distribution %'!$C$1:$Q$1,"BUDGET",'Distribution %'!$C56:$Q56))),"0")+0)</f>
        <v>0</v>
      </c>
      <c r="O106" s="389">
        <f>IF(VLOOKUP("Net Income",'FY ACTUALS'!$A$1:$X$996,O$3,FALSE)&lt;&gt;0,IFERROR(VLOOKUP($B106,'FY ACTUALS'!$A$1:$X$996,O$3,FALSE),"0")+0,IFERROR(($H106-SUMIF($I$1:$W$1,"ACTUAL",$I106:$W106))*(VLOOKUP($B106,'Distribution %'!$A$2:$Q$232,MATCH(O$2,'Distribution %'!$A$2:$Q$2,0),FALSE)/(SUMIF('Distribution %'!$C$1:$Q$1,"BUDGET",'Distribution %'!$C56:$Q56))),"0")+0)</f>
        <v>0</v>
      </c>
      <c r="P106" s="389">
        <f ca="1">IF(VLOOKUP("Net Income",'FY ACTUALS'!$A$1:$X$996,P$3,FALSE)&lt;&gt;0,IFERROR(VLOOKUP($B106,'FY ACTUALS'!$A$1:$X$996,P$3,FALSE),"0")+0,IFERROR(($H106-SUMIF($I$1:$W$1,"ACTUAL",$I106:$W106))*(VLOOKUP($B106,'Distribution %'!$A$2:$Q$232,MATCH(P$2,'Distribution %'!$A$2:$Q$2,0),FALSE)/(SUMIF('Distribution %'!$C$1:$Q$1,"BUDGET",'Distribution %'!$C56:$Q56))),"0")+0)</f>
        <v>0</v>
      </c>
      <c r="Q106" s="389">
        <f ca="1">IF(VLOOKUP("Net Income",'FY ACTUALS'!$A$1:$X$996,Q$3,FALSE)&lt;&gt;0,IFERROR(VLOOKUP($B106,'FY ACTUALS'!$A$1:$X$996,Q$3,FALSE),"0")+0,IFERROR(($H106-SUMIF($I$1:$W$1,"ACTUAL",$I106:$W106))*(VLOOKUP($B106,'Distribution %'!$A$2:$Q$232,MATCH(Q$2,'Distribution %'!$A$2:$Q$2,0),FALSE)/(SUMIF('Distribution %'!$C$1:$Q$1,"BUDGET",'Distribution %'!$C56:$Q56))),"0")+0)</f>
        <v>0</v>
      </c>
      <c r="R106" s="389">
        <f ca="1">IF(VLOOKUP("Net Income",'FY ACTUALS'!$A$1:$X$996,R$3,FALSE)&lt;&gt;0,IFERROR(VLOOKUP($B106,'FY ACTUALS'!$A$1:$X$996,R$3,FALSE),"0")+0,IFERROR(($H106-SUMIF($I$1:$W$1,"ACTUAL",$I106:$W106))*(VLOOKUP($B106,'Distribution %'!$A$2:$Q$232,MATCH(R$2,'Distribution %'!$A$2:$Q$2,0),FALSE)/(SUMIF('Distribution %'!$C$1:$Q$1,"BUDGET",'Distribution %'!$C56:$Q56))),"0")+0)</f>
        <v>0</v>
      </c>
      <c r="S106" s="389">
        <f ca="1">IF(VLOOKUP("Net Income",'FY ACTUALS'!$A$1:$X$996,S$3,FALSE)&lt;&gt;0,IFERROR(VLOOKUP($B106,'FY ACTUALS'!$A$1:$X$996,S$3,FALSE),"0")+0,IFERROR(($H106-SUMIF($I$1:$W$1,"ACTUAL",$I106:$W106))*(VLOOKUP($B106,'Distribution %'!$A$2:$Q$232,MATCH(S$2,'Distribution %'!$A$2:$Q$2,0),FALSE)/(SUMIF('Distribution %'!$C$1:$Q$1,"BUDGET",'Distribution %'!$C56:$Q56))),"0")+0)</f>
        <v>0</v>
      </c>
      <c r="T106" s="389">
        <f ca="1">IF(VLOOKUP("Net Income",'FY ACTUALS'!$A$1:$X$996,T$3,FALSE)&lt;&gt;0,IFERROR(VLOOKUP($B106,'FY ACTUALS'!$A$1:$X$996,T$3,FALSE),"0")+0,IFERROR(($H106-SUMIF($I$1:$W$1,"ACTUAL",$I106:$W106))*(VLOOKUP($B106,'Distribution %'!$A$2:$Q$232,MATCH(T$2,'Distribution %'!$A$2:$Q$2,0),FALSE)/(SUMIF('Distribution %'!$C$1:$Q$1,"BUDGET",'Distribution %'!$C56:$Q56))),"0")+0)</f>
        <v>0</v>
      </c>
      <c r="U106" s="389">
        <f ca="1">IF(VLOOKUP("Net Income",'FY ACTUALS'!$A$1:$X$996,U$3,FALSE)&lt;&gt;0,IFERROR(VLOOKUP($B106,'FY ACTUALS'!$A$1:$X$996,U$3,FALSE),"0")+0,IFERROR(($H106-SUMIF($I$1:$W$1,"ACTUAL",$I106:$W106))*(VLOOKUP($B106,'Distribution %'!$A$2:$Q$232,MATCH(U$2,'Distribution %'!$A$2:$Q$2,0),FALSE)/(SUMIF('Distribution %'!$C$1:$Q$1,"BUDGET",'Distribution %'!$C56:$Q56))),"0")+0)</f>
        <v>0</v>
      </c>
      <c r="V106" s="389">
        <f ca="1">IF(VLOOKUP("Net Income",'FY ACTUALS'!$A$1:$X$996,V$3,FALSE)&lt;&gt;0,IFERROR(VLOOKUP($B106,'FY ACTUALS'!$A$1:$X$996,V$3,FALSE),"0")+0,IFERROR(($H106-SUMIF($I$1:$W$1,"ACTUAL",$I106:$W106))*(VLOOKUP($B106,'Distribution %'!$A$2:$Q$232,MATCH(V$2,'Distribution %'!$A$2:$Q$2,0),FALSE)/(SUMIF('Distribution %'!$C$1:$Q$1,"BUDGET",'Distribution %'!$C56:$Q56))),"0")+0)</f>
        <v>0</v>
      </c>
      <c r="W106" s="431">
        <f ca="1">IF(VLOOKUP("Net Income",'FY ACTUALS'!$A$1:$X$996,W$3,FALSE)&lt;&gt;0,IFERROR(VLOOKUP($B106,'FY ACTUALS'!$A$1:$X$996,W$3,FALSE),"0")+0,IFERROR(($H106-SUMIF($I$1:$W$1,"ACTUAL",$I106:$W106))*(VLOOKUP($B106,'Distribution %'!$A$2:$Q$232,MATCH(W$2,'Distribution %'!$A$2:$Q$2,0),FALSE)/(SUMIF('Distribution %'!$C$1:$Q$1,"BUDGET",'Distribution %'!$C56:$Q56))),"0")+0)</f>
        <v>0</v>
      </c>
      <c r="X106" s="387">
        <f t="shared" ca="1" si="34"/>
        <v>0</v>
      </c>
      <c r="Y106" s="387"/>
      <c r="Z106" s="387">
        <f t="shared" ca="1" si="35"/>
        <v>0</v>
      </c>
    </row>
    <row r="107" spans="2:26" x14ac:dyDescent="0.75">
      <c r="B107" s="379">
        <v>3903</v>
      </c>
      <c r="C107" s="379" t="s">
        <v>1075</v>
      </c>
      <c r="F107" s="379" t="str">
        <f>IF(ISERROR(VLOOKUP(B107,'Distribution %'!A:A,1,FALSE)),"NO","YES")</f>
        <v>YES</v>
      </c>
      <c r="G107" s="392"/>
      <c r="H107" s="430">
        <f ca="1">IFERROR(VLOOKUP(B107,'Expenses w MYP'!$A$8:$K$119,11,FALSE),"0")+0</f>
        <v>0</v>
      </c>
      <c r="I107" s="388">
        <f>IF(VLOOKUP("Net Income",'FY ACTUALS'!$A$1:$X$996,I$3,FALSE)&lt;&gt;0,IFERROR(VLOOKUP($B107,'FY ACTUALS'!$A$1:$X$996,I$3,FALSE),"0")+0,IFERROR(($H107-SUMIF($I$1:$W$1,"ACTUAL",$I107:$W107))*(VLOOKUP($B107,'Distribution %'!$A$2:$Q$232,MATCH(I$2,'Distribution %'!$A$2:$Q$2,0),FALSE)/(SUMIF('Distribution %'!$C$1:$Q$1,"BUDGET",'Distribution %'!$C58:$Q58))),"0")+0)</f>
        <v>8372.93</v>
      </c>
      <c r="J107" s="389">
        <f>IF(VLOOKUP("Net Income",'FY ACTUALS'!$A$1:$X$996,J$3,FALSE)&lt;&gt;0,IFERROR(VLOOKUP($B107,'FY ACTUALS'!$A$1:$X$996,J$3,FALSE),"0")+0,IFERROR(($H107-SUMIF($I$1:$W$1,"ACTUAL",$I107:$W107))*(VLOOKUP($B107,'Distribution %'!$A$2:$Q$232,MATCH(J$2,'Distribution %'!$A$2:$Q$2,0),FALSE)/(SUMIF('Distribution %'!$C$1:$Q$1,"BUDGET",'Distribution %'!$C58:$Q58))),"0")+0)</f>
        <v>4805.04</v>
      </c>
      <c r="K107" s="389">
        <f>IF(VLOOKUP("Net Income",'FY ACTUALS'!$A$1:$X$996,K$3,FALSE)&lt;&gt;0,IFERROR(VLOOKUP($B107,'FY ACTUALS'!$A$1:$X$996,K$3,FALSE),"0")+0,IFERROR(($H107-SUMIF($I$1:$W$1,"ACTUAL",$I107:$W107))*(VLOOKUP($B107,'Distribution %'!$A$2:$Q$232,MATCH(K$2,'Distribution %'!$A$2:$Q$2,0),FALSE)/(SUMIF('Distribution %'!$C$1:$Q$1,"BUDGET",'Distribution %'!$C58:$Q58))),"0")+0)</f>
        <v>6968.51</v>
      </c>
      <c r="L107" s="389">
        <f>IF(VLOOKUP("Net Income",'FY ACTUALS'!$A$1:$X$996,L$3,FALSE)&lt;&gt;0,IFERROR(VLOOKUP($B107,'FY ACTUALS'!$A$1:$X$996,L$3,FALSE),"0")+0,IFERROR(($H107-SUMIF($I$1:$W$1,"ACTUAL",$I107:$W107))*(VLOOKUP($B107,'Distribution %'!$A$2:$Q$232,MATCH(L$2,'Distribution %'!$A$2:$Q$2,0),FALSE)/(SUMIF('Distribution %'!$C$1:$Q$1,"BUDGET",'Distribution %'!$C58:$Q58))),"0")+0)</f>
        <v>-20146.48</v>
      </c>
      <c r="M107" s="389">
        <f>IF(VLOOKUP("Net Income",'FY ACTUALS'!$A$1:$X$996,M$3,FALSE)&lt;&gt;0,IFERROR(VLOOKUP($B107,'FY ACTUALS'!$A$1:$X$996,M$3,FALSE),"0")+0,IFERROR(($H107-SUMIF($I$1:$W$1,"ACTUAL",$I107:$W107))*(VLOOKUP($B107,'Distribution %'!$A$2:$Q$232,MATCH(M$2,'Distribution %'!$A$2:$Q$2,0),FALSE)/(SUMIF('Distribution %'!$C$1:$Q$1,"BUDGET",'Distribution %'!$C58:$Q58))),"0")+0)</f>
        <v>0</v>
      </c>
      <c r="N107" s="389">
        <f>IF(VLOOKUP("Net Income",'FY ACTUALS'!$A$1:$X$996,N$3,FALSE)&lt;&gt;0,IFERROR(VLOOKUP($B107,'FY ACTUALS'!$A$1:$X$996,N$3,FALSE),"0")+0,IFERROR(($H107-SUMIF($I$1:$W$1,"ACTUAL",$I107:$W107))*(VLOOKUP($B107,'Distribution %'!$A$2:$Q$232,MATCH(N$2,'Distribution %'!$A$2:$Q$2,0),FALSE)/(SUMIF('Distribution %'!$C$1:$Q$1,"BUDGET",'Distribution %'!$C58:$Q58))),"0")+0)</f>
        <v>0</v>
      </c>
      <c r="O107" s="389">
        <f>IF(VLOOKUP("Net Income",'FY ACTUALS'!$A$1:$X$996,O$3,FALSE)&lt;&gt;0,IFERROR(VLOOKUP($B107,'FY ACTUALS'!$A$1:$X$996,O$3,FALSE),"0")+0,IFERROR(($H107-SUMIF($I$1:$W$1,"ACTUAL",$I107:$W107))*(VLOOKUP($B107,'Distribution %'!$A$2:$Q$232,MATCH(O$2,'Distribution %'!$A$2:$Q$2,0),FALSE)/(SUMIF('Distribution %'!$C$1:$Q$1,"BUDGET",'Distribution %'!$C58:$Q58))),"0")+0)</f>
        <v>0</v>
      </c>
      <c r="P107" s="389">
        <f ca="1">IF(VLOOKUP("Net Income",'FY ACTUALS'!$A$1:$X$996,P$3,FALSE)&lt;&gt;0,IFERROR(VLOOKUP($B107,'FY ACTUALS'!$A$1:$X$996,P$3,FALSE),"0")+0,IFERROR(($H107-SUMIF($I$1:$W$1,"ACTUAL",$I107:$W107))*(VLOOKUP($B107,'Distribution %'!$A$2:$Q$232,MATCH(P$2,'Distribution %'!$A$2:$Q$2,0),FALSE)/(SUMIF('Distribution %'!$C$1:$Q$1,"BUDGET",'Distribution %'!$C58:$Q58))),"0")+0)</f>
        <v>-7.2064973982962335E-13</v>
      </c>
      <c r="Q107" s="389">
        <f ca="1">IF(VLOOKUP("Net Income",'FY ACTUALS'!$A$1:$X$996,Q$3,FALSE)&lt;&gt;0,IFERROR(VLOOKUP($B107,'FY ACTUALS'!$A$1:$X$996,Q$3,FALSE),"0")+0,IFERROR(($H107-SUMIF($I$1:$W$1,"ACTUAL",$I107:$W107))*(VLOOKUP($B107,'Distribution %'!$A$2:$Q$232,MATCH(Q$2,'Distribution %'!$A$2:$Q$2,0),FALSE)/(SUMIF('Distribution %'!$C$1:$Q$1,"BUDGET",'Distribution %'!$C58:$Q58))),"0")+0)</f>
        <v>-7.293322668155224E-13</v>
      </c>
      <c r="R107" s="389">
        <f ca="1">IF(VLOOKUP("Net Income",'FY ACTUALS'!$A$1:$X$996,R$3,FALSE)&lt;&gt;0,IFERROR(VLOOKUP($B107,'FY ACTUALS'!$A$1:$X$996,R$3,FALSE),"0")+0,IFERROR(($H107-SUMIF($I$1:$W$1,"ACTUAL",$I107:$W107))*(VLOOKUP($B107,'Distribution %'!$A$2:$Q$232,MATCH(R$2,'Distribution %'!$A$2:$Q$2,0),FALSE)/(SUMIF('Distribution %'!$C$1:$Q$1,"BUDGET",'Distribution %'!$C58:$Q58))),"0")+0)</f>
        <v>-7.293322668155224E-13</v>
      </c>
      <c r="S107" s="389">
        <f ca="1">IF(VLOOKUP("Net Income",'FY ACTUALS'!$A$1:$X$996,S$3,FALSE)&lt;&gt;0,IFERROR(VLOOKUP($B107,'FY ACTUALS'!$A$1:$X$996,S$3,FALSE),"0")+0,IFERROR(($H107-SUMIF($I$1:$W$1,"ACTUAL",$I107:$W107))*(VLOOKUP($B107,'Distribution %'!$A$2:$Q$232,MATCH(S$2,'Distribution %'!$A$2:$Q$2,0),FALSE)/(SUMIF('Distribution %'!$C$1:$Q$1,"BUDGET",'Distribution %'!$C58:$Q58))),"0")+0)</f>
        <v>-7.293322668155224E-13</v>
      </c>
      <c r="T107" s="389">
        <f ca="1">IF(VLOOKUP("Net Income",'FY ACTUALS'!$A$1:$X$996,T$3,FALSE)&lt;&gt;0,IFERROR(VLOOKUP($B107,'FY ACTUALS'!$A$1:$X$996,T$3,FALSE),"0")+0,IFERROR(($H107-SUMIF($I$1:$W$1,"ACTUAL",$I107:$W107))*(VLOOKUP($B107,'Distribution %'!$A$2:$Q$232,MATCH(T$2,'Distribution %'!$A$2:$Q$2,0),FALSE)/(SUMIF('Distribution %'!$C$1:$Q$1,"BUDGET",'Distribution %'!$C58:$Q58))),"0")+0)</f>
        <v>-7.293322668155224E-13</v>
      </c>
      <c r="U107" s="389">
        <f ca="1">IF(VLOOKUP("Net Income",'FY ACTUALS'!$A$1:$X$996,U$3,FALSE)&lt;&gt;0,IFERROR(VLOOKUP($B107,'FY ACTUALS'!$A$1:$X$996,U$3,FALSE),"0")+0,IFERROR(($H107-SUMIF($I$1:$W$1,"ACTUAL",$I107:$W107))*(VLOOKUP($B107,'Distribution %'!$A$2:$Q$232,MATCH(U$2,'Distribution %'!$A$2:$Q$2,0),FALSE)/(SUMIF('Distribution %'!$C$1:$Q$1,"BUDGET",'Distribution %'!$C58:$Q58))),"0")+0)</f>
        <v>0</v>
      </c>
      <c r="V107" s="389">
        <f ca="1">IF(VLOOKUP("Net Income",'FY ACTUALS'!$A$1:$X$996,V$3,FALSE)&lt;&gt;0,IFERROR(VLOOKUP($B107,'FY ACTUALS'!$A$1:$X$996,V$3,FALSE),"0")+0,IFERROR(($H107-SUMIF($I$1:$W$1,"ACTUAL",$I107:$W107))*(VLOOKUP($B107,'Distribution %'!$A$2:$Q$232,MATCH(V$2,'Distribution %'!$A$2:$Q$2,0),FALSE)/(SUMIF('Distribution %'!$C$1:$Q$1,"BUDGET",'Distribution %'!$C58:$Q58))),"0")+0)</f>
        <v>0</v>
      </c>
      <c r="W107" s="431">
        <f ca="1">IF(VLOOKUP("Net Income",'FY ACTUALS'!$A$1:$X$996,W$3,FALSE)&lt;&gt;0,IFERROR(VLOOKUP($B107,'FY ACTUALS'!$A$1:$X$996,W$3,FALSE),"0")+0,IFERROR(($H107-SUMIF($I$1:$W$1,"ACTUAL",$I107:$W107))*(VLOOKUP($B107,'Distribution %'!$A$2:$Q$232,MATCH(W$2,'Distribution %'!$A$2:$Q$2,0),FALSE)/(SUMIF('Distribution %'!$C$1:$Q$1,"BUDGET",'Distribution %'!$C58:$Q58))),"0")+0)</f>
        <v>0</v>
      </c>
      <c r="X107" s="387">
        <f t="shared" ca="1" si="34"/>
        <v>2.0194839173657902E-28</v>
      </c>
      <c r="Y107" s="387"/>
      <c r="Z107" s="387">
        <f t="shared" ca="1" si="35"/>
        <v>-2.0194839173657902E-28</v>
      </c>
    </row>
    <row r="108" spans="2:26" x14ac:dyDescent="0.75">
      <c r="G108" s="392"/>
      <c r="H108" s="430">
        <f>IFERROR(VLOOKUP(B108,'Expenses w MYP'!$A$8:$K$119,11,FALSE),"0")+0</f>
        <v>0</v>
      </c>
      <c r="I108" s="388">
        <f>IF(VLOOKUP("Net Income",'FY ACTUALS'!$A$1:$X$996,I$3,FALSE)&lt;&gt;0,IFERROR(VLOOKUP($B108,'FY ACTUALS'!$A$1:$X$996,I$3,FALSE),"0")+0,IFERROR(($H108-SUMIF($I$1:$W$1,"ACTUAL",$I108:$W108))*(VLOOKUP($B108,'Distribution %'!$A$2:$Q$232,MATCH(I$2,'Distribution %'!$A$2:$Q$2,0),FALSE)/(SUMIF('Distribution %'!$C$1:$Q$1,"BUDGET",'Distribution %'!$C59:$Q59))),"0")+0)</f>
        <v>0</v>
      </c>
      <c r="J108" s="389">
        <f>IF(VLOOKUP("Net Income",'FY ACTUALS'!$A$1:$X$996,J$3,FALSE)&lt;&gt;0,IFERROR(VLOOKUP($B108,'FY ACTUALS'!$A$1:$X$996,J$3,FALSE),"0")+0,IFERROR(($H108-SUMIF($I$1:$W$1,"ACTUAL",$I108:$W108))*(VLOOKUP($B108,'Distribution %'!$A$2:$Q$232,MATCH(J$2,'Distribution %'!$A$2:$Q$2,0),FALSE)/(SUMIF('Distribution %'!$C$1:$Q$1,"BUDGET",'Distribution %'!$C59:$Q59))),"0")+0)</f>
        <v>0</v>
      </c>
      <c r="K108" s="389">
        <f>IF(VLOOKUP("Net Income",'FY ACTUALS'!$A$1:$X$996,K$3,FALSE)&lt;&gt;0,IFERROR(VLOOKUP($B108,'FY ACTUALS'!$A$1:$X$996,K$3,FALSE),"0")+0,IFERROR(($H108-SUMIF($I$1:$W$1,"ACTUAL",$I108:$W108))*(VLOOKUP($B108,'Distribution %'!$A$2:$Q$232,MATCH(K$2,'Distribution %'!$A$2:$Q$2,0),FALSE)/(SUMIF('Distribution %'!$C$1:$Q$1,"BUDGET",'Distribution %'!$C59:$Q59))),"0")+0)</f>
        <v>0</v>
      </c>
      <c r="L108" s="389">
        <f>IF(VLOOKUP("Net Income",'FY ACTUALS'!$A$1:$X$996,L$3,FALSE)&lt;&gt;0,IFERROR(VLOOKUP($B108,'FY ACTUALS'!$A$1:$X$996,L$3,FALSE),"0")+0,IFERROR(($H108-SUMIF($I$1:$W$1,"ACTUAL",$I108:$W108))*(VLOOKUP($B108,'Distribution %'!$A$2:$Q$232,MATCH(L$2,'Distribution %'!$A$2:$Q$2,0),FALSE)/(SUMIF('Distribution %'!$C$1:$Q$1,"BUDGET",'Distribution %'!$C59:$Q59))),"0")+0)</f>
        <v>0</v>
      </c>
      <c r="M108" s="389">
        <f>IF(VLOOKUP("Net Income",'FY ACTUALS'!$A$1:$X$996,M$3,FALSE)&lt;&gt;0,IFERROR(VLOOKUP($B108,'FY ACTUALS'!$A$1:$X$996,M$3,FALSE),"0")+0,IFERROR(($H108-SUMIF($I$1:$W$1,"ACTUAL",$I108:$W108))*(VLOOKUP($B108,'Distribution %'!$A$2:$Q$232,MATCH(M$2,'Distribution %'!$A$2:$Q$2,0),FALSE)/(SUMIF('Distribution %'!$C$1:$Q$1,"BUDGET",'Distribution %'!$C59:$Q59))),"0")+0)</f>
        <v>0</v>
      </c>
      <c r="N108" s="389">
        <f>IF(VLOOKUP("Net Income",'FY ACTUALS'!$A$1:$X$996,N$3,FALSE)&lt;&gt;0,IFERROR(VLOOKUP($B108,'FY ACTUALS'!$A$1:$X$996,N$3,FALSE),"0")+0,IFERROR(($H108-SUMIF($I$1:$W$1,"ACTUAL",$I108:$W108))*(VLOOKUP($B108,'Distribution %'!$A$2:$Q$232,MATCH(N$2,'Distribution %'!$A$2:$Q$2,0),FALSE)/(SUMIF('Distribution %'!$C$1:$Q$1,"BUDGET",'Distribution %'!$C59:$Q59))),"0")+0)</f>
        <v>0</v>
      </c>
      <c r="O108" s="389">
        <f>IF(VLOOKUP("Net Income",'FY ACTUALS'!$A$1:$X$996,O$3,FALSE)&lt;&gt;0,IFERROR(VLOOKUP($B108,'FY ACTUALS'!$A$1:$X$996,O$3,FALSE),"0")+0,IFERROR(($H108-SUMIF($I$1:$W$1,"ACTUAL",$I108:$W108))*(VLOOKUP($B108,'Distribution %'!$A$2:$Q$232,MATCH(O$2,'Distribution %'!$A$2:$Q$2,0),FALSE)/(SUMIF('Distribution %'!$C$1:$Q$1,"BUDGET",'Distribution %'!$C59:$Q59))),"0")+0)</f>
        <v>0</v>
      </c>
      <c r="P108" s="389">
        <f>IF(VLOOKUP("Net Income",'FY ACTUALS'!$A$1:$X$996,P$3,FALSE)&lt;&gt;0,IFERROR(VLOOKUP($B108,'FY ACTUALS'!$A$1:$X$996,P$3,FALSE),"0")+0,IFERROR(($H108-SUMIF($I$1:$W$1,"ACTUAL",$I108:$W108))*(VLOOKUP($B108,'Distribution %'!$A$2:$Q$232,MATCH(P$2,'Distribution %'!$A$2:$Q$2,0),FALSE)/(SUMIF('Distribution %'!$C$1:$Q$1,"BUDGET",'Distribution %'!$C59:$Q59))),"0")+0)</f>
        <v>0</v>
      </c>
      <c r="Q108" s="389">
        <f>IF(VLOOKUP("Net Income",'FY ACTUALS'!$A$1:$X$996,Q$3,FALSE)&lt;&gt;0,IFERROR(VLOOKUP($B108,'FY ACTUALS'!$A$1:$X$996,Q$3,FALSE),"0")+0,IFERROR(($H108-SUMIF($I$1:$W$1,"ACTUAL",$I108:$W108))*(VLOOKUP($B108,'Distribution %'!$A$2:$Q$232,MATCH(Q$2,'Distribution %'!$A$2:$Q$2,0),FALSE)/(SUMIF('Distribution %'!$C$1:$Q$1,"BUDGET",'Distribution %'!$C59:$Q59))),"0")+0)</f>
        <v>0</v>
      </c>
      <c r="R108" s="389">
        <f>IF(VLOOKUP("Net Income",'FY ACTUALS'!$A$1:$X$996,R$3,FALSE)&lt;&gt;0,IFERROR(VLOOKUP($B108,'FY ACTUALS'!$A$1:$X$996,R$3,FALSE),"0")+0,IFERROR(($H108-SUMIF($I$1:$W$1,"ACTUAL",$I108:$W108))*(VLOOKUP($B108,'Distribution %'!$A$2:$Q$232,MATCH(R$2,'Distribution %'!$A$2:$Q$2,0),FALSE)/(SUMIF('Distribution %'!$C$1:$Q$1,"BUDGET",'Distribution %'!$C59:$Q59))),"0")+0)</f>
        <v>0</v>
      </c>
      <c r="S108" s="389">
        <f>IF(VLOOKUP("Net Income",'FY ACTUALS'!$A$1:$X$996,S$3,FALSE)&lt;&gt;0,IFERROR(VLOOKUP($B108,'FY ACTUALS'!$A$1:$X$996,S$3,FALSE),"0")+0,IFERROR(($H108-SUMIF($I$1:$W$1,"ACTUAL",$I108:$W108))*(VLOOKUP($B108,'Distribution %'!$A$2:$Q$232,MATCH(S$2,'Distribution %'!$A$2:$Q$2,0),FALSE)/(SUMIF('Distribution %'!$C$1:$Q$1,"BUDGET",'Distribution %'!$C59:$Q59))),"0")+0)</f>
        <v>0</v>
      </c>
      <c r="T108" s="389">
        <f>IF(VLOOKUP("Net Income",'FY ACTUALS'!$A$1:$X$996,T$3,FALSE)&lt;&gt;0,IFERROR(VLOOKUP($B108,'FY ACTUALS'!$A$1:$X$996,T$3,FALSE),"0")+0,IFERROR(($H108-SUMIF($I$1:$W$1,"ACTUAL",$I108:$W108))*(VLOOKUP($B108,'Distribution %'!$A$2:$Q$232,MATCH(T$2,'Distribution %'!$A$2:$Q$2,0),FALSE)/(SUMIF('Distribution %'!$C$1:$Q$1,"BUDGET",'Distribution %'!$C59:$Q59))),"0")+0)</f>
        <v>0</v>
      </c>
      <c r="U108" s="389">
        <f>IF(VLOOKUP("Net Income",'FY ACTUALS'!$A$1:$X$996,U$3,FALSE)&lt;&gt;0,IFERROR(VLOOKUP($B108,'FY ACTUALS'!$A$1:$X$996,U$3,FALSE),"0")+0,IFERROR(($H108-SUMIF($I$1:$W$1,"ACTUAL",$I108:$W108))*(VLOOKUP($B108,'Distribution %'!$A$2:$Q$232,MATCH(U$2,'Distribution %'!$A$2:$Q$2,0),FALSE)/(SUMIF('Distribution %'!$C$1:$Q$1,"BUDGET",'Distribution %'!$C59:$Q59))),"0")+0)</f>
        <v>0</v>
      </c>
      <c r="V108" s="389">
        <f>IF(VLOOKUP("Net Income",'FY ACTUALS'!$A$1:$X$996,V$3,FALSE)&lt;&gt;0,IFERROR(VLOOKUP($B108,'FY ACTUALS'!$A$1:$X$996,V$3,FALSE),"0")+0,IFERROR(($H108-SUMIF($I$1:$W$1,"ACTUAL",$I108:$W108))*(VLOOKUP($B108,'Distribution %'!$A$2:$Q$232,MATCH(V$2,'Distribution %'!$A$2:$Q$2,0),FALSE)/(SUMIF('Distribution %'!$C$1:$Q$1,"BUDGET",'Distribution %'!$C59:$Q59))),"0")+0)</f>
        <v>0</v>
      </c>
      <c r="W108" s="431">
        <f>IF(VLOOKUP("Net Income",'FY ACTUALS'!$A$1:$X$996,W$3,FALSE)&lt;&gt;0,IFERROR(VLOOKUP($B108,'FY ACTUALS'!$A$1:$X$996,W$3,FALSE),"0")+0,IFERROR(($H108-SUMIF($I$1:$W$1,"ACTUAL",$I108:$W108))*(VLOOKUP($B108,'Distribution %'!$A$2:$Q$232,MATCH(W$2,'Distribution %'!$A$2:$Q$2,0),FALSE)/(SUMIF('Distribution %'!$C$1:$Q$1,"BUDGET",'Distribution %'!$C59:$Q59))),"0")+0)</f>
        <v>0</v>
      </c>
      <c r="X108" s="387">
        <f t="shared" si="34"/>
        <v>0</v>
      </c>
      <c r="Y108" s="387"/>
      <c r="Z108" s="387">
        <f t="shared" si="35"/>
        <v>0</v>
      </c>
    </row>
    <row r="109" spans="2:26" x14ac:dyDescent="0.75">
      <c r="G109" s="392"/>
      <c r="H109" s="430">
        <f>IFERROR(VLOOKUP(B109,'Expenses w MYP'!$A$8:$K$119,11,FALSE),"0")+0</f>
        <v>0</v>
      </c>
      <c r="I109" s="388">
        <f>IF(VLOOKUP("Net Income",'FY ACTUALS'!$A$1:$X$996,I$3,FALSE)&lt;&gt;0,IFERROR(VLOOKUP($B109,'FY ACTUALS'!$A$1:$X$996,I$3,FALSE),"0")+0,IFERROR(($H109-SUMIF($I$1:$W$1,"ACTUAL",$I109:$W109))*(VLOOKUP($B109,'Distribution %'!$A$2:$Q$232,MATCH(I$2,'Distribution %'!$A$2:$Q$2,0),FALSE)/(SUMIF('Distribution %'!$C$1:$Q$1,"BUDGET",'Distribution %'!$C60:$Q60))),"0")+0)</f>
        <v>0</v>
      </c>
      <c r="J109" s="389">
        <f>IF(VLOOKUP("Net Income",'FY ACTUALS'!$A$1:$X$996,J$3,FALSE)&lt;&gt;0,IFERROR(VLOOKUP($B109,'FY ACTUALS'!$A$1:$X$996,J$3,FALSE),"0")+0,IFERROR(($H109-SUMIF($I$1:$W$1,"ACTUAL",$I109:$W109))*(VLOOKUP($B109,'Distribution %'!$A$2:$Q$232,MATCH(J$2,'Distribution %'!$A$2:$Q$2,0),FALSE)/(SUMIF('Distribution %'!$C$1:$Q$1,"BUDGET",'Distribution %'!$C60:$Q60))),"0")+0)</f>
        <v>0</v>
      </c>
      <c r="K109" s="389">
        <f>IF(VLOOKUP("Net Income",'FY ACTUALS'!$A$1:$X$996,K$3,FALSE)&lt;&gt;0,IFERROR(VLOOKUP($B109,'FY ACTUALS'!$A$1:$X$996,K$3,FALSE),"0")+0,IFERROR(($H109-SUMIF($I$1:$W$1,"ACTUAL",$I109:$W109))*(VLOOKUP($B109,'Distribution %'!$A$2:$Q$232,MATCH(K$2,'Distribution %'!$A$2:$Q$2,0),FALSE)/(SUMIF('Distribution %'!$C$1:$Q$1,"BUDGET",'Distribution %'!$C60:$Q60))),"0")+0)</f>
        <v>0</v>
      </c>
      <c r="L109" s="389">
        <f>IF(VLOOKUP("Net Income",'FY ACTUALS'!$A$1:$X$996,L$3,FALSE)&lt;&gt;0,IFERROR(VLOOKUP($B109,'FY ACTUALS'!$A$1:$X$996,L$3,FALSE),"0")+0,IFERROR(($H109-SUMIF($I$1:$W$1,"ACTUAL",$I109:$W109))*(VLOOKUP($B109,'Distribution %'!$A$2:$Q$232,MATCH(L$2,'Distribution %'!$A$2:$Q$2,0),FALSE)/(SUMIF('Distribution %'!$C$1:$Q$1,"BUDGET",'Distribution %'!$C60:$Q60))),"0")+0)</f>
        <v>0</v>
      </c>
      <c r="M109" s="389">
        <f>IF(VLOOKUP("Net Income",'FY ACTUALS'!$A$1:$X$996,M$3,FALSE)&lt;&gt;0,IFERROR(VLOOKUP($B109,'FY ACTUALS'!$A$1:$X$996,M$3,FALSE),"0")+0,IFERROR(($H109-SUMIF($I$1:$W$1,"ACTUAL",$I109:$W109))*(VLOOKUP($B109,'Distribution %'!$A$2:$Q$232,MATCH(M$2,'Distribution %'!$A$2:$Q$2,0),FALSE)/(SUMIF('Distribution %'!$C$1:$Q$1,"BUDGET",'Distribution %'!$C60:$Q60))),"0")+0)</f>
        <v>0</v>
      </c>
      <c r="N109" s="389">
        <f>IF(VLOOKUP("Net Income",'FY ACTUALS'!$A$1:$X$996,N$3,FALSE)&lt;&gt;0,IFERROR(VLOOKUP($B109,'FY ACTUALS'!$A$1:$X$996,N$3,FALSE),"0")+0,IFERROR(($H109-SUMIF($I$1:$W$1,"ACTUAL",$I109:$W109))*(VLOOKUP($B109,'Distribution %'!$A$2:$Q$232,MATCH(N$2,'Distribution %'!$A$2:$Q$2,0),FALSE)/(SUMIF('Distribution %'!$C$1:$Q$1,"BUDGET",'Distribution %'!$C60:$Q60))),"0")+0)</f>
        <v>0</v>
      </c>
      <c r="O109" s="389">
        <f>IF(VLOOKUP("Net Income",'FY ACTUALS'!$A$1:$X$996,O$3,FALSE)&lt;&gt;0,IFERROR(VLOOKUP($B109,'FY ACTUALS'!$A$1:$X$996,O$3,FALSE),"0")+0,IFERROR(($H109-SUMIF($I$1:$W$1,"ACTUAL",$I109:$W109))*(VLOOKUP($B109,'Distribution %'!$A$2:$Q$232,MATCH(O$2,'Distribution %'!$A$2:$Q$2,0),FALSE)/(SUMIF('Distribution %'!$C$1:$Q$1,"BUDGET",'Distribution %'!$C60:$Q60))),"0")+0)</f>
        <v>0</v>
      </c>
      <c r="P109" s="389">
        <f>IF(VLOOKUP("Net Income",'FY ACTUALS'!$A$1:$X$996,P$3,FALSE)&lt;&gt;0,IFERROR(VLOOKUP($B109,'FY ACTUALS'!$A$1:$X$996,P$3,FALSE),"0")+0,IFERROR(($H109-SUMIF($I$1:$W$1,"ACTUAL",$I109:$W109))*(VLOOKUP($B109,'Distribution %'!$A$2:$Q$232,MATCH(P$2,'Distribution %'!$A$2:$Q$2,0),FALSE)/(SUMIF('Distribution %'!$C$1:$Q$1,"BUDGET",'Distribution %'!$C60:$Q60))),"0")+0)</f>
        <v>0</v>
      </c>
      <c r="Q109" s="389">
        <f>IF(VLOOKUP("Net Income",'FY ACTUALS'!$A$1:$X$996,Q$3,FALSE)&lt;&gt;0,IFERROR(VLOOKUP($B109,'FY ACTUALS'!$A$1:$X$996,Q$3,FALSE),"0")+0,IFERROR(($H109-SUMIF($I$1:$W$1,"ACTUAL",$I109:$W109))*(VLOOKUP($B109,'Distribution %'!$A$2:$Q$232,MATCH(Q$2,'Distribution %'!$A$2:$Q$2,0),FALSE)/(SUMIF('Distribution %'!$C$1:$Q$1,"BUDGET",'Distribution %'!$C60:$Q60))),"0")+0)</f>
        <v>0</v>
      </c>
      <c r="R109" s="389">
        <f>IF(VLOOKUP("Net Income",'FY ACTUALS'!$A$1:$X$996,R$3,FALSE)&lt;&gt;0,IFERROR(VLOOKUP($B109,'FY ACTUALS'!$A$1:$X$996,R$3,FALSE),"0")+0,IFERROR(($H109-SUMIF($I$1:$W$1,"ACTUAL",$I109:$W109))*(VLOOKUP($B109,'Distribution %'!$A$2:$Q$232,MATCH(R$2,'Distribution %'!$A$2:$Q$2,0),FALSE)/(SUMIF('Distribution %'!$C$1:$Q$1,"BUDGET",'Distribution %'!$C60:$Q60))),"0")+0)</f>
        <v>0</v>
      </c>
      <c r="S109" s="389">
        <f>IF(VLOOKUP("Net Income",'FY ACTUALS'!$A$1:$X$996,S$3,FALSE)&lt;&gt;0,IFERROR(VLOOKUP($B109,'FY ACTUALS'!$A$1:$X$996,S$3,FALSE),"0")+0,IFERROR(($H109-SUMIF($I$1:$W$1,"ACTUAL",$I109:$W109))*(VLOOKUP($B109,'Distribution %'!$A$2:$Q$232,MATCH(S$2,'Distribution %'!$A$2:$Q$2,0),FALSE)/(SUMIF('Distribution %'!$C$1:$Q$1,"BUDGET",'Distribution %'!$C60:$Q60))),"0")+0)</f>
        <v>0</v>
      </c>
      <c r="T109" s="389">
        <f>IF(VLOOKUP("Net Income",'FY ACTUALS'!$A$1:$X$996,T$3,FALSE)&lt;&gt;0,IFERROR(VLOOKUP($B109,'FY ACTUALS'!$A$1:$X$996,T$3,FALSE),"0")+0,IFERROR(($H109-SUMIF($I$1:$W$1,"ACTUAL",$I109:$W109))*(VLOOKUP($B109,'Distribution %'!$A$2:$Q$232,MATCH(T$2,'Distribution %'!$A$2:$Q$2,0),FALSE)/(SUMIF('Distribution %'!$C$1:$Q$1,"BUDGET",'Distribution %'!$C60:$Q60))),"0")+0)</f>
        <v>0</v>
      </c>
      <c r="U109" s="389">
        <f>IF(VLOOKUP("Net Income",'FY ACTUALS'!$A$1:$X$996,U$3,FALSE)&lt;&gt;0,IFERROR(VLOOKUP($B109,'FY ACTUALS'!$A$1:$X$996,U$3,FALSE),"0")+0,IFERROR(($H109-SUMIF($I$1:$W$1,"ACTUAL",$I109:$W109))*(VLOOKUP($B109,'Distribution %'!$A$2:$Q$232,MATCH(U$2,'Distribution %'!$A$2:$Q$2,0),FALSE)/(SUMIF('Distribution %'!$C$1:$Q$1,"BUDGET",'Distribution %'!$C60:$Q60))),"0")+0)</f>
        <v>0</v>
      </c>
      <c r="V109" s="389">
        <f>IF(VLOOKUP("Net Income",'FY ACTUALS'!$A$1:$X$996,V$3,FALSE)&lt;&gt;0,IFERROR(VLOOKUP($B109,'FY ACTUALS'!$A$1:$X$996,V$3,FALSE),"0")+0,IFERROR(($H109-SUMIF($I$1:$W$1,"ACTUAL",$I109:$W109))*(VLOOKUP($B109,'Distribution %'!$A$2:$Q$232,MATCH(V$2,'Distribution %'!$A$2:$Q$2,0),FALSE)/(SUMIF('Distribution %'!$C$1:$Q$1,"BUDGET",'Distribution %'!$C60:$Q60))),"0")+0)</f>
        <v>0</v>
      </c>
      <c r="W109" s="431">
        <f>IF(VLOOKUP("Net Income",'FY ACTUALS'!$A$1:$X$996,W$3,FALSE)&lt;&gt;0,IFERROR(VLOOKUP($B109,'FY ACTUALS'!$A$1:$X$996,W$3,FALSE),"0")+0,IFERROR(($H109-SUMIF($I$1:$W$1,"ACTUAL",$I109:$W109))*(VLOOKUP($B109,'Distribution %'!$A$2:$Q$232,MATCH(W$2,'Distribution %'!$A$2:$Q$2,0),FALSE)/(SUMIF('Distribution %'!$C$1:$Q$1,"BUDGET",'Distribution %'!$C60:$Q60))),"0")+0)</f>
        <v>0</v>
      </c>
      <c r="X109" s="387">
        <f t="shared" si="34"/>
        <v>0</v>
      </c>
      <c r="Y109" s="387"/>
      <c r="Z109" s="387">
        <f t="shared" si="35"/>
        <v>0</v>
      </c>
    </row>
    <row r="110" spans="2:26" x14ac:dyDescent="0.75">
      <c r="G110" s="392"/>
      <c r="H110" s="430">
        <f>IFERROR(VLOOKUP(B110,'Expenses w MYP'!$A$8:$K$119,11,FALSE),"0")+0</f>
        <v>0</v>
      </c>
      <c r="I110" s="388">
        <f>IF(VLOOKUP("Net Income",'FY ACTUALS'!$A$1:$X$996,I$3,FALSE)&lt;&gt;0,IFERROR(VLOOKUP($B110,'FY ACTUALS'!$A$1:$X$996,I$3,FALSE),"0")+0,IFERROR(($H110-SUMIF($I$1:$W$1,"ACTUAL",$I110:$W110))*(VLOOKUP($B110,'Distribution %'!$A$2:$Q$232,MATCH(I$2,'Distribution %'!$A$2:$Q$2,0),FALSE)/(SUMIF('Distribution %'!$C$1:$Q$1,"BUDGET",'Distribution %'!$C61:$Q61))),"0")+0)</f>
        <v>0</v>
      </c>
      <c r="J110" s="389">
        <f>IF(VLOOKUP("Net Income",'FY ACTUALS'!$A$1:$X$996,J$3,FALSE)&lt;&gt;0,IFERROR(VLOOKUP($B110,'FY ACTUALS'!$A$1:$X$996,J$3,FALSE),"0")+0,IFERROR(($H110-SUMIF($I$1:$W$1,"ACTUAL",$I110:$W110))*(VLOOKUP($B110,'Distribution %'!$A$2:$Q$232,MATCH(J$2,'Distribution %'!$A$2:$Q$2,0),FALSE)/(SUMIF('Distribution %'!$C$1:$Q$1,"BUDGET",'Distribution %'!$C61:$Q61))),"0")+0)</f>
        <v>0</v>
      </c>
      <c r="K110" s="389">
        <f>IF(VLOOKUP("Net Income",'FY ACTUALS'!$A$1:$X$996,K$3,FALSE)&lt;&gt;0,IFERROR(VLOOKUP($B110,'FY ACTUALS'!$A$1:$X$996,K$3,FALSE),"0")+0,IFERROR(($H110-SUMIF($I$1:$W$1,"ACTUAL",$I110:$W110))*(VLOOKUP($B110,'Distribution %'!$A$2:$Q$232,MATCH(K$2,'Distribution %'!$A$2:$Q$2,0),FALSE)/(SUMIF('Distribution %'!$C$1:$Q$1,"BUDGET",'Distribution %'!$C61:$Q61))),"0")+0)</f>
        <v>0</v>
      </c>
      <c r="L110" s="389">
        <f>IF(VLOOKUP("Net Income",'FY ACTUALS'!$A$1:$X$996,L$3,FALSE)&lt;&gt;0,IFERROR(VLOOKUP($B110,'FY ACTUALS'!$A$1:$X$996,L$3,FALSE),"0")+0,IFERROR(($H110-SUMIF($I$1:$W$1,"ACTUAL",$I110:$W110))*(VLOOKUP($B110,'Distribution %'!$A$2:$Q$232,MATCH(L$2,'Distribution %'!$A$2:$Q$2,0),FALSE)/(SUMIF('Distribution %'!$C$1:$Q$1,"BUDGET",'Distribution %'!$C61:$Q61))),"0")+0)</f>
        <v>0</v>
      </c>
      <c r="M110" s="389">
        <f>IF(VLOOKUP("Net Income",'FY ACTUALS'!$A$1:$X$996,M$3,FALSE)&lt;&gt;0,IFERROR(VLOOKUP($B110,'FY ACTUALS'!$A$1:$X$996,M$3,FALSE),"0")+0,IFERROR(($H110-SUMIF($I$1:$W$1,"ACTUAL",$I110:$W110))*(VLOOKUP($B110,'Distribution %'!$A$2:$Q$232,MATCH(M$2,'Distribution %'!$A$2:$Q$2,0),FALSE)/(SUMIF('Distribution %'!$C$1:$Q$1,"BUDGET",'Distribution %'!$C61:$Q61))),"0")+0)</f>
        <v>0</v>
      </c>
      <c r="N110" s="389">
        <f>IF(VLOOKUP("Net Income",'FY ACTUALS'!$A$1:$X$996,N$3,FALSE)&lt;&gt;0,IFERROR(VLOOKUP($B110,'FY ACTUALS'!$A$1:$X$996,N$3,FALSE),"0")+0,IFERROR(($H110-SUMIF($I$1:$W$1,"ACTUAL",$I110:$W110))*(VLOOKUP($B110,'Distribution %'!$A$2:$Q$232,MATCH(N$2,'Distribution %'!$A$2:$Q$2,0),FALSE)/(SUMIF('Distribution %'!$C$1:$Q$1,"BUDGET",'Distribution %'!$C61:$Q61))),"0")+0)</f>
        <v>0</v>
      </c>
      <c r="O110" s="389">
        <f>IF(VLOOKUP("Net Income",'FY ACTUALS'!$A$1:$X$996,O$3,FALSE)&lt;&gt;0,IFERROR(VLOOKUP($B110,'FY ACTUALS'!$A$1:$X$996,O$3,FALSE),"0")+0,IFERROR(($H110-SUMIF($I$1:$W$1,"ACTUAL",$I110:$W110))*(VLOOKUP($B110,'Distribution %'!$A$2:$Q$232,MATCH(O$2,'Distribution %'!$A$2:$Q$2,0),FALSE)/(SUMIF('Distribution %'!$C$1:$Q$1,"BUDGET",'Distribution %'!$C61:$Q61))),"0")+0)</f>
        <v>0</v>
      </c>
      <c r="P110" s="389">
        <f>IF(VLOOKUP("Net Income",'FY ACTUALS'!$A$1:$X$996,P$3,FALSE)&lt;&gt;0,IFERROR(VLOOKUP($B110,'FY ACTUALS'!$A$1:$X$996,P$3,FALSE),"0")+0,IFERROR(($H110-SUMIF($I$1:$W$1,"ACTUAL",$I110:$W110))*(VLOOKUP($B110,'Distribution %'!$A$2:$Q$232,MATCH(P$2,'Distribution %'!$A$2:$Q$2,0),FALSE)/(SUMIF('Distribution %'!$C$1:$Q$1,"BUDGET",'Distribution %'!$C61:$Q61))),"0")+0)</f>
        <v>0</v>
      </c>
      <c r="Q110" s="389">
        <f>IF(VLOOKUP("Net Income",'FY ACTUALS'!$A$1:$X$996,Q$3,FALSE)&lt;&gt;0,IFERROR(VLOOKUP($B110,'FY ACTUALS'!$A$1:$X$996,Q$3,FALSE),"0")+0,IFERROR(($H110-SUMIF($I$1:$W$1,"ACTUAL",$I110:$W110))*(VLOOKUP($B110,'Distribution %'!$A$2:$Q$232,MATCH(Q$2,'Distribution %'!$A$2:$Q$2,0),FALSE)/(SUMIF('Distribution %'!$C$1:$Q$1,"BUDGET",'Distribution %'!$C61:$Q61))),"0")+0)</f>
        <v>0</v>
      </c>
      <c r="R110" s="389">
        <f>IF(VLOOKUP("Net Income",'FY ACTUALS'!$A$1:$X$996,R$3,FALSE)&lt;&gt;0,IFERROR(VLOOKUP($B110,'FY ACTUALS'!$A$1:$X$996,R$3,FALSE),"0")+0,IFERROR(($H110-SUMIF($I$1:$W$1,"ACTUAL",$I110:$W110))*(VLOOKUP($B110,'Distribution %'!$A$2:$Q$232,MATCH(R$2,'Distribution %'!$A$2:$Q$2,0),FALSE)/(SUMIF('Distribution %'!$C$1:$Q$1,"BUDGET",'Distribution %'!$C61:$Q61))),"0")+0)</f>
        <v>0</v>
      </c>
      <c r="S110" s="389">
        <f>IF(VLOOKUP("Net Income",'FY ACTUALS'!$A$1:$X$996,S$3,FALSE)&lt;&gt;0,IFERROR(VLOOKUP($B110,'FY ACTUALS'!$A$1:$X$996,S$3,FALSE),"0")+0,IFERROR(($H110-SUMIF($I$1:$W$1,"ACTUAL",$I110:$W110))*(VLOOKUP($B110,'Distribution %'!$A$2:$Q$232,MATCH(S$2,'Distribution %'!$A$2:$Q$2,0),FALSE)/(SUMIF('Distribution %'!$C$1:$Q$1,"BUDGET",'Distribution %'!$C61:$Q61))),"0")+0)</f>
        <v>0</v>
      </c>
      <c r="T110" s="389">
        <f>IF(VLOOKUP("Net Income",'FY ACTUALS'!$A$1:$X$996,T$3,FALSE)&lt;&gt;0,IFERROR(VLOOKUP($B110,'FY ACTUALS'!$A$1:$X$996,T$3,FALSE),"0")+0,IFERROR(($H110-SUMIF($I$1:$W$1,"ACTUAL",$I110:$W110))*(VLOOKUP($B110,'Distribution %'!$A$2:$Q$232,MATCH(T$2,'Distribution %'!$A$2:$Q$2,0),FALSE)/(SUMIF('Distribution %'!$C$1:$Q$1,"BUDGET",'Distribution %'!$C61:$Q61))),"0")+0)</f>
        <v>0</v>
      </c>
      <c r="U110" s="389">
        <f>IF(VLOOKUP("Net Income",'FY ACTUALS'!$A$1:$X$996,U$3,FALSE)&lt;&gt;0,IFERROR(VLOOKUP($B110,'FY ACTUALS'!$A$1:$X$996,U$3,FALSE),"0")+0,IFERROR(($H110-SUMIF($I$1:$W$1,"ACTUAL",$I110:$W110))*(VLOOKUP($B110,'Distribution %'!$A$2:$Q$232,MATCH(U$2,'Distribution %'!$A$2:$Q$2,0),FALSE)/(SUMIF('Distribution %'!$C$1:$Q$1,"BUDGET",'Distribution %'!$C61:$Q61))),"0")+0)</f>
        <v>0</v>
      </c>
      <c r="V110" s="389">
        <f>IF(VLOOKUP("Net Income",'FY ACTUALS'!$A$1:$X$996,V$3,FALSE)&lt;&gt;0,IFERROR(VLOOKUP($B110,'FY ACTUALS'!$A$1:$X$996,V$3,FALSE),"0")+0,IFERROR(($H110-SUMIF($I$1:$W$1,"ACTUAL",$I110:$W110))*(VLOOKUP($B110,'Distribution %'!$A$2:$Q$232,MATCH(V$2,'Distribution %'!$A$2:$Q$2,0),FALSE)/(SUMIF('Distribution %'!$C$1:$Q$1,"BUDGET",'Distribution %'!$C61:$Q61))),"0")+0)</f>
        <v>0</v>
      </c>
      <c r="W110" s="431">
        <f>IF(VLOOKUP("Net Income",'FY ACTUALS'!$A$1:$X$996,W$3,FALSE)&lt;&gt;0,IFERROR(VLOOKUP($B110,'FY ACTUALS'!$A$1:$X$996,W$3,FALSE),"0")+0,IFERROR(($H110-SUMIF($I$1:$W$1,"ACTUAL",$I110:$W110))*(VLOOKUP($B110,'Distribution %'!$A$2:$Q$232,MATCH(W$2,'Distribution %'!$A$2:$Q$2,0),FALSE)/(SUMIF('Distribution %'!$C$1:$Q$1,"BUDGET",'Distribution %'!$C61:$Q61))),"0")+0)</f>
        <v>0</v>
      </c>
      <c r="X110" s="387">
        <f t="shared" si="34"/>
        <v>0</v>
      </c>
      <c r="Y110" s="387"/>
      <c r="Z110" s="387">
        <f t="shared" si="35"/>
        <v>0</v>
      </c>
    </row>
    <row r="111" spans="2:26" x14ac:dyDescent="0.75">
      <c r="G111" s="392"/>
      <c r="H111" s="430">
        <f>IFERROR(VLOOKUP(B111,'Expenses w MYP'!$A$8:$K$119,11,FALSE),"0")+0</f>
        <v>0</v>
      </c>
      <c r="I111" s="388">
        <f>IF(VLOOKUP("Net Income",'FY ACTUALS'!$A$1:$X$996,I$3,FALSE)&lt;&gt;0,IFERROR(VLOOKUP($B111,'FY ACTUALS'!$A$1:$X$996,I$3,FALSE),"0")+0,IFERROR(($H111-SUMIF($I$1:$W$1,"ACTUAL",$I111:$W111))*(VLOOKUP($B111,'Distribution %'!$A$2:$Q$232,MATCH(I$2,'Distribution %'!$A$2:$Q$2,0),FALSE)/(SUMIF('Distribution %'!$C$1:$Q$1,"BUDGET",'Distribution %'!$C62:$Q62))),"0")+0)</f>
        <v>0</v>
      </c>
      <c r="J111" s="389">
        <f>IF(VLOOKUP("Net Income",'FY ACTUALS'!$A$1:$X$996,J$3,FALSE)&lt;&gt;0,IFERROR(VLOOKUP($B111,'FY ACTUALS'!$A$1:$X$996,J$3,FALSE),"0")+0,IFERROR(($H111-SUMIF($I$1:$W$1,"ACTUAL",$I111:$W111))*(VLOOKUP($B111,'Distribution %'!$A$2:$Q$232,MATCH(J$2,'Distribution %'!$A$2:$Q$2,0),FALSE)/(SUMIF('Distribution %'!$C$1:$Q$1,"BUDGET",'Distribution %'!$C62:$Q62))),"0")+0)</f>
        <v>0</v>
      </c>
      <c r="K111" s="389">
        <f>IF(VLOOKUP("Net Income",'FY ACTUALS'!$A$1:$X$996,K$3,FALSE)&lt;&gt;0,IFERROR(VLOOKUP($B111,'FY ACTUALS'!$A$1:$X$996,K$3,FALSE),"0")+0,IFERROR(($H111-SUMIF($I$1:$W$1,"ACTUAL",$I111:$W111))*(VLOOKUP($B111,'Distribution %'!$A$2:$Q$232,MATCH(K$2,'Distribution %'!$A$2:$Q$2,0),FALSE)/(SUMIF('Distribution %'!$C$1:$Q$1,"BUDGET",'Distribution %'!$C62:$Q62))),"0")+0)</f>
        <v>0</v>
      </c>
      <c r="L111" s="389">
        <f>IF(VLOOKUP("Net Income",'FY ACTUALS'!$A$1:$X$996,L$3,FALSE)&lt;&gt;0,IFERROR(VLOOKUP($B111,'FY ACTUALS'!$A$1:$X$996,L$3,FALSE),"0")+0,IFERROR(($H111-SUMIF($I$1:$W$1,"ACTUAL",$I111:$W111))*(VLOOKUP($B111,'Distribution %'!$A$2:$Q$232,MATCH(L$2,'Distribution %'!$A$2:$Q$2,0),FALSE)/(SUMIF('Distribution %'!$C$1:$Q$1,"BUDGET",'Distribution %'!$C62:$Q62))),"0")+0)</f>
        <v>0</v>
      </c>
      <c r="M111" s="389">
        <f>IF(VLOOKUP("Net Income",'FY ACTUALS'!$A$1:$X$996,M$3,FALSE)&lt;&gt;0,IFERROR(VLOOKUP($B111,'FY ACTUALS'!$A$1:$X$996,M$3,FALSE),"0")+0,IFERROR(($H111-SUMIF($I$1:$W$1,"ACTUAL",$I111:$W111))*(VLOOKUP($B111,'Distribution %'!$A$2:$Q$232,MATCH(M$2,'Distribution %'!$A$2:$Q$2,0),FALSE)/(SUMIF('Distribution %'!$C$1:$Q$1,"BUDGET",'Distribution %'!$C62:$Q62))),"0")+0)</f>
        <v>0</v>
      </c>
      <c r="N111" s="389">
        <f>IF(VLOOKUP("Net Income",'FY ACTUALS'!$A$1:$X$996,N$3,FALSE)&lt;&gt;0,IFERROR(VLOOKUP($B111,'FY ACTUALS'!$A$1:$X$996,N$3,FALSE),"0")+0,IFERROR(($H111-SUMIF($I$1:$W$1,"ACTUAL",$I111:$W111))*(VLOOKUP($B111,'Distribution %'!$A$2:$Q$232,MATCH(N$2,'Distribution %'!$A$2:$Q$2,0),FALSE)/(SUMIF('Distribution %'!$C$1:$Q$1,"BUDGET",'Distribution %'!$C62:$Q62))),"0")+0)</f>
        <v>0</v>
      </c>
      <c r="O111" s="389">
        <f>IF(VLOOKUP("Net Income",'FY ACTUALS'!$A$1:$X$996,O$3,FALSE)&lt;&gt;0,IFERROR(VLOOKUP($B111,'FY ACTUALS'!$A$1:$X$996,O$3,FALSE),"0")+0,IFERROR(($H111-SUMIF($I$1:$W$1,"ACTUAL",$I111:$W111))*(VLOOKUP($B111,'Distribution %'!$A$2:$Q$232,MATCH(O$2,'Distribution %'!$A$2:$Q$2,0),FALSE)/(SUMIF('Distribution %'!$C$1:$Q$1,"BUDGET",'Distribution %'!$C62:$Q62))),"0")+0)</f>
        <v>0</v>
      </c>
      <c r="P111" s="389">
        <f>IF(VLOOKUP("Net Income",'FY ACTUALS'!$A$1:$X$996,P$3,FALSE)&lt;&gt;0,IFERROR(VLOOKUP($B111,'FY ACTUALS'!$A$1:$X$996,P$3,FALSE),"0")+0,IFERROR(($H111-SUMIF($I$1:$W$1,"ACTUAL",$I111:$W111))*(VLOOKUP($B111,'Distribution %'!$A$2:$Q$232,MATCH(P$2,'Distribution %'!$A$2:$Q$2,0),FALSE)/(SUMIF('Distribution %'!$C$1:$Q$1,"BUDGET",'Distribution %'!$C62:$Q62))),"0")+0)</f>
        <v>0</v>
      </c>
      <c r="Q111" s="389">
        <f>IF(VLOOKUP("Net Income",'FY ACTUALS'!$A$1:$X$996,Q$3,FALSE)&lt;&gt;0,IFERROR(VLOOKUP($B111,'FY ACTUALS'!$A$1:$X$996,Q$3,FALSE),"0")+0,IFERROR(($H111-SUMIF($I$1:$W$1,"ACTUAL",$I111:$W111))*(VLOOKUP($B111,'Distribution %'!$A$2:$Q$232,MATCH(Q$2,'Distribution %'!$A$2:$Q$2,0),FALSE)/(SUMIF('Distribution %'!$C$1:$Q$1,"BUDGET",'Distribution %'!$C62:$Q62))),"0")+0)</f>
        <v>0</v>
      </c>
      <c r="R111" s="389">
        <f>IF(VLOOKUP("Net Income",'FY ACTUALS'!$A$1:$X$996,R$3,FALSE)&lt;&gt;0,IFERROR(VLOOKUP($B111,'FY ACTUALS'!$A$1:$X$996,R$3,FALSE),"0")+0,IFERROR(($H111-SUMIF($I$1:$W$1,"ACTUAL",$I111:$W111))*(VLOOKUP($B111,'Distribution %'!$A$2:$Q$232,MATCH(R$2,'Distribution %'!$A$2:$Q$2,0),FALSE)/(SUMIF('Distribution %'!$C$1:$Q$1,"BUDGET",'Distribution %'!$C62:$Q62))),"0")+0)</f>
        <v>0</v>
      </c>
      <c r="S111" s="389">
        <f>IF(VLOOKUP("Net Income",'FY ACTUALS'!$A$1:$X$996,S$3,FALSE)&lt;&gt;0,IFERROR(VLOOKUP($B111,'FY ACTUALS'!$A$1:$X$996,S$3,FALSE),"0")+0,IFERROR(($H111-SUMIF($I$1:$W$1,"ACTUAL",$I111:$W111))*(VLOOKUP($B111,'Distribution %'!$A$2:$Q$232,MATCH(S$2,'Distribution %'!$A$2:$Q$2,0),FALSE)/(SUMIF('Distribution %'!$C$1:$Q$1,"BUDGET",'Distribution %'!$C62:$Q62))),"0")+0)</f>
        <v>0</v>
      </c>
      <c r="T111" s="389">
        <f>IF(VLOOKUP("Net Income",'FY ACTUALS'!$A$1:$X$996,T$3,FALSE)&lt;&gt;0,IFERROR(VLOOKUP($B111,'FY ACTUALS'!$A$1:$X$996,T$3,FALSE),"0")+0,IFERROR(($H111-SUMIF($I$1:$W$1,"ACTUAL",$I111:$W111))*(VLOOKUP($B111,'Distribution %'!$A$2:$Q$232,MATCH(T$2,'Distribution %'!$A$2:$Q$2,0),FALSE)/(SUMIF('Distribution %'!$C$1:$Q$1,"BUDGET",'Distribution %'!$C62:$Q62))),"0")+0)</f>
        <v>0</v>
      </c>
      <c r="U111" s="389">
        <f>IF(VLOOKUP("Net Income",'FY ACTUALS'!$A$1:$X$996,U$3,FALSE)&lt;&gt;0,IFERROR(VLOOKUP($B111,'FY ACTUALS'!$A$1:$X$996,U$3,FALSE),"0")+0,IFERROR(($H111-SUMIF($I$1:$W$1,"ACTUAL",$I111:$W111))*(VLOOKUP($B111,'Distribution %'!$A$2:$Q$232,MATCH(U$2,'Distribution %'!$A$2:$Q$2,0),FALSE)/(SUMIF('Distribution %'!$C$1:$Q$1,"BUDGET",'Distribution %'!$C62:$Q62))),"0")+0)</f>
        <v>0</v>
      </c>
      <c r="V111" s="389">
        <f>IF(VLOOKUP("Net Income",'FY ACTUALS'!$A$1:$X$996,V$3,FALSE)&lt;&gt;0,IFERROR(VLOOKUP($B111,'FY ACTUALS'!$A$1:$X$996,V$3,FALSE),"0")+0,IFERROR(($H111-SUMIF($I$1:$W$1,"ACTUAL",$I111:$W111))*(VLOOKUP($B111,'Distribution %'!$A$2:$Q$232,MATCH(V$2,'Distribution %'!$A$2:$Q$2,0),FALSE)/(SUMIF('Distribution %'!$C$1:$Q$1,"BUDGET",'Distribution %'!$C62:$Q62))),"0")+0)</f>
        <v>0</v>
      </c>
      <c r="W111" s="431">
        <f>IF(VLOOKUP("Net Income",'FY ACTUALS'!$A$1:$X$996,W$3,FALSE)&lt;&gt;0,IFERROR(VLOOKUP($B111,'FY ACTUALS'!$A$1:$X$996,W$3,FALSE),"0")+0,IFERROR(($H111-SUMIF($I$1:$W$1,"ACTUAL",$I111:$W111))*(VLOOKUP($B111,'Distribution %'!$A$2:$Q$232,MATCH(W$2,'Distribution %'!$A$2:$Q$2,0),FALSE)/(SUMIF('Distribution %'!$C$1:$Q$1,"BUDGET",'Distribution %'!$C62:$Q62))),"0")+0)</f>
        <v>0</v>
      </c>
      <c r="X111" s="387">
        <f t="shared" si="34"/>
        <v>0</v>
      </c>
      <c r="Y111" s="387"/>
      <c r="Z111" s="387">
        <f t="shared" si="35"/>
        <v>0</v>
      </c>
    </row>
    <row r="112" spans="2:26" x14ac:dyDescent="0.75">
      <c r="G112" s="392"/>
      <c r="H112" s="432">
        <f>IFERROR(VLOOKUP(B112,'Expenses w MYP'!$A$8:$K$119,11,FALSE),"0")+0</f>
        <v>0</v>
      </c>
      <c r="I112" s="388">
        <f>IF(VLOOKUP("Net Income",'FY ACTUALS'!$A$1:$X$996,I$3,FALSE)&lt;&gt;0,IFERROR(VLOOKUP($B112,'FY ACTUALS'!$A$1:$X$996,I$3,FALSE),"0")+0,IFERROR(($H112-SUMIF($I$1:$W$1,"ACTUAL",$I112:$W112))*(VLOOKUP($B112,'Distribution %'!$A$2:$Q$232,MATCH(I$2,'Distribution %'!$A$2:$Q$2,0),FALSE)/(SUMIF('Distribution %'!$C$1:$Q$1,"BUDGET",'Distribution %'!$C63:$Q63))),"0")+0)</f>
        <v>0</v>
      </c>
      <c r="J112" s="389">
        <f>IF(VLOOKUP("Net Income",'FY ACTUALS'!$A$1:$X$996,J$3,FALSE)&lt;&gt;0,IFERROR(VLOOKUP($B112,'FY ACTUALS'!$A$1:$X$996,J$3,FALSE),"0")+0,IFERROR(($H112-SUMIF($I$1:$W$1,"ACTUAL",$I112:$W112))*(VLOOKUP($B112,'Distribution %'!$A$2:$Q$232,MATCH(J$2,'Distribution %'!$A$2:$Q$2,0),FALSE)/(SUMIF('Distribution %'!$C$1:$Q$1,"BUDGET",'Distribution %'!$C63:$Q63))),"0")+0)</f>
        <v>0</v>
      </c>
      <c r="K112" s="389">
        <f>IF(VLOOKUP("Net Income",'FY ACTUALS'!$A$1:$X$996,K$3,FALSE)&lt;&gt;0,IFERROR(VLOOKUP($B112,'FY ACTUALS'!$A$1:$X$996,K$3,FALSE),"0")+0,IFERROR(($H112-SUMIF($I$1:$W$1,"ACTUAL",$I112:$W112))*(VLOOKUP($B112,'Distribution %'!$A$2:$Q$232,MATCH(K$2,'Distribution %'!$A$2:$Q$2,0),FALSE)/(SUMIF('Distribution %'!$C$1:$Q$1,"BUDGET",'Distribution %'!$C63:$Q63))),"0")+0)</f>
        <v>0</v>
      </c>
      <c r="L112" s="389">
        <f>IF(VLOOKUP("Net Income",'FY ACTUALS'!$A$1:$X$996,L$3,FALSE)&lt;&gt;0,IFERROR(VLOOKUP($B112,'FY ACTUALS'!$A$1:$X$996,L$3,FALSE),"0")+0,IFERROR(($H112-SUMIF($I$1:$W$1,"ACTUAL",$I112:$W112))*(VLOOKUP($B112,'Distribution %'!$A$2:$Q$232,MATCH(L$2,'Distribution %'!$A$2:$Q$2,0),FALSE)/(SUMIF('Distribution %'!$C$1:$Q$1,"BUDGET",'Distribution %'!$C63:$Q63))),"0")+0)</f>
        <v>0</v>
      </c>
      <c r="M112" s="389">
        <f>IF(VLOOKUP("Net Income",'FY ACTUALS'!$A$1:$X$996,M$3,FALSE)&lt;&gt;0,IFERROR(VLOOKUP($B112,'FY ACTUALS'!$A$1:$X$996,M$3,FALSE),"0")+0,IFERROR(($H112-SUMIF($I$1:$W$1,"ACTUAL",$I112:$W112))*(VLOOKUP($B112,'Distribution %'!$A$2:$Q$232,MATCH(M$2,'Distribution %'!$A$2:$Q$2,0),FALSE)/(SUMIF('Distribution %'!$C$1:$Q$1,"BUDGET",'Distribution %'!$C63:$Q63))),"0")+0)</f>
        <v>0</v>
      </c>
      <c r="N112" s="389">
        <f>IF(VLOOKUP("Net Income",'FY ACTUALS'!$A$1:$X$996,N$3,FALSE)&lt;&gt;0,IFERROR(VLOOKUP($B112,'FY ACTUALS'!$A$1:$X$996,N$3,FALSE),"0")+0,IFERROR(($H112-SUMIF($I$1:$W$1,"ACTUAL",$I112:$W112))*(VLOOKUP($B112,'Distribution %'!$A$2:$Q$232,MATCH(N$2,'Distribution %'!$A$2:$Q$2,0),FALSE)/(SUMIF('Distribution %'!$C$1:$Q$1,"BUDGET",'Distribution %'!$C63:$Q63))),"0")+0)</f>
        <v>0</v>
      </c>
      <c r="O112" s="389">
        <f>IF(VLOOKUP("Net Income",'FY ACTUALS'!$A$1:$X$996,O$3,FALSE)&lt;&gt;0,IFERROR(VLOOKUP($B112,'FY ACTUALS'!$A$1:$X$996,O$3,FALSE),"0")+0,IFERROR(($H112-SUMIF($I$1:$W$1,"ACTUAL",$I112:$W112))*(VLOOKUP($B112,'Distribution %'!$A$2:$Q$232,MATCH(O$2,'Distribution %'!$A$2:$Q$2,0),FALSE)/(SUMIF('Distribution %'!$C$1:$Q$1,"BUDGET",'Distribution %'!$C63:$Q63))),"0")+0)</f>
        <v>0</v>
      </c>
      <c r="P112" s="389">
        <f>IF(VLOOKUP("Net Income",'FY ACTUALS'!$A$1:$X$996,P$3,FALSE)&lt;&gt;0,IFERROR(VLOOKUP($B112,'FY ACTUALS'!$A$1:$X$996,P$3,FALSE),"0")+0,IFERROR(($H112-SUMIF($I$1:$W$1,"ACTUAL",$I112:$W112))*(VLOOKUP($B112,'Distribution %'!$A$2:$Q$232,MATCH(P$2,'Distribution %'!$A$2:$Q$2,0),FALSE)/(SUMIF('Distribution %'!$C$1:$Q$1,"BUDGET",'Distribution %'!$C63:$Q63))),"0")+0)</f>
        <v>0</v>
      </c>
      <c r="Q112" s="389">
        <f>IF(VLOOKUP("Net Income",'FY ACTUALS'!$A$1:$X$996,Q$3,FALSE)&lt;&gt;0,IFERROR(VLOOKUP($B112,'FY ACTUALS'!$A$1:$X$996,Q$3,FALSE),"0")+0,IFERROR(($H112-SUMIF($I$1:$W$1,"ACTUAL",$I112:$W112))*(VLOOKUP($B112,'Distribution %'!$A$2:$Q$232,MATCH(Q$2,'Distribution %'!$A$2:$Q$2,0),FALSE)/(SUMIF('Distribution %'!$C$1:$Q$1,"BUDGET",'Distribution %'!$C63:$Q63))),"0")+0)</f>
        <v>0</v>
      </c>
      <c r="R112" s="389">
        <f>IF(VLOOKUP("Net Income",'FY ACTUALS'!$A$1:$X$996,R$3,FALSE)&lt;&gt;0,IFERROR(VLOOKUP($B112,'FY ACTUALS'!$A$1:$X$996,R$3,FALSE),"0")+0,IFERROR(($H112-SUMIF($I$1:$W$1,"ACTUAL",$I112:$W112))*(VLOOKUP($B112,'Distribution %'!$A$2:$Q$232,MATCH(R$2,'Distribution %'!$A$2:$Q$2,0),FALSE)/(SUMIF('Distribution %'!$C$1:$Q$1,"BUDGET",'Distribution %'!$C63:$Q63))),"0")+0)</f>
        <v>0</v>
      </c>
      <c r="S112" s="389">
        <f>IF(VLOOKUP("Net Income",'FY ACTUALS'!$A$1:$X$996,S$3,FALSE)&lt;&gt;0,IFERROR(VLOOKUP($B112,'FY ACTUALS'!$A$1:$X$996,S$3,FALSE),"0")+0,IFERROR(($H112-SUMIF($I$1:$W$1,"ACTUAL",$I112:$W112))*(VLOOKUP($B112,'Distribution %'!$A$2:$Q$232,MATCH(S$2,'Distribution %'!$A$2:$Q$2,0),FALSE)/(SUMIF('Distribution %'!$C$1:$Q$1,"BUDGET",'Distribution %'!$C63:$Q63))),"0")+0)</f>
        <v>0</v>
      </c>
      <c r="T112" s="389">
        <f>IF(VLOOKUP("Net Income",'FY ACTUALS'!$A$1:$X$996,T$3,FALSE)&lt;&gt;0,IFERROR(VLOOKUP($B112,'FY ACTUALS'!$A$1:$X$996,T$3,FALSE),"0")+0,IFERROR(($H112-SUMIF($I$1:$W$1,"ACTUAL",$I112:$W112))*(VLOOKUP($B112,'Distribution %'!$A$2:$Q$232,MATCH(T$2,'Distribution %'!$A$2:$Q$2,0),FALSE)/(SUMIF('Distribution %'!$C$1:$Q$1,"BUDGET",'Distribution %'!$C63:$Q63))),"0")+0)</f>
        <v>0</v>
      </c>
      <c r="U112" s="389">
        <f>IF(VLOOKUP("Net Income",'FY ACTUALS'!$A$1:$X$996,U$3,FALSE)&lt;&gt;0,IFERROR(VLOOKUP($B112,'FY ACTUALS'!$A$1:$X$996,U$3,FALSE),"0")+0,IFERROR(($H112-SUMIF($I$1:$W$1,"ACTUAL",$I112:$W112))*(VLOOKUP($B112,'Distribution %'!$A$2:$Q$232,MATCH(U$2,'Distribution %'!$A$2:$Q$2,0),FALSE)/(SUMIF('Distribution %'!$C$1:$Q$1,"BUDGET",'Distribution %'!$C63:$Q63))),"0")+0)</f>
        <v>0</v>
      </c>
      <c r="V112" s="389">
        <f>IF(VLOOKUP("Net Income",'FY ACTUALS'!$A$1:$X$996,V$3,FALSE)&lt;&gt;0,IFERROR(VLOOKUP($B112,'FY ACTUALS'!$A$1:$X$996,V$3,FALSE),"0")+0,IFERROR(($H112-SUMIF($I$1:$W$1,"ACTUAL",$I112:$W112))*(VLOOKUP($B112,'Distribution %'!$A$2:$Q$232,MATCH(V$2,'Distribution %'!$A$2:$Q$2,0),FALSE)/(SUMIF('Distribution %'!$C$1:$Q$1,"BUDGET",'Distribution %'!$C63:$Q63))),"0")+0)</f>
        <v>0</v>
      </c>
      <c r="W112" s="433">
        <f>IF(VLOOKUP("Net Income",'FY ACTUALS'!$A$1:$X$996,W$3,FALSE)&lt;&gt;0,IFERROR(VLOOKUP($B112,'FY ACTUALS'!$A$1:$X$996,W$3,FALSE),"0")+0,IFERROR(($H112-SUMIF($I$1:$W$1,"ACTUAL",$I112:$W112))*(VLOOKUP($B112,'Distribution %'!$A$2:$Q$232,MATCH(W$2,'Distribution %'!$A$2:$Q$2,0),FALSE)/(SUMIF('Distribution %'!$C$1:$Q$1,"BUDGET",'Distribution %'!$C63:$Q63))),"0")+0)</f>
        <v>0</v>
      </c>
      <c r="X112" s="400">
        <f t="shared" si="34"/>
        <v>0</v>
      </c>
      <c r="Y112" s="400"/>
      <c r="Z112" s="400">
        <f t="shared" si="35"/>
        <v>0</v>
      </c>
    </row>
    <row r="113" spans="2:26" x14ac:dyDescent="0.75">
      <c r="B113" s="379" t="s">
        <v>1388</v>
      </c>
      <c r="G113" s="392"/>
      <c r="H113" s="439">
        <f ca="1">+SUM(H89:H112)</f>
        <v>5431313.0134374388</v>
      </c>
      <c r="I113" s="407">
        <f t="shared" ref="I113:W113" si="36">SUM(I89:I112)</f>
        <v>250497.36000000002</v>
      </c>
      <c r="J113" s="408">
        <f t="shared" si="36"/>
        <v>310234.23999999999</v>
      </c>
      <c r="K113" s="408">
        <f t="shared" si="36"/>
        <v>427502.97</v>
      </c>
      <c r="L113" s="408">
        <f t="shared" si="36"/>
        <v>381692.91000000003</v>
      </c>
      <c r="M113" s="408">
        <f t="shared" si="36"/>
        <v>402251.74000000005</v>
      </c>
      <c r="N113" s="408">
        <f t="shared" si="36"/>
        <v>408779.55</v>
      </c>
      <c r="O113" s="408">
        <f t="shared" si="36"/>
        <v>624087.96</v>
      </c>
      <c r="P113" s="408">
        <f t="shared" ca="1" si="36"/>
        <v>520238.90578832338</v>
      </c>
      <c r="Q113" s="408">
        <f t="shared" ca="1" si="36"/>
        <v>526506.84441227908</v>
      </c>
      <c r="R113" s="408">
        <f t="shared" ca="1" si="36"/>
        <v>526506.84441227908</v>
      </c>
      <c r="S113" s="409">
        <f t="shared" ca="1" si="36"/>
        <v>526506.84441227908</v>
      </c>
      <c r="T113" s="409">
        <f t="shared" ca="1" si="36"/>
        <v>526506.84441227908</v>
      </c>
      <c r="U113" s="409">
        <f t="shared" ref="U113:V113" ca="1" si="37">SUM(U89:U112)</f>
        <v>0</v>
      </c>
      <c r="V113" s="409">
        <f t="shared" ca="1" si="37"/>
        <v>0</v>
      </c>
      <c r="W113" s="438">
        <f t="shared" ca="1" si="36"/>
        <v>0</v>
      </c>
      <c r="X113" s="418">
        <f ca="1">+SUM(X89:X112)</f>
        <v>5431313.0134374388</v>
      </c>
      <c r="Y113" s="418"/>
      <c r="Z113" s="418">
        <f ca="1">+SUM(Z89:Z112)</f>
        <v>-1.0097419586828951E-28</v>
      </c>
    </row>
    <row r="114" spans="2:26" x14ac:dyDescent="0.75">
      <c r="G114" s="392"/>
      <c r="H114" s="430"/>
      <c r="I114" s="388"/>
      <c r="J114" s="389"/>
      <c r="K114" s="389"/>
      <c r="L114" s="389"/>
      <c r="M114" s="389"/>
      <c r="N114" s="389"/>
      <c r="O114" s="389"/>
      <c r="P114" s="389"/>
      <c r="Q114" s="389"/>
      <c r="R114" s="389"/>
      <c r="S114" s="390"/>
      <c r="T114" s="390"/>
      <c r="U114" s="387"/>
      <c r="V114" s="387"/>
      <c r="W114" s="431"/>
      <c r="X114" s="387"/>
      <c r="Y114" s="387"/>
      <c r="Z114" s="387"/>
    </row>
    <row r="115" spans="2:26" x14ac:dyDescent="0.75">
      <c r="B115" s="364" t="s">
        <v>676</v>
      </c>
      <c r="G115" s="392"/>
      <c r="H115" s="430"/>
      <c r="I115" s="388"/>
      <c r="J115" s="389"/>
      <c r="K115" s="389"/>
      <c r="L115" s="389"/>
      <c r="M115" s="389"/>
      <c r="N115" s="389"/>
      <c r="O115" s="389"/>
      <c r="P115" s="389"/>
      <c r="Q115" s="389"/>
      <c r="R115" s="389"/>
      <c r="S115" s="390"/>
      <c r="T115" s="390"/>
      <c r="U115" s="387"/>
      <c r="V115" s="387"/>
      <c r="W115" s="431"/>
      <c r="X115" s="387"/>
      <c r="Y115" s="387"/>
      <c r="Z115" s="387"/>
    </row>
    <row r="116" spans="2:26" x14ac:dyDescent="0.75">
      <c r="B116" s="403">
        <v>4100</v>
      </c>
      <c r="C116" s="379" t="s">
        <v>592</v>
      </c>
      <c r="F116" s="379" t="str">
        <f>IF(ISERROR(VLOOKUP(B116,'Distribution %'!A:A,1,FALSE)),"NO","YES")</f>
        <v>YES</v>
      </c>
      <c r="G116" s="392"/>
      <c r="H116" s="430">
        <f>IFERROR(VLOOKUP(B116,'Expenses w MYP'!$A$8:$K$119,11,FALSE),"0")+0</f>
        <v>4266560</v>
      </c>
      <c r="I116" s="388">
        <f>IF(VLOOKUP("Net Income",'FY ACTUALS'!$A$1:$X$996,I$3,FALSE)&lt;&gt;0,IFERROR(VLOOKUP($B116,'FY ACTUALS'!$A$1:$X$996,I$3,FALSE),"0")+0,IFERROR(($H116-SUMIF($I$1:$W$1,"ACTUAL",$I116:$W116))*(VLOOKUP($B116,'Distribution %'!$A$2:$Q$232,MATCH(I$2,'Distribution %'!$A$2:$Q$2,0),FALSE)/(SUMIF('Distribution %'!$C$1:$Q$1,"BUDGET",'Distribution %'!$C53:$Q53))),"0")+0)</f>
        <v>-1467.15</v>
      </c>
      <c r="J116" s="389">
        <f>IF(VLOOKUP("Net Income",'FY ACTUALS'!$A$1:$X$996,J$3,FALSE)&lt;&gt;0,IFERROR(VLOOKUP($B116,'FY ACTUALS'!$A$1:$X$996,J$3,FALSE),"0")+0,IFERROR(($H116-SUMIF($I$1:$W$1,"ACTUAL",$I116:$W116))*(VLOOKUP($B116,'Distribution %'!$A$2:$Q$232,MATCH(J$2,'Distribution %'!$A$2:$Q$2,0),FALSE)/(SUMIF('Distribution %'!$C$1:$Q$1,"BUDGET",'Distribution %'!$C53:$Q53))),"0")+0)</f>
        <v>1945.63</v>
      </c>
      <c r="K116" s="389">
        <f>IF(VLOOKUP("Net Income",'FY ACTUALS'!$A$1:$X$996,K$3,FALSE)&lt;&gt;0,IFERROR(VLOOKUP($B116,'FY ACTUALS'!$A$1:$X$996,K$3,FALSE),"0")+0,IFERROR(($H116-SUMIF($I$1:$W$1,"ACTUAL",$I116:$W116))*(VLOOKUP($B116,'Distribution %'!$A$2:$Q$232,MATCH(K$2,'Distribution %'!$A$2:$Q$2,0),FALSE)/(SUMIF('Distribution %'!$C$1:$Q$1,"BUDGET",'Distribution %'!$C53:$Q53))),"0")+0)</f>
        <v>223569.1</v>
      </c>
      <c r="L116" s="389">
        <f>IF(VLOOKUP("Net Income",'FY ACTUALS'!$A$1:$X$996,L$3,FALSE)&lt;&gt;0,IFERROR(VLOOKUP($B116,'FY ACTUALS'!$A$1:$X$996,L$3,FALSE),"0")+0,IFERROR(($H116-SUMIF($I$1:$W$1,"ACTUAL",$I116:$W116))*(VLOOKUP($B116,'Distribution %'!$A$2:$Q$232,MATCH(L$2,'Distribution %'!$A$2:$Q$2,0),FALSE)/(SUMIF('Distribution %'!$C$1:$Q$1,"BUDGET",'Distribution %'!$C53:$Q53))),"0")+0)</f>
        <v>451153.51</v>
      </c>
      <c r="M116" s="389">
        <f>IF(VLOOKUP("Net Income",'FY ACTUALS'!$A$1:$X$996,M$3,FALSE)&lt;&gt;0,IFERROR(VLOOKUP($B116,'FY ACTUALS'!$A$1:$X$996,M$3,FALSE),"0")+0,IFERROR(($H116-SUMIF($I$1:$W$1,"ACTUAL",$I116:$W116))*(VLOOKUP($B116,'Distribution %'!$A$2:$Q$232,MATCH(M$2,'Distribution %'!$A$2:$Q$2,0),FALSE)/(SUMIF('Distribution %'!$C$1:$Q$1,"BUDGET",'Distribution %'!$C53:$Q53))),"0")+0)</f>
        <v>417777.5</v>
      </c>
      <c r="N116" s="389">
        <f>IF(VLOOKUP("Net Income",'FY ACTUALS'!$A$1:$X$996,N$3,FALSE)&lt;&gt;0,IFERROR(VLOOKUP($B116,'FY ACTUALS'!$A$1:$X$996,N$3,FALSE),"0")+0,IFERROR(($H116-SUMIF($I$1:$W$1,"ACTUAL",$I116:$W116))*(VLOOKUP($B116,'Distribution %'!$A$2:$Q$232,MATCH(N$2,'Distribution %'!$A$2:$Q$2,0),FALSE)/(SUMIF('Distribution %'!$C$1:$Q$1,"BUDGET",'Distribution %'!$C53:$Q53))),"0")+0)</f>
        <v>533458.93999999994</v>
      </c>
      <c r="O116" s="389">
        <f>IF(VLOOKUP("Net Income",'FY ACTUALS'!$A$1:$X$996,O$3,FALSE)&lt;&gt;0,IFERROR(VLOOKUP($B116,'FY ACTUALS'!$A$1:$X$996,O$3,FALSE),"0")+0,IFERROR(($H116-SUMIF($I$1:$W$1,"ACTUAL",$I116:$W116))*(VLOOKUP($B116,'Distribution %'!$A$2:$Q$232,MATCH(O$2,'Distribution %'!$A$2:$Q$2,0),FALSE)/(SUMIF('Distribution %'!$C$1:$Q$1,"BUDGET",'Distribution %'!$C53:$Q53))),"0")+0)</f>
        <v>139356.35</v>
      </c>
      <c r="P116" s="389">
        <f>IF(VLOOKUP("Net Income",'FY ACTUALS'!$A$1:$X$996,P$3,FALSE)&lt;&gt;0,IFERROR(VLOOKUP($B116,'FY ACTUALS'!$A$1:$X$996,P$3,FALSE),"0")+0,IFERROR(($H116-SUMIF($I$1:$W$1,"ACTUAL",$I116:$W116))*(VLOOKUP($B116,'Distribution %'!$A$2:$Q$232,MATCH(P$2,'Distribution %'!$A$2:$Q$2,0),FALSE)/(SUMIF('Distribution %'!$C$1:$Q$1,"BUDGET",'Distribution %'!$C53:$Q53))),"0")+0)</f>
        <v>1250383.06</v>
      </c>
      <c r="Q116" s="389">
        <f>IF(VLOOKUP("Net Income",'FY ACTUALS'!$A$1:$X$996,Q$3,FALSE)&lt;&gt;0,IFERROR(VLOOKUP($B116,'FY ACTUALS'!$A$1:$X$996,Q$3,FALSE),"0")+0,IFERROR(($H116-SUMIF($I$1:$W$1,"ACTUAL",$I116:$W116))*(VLOOKUP($B116,'Distribution %'!$A$2:$Q$232,MATCH(Q$2,'Distribution %'!$A$2:$Q$2,0),FALSE)/(SUMIF('Distribution %'!$C$1:$Q$1,"BUDGET",'Distribution %'!$C53:$Q53))),"0")+0)</f>
        <v>1250383.06</v>
      </c>
      <c r="R116" s="389">
        <f>IF(VLOOKUP("Net Income",'FY ACTUALS'!$A$1:$X$996,R$3,FALSE)&lt;&gt;0,IFERROR(VLOOKUP($B116,'FY ACTUALS'!$A$1:$X$996,R$3,FALSE),"0")+0,IFERROR(($H116-SUMIF($I$1:$W$1,"ACTUAL",$I116:$W116))*(VLOOKUP($B116,'Distribution %'!$A$2:$Q$232,MATCH(R$2,'Distribution %'!$A$2:$Q$2,0),FALSE)/(SUMIF('Distribution %'!$C$1:$Q$1,"BUDGET",'Distribution %'!$C53:$Q53))),"0")+0)</f>
        <v>0</v>
      </c>
      <c r="S116" s="389">
        <f>IF(VLOOKUP("Net Income",'FY ACTUALS'!$A$1:$X$996,S$3,FALSE)&lt;&gt;0,IFERROR(VLOOKUP($B116,'FY ACTUALS'!$A$1:$X$996,S$3,FALSE),"0")+0,IFERROR(($H116-SUMIF($I$1:$W$1,"ACTUAL",$I116:$W116))*(VLOOKUP($B116,'Distribution %'!$A$2:$Q$232,MATCH(S$2,'Distribution %'!$A$2:$Q$2,0),FALSE)/(SUMIF('Distribution %'!$C$1:$Q$1,"BUDGET",'Distribution %'!$C53:$Q53))),"0")+0)</f>
        <v>0</v>
      </c>
      <c r="T116" s="389">
        <f>IF(VLOOKUP("Net Income",'FY ACTUALS'!$A$1:$X$996,T$3,FALSE)&lt;&gt;0,IFERROR(VLOOKUP($B116,'FY ACTUALS'!$A$1:$X$996,T$3,FALSE),"0")+0,IFERROR(($H116-SUMIF($I$1:$W$1,"ACTUAL",$I116:$W116))*(VLOOKUP($B116,'Distribution %'!$A$2:$Q$232,MATCH(T$2,'Distribution %'!$A$2:$Q$2,0),FALSE)/(SUMIF('Distribution %'!$C$1:$Q$1,"BUDGET",'Distribution %'!$C53:$Q53))),"0")+0)</f>
        <v>0</v>
      </c>
      <c r="U116" s="389">
        <f>IF(VLOOKUP("Net Income",'FY ACTUALS'!$A$1:$X$996,U$3,FALSE)&lt;&gt;0,IFERROR(VLOOKUP($B116,'FY ACTUALS'!$A$1:$X$996,U$3,FALSE),"0")+0,IFERROR(($H116-SUMIF($I$1:$W$1,"ACTUAL",$I116:$W116))*(VLOOKUP($B116,'Distribution %'!$A$2:$Q$232,MATCH(U$2,'Distribution %'!$A$2:$Q$2,0),FALSE)/(SUMIF('Distribution %'!$C$1:$Q$1,"BUDGET",'Distribution %'!$C53:$Q53))),"0")+0)</f>
        <v>0</v>
      </c>
      <c r="V116" s="389">
        <f>IF(VLOOKUP("Net Income",'FY ACTUALS'!$A$1:$X$996,V$3,FALSE)&lt;&gt;0,IFERROR(VLOOKUP($B116,'FY ACTUALS'!$A$1:$X$996,V$3,FALSE),"0")+0,IFERROR(($H116-SUMIF($I$1:$W$1,"ACTUAL",$I116:$W116))*(VLOOKUP($B116,'Distribution %'!$A$2:$Q$232,MATCH(V$2,'Distribution %'!$A$2:$Q$2,0),FALSE)/(SUMIF('Distribution %'!$C$1:$Q$1,"BUDGET",'Distribution %'!$C53:$Q53))),"0")+0)</f>
        <v>0</v>
      </c>
      <c r="W116" s="431">
        <f>IF(VLOOKUP("Net Income",'FY ACTUALS'!$A$1:$X$996,W$3,FALSE)&lt;&gt;0,IFERROR(VLOOKUP($B116,'FY ACTUALS'!$A$1:$X$996,W$3,FALSE),"0")+0,IFERROR(($H116-SUMIF($I$1:$W$1,"ACTUAL",$I116:$W116))*(VLOOKUP($B116,'Distribution %'!$A$2:$Q$232,MATCH(W$2,'Distribution %'!$A$2:$Q$2,0),FALSE)/(SUMIF('Distribution %'!$C$1:$Q$1,"BUDGET",'Distribution %'!$C53:$Q53))),"0")+0)</f>
        <v>0</v>
      </c>
      <c r="X116" s="387">
        <f t="shared" ref="X116:X124" si="38">+SUM(I116:W116)</f>
        <v>4266560</v>
      </c>
      <c r="Y116" s="387"/>
      <c r="Z116" s="387">
        <f t="shared" ref="Z116:Z138" si="39">+H116-X116</f>
        <v>0</v>
      </c>
    </row>
    <row r="117" spans="2:26" x14ac:dyDescent="0.75">
      <c r="B117" s="403">
        <v>4101</v>
      </c>
      <c r="C117" s="379" t="s">
        <v>1640</v>
      </c>
      <c r="F117" s="379" t="str">
        <f>IF(ISERROR(VLOOKUP(B117,'Distribution %'!A:A,1,FALSE)),"NO","YES")</f>
        <v>YES</v>
      </c>
      <c r="G117" s="392"/>
      <c r="H117" s="430">
        <f>IFERROR(VLOOKUP(B117,'Expenses w MYP'!$A$8:$K$119,11,FALSE),"0")+0</f>
        <v>57084</v>
      </c>
      <c r="I117" s="388">
        <f>IF(VLOOKUP("Net Income",'FY ACTUALS'!$A$1:$X$996,I$3,FALSE)&lt;&gt;0,IFERROR(VLOOKUP($B117,'FY ACTUALS'!$A$1:$X$996,I$3,FALSE),"0")+0,IFERROR(($H117-SUMIF($I$1:$W$1,"ACTUAL",$I117:$W117))*(VLOOKUP($B117,'Distribution %'!$A$2:$Q$232,MATCH(I$2,'Distribution %'!$A$2:$Q$2,0),FALSE)/(SUMIF('Distribution %'!$C$1:$Q$1,"BUDGET",'Distribution %'!$C54:$Q54))),"0")+0)</f>
        <v>233246.09</v>
      </c>
      <c r="J117" s="389">
        <f>IF(VLOOKUP("Net Income",'FY ACTUALS'!$A$1:$X$996,J$3,FALSE)&lt;&gt;0,IFERROR(VLOOKUP($B117,'FY ACTUALS'!$A$1:$X$996,J$3,FALSE),"0")+0,IFERROR(($H117-SUMIF($I$1:$W$1,"ACTUAL",$I117:$W117))*(VLOOKUP($B117,'Distribution %'!$A$2:$Q$232,MATCH(J$2,'Distribution %'!$A$2:$Q$2,0),FALSE)/(SUMIF('Distribution %'!$C$1:$Q$1,"BUDGET",'Distribution %'!$C54:$Q54))),"0")+0)</f>
        <v>39326.11</v>
      </c>
      <c r="K117" s="389">
        <f>IF(VLOOKUP("Net Income",'FY ACTUALS'!$A$1:$X$996,K$3,FALSE)&lt;&gt;0,IFERROR(VLOOKUP($B117,'FY ACTUALS'!$A$1:$X$996,K$3,FALSE),"0")+0,IFERROR(($H117-SUMIF($I$1:$W$1,"ACTUAL",$I117:$W117))*(VLOOKUP($B117,'Distribution %'!$A$2:$Q$232,MATCH(K$2,'Distribution %'!$A$2:$Q$2,0),FALSE)/(SUMIF('Distribution %'!$C$1:$Q$1,"BUDGET",'Distribution %'!$C54:$Q54))),"0")+0)</f>
        <v>0</v>
      </c>
      <c r="L117" s="389">
        <f>IF(VLOOKUP("Net Income",'FY ACTUALS'!$A$1:$X$996,L$3,FALSE)&lt;&gt;0,IFERROR(VLOOKUP($B117,'FY ACTUALS'!$A$1:$X$996,L$3,FALSE),"0")+0,IFERROR(($H117-SUMIF($I$1:$W$1,"ACTUAL",$I117:$W117))*(VLOOKUP($B117,'Distribution %'!$A$2:$Q$232,MATCH(L$2,'Distribution %'!$A$2:$Q$2,0),FALSE)/(SUMIF('Distribution %'!$C$1:$Q$1,"BUDGET",'Distribution %'!$C54:$Q54))),"0")+0)</f>
        <v>-0.01</v>
      </c>
      <c r="M117" s="389">
        <f>IF(VLOOKUP("Net Income",'FY ACTUALS'!$A$1:$X$996,M$3,FALSE)&lt;&gt;0,IFERROR(VLOOKUP($B117,'FY ACTUALS'!$A$1:$X$996,M$3,FALSE),"0")+0,IFERROR(($H117-SUMIF($I$1:$W$1,"ACTUAL",$I117:$W117))*(VLOOKUP($B117,'Distribution %'!$A$2:$Q$232,MATCH(M$2,'Distribution %'!$A$2:$Q$2,0),FALSE)/(SUMIF('Distribution %'!$C$1:$Q$1,"BUDGET",'Distribution %'!$C54:$Q54))),"0")+0)</f>
        <v>0</v>
      </c>
      <c r="N117" s="389">
        <f>IF(VLOOKUP("Net Income",'FY ACTUALS'!$A$1:$X$996,N$3,FALSE)&lt;&gt;0,IFERROR(VLOOKUP($B117,'FY ACTUALS'!$A$1:$X$996,N$3,FALSE),"0")+0,IFERROR(($H117-SUMIF($I$1:$W$1,"ACTUAL",$I117:$W117))*(VLOOKUP($B117,'Distribution %'!$A$2:$Q$232,MATCH(N$2,'Distribution %'!$A$2:$Q$2,0),FALSE)/(SUMIF('Distribution %'!$C$1:$Q$1,"BUDGET",'Distribution %'!$C54:$Q54))),"0")+0)</f>
        <v>0</v>
      </c>
      <c r="O117" s="389">
        <f>IF(VLOOKUP("Net Income",'FY ACTUALS'!$A$1:$X$996,O$3,FALSE)&lt;&gt;0,IFERROR(VLOOKUP($B117,'FY ACTUALS'!$A$1:$X$996,O$3,FALSE),"0")+0,IFERROR(($H117-SUMIF($I$1:$W$1,"ACTUAL",$I117:$W117))*(VLOOKUP($B117,'Distribution %'!$A$2:$Q$232,MATCH(O$2,'Distribution %'!$A$2:$Q$2,0),FALSE)/(SUMIF('Distribution %'!$C$1:$Q$1,"BUDGET",'Distribution %'!$C54:$Q54))),"0")+0)</f>
        <v>166.01</v>
      </c>
      <c r="P117" s="389">
        <f>IF(VLOOKUP("Net Income",'FY ACTUALS'!$A$1:$X$996,P$3,FALSE)&lt;&gt;0,IFERROR(VLOOKUP($B117,'FY ACTUALS'!$A$1:$X$996,P$3,FALSE),"0")+0,IFERROR(($H117-SUMIF($I$1:$W$1,"ACTUAL",$I117:$W117))*(VLOOKUP($B117,'Distribution %'!$A$2:$Q$232,MATCH(P$2,'Distribution %'!$A$2:$Q$2,0),FALSE)/(SUMIF('Distribution %'!$C$1:$Q$1,"BUDGET",'Distribution %'!$C54:$Q54))),"0")+0)</f>
        <v>-107827.1</v>
      </c>
      <c r="Q117" s="389">
        <f>IF(VLOOKUP("Net Income",'FY ACTUALS'!$A$1:$X$996,Q$3,FALSE)&lt;&gt;0,IFERROR(VLOOKUP($B117,'FY ACTUALS'!$A$1:$X$996,Q$3,FALSE),"0")+0,IFERROR(($H117-SUMIF($I$1:$W$1,"ACTUAL",$I117:$W117))*(VLOOKUP($B117,'Distribution %'!$A$2:$Q$232,MATCH(Q$2,'Distribution %'!$A$2:$Q$2,0),FALSE)/(SUMIF('Distribution %'!$C$1:$Q$1,"BUDGET",'Distribution %'!$C54:$Q54))),"0")+0)</f>
        <v>-107827.1</v>
      </c>
      <c r="R117" s="389">
        <f>IF(VLOOKUP("Net Income",'FY ACTUALS'!$A$1:$X$996,R$3,FALSE)&lt;&gt;0,IFERROR(VLOOKUP($B117,'FY ACTUALS'!$A$1:$X$996,R$3,FALSE),"0")+0,IFERROR(($H117-SUMIF($I$1:$W$1,"ACTUAL",$I117:$W117))*(VLOOKUP($B117,'Distribution %'!$A$2:$Q$232,MATCH(R$2,'Distribution %'!$A$2:$Q$2,0),FALSE)/(SUMIF('Distribution %'!$C$1:$Q$1,"BUDGET",'Distribution %'!$C54:$Q54))),"0")+0)</f>
        <v>0</v>
      </c>
      <c r="S117" s="389">
        <f>IF(VLOOKUP("Net Income",'FY ACTUALS'!$A$1:$X$996,S$3,FALSE)&lt;&gt;0,IFERROR(VLOOKUP($B117,'FY ACTUALS'!$A$1:$X$996,S$3,FALSE),"0")+0,IFERROR(($H117-SUMIF($I$1:$W$1,"ACTUAL",$I117:$W117))*(VLOOKUP($B117,'Distribution %'!$A$2:$Q$232,MATCH(S$2,'Distribution %'!$A$2:$Q$2,0),FALSE)/(SUMIF('Distribution %'!$C$1:$Q$1,"BUDGET",'Distribution %'!$C54:$Q54))),"0")+0)</f>
        <v>0</v>
      </c>
      <c r="T117" s="389">
        <f>IF(VLOOKUP("Net Income",'FY ACTUALS'!$A$1:$X$996,T$3,FALSE)&lt;&gt;0,IFERROR(VLOOKUP($B117,'FY ACTUALS'!$A$1:$X$996,T$3,FALSE),"0")+0,IFERROR(($H117-SUMIF($I$1:$W$1,"ACTUAL",$I117:$W117))*(VLOOKUP($B117,'Distribution %'!$A$2:$Q$232,MATCH(T$2,'Distribution %'!$A$2:$Q$2,0),FALSE)/(SUMIF('Distribution %'!$C$1:$Q$1,"BUDGET",'Distribution %'!$C54:$Q54))),"0")+0)</f>
        <v>0</v>
      </c>
      <c r="U117" s="389">
        <f>IF(VLOOKUP("Net Income",'FY ACTUALS'!$A$1:$X$996,U$3,FALSE)&lt;&gt;0,IFERROR(VLOOKUP($B117,'FY ACTUALS'!$A$1:$X$996,U$3,FALSE),"0")+0,IFERROR(($H117-SUMIF($I$1:$W$1,"ACTUAL",$I117:$W117))*(VLOOKUP($B117,'Distribution %'!$A$2:$Q$232,MATCH(U$2,'Distribution %'!$A$2:$Q$2,0),FALSE)/(SUMIF('Distribution %'!$C$1:$Q$1,"BUDGET",'Distribution %'!$C54:$Q54))),"0")+0)</f>
        <v>0</v>
      </c>
      <c r="V117" s="389">
        <f>IF(VLOOKUP("Net Income",'FY ACTUALS'!$A$1:$X$996,V$3,FALSE)&lt;&gt;0,IFERROR(VLOOKUP($B117,'FY ACTUALS'!$A$1:$X$996,V$3,FALSE),"0")+0,IFERROR(($H117-SUMIF($I$1:$W$1,"ACTUAL",$I117:$W117))*(VLOOKUP($B117,'Distribution %'!$A$2:$Q$232,MATCH(V$2,'Distribution %'!$A$2:$Q$2,0),FALSE)/(SUMIF('Distribution %'!$C$1:$Q$1,"BUDGET",'Distribution %'!$C54:$Q54))),"0")+0)</f>
        <v>0</v>
      </c>
      <c r="W117" s="431">
        <f>IF(VLOOKUP("Net Income",'FY ACTUALS'!$A$1:$X$996,W$3,FALSE)&lt;&gt;0,IFERROR(VLOOKUP($B117,'FY ACTUALS'!$A$1:$X$996,W$3,FALSE),"0")+0,IFERROR(($H117-SUMIF($I$1:$W$1,"ACTUAL",$I117:$W117))*(VLOOKUP($B117,'Distribution %'!$A$2:$Q$232,MATCH(W$2,'Distribution %'!$A$2:$Q$2,0),FALSE)/(SUMIF('Distribution %'!$C$1:$Q$1,"BUDGET",'Distribution %'!$C54:$Q54))),"0")+0)</f>
        <v>0</v>
      </c>
      <c r="X117" s="387">
        <f t="shared" ref="X117:X118" si="40">+SUM(I117:W117)</f>
        <v>57084</v>
      </c>
      <c r="Y117" s="387"/>
      <c r="Z117" s="387">
        <f t="shared" si="39"/>
        <v>0</v>
      </c>
    </row>
    <row r="118" spans="2:26" x14ac:dyDescent="0.75">
      <c r="B118" s="403">
        <v>4102</v>
      </c>
      <c r="C118" s="379" t="s">
        <v>1641</v>
      </c>
      <c r="F118" s="379" t="str">
        <f>IF(ISERROR(VLOOKUP(B118,'Distribution %'!A:A,1,FALSE)),"NO","YES")</f>
        <v>YES</v>
      </c>
      <c r="G118" s="392"/>
      <c r="H118" s="430">
        <f>IFERROR(VLOOKUP(B118,'Expenses w MYP'!$A$8:$K$119,11,FALSE),"0")+0</f>
        <v>118506</v>
      </c>
      <c r="I118" s="388">
        <f>IF(VLOOKUP("Net Income",'FY ACTUALS'!$A$1:$X$996,I$3,FALSE)&lt;&gt;0,IFERROR(VLOOKUP($B118,'FY ACTUALS'!$A$1:$X$996,I$3,FALSE),"0")+0,IFERROR(($H118-SUMIF($I$1:$W$1,"ACTUAL",$I118:$W118))*(VLOOKUP($B118,'Distribution %'!$A$2:$Q$232,MATCH(I$2,'Distribution %'!$A$2:$Q$2,0),FALSE)/(SUMIF('Distribution %'!$C$1:$Q$1,"BUDGET",'Distribution %'!$C55:$Q55))),"0")+0)</f>
        <v>64614.34</v>
      </c>
      <c r="J118" s="389">
        <f>IF(VLOOKUP("Net Income",'FY ACTUALS'!$A$1:$X$996,J$3,FALSE)&lt;&gt;0,IFERROR(VLOOKUP($B118,'FY ACTUALS'!$A$1:$X$996,J$3,FALSE),"0")+0,IFERROR(($H118-SUMIF($I$1:$W$1,"ACTUAL",$I118:$W118))*(VLOOKUP($B118,'Distribution %'!$A$2:$Q$232,MATCH(J$2,'Distribution %'!$A$2:$Q$2,0),FALSE)/(SUMIF('Distribution %'!$C$1:$Q$1,"BUDGET",'Distribution %'!$C55:$Q55))),"0")+0)</f>
        <v>750</v>
      </c>
      <c r="K118" s="389">
        <f>IF(VLOOKUP("Net Income",'FY ACTUALS'!$A$1:$X$996,K$3,FALSE)&lt;&gt;0,IFERROR(VLOOKUP($B118,'FY ACTUALS'!$A$1:$X$996,K$3,FALSE),"0")+0,IFERROR(($H118-SUMIF($I$1:$W$1,"ACTUAL",$I118:$W118))*(VLOOKUP($B118,'Distribution %'!$A$2:$Q$232,MATCH(K$2,'Distribution %'!$A$2:$Q$2,0),FALSE)/(SUMIF('Distribution %'!$C$1:$Q$1,"BUDGET",'Distribution %'!$C55:$Q55))),"0")+0)</f>
        <v>99150</v>
      </c>
      <c r="L118" s="389">
        <f>IF(VLOOKUP("Net Income",'FY ACTUALS'!$A$1:$X$996,L$3,FALSE)&lt;&gt;0,IFERROR(VLOOKUP($B118,'FY ACTUALS'!$A$1:$X$996,L$3,FALSE),"0")+0,IFERROR(($H118-SUMIF($I$1:$W$1,"ACTUAL",$I118:$W118))*(VLOOKUP($B118,'Distribution %'!$A$2:$Q$232,MATCH(L$2,'Distribution %'!$A$2:$Q$2,0),FALSE)/(SUMIF('Distribution %'!$C$1:$Q$1,"BUDGET",'Distribution %'!$C55:$Q55))),"0")+0)</f>
        <v>557</v>
      </c>
      <c r="M118" s="389">
        <f>IF(VLOOKUP("Net Income",'FY ACTUALS'!$A$1:$X$996,M$3,FALSE)&lt;&gt;0,IFERROR(VLOOKUP($B118,'FY ACTUALS'!$A$1:$X$996,M$3,FALSE),"0")+0,IFERROR(($H118-SUMIF($I$1:$W$1,"ACTUAL",$I118:$W118))*(VLOOKUP($B118,'Distribution %'!$A$2:$Q$232,MATCH(M$2,'Distribution %'!$A$2:$Q$2,0),FALSE)/(SUMIF('Distribution %'!$C$1:$Q$1,"BUDGET",'Distribution %'!$C55:$Q55))),"0")+0)</f>
        <v>0</v>
      </c>
      <c r="N118" s="389">
        <f>IF(VLOOKUP("Net Income",'FY ACTUALS'!$A$1:$X$996,N$3,FALSE)&lt;&gt;0,IFERROR(VLOOKUP($B118,'FY ACTUALS'!$A$1:$X$996,N$3,FALSE),"0")+0,IFERROR(($H118-SUMIF($I$1:$W$1,"ACTUAL",$I118:$W118))*(VLOOKUP($B118,'Distribution %'!$A$2:$Q$232,MATCH(N$2,'Distribution %'!$A$2:$Q$2,0),FALSE)/(SUMIF('Distribution %'!$C$1:$Q$1,"BUDGET",'Distribution %'!$C55:$Q55))),"0")+0)</f>
        <v>167.22</v>
      </c>
      <c r="O118" s="389">
        <f>IF(VLOOKUP("Net Income",'FY ACTUALS'!$A$1:$X$996,O$3,FALSE)&lt;&gt;0,IFERROR(VLOOKUP($B118,'FY ACTUALS'!$A$1:$X$996,O$3,FALSE),"0")+0,IFERROR(($H118-SUMIF($I$1:$W$1,"ACTUAL",$I118:$W118))*(VLOOKUP($B118,'Distribution %'!$A$2:$Q$232,MATCH(O$2,'Distribution %'!$A$2:$Q$2,0),FALSE)/(SUMIF('Distribution %'!$C$1:$Q$1,"BUDGET",'Distribution %'!$C55:$Q55))),"0")+0)</f>
        <v>19242.89</v>
      </c>
      <c r="P118" s="389">
        <f>IF(VLOOKUP("Net Income",'FY ACTUALS'!$A$1:$X$996,P$3,FALSE)&lt;&gt;0,IFERROR(VLOOKUP($B118,'FY ACTUALS'!$A$1:$X$996,P$3,FALSE),"0")+0,IFERROR(($H118-SUMIF($I$1:$W$1,"ACTUAL",$I118:$W118))*(VLOOKUP($B118,'Distribution %'!$A$2:$Q$232,MATCH(P$2,'Distribution %'!$A$2:$Q$2,0),FALSE)/(SUMIF('Distribution %'!$C$1:$Q$1,"BUDGET",'Distribution %'!$C55:$Q55))),"0")+0)</f>
        <v>-32987.725000000006</v>
      </c>
      <c r="Q118" s="389">
        <f>IF(VLOOKUP("Net Income",'FY ACTUALS'!$A$1:$X$996,Q$3,FALSE)&lt;&gt;0,IFERROR(VLOOKUP($B118,'FY ACTUALS'!$A$1:$X$996,Q$3,FALSE),"0")+0,IFERROR(($H118-SUMIF($I$1:$W$1,"ACTUAL",$I118:$W118))*(VLOOKUP($B118,'Distribution %'!$A$2:$Q$232,MATCH(Q$2,'Distribution %'!$A$2:$Q$2,0),FALSE)/(SUMIF('Distribution %'!$C$1:$Q$1,"BUDGET",'Distribution %'!$C55:$Q55))),"0")+0)</f>
        <v>-32987.725000000006</v>
      </c>
      <c r="R118" s="389">
        <f>IF(VLOOKUP("Net Income",'FY ACTUALS'!$A$1:$X$996,R$3,FALSE)&lt;&gt;0,IFERROR(VLOOKUP($B118,'FY ACTUALS'!$A$1:$X$996,R$3,FALSE),"0")+0,IFERROR(($H118-SUMIF($I$1:$W$1,"ACTUAL",$I118:$W118))*(VLOOKUP($B118,'Distribution %'!$A$2:$Q$232,MATCH(R$2,'Distribution %'!$A$2:$Q$2,0),FALSE)/(SUMIF('Distribution %'!$C$1:$Q$1,"BUDGET",'Distribution %'!$C55:$Q55))),"0")+0)</f>
        <v>0</v>
      </c>
      <c r="S118" s="389">
        <f>IF(VLOOKUP("Net Income",'FY ACTUALS'!$A$1:$X$996,S$3,FALSE)&lt;&gt;0,IFERROR(VLOOKUP($B118,'FY ACTUALS'!$A$1:$X$996,S$3,FALSE),"0")+0,IFERROR(($H118-SUMIF($I$1:$W$1,"ACTUAL",$I118:$W118))*(VLOOKUP($B118,'Distribution %'!$A$2:$Q$232,MATCH(S$2,'Distribution %'!$A$2:$Q$2,0),FALSE)/(SUMIF('Distribution %'!$C$1:$Q$1,"BUDGET",'Distribution %'!$C55:$Q55))),"0")+0)</f>
        <v>0</v>
      </c>
      <c r="T118" s="389">
        <f>IF(VLOOKUP("Net Income",'FY ACTUALS'!$A$1:$X$996,T$3,FALSE)&lt;&gt;0,IFERROR(VLOOKUP($B118,'FY ACTUALS'!$A$1:$X$996,T$3,FALSE),"0")+0,IFERROR(($H118-SUMIF($I$1:$W$1,"ACTUAL",$I118:$W118))*(VLOOKUP($B118,'Distribution %'!$A$2:$Q$232,MATCH(T$2,'Distribution %'!$A$2:$Q$2,0),FALSE)/(SUMIF('Distribution %'!$C$1:$Q$1,"BUDGET",'Distribution %'!$C55:$Q55))),"0")+0)</f>
        <v>0</v>
      </c>
      <c r="U118" s="389">
        <f>IF(VLOOKUP("Net Income",'FY ACTUALS'!$A$1:$X$996,U$3,FALSE)&lt;&gt;0,IFERROR(VLOOKUP($B118,'FY ACTUALS'!$A$1:$X$996,U$3,FALSE),"0")+0,IFERROR(($H118-SUMIF($I$1:$W$1,"ACTUAL",$I118:$W118))*(VLOOKUP($B118,'Distribution %'!$A$2:$Q$232,MATCH(U$2,'Distribution %'!$A$2:$Q$2,0),FALSE)/(SUMIF('Distribution %'!$C$1:$Q$1,"BUDGET",'Distribution %'!$C55:$Q55))),"0")+0)</f>
        <v>0</v>
      </c>
      <c r="V118" s="389">
        <f>IF(VLOOKUP("Net Income",'FY ACTUALS'!$A$1:$X$996,V$3,FALSE)&lt;&gt;0,IFERROR(VLOOKUP($B118,'FY ACTUALS'!$A$1:$X$996,V$3,FALSE),"0")+0,IFERROR(($H118-SUMIF($I$1:$W$1,"ACTUAL",$I118:$W118))*(VLOOKUP($B118,'Distribution %'!$A$2:$Q$232,MATCH(V$2,'Distribution %'!$A$2:$Q$2,0),FALSE)/(SUMIF('Distribution %'!$C$1:$Q$1,"BUDGET",'Distribution %'!$C55:$Q55))),"0")+0)</f>
        <v>0</v>
      </c>
      <c r="W118" s="431">
        <f>IF(VLOOKUP("Net Income",'FY ACTUALS'!$A$1:$X$996,W$3,FALSE)&lt;&gt;0,IFERROR(VLOOKUP($B118,'FY ACTUALS'!$A$1:$X$996,W$3,FALSE),"0")+0,IFERROR(($H118-SUMIF($I$1:$W$1,"ACTUAL",$I118:$W118))*(VLOOKUP($B118,'Distribution %'!$A$2:$Q$232,MATCH(W$2,'Distribution %'!$A$2:$Q$2,0),FALSE)/(SUMIF('Distribution %'!$C$1:$Q$1,"BUDGET",'Distribution %'!$C55:$Q55))),"0")+0)</f>
        <v>0</v>
      </c>
      <c r="X118" s="387">
        <f t="shared" si="40"/>
        <v>118506</v>
      </c>
      <c r="Y118" s="387"/>
      <c r="Z118" s="387">
        <f t="shared" si="39"/>
        <v>0</v>
      </c>
    </row>
    <row r="119" spans="2:26" x14ac:dyDescent="0.75">
      <c r="B119" s="403">
        <v>4200</v>
      </c>
      <c r="C119" s="379" t="s">
        <v>593</v>
      </c>
      <c r="F119" s="379" t="str">
        <f>IF(ISERROR(VLOOKUP(B119,'Distribution %'!A:A,1,FALSE)),"NO","YES")</f>
        <v>YES</v>
      </c>
      <c r="G119" s="392"/>
      <c r="H119" s="430">
        <f>IFERROR(VLOOKUP(B119,'Expenses w MYP'!$A$8:$K$119,11,FALSE),"0")+0</f>
        <v>135000</v>
      </c>
      <c r="I119" s="388">
        <f>IF(VLOOKUP("Net Income",'FY ACTUALS'!$A$1:$X$996,I$3,FALSE)&lt;&gt;0,IFERROR(VLOOKUP($B119,'FY ACTUALS'!$A$1:$X$996,I$3,FALSE),"0")+0,IFERROR(($H119-SUMIF($I$1:$W$1,"ACTUAL",$I119:$W119))*(VLOOKUP($B119,'Distribution %'!$A$2:$Q$232,MATCH(I$2,'Distribution %'!$A$2:$Q$2,0),FALSE)/(SUMIF('Distribution %'!$C$1:$Q$1,"BUDGET",'Distribution %'!$C56:$Q56))),"0")+0)</f>
        <v>0</v>
      </c>
      <c r="J119" s="389">
        <f>IF(VLOOKUP("Net Income",'FY ACTUALS'!$A$1:$X$996,J$3,FALSE)&lt;&gt;0,IFERROR(VLOOKUP($B119,'FY ACTUALS'!$A$1:$X$996,J$3,FALSE),"0")+0,IFERROR(($H119-SUMIF($I$1:$W$1,"ACTUAL",$I119:$W119))*(VLOOKUP($B119,'Distribution %'!$A$2:$Q$232,MATCH(J$2,'Distribution %'!$A$2:$Q$2,0),FALSE)/(SUMIF('Distribution %'!$C$1:$Q$1,"BUDGET",'Distribution %'!$C56:$Q56))),"0")+0)</f>
        <v>0</v>
      </c>
      <c r="K119" s="389">
        <f>IF(VLOOKUP("Net Income",'FY ACTUALS'!$A$1:$X$996,K$3,FALSE)&lt;&gt;0,IFERROR(VLOOKUP($B119,'FY ACTUALS'!$A$1:$X$996,K$3,FALSE),"0")+0,IFERROR(($H119-SUMIF($I$1:$W$1,"ACTUAL",$I119:$W119))*(VLOOKUP($B119,'Distribution %'!$A$2:$Q$232,MATCH(K$2,'Distribution %'!$A$2:$Q$2,0),FALSE)/(SUMIF('Distribution %'!$C$1:$Q$1,"BUDGET",'Distribution %'!$C56:$Q56))),"0")+0)</f>
        <v>1058</v>
      </c>
      <c r="L119" s="389">
        <f>IF(VLOOKUP("Net Income",'FY ACTUALS'!$A$1:$X$996,L$3,FALSE)&lt;&gt;0,IFERROR(VLOOKUP($B119,'FY ACTUALS'!$A$1:$X$996,L$3,FALSE),"0")+0,IFERROR(($H119-SUMIF($I$1:$W$1,"ACTUAL",$I119:$W119))*(VLOOKUP($B119,'Distribution %'!$A$2:$Q$232,MATCH(L$2,'Distribution %'!$A$2:$Q$2,0),FALSE)/(SUMIF('Distribution %'!$C$1:$Q$1,"BUDGET",'Distribution %'!$C56:$Q56))),"0")+0)</f>
        <v>1952.6</v>
      </c>
      <c r="M119" s="389">
        <f>IF(VLOOKUP("Net Income",'FY ACTUALS'!$A$1:$X$996,M$3,FALSE)&lt;&gt;0,IFERROR(VLOOKUP($B119,'FY ACTUALS'!$A$1:$X$996,M$3,FALSE),"0")+0,IFERROR(($H119-SUMIF($I$1:$W$1,"ACTUAL",$I119:$W119))*(VLOOKUP($B119,'Distribution %'!$A$2:$Q$232,MATCH(M$2,'Distribution %'!$A$2:$Q$2,0),FALSE)/(SUMIF('Distribution %'!$C$1:$Q$1,"BUDGET",'Distribution %'!$C56:$Q56))),"0")+0)</f>
        <v>15165.05</v>
      </c>
      <c r="N119" s="389">
        <f>IF(VLOOKUP("Net Income",'FY ACTUALS'!$A$1:$X$996,N$3,FALSE)&lt;&gt;0,IFERROR(VLOOKUP($B119,'FY ACTUALS'!$A$1:$X$996,N$3,FALSE),"0")+0,IFERROR(($H119-SUMIF($I$1:$W$1,"ACTUAL",$I119:$W119))*(VLOOKUP($B119,'Distribution %'!$A$2:$Q$232,MATCH(N$2,'Distribution %'!$A$2:$Q$2,0),FALSE)/(SUMIF('Distribution %'!$C$1:$Q$1,"BUDGET",'Distribution %'!$C56:$Q56))),"0")+0)</f>
        <v>79.41</v>
      </c>
      <c r="O119" s="389">
        <f>IF(VLOOKUP("Net Income",'FY ACTUALS'!$A$1:$X$996,O$3,FALSE)&lt;&gt;0,IFERROR(VLOOKUP($B119,'FY ACTUALS'!$A$1:$X$996,O$3,FALSE),"0")+0,IFERROR(($H119-SUMIF($I$1:$W$1,"ACTUAL",$I119:$W119))*(VLOOKUP($B119,'Distribution %'!$A$2:$Q$232,MATCH(O$2,'Distribution %'!$A$2:$Q$2,0),FALSE)/(SUMIF('Distribution %'!$C$1:$Q$1,"BUDGET",'Distribution %'!$C56:$Q56))),"0")+0)</f>
        <v>19301.77</v>
      </c>
      <c r="P119" s="389">
        <f>IF(VLOOKUP("Net Income",'FY ACTUALS'!$A$1:$X$996,P$3,FALSE)&lt;&gt;0,IFERROR(VLOOKUP($B119,'FY ACTUALS'!$A$1:$X$996,P$3,FALSE),"0")+0,IFERROR(($H119-SUMIF($I$1:$W$1,"ACTUAL",$I119:$W119))*(VLOOKUP($B119,'Distribution %'!$A$2:$Q$232,MATCH(P$2,'Distribution %'!$A$2:$Q$2,0),FALSE)/(SUMIF('Distribution %'!$C$1:$Q$1,"BUDGET",'Distribution %'!$C56:$Q56))),"0")+0)</f>
        <v>48721.584999999999</v>
      </c>
      <c r="Q119" s="389">
        <f>IF(VLOOKUP("Net Income",'FY ACTUALS'!$A$1:$X$996,Q$3,FALSE)&lt;&gt;0,IFERROR(VLOOKUP($B119,'FY ACTUALS'!$A$1:$X$996,Q$3,FALSE),"0")+0,IFERROR(($H119-SUMIF($I$1:$W$1,"ACTUAL",$I119:$W119))*(VLOOKUP($B119,'Distribution %'!$A$2:$Q$232,MATCH(Q$2,'Distribution %'!$A$2:$Q$2,0),FALSE)/(SUMIF('Distribution %'!$C$1:$Q$1,"BUDGET",'Distribution %'!$C56:$Q56))),"0")+0)</f>
        <v>48721.584999999999</v>
      </c>
      <c r="R119" s="389">
        <f>IF(VLOOKUP("Net Income",'FY ACTUALS'!$A$1:$X$996,R$3,FALSE)&lt;&gt;0,IFERROR(VLOOKUP($B119,'FY ACTUALS'!$A$1:$X$996,R$3,FALSE),"0")+0,IFERROR(($H119-SUMIF($I$1:$W$1,"ACTUAL",$I119:$W119))*(VLOOKUP($B119,'Distribution %'!$A$2:$Q$232,MATCH(R$2,'Distribution %'!$A$2:$Q$2,0),FALSE)/(SUMIF('Distribution %'!$C$1:$Q$1,"BUDGET",'Distribution %'!$C56:$Q56))),"0")+0)</f>
        <v>0</v>
      </c>
      <c r="S119" s="389">
        <f>IF(VLOOKUP("Net Income",'FY ACTUALS'!$A$1:$X$996,S$3,FALSE)&lt;&gt;0,IFERROR(VLOOKUP($B119,'FY ACTUALS'!$A$1:$X$996,S$3,FALSE),"0")+0,IFERROR(($H119-SUMIF($I$1:$W$1,"ACTUAL",$I119:$W119))*(VLOOKUP($B119,'Distribution %'!$A$2:$Q$232,MATCH(S$2,'Distribution %'!$A$2:$Q$2,0),FALSE)/(SUMIF('Distribution %'!$C$1:$Q$1,"BUDGET",'Distribution %'!$C56:$Q56))),"0")+0)</f>
        <v>0</v>
      </c>
      <c r="T119" s="389">
        <f>IF(VLOOKUP("Net Income",'FY ACTUALS'!$A$1:$X$996,T$3,FALSE)&lt;&gt;0,IFERROR(VLOOKUP($B119,'FY ACTUALS'!$A$1:$X$996,T$3,FALSE),"0")+0,IFERROR(($H119-SUMIF($I$1:$W$1,"ACTUAL",$I119:$W119))*(VLOOKUP($B119,'Distribution %'!$A$2:$Q$232,MATCH(T$2,'Distribution %'!$A$2:$Q$2,0),FALSE)/(SUMIF('Distribution %'!$C$1:$Q$1,"BUDGET",'Distribution %'!$C56:$Q56))),"0")+0)</f>
        <v>0</v>
      </c>
      <c r="U119" s="389">
        <f>IF(VLOOKUP("Net Income",'FY ACTUALS'!$A$1:$X$996,U$3,FALSE)&lt;&gt;0,IFERROR(VLOOKUP($B119,'FY ACTUALS'!$A$1:$X$996,U$3,FALSE),"0")+0,IFERROR(($H119-SUMIF($I$1:$W$1,"ACTUAL",$I119:$W119))*(VLOOKUP($B119,'Distribution %'!$A$2:$Q$232,MATCH(U$2,'Distribution %'!$A$2:$Q$2,0),FALSE)/(SUMIF('Distribution %'!$C$1:$Q$1,"BUDGET",'Distribution %'!$C56:$Q56))),"0")+0)</f>
        <v>0</v>
      </c>
      <c r="V119" s="389">
        <f>IF(VLOOKUP("Net Income",'FY ACTUALS'!$A$1:$X$996,V$3,FALSE)&lt;&gt;0,IFERROR(VLOOKUP($B119,'FY ACTUALS'!$A$1:$X$996,V$3,FALSE),"0")+0,IFERROR(($H119-SUMIF($I$1:$W$1,"ACTUAL",$I119:$W119))*(VLOOKUP($B119,'Distribution %'!$A$2:$Q$232,MATCH(V$2,'Distribution %'!$A$2:$Q$2,0),FALSE)/(SUMIF('Distribution %'!$C$1:$Q$1,"BUDGET",'Distribution %'!$C56:$Q56))),"0")+0)</f>
        <v>0</v>
      </c>
      <c r="W119" s="431">
        <f>IF(VLOOKUP("Net Income",'FY ACTUALS'!$A$1:$X$996,W$3,FALSE)&lt;&gt;0,IFERROR(VLOOKUP($B119,'FY ACTUALS'!$A$1:$X$996,W$3,FALSE),"0")+0,IFERROR(($H119-SUMIF($I$1:$W$1,"ACTUAL",$I119:$W119))*(VLOOKUP($B119,'Distribution %'!$A$2:$Q$232,MATCH(W$2,'Distribution %'!$A$2:$Q$2,0),FALSE)/(SUMIF('Distribution %'!$C$1:$Q$1,"BUDGET",'Distribution %'!$C56:$Q56))),"0")+0)</f>
        <v>0</v>
      </c>
      <c r="X119" s="387">
        <f t="shared" si="38"/>
        <v>135000</v>
      </c>
      <c r="Y119" s="387"/>
      <c r="Z119" s="387">
        <f t="shared" si="39"/>
        <v>0</v>
      </c>
    </row>
    <row r="120" spans="2:26" x14ac:dyDescent="0.75">
      <c r="B120" s="403">
        <v>4215</v>
      </c>
      <c r="C120" s="379" t="s">
        <v>1644</v>
      </c>
      <c r="F120" s="379" t="str">
        <f>IF(ISERROR(VLOOKUP(B120,'Distribution %'!A:A,1,FALSE)),"NO","YES")</f>
        <v>YES</v>
      </c>
      <c r="G120" s="392"/>
      <c r="H120" s="430">
        <f>IFERROR(VLOOKUP(B120,'Expenses w MYP'!$A$8:$K$119,11,FALSE),"0")+0</f>
        <v>40000</v>
      </c>
      <c r="I120" s="388">
        <f>IF(VLOOKUP("Net Income",'FY ACTUALS'!$A$1:$X$996,I$3,FALSE)&lt;&gt;0,IFERROR(VLOOKUP($B120,'FY ACTUALS'!$A$1:$X$996,I$3,FALSE),"0")+0,IFERROR(($H120-SUMIF($I$1:$W$1,"ACTUAL",$I120:$W120))*(VLOOKUP($B120,'Distribution %'!$A$2:$Q$232,MATCH(I$2,'Distribution %'!$A$2:$Q$2,0),FALSE)/(SUMIF('Distribution %'!$C$1:$Q$1,"BUDGET",'Distribution %'!$C57:$Q57))),"0")+0)</f>
        <v>0</v>
      </c>
      <c r="J120" s="389">
        <f>IF(VLOOKUP("Net Income",'FY ACTUALS'!$A$1:$X$996,J$3,FALSE)&lt;&gt;0,IFERROR(VLOOKUP($B120,'FY ACTUALS'!$A$1:$X$996,J$3,FALSE),"0")+0,IFERROR(($H120-SUMIF($I$1:$W$1,"ACTUAL",$I120:$W120))*(VLOOKUP($B120,'Distribution %'!$A$2:$Q$232,MATCH(J$2,'Distribution %'!$A$2:$Q$2,0),FALSE)/(SUMIF('Distribution %'!$C$1:$Q$1,"BUDGET",'Distribution %'!$C57:$Q57))),"0")+0)</f>
        <v>0</v>
      </c>
      <c r="K120" s="389">
        <f>IF(VLOOKUP("Net Income",'FY ACTUALS'!$A$1:$X$996,K$3,FALSE)&lt;&gt;0,IFERROR(VLOOKUP($B120,'FY ACTUALS'!$A$1:$X$996,K$3,FALSE),"0")+0,IFERROR(($H120-SUMIF($I$1:$W$1,"ACTUAL",$I120:$W120))*(VLOOKUP($B120,'Distribution %'!$A$2:$Q$232,MATCH(K$2,'Distribution %'!$A$2:$Q$2,0),FALSE)/(SUMIF('Distribution %'!$C$1:$Q$1,"BUDGET",'Distribution %'!$C57:$Q57))),"0")+0)</f>
        <v>0</v>
      </c>
      <c r="L120" s="389">
        <f>IF(VLOOKUP("Net Income",'FY ACTUALS'!$A$1:$X$996,L$3,FALSE)&lt;&gt;0,IFERROR(VLOOKUP($B120,'FY ACTUALS'!$A$1:$X$996,L$3,FALSE),"0")+0,IFERROR(($H120-SUMIF($I$1:$W$1,"ACTUAL",$I120:$W120))*(VLOOKUP($B120,'Distribution %'!$A$2:$Q$232,MATCH(L$2,'Distribution %'!$A$2:$Q$2,0),FALSE)/(SUMIF('Distribution %'!$C$1:$Q$1,"BUDGET",'Distribution %'!$C57:$Q57))),"0")+0)</f>
        <v>0</v>
      </c>
      <c r="M120" s="389">
        <f>IF(VLOOKUP("Net Income",'FY ACTUALS'!$A$1:$X$996,M$3,FALSE)&lt;&gt;0,IFERROR(VLOOKUP($B120,'FY ACTUALS'!$A$1:$X$996,M$3,FALSE),"0")+0,IFERROR(($H120-SUMIF($I$1:$W$1,"ACTUAL",$I120:$W120))*(VLOOKUP($B120,'Distribution %'!$A$2:$Q$232,MATCH(M$2,'Distribution %'!$A$2:$Q$2,0),FALSE)/(SUMIF('Distribution %'!$C$1:$Q$1,"BUDGET",'Distribution %'!$C57:$Q57))),"0")+0)</f>
        <v>0</v>
      </c>
      <c r="N120" s="389">
        <f>IF(VLOOKUP("Net Income",'FY ACTUALS'!$A$1:$X$996,N$3,FALSE)&lt;&gt;0,IFERROR(VLOOKUP($B120,'FY ACTUALS'!$A$1:$X$996,N$3,FALSE),"0")+0,IFERROR(($H120-SUMIF($I$1:$W$1,"ACTUAL",$I120:$W120))*(VLOOKUP($B120,'Distribution %'!$A$2:$Q$232,MATCH(N$2,'Distribution %'!$A$2:$Q$2,0),FALSE)/(SUMIF('Distribution %'!$C$1:$Q$1,"BUDGET",'Distribution %'!$C57:$Q57))),"0")+0)</f>
        <v>0</v>
      </c>
      <c r="O120" s="389">
        <f>IF(VLOOKUP("Net Income",'FY ACTUALS'!$A$1:$X$996,O$3,FALSE)&lt;&gt;0,IFERROR(VLOOKUP($B120,'FY ACTUALS'!$A$1:$X$996,O$3,FALSE),"0")+0,IFERROR(($H120-SUMIF($I$1:$W$1,"ACTUAL",$I120:$W120))*(VLOOKUP($B120,'Distribution %'!$A$2:$Q$232,MATCH(O$2,'Distribution %'!$A$2:$Q$2,0),FALSE)/(SUMIF('Distribution %'!$C$1:$Q$1,"BUDGET",'Distribution %'!$C57:$Q57))),"0")+0)</f>
        <v>0</v>
      </c>
      <c r="P120" s="389">
        <f>IF(VLOOKUP("Net Income",'FY ACTUALS'!$A$1:$X$996,P$3,FALSE)&lt;&gt;0,IFERROR(VLOOKUP($B120,'FY ACTUALS'!$A$1:$X$996,P$3,FALSE),"0")+0,IFERROR(($H120-SUMIF($I$1:$W$1,"ACTUAL",$I120:$W120))*(VLOOKUP($B120,'Distribution %'!$A$2:$Q$232,MATCH(P$2,'Distribution %'!$A$2:$Q$2,0),FALSE)/(SUMIF('Distribution %'!$C$1:$Q$1,"BUDGET",'Distribution %'!$C57:$Q57))),"0")+0)</f>
        <v>7923.6276849642009</v>
      </c>
      <c r="Q120" s="389">
        <f>IF(VLOOKUP("Net Income",'FY ACTUALS'!$A$1:$X$996,Q$3,FALSE)&lt;&gt;0,IFERROR(VLOOKUP($B120,'FY ACTUALS'!$A$1:$X$996,Q$3,FALSE),"0")+0,IFERROR(($H120-SUMIF($I$1:$W$1,"ACTUAL",$I120:$W120))*(VLOOKUP($B120,'Distribution %'!$A$2:$Q$232,MATCH(Q$2,'Distribution %'!$A$2:$Q$2,0),FALSE)/(SUMIF('Distribution %'!$C$1:$Q$1,"BUDGET",'Distribution %'!$C57:$Q57))),"0")+0)</f>
        <v>8019.0930787589496</v>
      </c>
      <c r="R120" s="389">
        <f>IF(VLOOKUP("Net Income",'FY ACTUALS'!$A$1:$X$996,R$3,FALSE)&lt;&gt;0,IFERROR(VLOOKUP($B120,'FY ACTUALS'!$A$1:$X$996,R$3,FALSE),"0")+0,IFERROR(($H120-SUMIF($I$1:$W$1,"ACTUAL",$I120:$W120))*(VLOOKUP($B120,'Distribution %'!$A$2:$Q$232,MATCH(R$2,'Distribution %'!$A$2:$Q$2,0),FALSE)/(SUMIF('Distribution %'!$C$1:$Q$1,"BUDGET",'Distribution %'!$C57:$Q57))),"0")+0)</f>
        <v>8019.0930787589496</v>
      </c>
      <c r="S120" s="389">
        <f>IF(VLOOKUP("Net Income",'FY ACTUALS'!$A$1:$X$996,S$3,FALSE)&lt;&gt;0,IFERROR(VLOOKUP($B120,'FY ACTUALS'!$A$1:$X$996,S$3,FALSE),"0")+0,IFERROR(($H120-SUMIF($I$1:$W$1,"ACTUAL",$I120:$W120))*(VLOOKUP($B120,'Distribution %'!$A$2:$Q$232,MATCH(S$2,'Distribution %'!$A$2:$Q$2,0),FALSE)/(SUMIF('Distribution %'!$C$1:$Q$1,"BUDGET",'Distribution %'!$C57:$Q57))),"0")+0)</f>
        <v>8019.0930787589496</v>
      </c>
      <c r="T120" s="389">
        <f>IF(VLOOKUP("Net Income",'FY ACTUALS'!$A$1:$X$996,T$3,FALSE)&lt;&gt;0,IFERROR(VLOOKUP($B120,'FY ACTUALS'!$A$1:$X$996,T$3,FALSE),"0")+0,IFERROR(($H120-SUMIF($I$1:$W$1,"ACTUAL",$I120:$W120))*(VLOOKUP($B120,'Distribution %'!$A$2:$Q$232,MATCH(T$2,'Distribution %'!$A$2:$Q$2,0),FALSE)/(SUMIF('Distribution %'!$C$1:$Q$1,"BUDGET",'Distribution %'!$C57:$Q57))),"0")+0)</f>
        <v>8019.0930787589496</v>
      </c>
      <c r="U120" s="389">
        <f>IF(VLOOKUP("Net Income",'FY ACTUALS'!$A$1:$X$996,U$3,FALSE)&lt;&gt;0,IFERROR(VLOOKUP($B120,'FY ACTUALS'!$A$1:$X$996,U$3,FALSE),"0")+0,IFERROR(($H120-SUMIF($I$1:$W$1,"ACTUAL",$I120:$W120))*(VLOOKUP($B120,'Distribution %'!$A$2:$Q$232,MATCH(U$2,'Distribution %'!$A$2:$Q$2,0),FALSE)/(SUMIF('Distribution %'!$C$1:$Q$1,"BUDGET",'Distribution %'!$C57:$Q57))),"0")+0)</f>
        <v>0</v>
      </c>
      <c r="V120" s="389">
        <f>IF(VLOOKUP("Net Income",'FY ACTUALS'!$A$1:$X$996,V$3,FALSE)&lt;&gt;0,IFERROR(VLOOKUP($B120,'FY ACTUALS'!$A$1:$X$996,V$3,FALSE),"0")+0,IFERROR(($H120-SUMIF($I$1:$W$1,"ACTUAL",$I120:$W120))*(VLOOKUP($B120,'Distribution %'!$A$2:$Q$232,MATCH(V$2,'Distribution %'!$A$2:$Q$2,0),FALSE)/(SUMIF('Distribution %'!$C$1:$Q$1,"BUDGET",'Distribution %'!$C57:$Q57))),"0")+0)</f>
        <v>0</v>
      </c>
      <c r="W120" s="431">
        <f>IF(VLOOKUP("Net Income",'FY ACTUALS'!$A$1:$X$996,W$3,FALSE)&lt;&gt;0,IFERROR(VLOOKUP($B120,'FY ACTUALS'!$A$1:$X$996,W$3,FALSE),"0")+0,IFERROR(($H120-SUMIF($I$1:$W$1,"ACTUAL",$I120:$W120))*(VLOOKUP($B120,'Distribution %'!$A$2:$Q$232,MATCH(W$2,'Distribution %'!$A$2:$Q$2,0),FALSE)/(SUMIF('Distribution %'!$C$1:$Q$1,"BUDGET",'Distribution %'!$C57:$Q57))),"0")+0)</f>
        <v>0</v>
      </c>
      <c r="X120" s="387">
        <f t="shared" ref="X120" si="41">+SUM(I120:W120)</f>
        <v>40000</v>
      </c>
      <c r="Y120" s="387"/>
      <c r="Z120" s="387">
        <f t="shared" ref="Z120" si="42">+H120-X120</f>
        <v>0</v>
      </c>
    </row>
    <row r="121" spans="2:26" x14ac:dyDescent="0.75">
      <c r="B121" s="403">
        <v>4300</v>
      </c>
      <c r="C121" s="379" t="s">
        <v>595</v>
      </c>
      <c r="F121" s="379" t="str">
        <f>IF(ISERROR(VLOOKUP(B121,'Distribution %'!A:A,1,FALSE)),"NO","YES")</f>
        <v>YES</v>
      </c>
      <c r="G121" s="392"/>
      <c r="H121" s="430">
        <f>IFERROR(VLOOKUP(B121,'Expenses w MYP'!$A$8:$K$119,11,FALSE),"0")+0</f>
        <v>21000</v>
      </c>
      <c r="I121" s="388">
        <f>IF(VLOOKUP("Net Income",'FY ACTUALS'!$A$1:$X$996,I$3,FALSE)&lt;&gt;0,IFERROR(VLOOKUP($B121,'FY ACTUALS'!$A$1:$X$996,I$3,FALSE),"0")+0,IFERROR(($H121-SUMIF($I$1:$W$1,"ACTUAL",$I121:$W121))*(VLOOKUP($B121,'Distribution %'!$A$2:$Q$232,MATCH(I$2,'Distribution %'!$A$2:$Q$2,0),FALSE)/(SUMIF('Distribution %'!$C$1:$Q$1,"BUDGET",'Distribution %'!$C58:$Q58))),"0")+0)</f>
        <v>70.599999999999994</v>
      </c>
      <c r="J121" s="389">
        <f>IF(VLOOKUP("Net Income",'FY ACTUALS'!$A$1:$X$996,J$3,FALSE)&lt;&gt;0,IFERROR(VLOOKUP($B121,'FY ACTUALS'!$A$1:$X$996,J$3,FALSE),"0")+0,IFERROR(($H121-SUMIF($I$1:$W$1,"ACTUAL",$I121:$W121))*(VLOOKUP($B121,'Distribution %'!$A$2:$Q$232,MATCH(J$2,'Distribution %'!$A$2:$Q$2,0),FALSE)/(SUMIF('Distribution %'!$C$1:$Q$1,"BUDGET",'Distribution %'!$C58:$Q58))),"0")+0)</f>
        <v>471.54</v>
      </c>
      <c r="K121" s="389">
        <f>IF(VLOOKUP("Net Income",'FY ACTUALS'!$A$1:$X$996,K$3,FALSE)&lt;&gt;0,IFERROR(VLOOKUP($B121,'FY ACTUALS'!$A$1:$X$996,K$3,FALSE),"0")+0,IFERROR(($H121-SUMIF($I$1:$W$1,"ACTUAL",$I121:$W121))*(VLOOKUP($B121,'Distribution %'!$A$2:$Q$232,MATCH(K$2,'Distribution %'!$A$2:$Q$2,0),FALSE)/(SUMIF('Distribution %'!$C$1:$Q$1,"BUDGET",'Distribution %'!$C58:$Q58))),"0")+0)</f>
        <v>3375.04</v>
      </c>
      <c r="L121" s="389">
        <f>IF(VLOOKUP("Net Income",'FY ACTUALS'!$A$1:$X$996,L$3,FALSE)&lt;&gt;0,IFERROR(VLOOKUP($B121,'FY ACTUALS'!$A$1:$X$996,L$3,FALSE),"0")+0,IFERROR(($H121-SUMIF($I$1:$W$1,"ACTUAL",$I121:$W121))*(VLOOKUP($B121,'Distribution %'!$A$2:$Q$232,MATCH(L$2,'Distribution %'!$A$2:$Q$2,0),FALSE)/(SUMIF('Distribution %'!$C$1:$Q$1,"BUDGET",'Distribution %'!$C58:$Q58))),"0")+0)</f>
        <v>118.16</v>
      </c>
      <c r="M121" s="389">
        <f>IF(VLOOKUP("Net Income",'FY ACTUALS'!$A$1:$X$996,M$3,FALSE)&lt;&gt;0,IFERROR(VLOOKUP($B121,'FY ACTUALS'!$A$1:$X$996,M$3,FALSE),"0")+0,IFERROR(($H121-SUMIF($I$1:$W$1,"ACTUAL",$I121:$W121))*(VLOOKUP($B121,'Distribution %'!$A$2:$Q$232,MATCH(M$2,'Distribution %'!$A$2:$Q$2,0),FALSE)/(SUMIF('Distribution %'!$C$1:$Q$1,"BUDGET",'Distribution %'!$C58:$Q58))),"0")+0)</f>
        <v>823.46</v>
      </c>
      <c r="N121" s="389">
        <f>IF(VLOOKUP("Net Income",'FY ACTUALS'!$A$1:$X$996,N$3,FALSE)&lt;&gt;0,IFERROR(VLOOKUP($B121,'FY ACTUALS'!$A$1:$X$996,N$3,FALSE),"0")+0,IFERROR(($H121-SUMIF($I$1:$W$1,"ACTUAL",$I121:$W121))*(VLOOKUP($B121,'Distribution %'!$A$2:$Q$232,MATCH(N$2,'Distribution %'!$A$2:$Q$2,0),FALSE)/(SUMIF('Distribution %'!$C$1:$Q$1,"BUDGET",'Distribution %'!$C58:$Q58))),"0")+0)</f>
        <v>177.03</v>
      </c>
      <c r="O121" s="389">
        <f>IF(VLOOKUP("Net Income",'FY ACTUALS'!$A$1:$X$996,O$3,FALSE)&lt;&gt;0,IFERROR(VLOOKUP($B121,'FY ACTUALS'!$A$1:$X$996,O$3,FALSE),"0")+0,IFERROR(($H121-SUMIF($I$1:$W$1,"ACTUAL",$I121:$W121))*(VLOOKUP($B121,'Distribution %'!$A$2:$Q$232,MATCH(O$2,'Distribution %'!$A$2:$Q$2,0),FALSE)/(SUMIF('Distribution %'!$C$1:$Q$1,"BUDGET",'Distribution %'!$C58:$Q58))),"0")+0)</f>
        <v>1620.27</v>
      </c>
      <c r="P121" s="389">
        <f>IF(VLOOKUP("Net Income",'FY ACTUALS'!$A$1:$X$996,P$3,FALSE)&lt;&gt;0,IFERROR(VLOOKUP($B121,'FY ACTUALS'!$A$1:$X$996,P$3,FALSE),"0")+0,IFERROR(($H121-SUMIF($I$1:$W$1,"ACTUAL",$I121:$W121))*(VLOOKUP($B121,'Distribution %'!$A$2:$Q$232,MATCH(P$2,'Distribution %'!$A$2:$Q$2,0),FALSE)/(SUMIF('Distribution %'!$C$1:$Q$1,"BUDGET",'Distribution %'!$C58:$Q58))),"0")+0)</f>
        <v>2841.3930787589502</v>
      </c>
      <c r="Q121" s="389">
        <f>IF(VLOOKUP("Net Income",'FY ACTUALS'!$A$1:$X$996,Q$3,FALSE)&lt;&gt;0,IFERROR(VLOOKUP($B121,'FY ACTUALS'!$A$1:$X$996,Q$3,FALSE),"0")+0,IFERROR(($H121-SUMIF($I$1:$W$1,"ACTUAL",$I121:$W121))*(VLOOKUP($B121,'Distribution %'!$A$2:$Q$232,MATCH(Q$2,'Distribution %'!$A$2:$Q$2,0),FALSE)/(SUMIF('Distribution %'!$C$1:$Q$1,"BUDGET",'Distribution %'!$C58:$Q58))),"0")+0)</f>
        <v>2875.6267303102627</v>
      </c>
      <c r="R121" s="389">
        <f>IF(VLOOKUP("Net Income",'FY ACTUALS'!$A$1:$X$996,R$3,FALSE)&lt;&gt;0,IFERROR(VLOOKUP($B121,'FY ACTUALS'!$A$1:$X$996,R$3,FALSE),"0")+0,IFERROR(($H121-SUMIF($I$1:$W$1,"ACTUAL",$I121:$W121))*(VLOOKUP($B121,'Distribution %'!$A$2:$Q$232,MATCH(R$2,'Distribution %'!$A$2:$Q$2,0),FALSE)/(SUMIF('Distribution %'!$C$1:$Q$1,"BUDGET",'Distribution %'!$C58:$Q58))),"0")+0)</f>
        <v>2875.6267303102627</v>
      </c>
      <c r="S121" s="389">
        <f>IF(VLOOKUP("Net Income",'FY ACTUALS'!$A$1:$X$996,S$3,FALSE)&lt;&gt;0,IFERROR(VLOOKUP($B121,'FY ACTUALS'!$A$1:$X$996,S$3,FALSE),"0")+0,IFERROR(($H121-SUMIF($I$1:$W$1,"ACTUAL",$I121:$W121))*(VLOOKUP($B121,'Distribution %'!$A$2:$Q$232,MATCH(S$2,'Distribution %'!$A$2:$Q$2,0),FALSE)/(SUMIF('Distribution %'!$C$1:$Q$1,"BUDGET",'Distribution %'!$C58:$Q58))),"0")+0)</f>
        <v>2875.6267303102627</v>
      </c>
      <c r="T121" s="389">
        <f>IF(VLOOKUP("Net Income",'FY ACTUALS'!$A$1:$X$996,T$3,FALSE)&lt;&gt;0,IFERROR(VLOOKUP($B121,'FY ACTUALS'!$A$1:$X$996,T$3,FALSE),"0")+0,IFERROR(($H121-SUMIF($I$1:$W$1,"ACTUAL",$I121:$W121))*(VLOOKUP($B121,'Distribution %'!$A$2:$Q$232,MATCH(T$2,'Distribution %'!$A$2:$Q$2,0),FALSE)/(SUMIF('Distribution %'!$C$1:$Q$1,"BUDGET",'Distribution %'!$C58:$Q58))),"0")+0)</f>
        <v>2875.6267303102627</v>
      </c>
      <c r="U121" s="389">
        <f>IF(VLOOKUP("Net Income",'FY ACTUALS'!$A$1:$X$996,U$3,FALSE)&lt;&gt;0,IFERROR(VLOOKUP($B121,'FY ACTUALS'!$A$1:$X$996,U$3,FALSE),"0")+0,IFERROR(($H121-SUMIF($I$1:$W$1,"ACTUAL",$I121:$W121))*(VLOOKUP($B121,'Distribution %'!$A$2:$Q$232,MATCH(U$2,'Distribution %'!$A$2:$Q$2,0),FALSE)/(SUMIF('Distribution %'!$C$1:$Q$1,"BUDGET",'Distribution %'!$C58:$Q58))),"0")+0)</f>
        <v>0</v>
      </c>
      <c r="V121" s="389">
        <f>IF(VLOOKUP("Net Income",'FY ACTUALS'!$A$1:$X$996,V$3,FALSE)&lt;&gt;0,IFERROR(VLOOKUP($B121,'FY ACTUALS'!$A$1:$X$996,V$3,FALSE),"0")+0,IFERROR(($H121-SUMIF($I$1:$W$1,"ACTUAL",$I121:$W121))*(VLOOKUP($B121,'Distribution %'!$A$2:$Q$232,MATCH(V$2,'Distribution %'!$A$2:$Q$2,0),FALSE)/(SUMIF('Distribution %'!$C$1:$Q$1,"BUDGET",'Distribution %'!$C58:$Q58))),"0")+0)</f>
        <v>0</v>
      </c>
      <c r="W121" s="431">
        <f>IF(VLOOKUP("Net Income",'FY ACTUALS'!$A$1:$X$996,W$3,FALSE)&lt;&gt;0,IFERROR(VLOOKUP($B121,'FY ACTUALS'!$A$1:$X$996,W$3,FALSE),"0")+0,IFERROR(($H121-SUMIF($I$1:$W$1,"ACTUAL",$I121:$W121))*(VLOOKUP($B121,'Distribution %'!$A$2:$Q$232,MATCH(W$2,'Distribution %'!$A$2:$Q$2,0),FALSE)/(SUMIF('Distribution %'!$C$1:$Q$1,"BUDGET",'Distribution %'!$C58:$Q58))),"0")+0)</f>
        <v>0</v>
      </c>
      <c r="X121" s="387">
        <f t="shared" si="38"/>
        <v>21000</v>
      </c>
      <c r="Y121" s="387"/>
      <c r="Z121" s="387">
        <f t="shared" si="39"/>
        <v>0</v>
      </c>
    </row>
    <row r="122" spans="2:26" x14ac:dyDescent="0.75">
      <c r="B122" s="403">
        <v>4315</v>
      </c>
      <c r="C122" s="379" t="s">
        <v>594</v>
      </c>
      <c r="F122" s="379" t="str">
        <f>IF(ISERROR(VLOOKUP(B122,'Distribution %'!A:A,1,FALSE)),"NO","YES")</f>
        <v>YES</v>
      </c>
      <c r="G122" s="392"/>
      <c r="H122" s="430">
        <f>IFERROR(VLOOKUP(B122,'Expenses w MYP'!$A$8:$K$119,11,FALSE),"0")+0</f>
        <v>3000</v>
      </c>
      <c r="I122" s="388">
        <f>IF(VLOOKUP("Net Income",'FY ACTUALS'!$A$1:$X$996,I$3,FALSE)&lt;&gt;0,IFERROR(VLOOKUP($B122,'FY ACTUALS'!$A$1:$X$996,I$3,FALSE),"0")+0,IFERROR(($H122-SUMIF($I$1:$W$1,"ACTUAL",$I122:$W122))*(VLOOKUP($B122,'Distribution %'!$A$2:$Q$232,MATCH(I$2,'Distribution %'!$A$2:$Q$2,0),FALSE)/(SUMIF('Distribution %'!$C$1:$Q$1,"BUDGET",'Distribution %'!$C59:$Q59))),"0")+0)</f>
        <v>291.08999999999997</v>
      </c>
      <c r="J122" s="389">
        <f>IF(VLOOKUP("Net Income",'FY ACTUALS'!$A$1:$X$996,J$3,FALSE)&lt;&gt;0,IFERROR(VLOOKUP($B122,'FY ACTUALS'!$A$1:$X$996,J$3,FALSE),"0")+0,IFERROR(($H122-SUMIF($I$1:$W$1,"ACTUAL",$I122:$W122))*(VLOOKUP($B122,'Distribution %'!$A$2:$Q$232,MATCH(J$2,'Distribution %'!$A$2:$Q$2,0),FALSE)/(SUMIF('Distribution %'!$C$1:$Q$1,"BUDGET",'Distribution %'!$C59:$Q59))),"0")+0)</f>
        <v>0</v>
      </c>
      <c r="K122" s="389">
        <f>IF(VLOOKUP("Net Income",'FY ACTUALS'!$A$1:$X$996,K$3,FALSE)&lt;&gt;0,IFERROR(VLOOKUP($B122,'FY ACTUALS'!$A$1:$X$996,K$3,FALSE),"0")+0,IFERROR(($H122-SUMIF($I$1:$W$1,"ACTUAL",$I122:$W122))*(VLOOKUP($B122,'Distribution %'!$A$2:$Q$232,MATCH(K$2,'Distribution %'!$A$2:$Q$2,0),FALSE)/(SUMIF('Distribution %'!$C$1:$Q$1,"BUDGET",'Distribution %'!$C59:$Q59))),"0")+0)</f>
        <v>629.29</v>
      </c>
      <c r="L122" s="389">
        <f>IF(VLOOKUP("Net Income",'FY ACTUALS'!$A$1:$X$996,L$3,FALSE)&lt;&gt;0,IFERROR(VLOOKUP($B122,'FY ACTUALS'!$A$1:$X$996,L$3,FALSE),"0")+0,IFERROR(($H122-SUMIF($I$1:$W$1,"ACTUAL",$I122:$W122))*(VLOOKUP($B122,'Distribution %'!$A$2:$Q$232,MATCH(L$2,'Distribution %'!$A$2:$Q$2,0),FALSE)/(SUMIF('Distribution %'!$C$1:$Q$1,"BUDGET",'Distribution %'!$C59:$Q59))),"0")+0)</f>
        <v>653.80999999999995</v>
      </c>
      <c r="M122" s="389">
        <f>IF(VLOOKUP("Net Income",'FY ACTUALS'!$A$1:$X$996,M$3,FALSE)&lt;&gt;0,IFERROR(VLOOKUP($B122,'FY ACTUALS'!$A$1:$X$996,M$3,FALSE),"0")+0,IFERROR(($H122-SUMIF($I$1:$W$1,"ACTUAL",$I122:$W122))*(VLOOKUP($B122,'Distribution %'!$A$2:$Q$232,MATCH(M$2,'Distribution %'!$A$2:$Q$2,0),FALSE)/(SUMIF('Distribution %'!$C$1:$Q$1,"BUDGET",'Distribution %'!$C59:$Q59))),"0")+0)</f>
        <v>118.33</v>
      </c>
      <c r="N122" s="389">
        <f>IF(VLOOKUP("Net Income",'FY ACTUALS'!$A$1:$X$996,N$3,FALSE)&lt;&gt;0,IFERROR(VLOOKUP($B122,'FY ACTUALS'!$A$1:$X$996,N$3,FALSE),"0")+0,IFERROR(($H122-SUMIF($I$1:$W$1,"ACTUAL",$I122:$W122))*(VLOOKUP($B122,'Distribution %'!$A$2:$Q$232,MATCH(N$2,'Distribution %'!$A$2:$Q$2,0),FALSE)/(SUMIF('Distribution %'!$C$1:$Q$1,"BUDGET",'Distribution %'!$C59:$Q59))),"0")+0)</f>
        <v>98.97</v>
      </c>
      <c r="O122" s="389">
        <f>IF(VLOOKUP("Net Income",'FY ACTUALS'!$A$1:$X$996,O$3,FALSE)&lt;&gt;0,IFERROR(VLOOKUP($B122,'FY ACTUALS'!$A$1:$X$996,O$3,FALSE),"0")+0,IFERROR(($H122-SUMIF($I$1:$W$1,"ACTUAL",$I122:$W122))*(VLOOKUP($B122,'Distribution %'!$A$2:$Q$232,MATCH(O$2,'Distribution %'!$A$2:$Q$2,0),FALSE)/(SUMIF('Distribution %'!$C$1:$Q$1,"BUDGET",'Distribution %'!$C59:$Q59))),"0")+0)</f>
        <v>124.45</v>
      </c>
      <c r="P122" s="389">
        <f>IF(VLOOKUP("Net Income",'FY ACTUALS'!$A$1:$X$996,P$3,FALSE)&lt;&gt;0,IFERROR(VLOOKUP($B122,'FY ACTUALS'!$A$1:$X$996,P$3,FALSE),"0")+0,IFERROR(($H122-SUMIF($I$1:$W$1,"ACTUAL",$I122:$W122))*(VLOOKUP($B122,'Distribution %'!$A$2:$Q$232,MATCH(P$2,'Distribution %'!$A$2:$Q$2,0),FALSE)/(SUMIF('Distribution %'!$C$1:$Q$1,"BUDGET",'Distribution %'!$C59:$Q59))),"0")+0)</f>
        <v>542.03000000000009</v>
      </c>
      <c r="Q122" s="389">
        <f>IF(VLOOKUP("Net Income",'FY ACTUALS'!$A$1:$X$996,Q$3,FALSE)&lt;&gt;0,IFERROR(VLOOKUP($B122,'FY ACTUALS'!$A$1:$X$996,Q$3,FALSE),"0")+0,IFERROR(($H122-SUMIF($I$1:$W$1,"ACTUAL",$I122:$W122))*(VLOOKUP($B122,'Distribution %'!$A$2:$Q$232,MATCH(Q$2,'Distribution %'!$A$2:$Q$2,0),FALSE)/(SUMIF('Distribution %'!$C$1:$Q$1,"BUDGET",'Distribution %'!$C59:$Q59))),"0")+0)</f>
        <v>542.03000000000009</v>
      </c>
      <c r="R122" s="389">
        <f>IF(VLOOKUP("Net Income",'FY ACTUALS'!$A$1:$X$996,R$3,FALSE)&lt;&gt;0,IFERROR(VLOOKUP($B122,'FY ACTUALS'!$A$1:$X$996,R$3,FALSE),"0")+0,IFERROR(($H122-SUMIF($I$1:$W$1,"ACTUAL",$I122:$W122))*(VLOOKUP($B122,'Distribution %'!$A$2:$Q$232,MATCH(R$2,'Distribution %'!$A$2:$Q$2,0),FALSE)/(SUMIF('Distribution %'!$C$1:$Q$1,"BUDGET",'Distribution %'!$C59:$Q59))),"0")+0)</f>
        <v>0</v>
      </c>
      <c r="S122" s="389">
        <f>IF(VLOOKUP("Net Income",'FY ACTUALS'!$A$1:$X$996,S$3,FALSE)&lt;&gt;0,IFERROR(VLOOKUP($B122,'FY ACTUALS'!$A$1:$X$996,S$3,FALSE),"0")+0,IFERROR(($H122-SUMIF($I$1:$W$1,"ACTUAL",$I122:$W122))*(VLOOKUP($B122,'Distribution %'!$A$2:$Q$232,MATCH(S$2,'Distribution %'!$A$2:$Q$2,0),FALSE)/(SUMIF('Distribution %'!$C$1:$Q$1,"BUDGET",'Distribution %'!$C59:$Q59))),"0")+0)</f>
        <v>0</v>
      </c>
      <c r="T122" s="389">
        <f>IF(VLOOKUP("Net Income",'FY ACTUALS'!$A$1:$X$996,T$3,FALSE)&lt;&gt;0,IFERROR(VLOOKUP($B122,'FY ACTUALS'!$A$1:$X$996,T$3,FALSE),"0")+0,IFERROR(($H122-SUMIF($I$1:$W$1,"ACTUAL",$I122:$W122))*(VLOOKUP($B122,'Distribution %'!$A$2:$Q$232,MATCH(T$2,'Distribution %'!$A$2:$Q$2,0),FALSE)/(SUMIF('Distribution %'!$C$1:$Q$1,"BUDGET",'Distribution %'!$C59:$Q59))),"0")+0)</f>
        <v>0</v>
      </c>
      <c r="U122" s="389">
        <f>IF(VLOOKUP("Net Income",'FY ACTUALS'!$A$1:$X$996,U$3,FALSE)&lt;&gt;0,IFERROR(VLOOKUP($B122,'FY ACTUALS'!$A$1:$X$996,U$3,FALSE),"0")+0,IFERROR(($H122-SUMIF($I$1:$W$1,"ACTUAL",$I122:$W122))*(VLOOKUP($B122,'Distribution %'!$A$2:$Q$232,MATCH(U$2,'Distribution %'!$A$2:$Q$2,0),FALSE)/(SUMIF('Distribution %'!$C$1:$Q$1,"BUDGET",'Distribution %'!$C59:$Q59))),"0")+0)</f>
        <v>0</v>
      </c>
      <c r="V122" s="389">
        <f>IF(VLOOKUP("Net Income",'FY ACTUALS'!$A$1:$X$996,V$3,FALSE)&lt;&gt;0,IFERROR(VLOOKUP($B122,'FY ACTUALS'!$A$1:$X$996,V$3,FALSE),"0")+0,IFERROR(($H122-SUMIF($I$1:$W$1,"ACTUAL",$I122:$W122))*(VLOOKUP($B122,'Distribution %'!$A$2:$Q$232,MATCH(V$2,'Distribution %'!$A$2:$Q$2,0),FALSE)/(SUMIF('Distribution %'!$C$1:$Q$1,"BUDGET",'Distribution %'!$C59:$Q59))),"0")+0)</f>
        <v>0</v>
      </c>
      <c r="W122" s="431">
        <f>IF(VLOOKUP("Net Income",'FY ACTUALS'!$A$1:$X$996,W$3,FALSE)&lt;&gt;0,IFERROR(VLOOKUP($B122,'FY ACTUALS'!$A$1:$X$996,W$3,FALSE),"0")+0,IFERROR(($H122-SUMIF($I$1:$W$1,"ACTUAL",$I122:$W122))*(VLOOKUP($B122,'Distribution %'!$A$2:$Q$232,MATCH(W$2,'Distribution %'!$A$2:$Q$2,0),FALSE)/(SUMIF('Distribution %'!$C$1:$Q$1,"BUDGET",'Distribution %'!$C59:$Q59))),"0")+0)</f>
        <v>0</v>
      </c>
      <c r="X122" s="387">
        <f t="shared" si="38"/>
        <v>3000</v>
      </c>
      <c r="Y122" s="387"/>
      <c r="Z122" s="387">
        <f t="shared" si="39"/>
        <v>0</v>
      </c>
    </row>
    <row r="123" spans="2:26" x14ac:dyDescent="0.75">
      <c r="B123" s="403">
        <v>4325</v>
      </c>
      <c r="C123" s="379" t="s">
        <v>1417</v>
      </c>
      <c r="F123" s="379" t="str">
        <f>IF(ISERROR(VLOOKUP(B123,'Distribution %'!A:A,1,FALSE)),"NO","YES")</f>
        <v>YES</v>
      </c>
      <c r="G123" s="392"/>
      <c r="H123" s="430">
        <f>IFERROR(VLOOKUP(B123,'Expenses w MYP'!$A$8:$K$119,11,FALSE),"0")+0</f>
        <v>0</v>
      </c>
      <c r="I123" s="388">
        <f>IF(VLOOKUP("Net Income",'FY ACTUALS'!$A$1:$X$996,I$3,FALSE)&lt;&gt;0,IFERROR(VLOOKUP($B123,'FY ACTUALS'!$A$1:$X$996,I$3,FALSE),"0")+0,IFERROR(($H123-SUMIF($I$1:$W$1,"ACTUAL",$I123:$W123))*(VLOOKUP($B123,'Distribution %'!$A$2:$Q$232,MATCH(I$2,'Distribution %'!$A$2:$Q$2,0),FALSE)/(SUMIF('Distribution %'!$C$1:$Q$1,"BUDGET",'Distribution %'!$C60:$Q60))),"0")+0)</f>
        <v>0</v>
      </c>
      <c r="J123" s="389">
        <f>IF(VLOOKUP("Net Income",'FY ACTUALS'!$A$1:$X$996,J$3,FALSE)&lt;&gt;0,IFERROR(VLOOKUP($B123,'FY ACTUALS'!$A$1:$X$996,J$3,FALSE),"0")+0,IFERROR(($H123-SUMIF($I$1:$W$1,"ACTUAL",$I123:$W123))*(VLOOKUP($B123,'Distribution %'!$A$2:$Q$232,MATCH(J$2,'Distribution %'!$A$2:$Q$2,0),FALSE)/(SUMIF('Distribution %'!$C$1:$Q$1,"BUDGET",'Distribution %'!$C60:$Q60))),"0")+0)</f>
        <v>0</v>
      </c>
      <c r="K123" s="389">
        <f>IF(VLOOKUP("Net Income",'FY ACTUALS'!$A$1:$X$996,K$3,FALSE)&lt;&gt;0,IFERROR(VLOOKUP($B123,'FY ACTUALS'!$A$1:$X$996,K$3,FALSE),"0")+0,IFERROR(($H123-SUMIF($I$1:$W$1,"ACTUAL",$I123:$W123))*(VLOOKUP($B123,'Distribution %'!$A$2:$Q$232,MATCH(K$2,'Distribution %'!$A$2:$Q$2,0),FALSE)/(SUMIF('Distribution %'!$C$1:$Q$1,"BUDGET",'Distribution %'!$C60:$Q60))),"0")+0)</f>
        <v>0</v>
      </c>
      <c r="L123" s="389">
        <f>IF(VLOOKUP("Net Income",'FY ACTUALS'!$A$1:$X$996,L$3,FALSE)&lt;&gt;0,IFERROR(VLOOKUP($B123,'FY ACTUALS'!$A$1:$X$996,L$3,FALSE),"0")+0,IFERROR(($H123-SUMIF($I$1:$W$1,"ACTUAL",$I123:$W123))*(VLOOKUP($B123,'Distribution %'!$A$2:$Q$232,MATCH(L$2,'Distribution %'!$A$2:$Q$2,0),FALSE)/(SUMIF('Distribution %'!$C$1:$Q$1,"BUDGET",'Distribution %'!$C60:$Q60))),"0")+0)</f>
        <v>0</v>
      </c>
      <c r="M123" s="389">
        <f>IF(VLOOKUP("Net Income",'FY ACTUALS'!$A$1:$X$996,M$3,FALSE)&lt;&gt;0,IFERROR(VLOOKUP($B123,'FY ACTUALS'!$A$1:$X$996,M$3,FALSE),"0")+0,IFERROR(($H123-SUMIF($I$1:$W$1,"ACTUAL",$I123:$W123))*(VLOOKUP($B123,'Distribution %'!$A$2:$Q$232,MATCH(M$2,'Distribution %'!$A$2:$Q$2,0),FALSE)/(SUMIF('Distribution %'!$C$1:$Q$1,"BUDGET",'Distribution %'!$C60:$Q60))),"0")+0)</f>
        <v>0</v>
      </c>
      <c r="N123" s="389">
        <f>IF(VLOOKUP("Net Income",'FY ACTUALS'!$A$1:$X$996,N$3,FALSE)&lt;&gt;0,IFERROR(VLOOKUP($B123,'FY ACTUALS'!$A$1:$X$996,N$3,FALSE),"0")+0,IFERROR(($H123-SUMIF($I$1:$W$1,"ACTUAL",$I123:$W123))*(VLOOKUP($B123,'Distribution %'!$A$2:$Q$232,MATCH(N$2,'Distribution %'!$A$2:$Q$2,0),FALSE)/(SUMIF('Distribution %'!$C$1:$Q$1,"BUDGET",'Distribution %'!$C60:$Q60))),"0")+0)</f>
        <v>0</v>
      </c>
      <c r="O123" s="389">
        <f>IF(VLOOKUP("Net Income",'FY ACTUALS'!$A$1:$X$996,O$3,FALSE)&lt;&gt;0,IFERROR(VLOOKUP($B123,'FY ACTUALS'!$A$1:$X$996,O$3,FALSE),"0")+0,IFERROR(($H123-SUMIF($I$1:$W$1,"ACTUAL",$I123:$W123))*(VLOOKUP($B123,'Distribution %'!$A$2:$Q$232,MATCH(O$2,'Distribution %'!$A$2:$Q$2,0),FALSE)/(SUMIF('Distribution %'!$C$1:$Q$1,"BUDGET",'Distribution %'!$C60:$Q60))),"0")+0)</f>
        <v>0</v>
      </c>
      <c r="P123" s="389">
        <f>IF(VLOOKUP("Net Income",'FY ACTUALS'!$A$1:$X$996,P$3,FALSE)&lt;&gt;0,IFERROR(VLOOKUP($B123,'FY ACTUALS'!$A$1:$X$996,P$3,FALSE),"0")+0,IFERROR(($H123-SUMIF($I$1:$W$1,"ACTUAL",$I123:$W123))*(VLOOKUP($B123,'Distribution %'!$A$2:$Q$232,MATCH(P$2,'Distribution %'!$A$2:$Q$2,0),FALSE)/(SUMIF('Distribution %'!$C$1:$Q$1,"BUDGET",'Distribution %'!$C60:$Q60))),"0")+0)</f>
        <v>0</v>
      </c>
      <c r="Q123" s="389">
        <f>IF(VLOOKUP("Net Income",'FY ACTUALS'!$A$1:$X$996,Q$3,FALSE)&lt;&gt;0,IFERROR(VLOOKUP($B123,'FY ACTUALS'!$A$1:$X$996,Q$3,FALSE),"0")+0,IFERROR(($H123-SUMIF($I$1:$W$1,"ACTUAL",$I123:$W123))*(VLOOKUP($B123,'Distribution %'!$A$2:$Q$232,MATCH(Q$2,'Distribution %'!$A$2:$Q$2,0),FALSE)/(SUMIF('Distribution %'!$C$1:$Q$1,"BUDGET",'Distribution %'!$C60:$Q60))),"0")+0)</f>
        <v>0</v>
      </c>
      <c r="R123" s="389">
        <f>IF(VLOOKUP("Net Income",'FY ACTUALS'!$A$1:$X$996,R$3,FALSE)&lt;&gt;0,IFERROR(VLOOKUP($B123,'FY ACTUALS'!$A$1:$X$996,R$3,FALSE),"0")+0,IFERROR(($H123-SUMIF($I$1:$W$1,"ACTUAL",$I123:$W123))*(VLOOKUP($B123,'Distribution %'!$A$2:$Q$232,MATCH(R$2,'Distribution %'!$A$2:$Q$2,0),FALSE)/(SUMIF('Distribution %'!$C$1:$Q$1,"BUDGET",'Distribution %'!$C60:$Q60))),"0")+0)</f>
        <v>0</v>
      </c>
      <c r="S123" s="389">
        <f>IF(VLOOKUP("Net Income",'FY ACTUALS'!$A$1:$X$996,S$3,FALSE)&lt;&gt;0,IFERROR(VLOOKUP($B123,'FY ACTUALS'!$A$1:$X$996,S$3,FALSE),"0")+0,IFERROR(($H123-SUMIF($I$1:$W$1,"ACTUAL",$I123:$W123))*(VLOOKUP($B123,'Distribution %'!$A$2:$Q$232,MATCH(S$2,'Distribution %'!$A$2:$Q$2,0),FALSE)/(SUMIF('Distribution %'!$C$1:$Q$1,"BUDGET",'Distribution %'!$C60:$Q60))),"0")+0)</f>
        <v>0</v>
      </c>
      <c r="T123" s="389">
        <f>IF(VLOOKUP("Net Income",'FY ACTUALS'!$A$1:$X$996,T$3,FALSE)&lt;&gt;0,IFERROR(VLOOKUP($B123,'FY ACTUALS'!$A$1:$X$996,T$3,FALSE),"0")+0,IFERROR(($H123-SUMIF($I$1:$W$1,"ACTUAL",$I123:$W123))*(VLOOKUP($B123,'Distribution %'!$A$2:$Q$232,MATCH(T$2,'Distribution %'!$A$2:$Q$2,0),FALSE)/(SUMIF('Distribution %'!$C$1:$Q$1,"BUDGET",'Distribution %'!$C60:$Q60))),"0")+0)</f>
        <v>0</v>
      </c>
      <c r="U123" s="389">
        <f>IF(VLOOKUP("Net Income",'FY ACTUALS'!$A$1:$X$996,U$3,FALSE)&lt;&gt;0,IFERROR(VLOOKUP($B123,'FY ACTUALS'!$A$1:$X$996,U$3,FALSE),"0")+0,IFERROR(($H123-SUMIF($I$1:$W$1,"ACTUAL",$I123:$W123))*(VLOOKUP($B123,'Distribution %'!$A$2:$Q$232,MATCH(U$2,'Distribution %'!$A$2:$Q$2,0),FALSE)/(SUMIF('Distribution %'!$C$1:$Q$1,"BUDGET",'Distribution %'!$C60:$Q60))),"0")+0)</f>
        <v>0</v>
      </c>
      <c r="V123" s="389">
        <f>IF(VLOOKUP("Net Income",'FY ACTUALS'!$A$1:$X$996,V$3,FALSE)&lt;&gt;0,IFERROR(VLOOKUP($B123,'FY ACTUALS'!$A$1:$X$996,V$3,FALSE),"0")+0,IFERROR(($H123-SUMIF($I$1:$W$1,"ACTUAL",$I123:$W123))*(VLOOKUP($B123,'Distribution %'!$A$2:$Q$232,MATCH(V$2,'Distribution %'!$A$2:$Q$2,0),FALSE)/(SUMIF('Distribution %'!$C$1:$Q$1,"BUDGET",'Distribution %'!$C60:$Q60))),"0")+0)</f>
        <v>0</v>
      </c>
      <c r="W123" s="431">
        <f>IF(VLOOKUP("Net Income",'FY ACTUALS'!$A$1:$X$996,W$3,FALSE)&lt;&gt;0,IFERROR(VLOOKUP($B123,'FY ACTUALS'!$A$1:$X$996,W$3,FALSE),"0")+0,IFERROR(($H123-SUMIF($I$1:$W$1,"ACTUAL",$I123:$W123))*(VLOOKUP($B123,'Distribution %'!$A$2:$Q$232,MATCH(W$2,'Distribution %'!$A$2:$Q$2,0),FALSE)/(SUMIF('Distribution %'!$C$1:$Q$1,"BUDGET",'Distribution %'!$C60:$Q60))),"0")+0)</f>
        <v>0</v>
      </c>
      <c r="X123" s="387">
        <f t="shared" si="38"/>
        <v>0</v>
      </c>
      <c r="Y123" s="387"/>
      <c r="Z123" s="387">
        <f t="shared" si="39"/>
        <v>0</v>
      </c>
    </row>
    <row r="124" spans="2:26" x14ac:dyDescent="0.75">
      <c r="B124" s="403">
        <v>4326</v>
      </c>
      <c r="C124" s="379" t="s">
        <v>1418</v>
      </c>
      <c r="F124" s="379" t="str">
        <f>IF(ISERROR(VLOOKUP(B124,'Distribution %'!A:A,1,FALSE)),"NO","YES")</f>
        <v>YES</v>
      </c>
      <c r="G124" s="392"/>
      <c r="H124" s="430">
        <f>IFERROR(VLOOKUP(B124,'Expenses w MYP'!$A$8:$K$119,11,FALSE),"0")+0</f>
        <v>0</v>
      </c>
      <c r="I124" s="388">
        <f>IF(VLOOKUP("Net Income",'FY ACTUALS'!$A$1:$X$996,I$3,FALSE)&lt;&gt;0,IFERROR(VLOOKUP($B124,'FY ACTUALS'!$A$1:$X$996,I$3,FALSE),"0")+0,IFERROR(($H124-SUMIF($I$1:$W$1,"ACTUAL",$I124:$W124))*(VLOOKUP($B124,'Distribution %'!$A$2:$Q$232,MATCH(I$2,'Distribution %'!$A$2:$Q$2,0),FALSE)/(SUMIF('Distribution %'!$C$1:$Q$1,"BUDGET",'Distribution %'!$C61:$Q61))),"0")+0)</f>
        <v>0</v>
      </c>
      <c r="J124" s="389">
        <f>IF(VLOOKUP("Net Income",'FY ACTUALS'!$A$1:$X$996,J$3,FALSE)&lt;&gt;0,IFERROR(VLOOKUP($B124,'FY ACTUALS'!$A$1:$X$996,J$3,FALSE),"0")+0,IFERROR(($H124-SUMIF($I$1:$W$1,"ACTUAL",$I124:$W124))*(VLOOKUP($B124,'Distribution %'!$A$2:$Q$232,MATCH(J$2,'Distribution %'!$A$2:$Q$2,0),FALSE)/(SUMIF('Distribution %'!$C$1:$Q$1,"BUDGET",'Distribution %'!$C61:$Q61))),"0")+0)</f>
        <v>0</v>
      </c>
      <c r="K124" s="389">
        <f>IF(VLOOKUP("Net Income",'FY ACTUALS'!$A$1:$X$996,K$3,FALSE)&lt;&gt;0,IFERROR(VLOOKUP($B124,'FY ACTUALS'!$A$1:$X$996,K$3,FALSE),"0")+0,IFERROR(($H124-SUMIF($I$1:$W$1,"ACTUAL",$I124:$W124))*(VLOOKUP($B124,'Distribution %'!$A$2:$Q$232,MATCH(K$2,'Distribution %'!$A$2:$Q$2,0),FALSE)/(SUMIF('Distribution %'!$C$1:$Q$1,"BUDGET",'Distribution %'!$C61:$Q61))),"0")+0)</f>
        <v>0</v>
      </c>
      <c r="L124" s="389">
        <f>IF(VLOOKUP("Net Income",'FY ACTUALS'!$A$1:$X$996,L$3,FALSE)&lt;&gt;0,IFERROR(VLOOKUP($B124,'FY ACTUALS'!$A$1:$X$996,L$3,FALSE),"0")+0,IFERROR(($H124-SUMIF($I$1:$W$1,"ACTUAL",$I124:$W124))*(VLOOKUP($B124,'Distribution %'!$A$2:$Q$232,MATCH(L$2,'Distribution %'!$A$2:$Q$2,0),FALSE)/(SUMIF('Distribution %'!$C$1:$Q$1,"BUDGET",'Distribution %'!$C61:$Q61))),"0")+0)</f>
        <v>0</v>
      </c>
      <c r="M124" s="389">
        <f>IF(VLOOKUP("Net Income",'FY ACTUALS'!$A$1:$X$996,M$3,FALSE)&lt;&gt;0,IFERROR(VLOOKUP($B124,'FY ACTUALS'!$A$1:$X$996,M$3,FALSE),"0")+0,IFERROR(($H124-SUMIF($I$1:$W$1,"ACTUAL",$I124:$W124))*(VLOOKUP($B124,'Distribution %'!$A$2:$Q$232,MATCH(M$2,'Distribution %'!$A$2:$Q$2,0),FALSE)/(SUMIF('Distribution %'!$C$1:$Q$1,"BUDGET",'Distribution %'!$C61:$Q61))),"0")+0)</f>
        <v>0</v>
      </c>
      <c r="N124" s="389">
        <f>IF(VLOOKUP("Net Income",'FY ACTUALS'!$A$1:$X$996,N$3,FALSE)&lt;&gt;0,IFERROR(VLOOKUP($B124,'FY ACTUALS'!$A$1:$X$996,N$3,FALSE),"0")+0,IFERROR(($H124-SUMIF($I$1:$W$1,"ACTUAL",$I124:$W124))*(VLOOKUP($B124,'Distribution %'!$A$2:$Q$232,MATCH(N$2,'Distribution %'!$A$2:$Q$2,0),FALSE)/(SUMIF('Distribution %'!$C$1:$Q$1,"BUDGET",'Distribution %'!$C61:$Q61))),"0")+0)</f>
        <v>0</v>
      </c>
      <c r="O124" s="389">
        <f>IF(VLOOKUP("Net Income",'FY ACTUALS'!$A$1:$X$996,O$3,FALSE)&lt;&gt;0,IFERROR(VLOOKUP($B124,'FY ACTUALS'!$A$1:$X$996,O$3,FALSE),"0")+0,IFERROR(($H124-SUMIF($I$1:$W$1,"ACTUAL",$I124:$W124))*(VLOOKUP($B124,'Distribution %'!$A$2:$Q$232,MATCH(O$2,'Distribution %'!$A$2:$Q$2,0),FALSE)/(SUMIF('Distribution %'!$C$1:$Q$1,"BUDGET",'Distribution %'!$C61:$Q61))),"0")+0)</f>
        <v>0</v>
      </c>
      <c r="P124" s="389">
        <f>IF(VLOOKUP("Net Income",'FY ACTUALS'!$A$1:$X$996,P$3,FALSE)&lt;&gt;0,IFERROR(VLOOKUP($B124,'FY ACTUALS'!$A$1:$X$996,P$3,FALSE),"0")+0,IFERROR(($H124-SUMIF($I$1:$W$1,"ACTUAL",$I124:$W124))*(VLOOKUP($B124,'Distribution %'!$A$2:$Q$232,MATCH(P$2,'Distribution %'!$A$2:$Q$2,0),FALSE)/(SUMIF('Distribution %'!$C$1:$Q$1,"BUDGET",'Distribution %'!$C61:$Q61))),"0")+0)</f>
        <v>0</v>
      </c>
      <c r="Q124" s="389">
        <f>IF(VLOOKUP("Net Income",'FY ACTUALS'!$A$1:$X$996,Q$3,FALSE)&lt;&gt;0,IFERROR(VLOOKUP($B124,'FY ACTUALS'!$A$1:$X$996,Q$3,FALSE),"0")+0,IFERROR(($H124-SUMIF($I$1:$W$1,"ACTUAL",$I124:$W124))*(VLOOKUP($B124,'Distribution %'!$A$2:$Q$232,MATCH(Q$2,'Distribution %'!$A$2:$Q$2,0),FALSE)/(SUMIF('Distribution %'!$C$1:$Q$1,"BUDGET",'Distribution %'!$C61:$Q61))),"0")+0)</f>
        <v>0</v>
      </c>
      <c r="R124" s="389">
        <f>IF(VLOOKUP("Net Income",'FY ACTUALS'!$A$1:$X$996,R$3,FALSE)&lt;&gt;0,IFERROR(VLOOKUP($B124,'FY ACTUALS'!$A$1:$X$996,R$3,FALSE),"0")+0,IFERROR(($H124-SUMIF($I$1:$W$1,"ACTUAL",$I124:$W124))*(VLOOKUP($B124,'Distribution %'!$A$2:$Q$232,MATCH(R$2,'Distribution %'!$A$2:$Q$2,0),FALSE)/(SUMIF('Distribution %'!$C$1:$Q$1,"BUDGET",'Distribution %'!$C61:$Q61))),"0")+0)</f>
        <v>0</v>
      </c>
      <c r="S124" s="389">
        <f>IF(VLOOKUP("Net Income",'FY ACTUALS'!$A$1:$X$996,S$3,FALSE)&lt;&gt;0,IFERROR(VLOOKUP($B124,'FY ACTUALS'!$A$1:$X$996,S$3,FALSE),"0")+0,IFERROR(($H124-SUMIF($I$1:$W$1,"ACTUAL",$I124:$W124))*(VLOOKUP($B124,'Distribution %'!$A$2:$Q$232,MATCH(S$2,'Distribution %'!$A$2:$Q$2,0),FALSE)/(SUMIF('Distribution %'!$C$1:$Q$1,"BUDGET",'Distribution %'!$C61:$Q61))),"0")+0)</f>
        <v>0</v>
      </c>
      <c r="T124" s="389">
        <f>IF(VLOOKUP("Net Income",'FY ACTUALS'!$A$1:$X$996,T$3,FALSE)&lt;&gt;0,IFERROR(VLOOKUP($B124,'FY ACTUALS'!$A$1:$X$996,T$3,FALSE),"0")+0,IFERROR(($H124-SUMIF($I$1:$W$1,"ACTUAL",$I124:$W124))*(VLOOKUP($B124,'Distribution %'!$A$2:$Q$232,MATCH(T$2,'Distribution %'!$A$2:$Q$2,0),FALSE)/(SUMIF('Distribution %'!$C$1:$Q$1,"BUDGET",'Distribution %'!$C61:$Q61))),"0")+0)</f>
        <v>0</v>
      </c>
      <c r="U124" s="389">
        <f>IF(VLOOKUP("Net Income",'FY ACTUALS'!$A$1:$X$996,U$3,FALSE)&lt;&gt;0,IFERROR(VLOOKUP($B124,'FY ACTUALS'!$A$1:$X$996,U$3,FALSE),"0")+0,IFERROR(($H124-SUMIF($I$1:$W$1,"ACTUAL",$I124:$W124))*(VLOOKUP($B124,'Distribution %'!$A$2:$Q$232,MATCH(U$2,'Distribution %'!$A$2:$Q$2,0),FALSE)/(SUMIF('Distribution %'!$C$1:$Q$1,"BUDGET",'Distribution %'!$C61:$Q61))),"0")+0)</f>
        <v>0</v>
      </c>
      <c r="V124" s="389">
        <f>IF(VLOOKUP("Net Income",'FY ACTUALS'!$A$1:$X$996,V$3,FALSE)&lt;&gt;0,IFERROR(VLOOKUP($B124,'FY ACTUALS'!$A$1:$X$996,V$3,FALSE),"0")+0,IFERROR(($H124-SUMIF($I$1:$W$1,"ACTUAL",$I124:$W124))*(VLOOKUP($B124,'Distribution %'!$A$2:$Q$232,MATCH(V$2,'Distribution %'!$A$2:$Q$2,0),FALSE)/(SUMIF('Distribution %'!$C$1:$Q$1,"BUDGET",'Distribution %'!$C61:$Q61))),"0")+0)</f>
        <v>0</v>
      </c>
      <c r="W124" s="431">
        <f>IF(VLOOKUP("Net Income",'FY ACTUALS'!$A$1:$X$996,W$3,FALSE)&lt;&gt;0,IFERROR(VLOOKUP($B124,'FY ACTUALS'!$A$1:$X$996,W$3,FALSE),"0")+0,IFERROR(($H124-SUMIF($I$1:$W$1,"ACTUAL",$I124:$W124))*(VLOOKUP($B124,'Distribution %'!$A$2:$Q$232,MATCH(W$2,'Distribution %'!$A$2:$Q$2,0),FALSE)/(SUMIF('Distribution %'!$C$1:$Q$1,"BUDGET",'Distribution %'!$C61:$Q61))),"0")+0)</f>
        <v>0</v>
      </c>
      <c r="X124" s="387">
        <f t="shared" si="38"/>
        <v>0</v>
      </c>
      <c r="Y124" s="387"/>
      <c r="Z124" s="387">
        <f t="shared" si="39"/>
        <v>0</v>
      </c>
    </row>
    <row r="125" spans="2:26" x14ac:dyDescent="0.75">
      <c r="B125" s="403">
        <v>4330</v>
      </c>
      <c r="C125" s="379" t="s">
        <v>1419</v>
      </c>
      <c r="F125" s="379" t="str">
        <f>IF(ISERROR(VLOOKUP(B125,'Distribution %'!A:A,1,FALSE)),"NO","YES")</f>
        <v>YES</v>
      </c>
      <c r="G125" s="392"/>
      <c r="H125" s="430">
        <f>IFERROR(VLOOKUP(B125,'Expenses w MYP'!$A$8:$K$119,11,FALSE),"0")+0</f>
        <v>0</v>
      </c>
      <c r="I125" s="388">
        <f>IF(VLOOKUP("Net Income",'FY ACTUALS'!$A$1:$X$996,I$3,FALSE)&lt;&gt;0,IFERROR(VLOOKUP($B125,'FY ACTUALS'!$A$1:$X$996,I$3,FALSE),"0")+0,IFERROR(($H125-SUMIF($I$1:$W$1,"ACTUAL",$I125:$W125))*(VLOOKUP($B125,'Distribution %'!$A$2:$Q$232,MATCH(I$2,'Distribution %'!$A$2:$Q$2,0),FALSE)/(SUMIF('Distribution %'!$C$1:$Q$1,"BUDGET",'Distribution %'!$C62:$Q62))),"0")+0)</f>
        <v>0</v>
      </c>
      <c r="J125" s="389">
        <f>IF(VLOOKUP("Net Income",'FY ACTUALS'!$A$1:$X$996,J$3,FALSE)&lt;&gt;0,IFERROR(VLOOKUP($B125,'FY ACTUALS'!$A$1:$X$996,J$3,FALSE),"0")+0,IFERROR(($H125-SUMIF($I$1:$W$1,"ACTUAL",$I125:$W125))*(VLOOKUP($B125,'Distribution %'!$A$2:$Q$232,MATCH(J$2,'Distribution %'!$A$2:$Q$2,0),FALSE)/(SUMIF('Distribution %'!$C$1:$Q$1,"BUDGET",'Distribution %'!$C62:$Q62))),"0")+0)</f>
        <v>0</v>
      </c>
      <c r="K125" s="389">
        <f>IF(VLOOKUP("Net Income",'FY ACTUALS'!$A$1:$X$996,K$3,FALSE)&lt;&gt;0,IFERROR(VLOOKUP($B125,'FY ACTUALS'!$A$1:$X$996,K$3,FALSE),"0")+0,IFERROR(($H125-SUMIF($I$1:$W$1,"ACTUAL",$I125:$W125))*(VLOOKUP($B125,'Distribution %'!$A$2:$Q$232,MATCH(K$2,'Distribution %'!$A$2:$Q$2,0),FALSE)/(SUMIF('Distribution %'!$C$1:$Q$1,"BUDGET",'Distribution %'!$C62:$Q62))),"0")+0)</f>
        <v>0</v>
      </c>
      <c r="L125" s="389">
        <f>IF(VLOOKUP("Net Income",'FY ACTUALS'!$A$1:$X$996,L$3,FALSE)&lt;&gt;0,IFERROR(VLOOKUP($B125,'FY ACTUALS'!$A$1:$X$996,L$3,FALSE),"0")+0,IFERROR(($H125-SUMIF($I$1:$W$1,"ACTUAL",$I125:$W125))*(VLOOKUP($B125,'Distribution %'!$A$2:$Q$232,MATCH(L$2,'Distribution %'!$A$2:$Q$2,0),FALSE)/(SUMIF('Distribution %'!$C$1:$Q$1,"BUDGET",'Distribution %'!$C62:$Q62))),"0")+0)</f>
        <v>0</v>
      </c>
      <c r="M125" s="389">
        <f>IF(VLOOKUP("Net Income",'FY ACTUALS'!$A$1:$X$996,M$3,FALSE)&lt;&gt;0,IFERROR(VLOOKUP($B125,'FY ACTUALS'!$A$1:$X$996,M$3,FALSE),"0")+0,IFERROR(($H125-SUMIF($I$1:$W$1,"ACTUAL",$I125:$W125))*(VLOOKUP($B125,'Distribution %'!$A$2:$Q$232,MATCH(M$2,'Distribution %'!$A$2:$Q$2,0),FALSE)/(SUMIF('Distribution %'!$C$1:$Q$1,"BUDGET",'Distribution %'!$C62:$Q62))),"0")+0)</f>
        <v>0</v>
      </c>
      <c r="N125" s="389">
        <f>IF(VLOOKUP("Net Income",'FY ACTUALS'!$A$1:$X$996,N$3,FALSE)&lt;&gt;0,IFERROR(VLOOKUP($B125,'FY ACTUALS'!$A$1:$X$996,N$3,FALSE),"0")+0,IFERROR(($H125-SUMIF($I$1:$W$1,"ACTUAL",$I125:$W125))*(VLOOKUP($B125,'Distribution %'!$A$2:$Q$232,MATCH(N$2,'Distribution %'!$A$2:$Q$2,0),FALSE)/(SUMIF('Distribution %'!$C$1:$Q$1,"BUDGET",'Distribution %'!$C62:$Q62))),"0")+0)</f>
        <v>0</v>
      </c>
      <c r="O125" s="389">
        <f>IF(VLOOKUP("Net Income",'FY ACTUALS'!$A$1:$X$996,O$3,FALSE)&lt;&gt;0,IFERROR(VLOOKUP($B125,'FY ACTUALS'!$A$1:$X$996,O$3,FALSE),"0")+0,IFERROR(($H125-SUMIF($I$1:$W$1,"ACTUAL",$I125:$W125))*(VLOOKUP($B125,'Distribution %'!$A$2:$Q$232,MATCH(O$2,'Distribution %'!$A$2:$Q$2,0),FALSE)/(SUMIF('Distribution %'!$C$1:$Q$1,"BUDGET",'Distribution %'!$C62:$Q62))),"0")+0)</f>
        <v>0</v>
      </c>
      <c r="P125" s="389">
        <f>IF(VLOOKUP("Net Income",'FY ACTUALS'!$A$1:$X$996,P$3,FALSE)&lt;&gt;0,IFERROR(VLOOKUP($B125,'FY ACTUALS'!$A$1:$X$996,P$3,FALSE),"0")+0,IFERROR(($H125-SUMIF($I$1:$W$1,"ACTUAL",$I125:$W125))*(VLOOKUP($B125,'Distribution %'!$A$2:$Q$232,MATCH(P$2,'Distribution %'!$A$2:$Q$2,0),FALSE)/(SUMIF('Distribution %'!$C$1:$Q$1,"BUDGET",'Distribution %'!$C62:$Q62))),"0")+0)</f>
        <v>0</v>
      </c>
      <c r="Q125" s="389">
        <f>IF(VLOOKUP("Net Income",'FY ACTUALS'!$A$1:$X$996,Q$3,FALSE)&lt;&gt;0,IFERROR(VLOOKUP($B125,'FY ACTUALS'!$A$1:$X$996,Q$3,FALSE),"0")+0,IFERROR(($H125-SUMIF($I$1:$W$1,"ACTUAL",$I125:$W125))*(VLOOKUP($B125,'Distribution %'!$A$2:$Q$232,MATCH(Q$2,'Distribution %'!$A$2:$Q$2,0),FALSE)/(SUMIF('Distribution %'!$C$1:$Q$1,"BUDGET",'Distribution %'!$C62:$Q62))),"0")+0)</f>
        <v>0</v>
      </c>
      <c r="R125" s="389">
        <f>IF(VLOOKUP("Net Income",'FY ACTUALS'!$A$1:$X$996,R$3,FALSE)&lt;&gt;0,IFERROR(VLOOKUP($B125,'FY ACTUALS'!$A$1:$X$996,R$3,FALSE),"0")+0,IFERROR(($H125-SUMIF($I$1:$W$1,"ACTUAL",$I125:$W125))*(VLOOKUP($B125,'Distribution %'!$A$2:$Q$232,MATCH(R$2,'Distribution %'!$A$2:$Q$2,0),FALSE)/(SUMIF('Distribution %'!$C$1:$Q$1,"BUDGET",'Distribution %'!$C62:$Q62))),"0")+0)</f>
        <v>0</v>
      </c>
      <c r="S125" s="389">
        <f>IF(VLOOKUP("Net Income",'FY ACTUALS'!$A$1:$X$996,S$3,FALSE)&lt;&gt;0,IFERROR(VLOOKUP($B125,'FY ACTUALS'!$A$1:$X$996,S$3,FALSE),"0")+0,IFERROR(($H125-SUMIF($I$1:$W$1,"ACTUAL",$I125:$W125))*(VLOOKUP($B125,'Distribution %'!$A$2:$Q$232,MATCH(S$2,'Distribution %'!$A$2:$Q$2,0),FALSE)/(SUMIF('Distribution %'!$C$1:$Q$1,"BUDGET",'Distribution %'!$C62:$Q62))),"0")+0)</f>
        <v>0</v>
      </c>
      <c r="T125" s="389">
        <f>IF(VLOOKUP("Net Income",'FY ACTUALS'!$A$1:$X$996,T$3,FALSE)&lt;&gt;0,IFERROR(VLOOKUP($B125,'FY ACTUALS'!$A$1:$X$996,T$3,FALSE),"0")+0,IFERROR(($H125-SUMIF($I$1:$W$1,"ACTUAL",$I125:$W125))*(VLOOKUP($B125,'Distribution %'!$A$2:$Q$232,MATCH(T$2,'Distribution %'!$A$2:$Q$2,0),FALSE)/(SUMIF('Distribution %'!$C$1:$Q$1,"BUDGET",'Distribution %'!$C62:$Q62))),"0")+0)</f>
        <v>0</v>
      </c>
      <c r="U125" s="389">
        <f>IF(VLOOKUP("Net Income",'FY ACTUALS'!$A$1:$X$996,U$3,FALSE)&lt;&gt;0,IFERROR(VLOOKUP($B125,'FY ACTUALS'!$A$1:$X$996,U$3,FALSE),"0")+0,IFERROR(($H125-SUMIF($I$1:$W$1,"ACTUAL",$I125:$W125))*(VLOOKUP($B125,'Distribution %'!$A$2:$Q$232,MATCH(U$2,'Distribution %'!$A$2:$Q$2,0),FALSE)/(SUMIF('Distribution %'!$C$1:$Q$1,"BUDGET",'Distribution %'!$C62:$Q62))),"0")+0)</f>
        <v>0</v>
      </c>
      <c r="V125" s="389">
        <f>IF(VLOOKUP("Net Income",'FY ACTUALS'!$A$1:$X$996,V$3,FALSE)&lt;&gt;0,IFERROR(VLOOKUP($B125,'FY ACTUALS'!$A$1:$X$996,V$3,FALSE),"0")+0,IFERROR(($H125-SUMIF($I$1:$W$1,"ACTUAL",$I125:$W125))*(VLOOKUP($B125,'Distribution %'!$A$2:$Q$232,MATCH(V$2,'Distribution %'!$A$2:$Q$2,0),FALSE)/(SUMIF('Distribution %'!$C$1:$Q$1,"BUDGET",'Distribution %'!$C62:$Q62))),"0")+0)</f>
        <v>0</v>
      </c>
      <c r="W125" s="431">
        <f>IF(VLOOKUP("Net Income",'FY ACTUALS'!$A$1:$X$996,W$3,FALSE)&lt;&gt;0,IFERROR(VLOOKUP($B125,'FY ACTUALS'!$A$1:$X$996,W$3,FALSE),"0")+0,IFERROR(($H125-SUMIF($I$1:$W$1,"ACTUAL",$I125:$W125))*(VLOOKUP($B125,'Distribution %'!$A$2:$Q$232,MATCH(W$2,'Distribution %'!$A$2:$Q$2,0),FALSE)/(SUMIF('Distribution %'!$C$1:$Q$1,"BUDGET",'Distribution %'!$C62:$Q62))),"0")+0)</f>
        <v>0</v>
      </c>
      <c r="X125" s="387">
        <f t="shared" ref="X125:X127" si="43">+SUM(I125:W125)</f>
        <v>0</v>
      </c>
      <c r="Y125" s="387"/>
      <c r="Z125" s="387">
        <f t="shared" si="39"/>
        <v>0</v>
      </c>
    </row>
    <row r="126" spans="2:26" x14ac:dyDescent="0.75">
      <c r="B126" s="403">
        <v>4342</v>
      </c>
      <c r="C126" s="379" t="s">
        <v>1420</v>
      </c>
      <c r="F126" s="379" t="str">
        <f>IF(ISERROR(VLOOKUP(B126,'Distribution %'!A:A,1,FALSE)),"NO","YES")</f>
        <v>YES</v>
      </c>
      <c r="G126" s="392"/>
      <c r="H126" s="430">
        <f>IFERROR(VLOOKUP(B126,'Expenses w MYP'!$A$8:$K$119,11,FALSE),"0")+0</f>
        <v>0</v>
      </c>
      <c r="I126" s="388">
        <f>IF(VLOOKUP("Net Income",'FY ACTUALS'!$A$1:$X$996,I$3,FALSE)&lt;&gt;0,IFERROR(VLOOKUP($B126,'FY ACTUALS'!$A$1:$X$996,I$3,FALSE),"0")+0,IFERROR(($H126-SUMIF($I$1:$W$1,"ACTUAL",$I126:$W126))*(VLOOKUP($B126,'Distribution %'!$A$2:$Q$232,MATCH(I$2,'Distribution %'!$A$2:$Q$2,0),FALSE)/(SUMIF('Distribution %'!$C$1:$Q$1,"BUDGET",'Distribution %'!$C63:$Q63))),"0")+0)</f>
        <v>0</v>
      </c>
      <c r="J126" s="389">
        <f>IF(VLOOKUP("Net Income",'FY ACTUALS'!$A$1:$X$996,J$3,FALSE)&lt;&gt;0,IFERROR(VLOOKUP($B126,'FY ACTUALS'!$A$1:$X$996,J$3,FALSE),"0")+0,IFERROR(($H126-SUMIF($I$1:$W$1,"ACTUAL",$I126:$W126))*(VLOOKUP($B126,'Distribution %'!$A$2:$Q$232,MATCH(J$2,'Distribution %'!$A$2:$Q$2,0),FALSE)/(SUMIF('Distribution %'!$C$1:$Q$1,"BUDGET",'Distribution %'!$C63:$Q63))),"0")+0)</f>
        <v>0</v>
      </c>
      <c r="K126" s="389">
        <f>IF(VLOOKUP("Net Income",'FY ACTUALS'!$A$1:$X$996,K$3,FALSE)&lt;&gt;0,IFERROR(VLOOKUP($B126,'FY ACTUALS'!$A$1:$X$996,K$3,FALSE),"0")+0,IFERROR(($H126-SUMIF($I$1:$W$1,"ACTUAL",$I126:$W126))*(VLOOKUP($B126,'Distribution %'!$A$2:$Q$232,MATCH(K$2,'Distribution %'!$A$2:$Q$2,0),FALSE)/(SUMIF('Distribution %'!$C$1:$Q$1,"BUDGET",'Distribution %'!$C63:$Q63))),"0")+0)</f>
        <v>0</v>
      </c>
      <c r="L126" s="389">
        <f>IF(VLOOKUP("Net Income",'FY ACTUALS'!$A$1:$X$996,L$3,FALSE)&lt;&gt;0,IFERROR(VLOOKUP($B126,'FY ACTUALS'!$A$1:$X$996,L$3,FALSE),"0")+0,IFERROR(($H126-SUMIF($I$1:$W$1,"ACTUAL",$I126:$W126))*(VLOOKUP($B126,'Distribution %'!$A$2:$Q$232,MATCH(L$2,'Distribution %'!$A$2:$Q$2,0),FALSE)/(SUMIF('Distribution %'!$C$1:$Q$1,"BUDGET",'Distribution %'!$C63:$Q63))),"0")+0)</f>
        <v>0</v>
      </c>
      <c r="M126" s="389">
        <f>IF(VLOOKUP("Net Income",'FY ACTUALS'!$A$1:$X$996,M$3,FALSE)&lt;&gt;0,IFERROR(VLOOKUP($B126,'FY ACTUALS'!$A$1:$X$996,M$3,FALSE),"0")+0,IFERROR(($H126-SUMIF($I$1:$W$1,"ACTUAL",$I126:$W126))*(VLOOKUP($B126,'Distribution %'!$A$2:$Q$232,MATCH(M$2,'Distribution %'!$A$2:$Q$2,0),FALSE)/(SUMIF('Distribution %'!$C$1:$Q$1,"BUDGET",'Distribution %'!$C63:$Q63))),"0")+0)</f>
        <v>0</v>
      </c>
      <c r="N126" s="389">
        <f>IF(VLOOKUP("Net Income",'FY ACTUALS'!$A$1:$X$996,N$3,FALSE)&lt;&gt;0,IFERROR(VLOOKUP($B126,'FY ACTUALS'!$A$1:$X$996,N$3,FALSE),"0")+0,IFERROR(($H126-SUMIF($I$1:$W$1,"ACTUAL",$I126:$W126))*(VLOOKUP($B126,'Distribution %'!$A$2:$Q$232,MATCH(N$2,'Distribution %'!$A$2:$Q$2,0),FALSE)/(SUMIF('Distribution %'!$C$1:$Q$1,"BUDGET",'Distribution %'!$C63:$Q63))),"0")+0)</f>
        <v>0</v>
      </c>
      <c r="O126" s="389">
        <f>IF(VLOOKUP("Net Income",'FY ACTUALS'!$A$1:$X$996,O$3,FALSE)&lt;&gt;0,IFERROR(VLOOKUP($B126,'FY ACTUALS'!$A$1:$X$996,O$3,FALSE),"0")+0,IFERROR(($H126-SUMIF($I$1:$W$1,"ACTUAL",$I126:$W126))*(VLOOKUP($B126,'Distribution %'!$A$2:$Q$232,MATCH(O$2,'Distribution %'!$A$2:$Q$2,0),FALSE)/(SUMIF('Distribution %'!$C$1:$Q$1,"BUDGET",'Distribution %'!$C63:$Q63))),"0")+0)</f>
        <v>0</v>
      </c>
      <c r="P126" s="389">
        <f>IF(VLOOKUP("Net Income",'FY ACTUALS'!$A$1:$X$996,P$3,FALSE)&lt;&gt;0,IFERROR(VLOOKUP($B126,'FY ACTUALS'!$A$1:$X$996,P$3,FALSE),"0")+0,IFERROR(($H126-SUMIF($I$1:$W$1,"ACTUAL",$I126:$W126))*(VLOOKUP($B126,'Distribution %'!$A$2:$Q$232,MATCH(P$2,'Distribution %'!$A$2:$Q$2,0),FALSE)/(SUMIF('Distribution %'!$C$1:$Q$1,"BUDGET",'Distribution %'!$C63:$Q63))),"0")+0)</f>
        <v>0</v>
      </c>
      <c r="Q126" s="389">
        <f>IF(VLOOKUP("Net Income",'FY ACTUALS'!$A$1:$X$996,Q$3,FALSE)&lt;&gt;0,IFERROR(VLOOKUP($B126,'FY ACTUALS'!$A$1:$X$996,Q$3,FALSE),"0")+0,IFERROR(($H126-SUMIF($I$1:$W$1,"ACTUAL",$I126:$W126))*(VLOOKUP($B126,'Distribution %'!$A$2:$Q$232,MATCH(Q$2,'Distribution %'!$A$2:$Q$2,0),FALSE)/(SUMIF('Distribution %'!$C$1:$Q$1,"BUDGET",'Distribution %'!$C63:$Q63))),"0")+0)</f>
        <v>0</v>
      </c>
      <c r="R126" s="389">
        <f>IF(VLOOKUP("Net Income",'FY ACTUALS'!$A$1:$X$996,R$3,FALSE)&lt;&gt;0,IFERROR(VLOOKUP($B126,'FY ACTUALS'!$A$1:$X$996,R$3,FALSE),"0")+0,IFERROR(($H126-SUMIF($I$1:$W$1,"ACTUAL",$I126:$W126))*(VLOOKUP($B126,'Distribution %'!$A$2:$Q$232,MATCH(R$2,'Distribution %'!$A$2:$Q$2,0),FALSE)/(SUMIF('Distribution %'!$C$1:$Q$1,"BUDGET",'Distribution %'!$C63:$Q63))),"0")+0)</f>
        <v>0</v>
      </c>
      <c r="S126" s="389">
        <f>IF(VLOOKUP("Net Income",'FY ACTUALS'!$A$1:$X$996,S$3,FALSE)&lt;&gt;0,IFERROR(VLOOKUP($B126,'FY ACTUALS'!$A$1:$X$996,S$3,FALSE),"0")+0,IFERROR(($H126-SUMIF($I$1:$W$1,"ACTUAL",$I126:$W126))*(VLOOKUP($B126,'Distribution %'!$A$2:$Q$232,MATCH(S$2,'Distribution %'!$A$2:$Q$2,0),FALSE)/(SUMIF('Distribution %'!$C$1:$Q$1,"BUDGET",'Distribution %'!$C63:$Q63))),"0")+0)</f>
        <v>0</v>
      </c>
      <c r="T126" s="389">
        <f>IF(VLOOKUP("Net Income",'FY ACTUALS'!$A$1:$X$996,T$3,FALSE)&lt;&gt;0,IFERROR(VLOOKUP($B126,'FY ACTUALS'!$A$1:$X$996,T$3,FALSE),"0")+0,IFERROR(($H126-SUMIF($I$1:$W$1,"ACTUAL",$I126:$W126))*(VLOOKUP($B126,'Distribution %'!$A$2:$Q$232,MATCH(T$2,'Distribution %'!$A$2:$Q$2,0),FALSE)/(SUMIF('Distribution %'!$C$1:$Q$1,"BUDGET",'Distribution %'!$C63:$Q63))),"0")+0)</f>
        <v>0</v>
      </c>
      <c r="U126" s="389">
        <f>IF(VLOOKUP("Net Income",'FY ACTUALS'!$A$1:$X$996,U$3,FALSE)&lt;&gt;0,IFERROR(VLOOKUP($B126,'FY ACTUALS'!$A$1:$X$996,U$3,FALSE),"0")+0,IFERROR(($H126-SUMIF($I$1:$W$1,"ACTUAL",$I126:$W126))*(VLOOKUP($B126,'Distribution %'!$A$2:$Q$232,MATCH(U$2,'Distribution %'!$A$2:$Q$2,0),FALSE)/(SUMIF('Distribution %'!$C$1:$Q$1,"BUDGET",'Distribution %'!$C63:$Q63))),"0")+0)</f>
        <v>0</v>
      </c>
      <c r="V126" s="389">
        <f>IF(VLOOKUP("Net Income",'FY ACTUALS'!$A$1:$X$996,V$3,FALSE)&lt;&gt;0,IFERROR(VLOOKUP($B126,'FY ACTUALS'!$A$1:$X$996,V$3,FALSE),"0")+0,IFERROR(($H126-SUMIF($I$1:$W$1,"ACTUAL",$I126:$W126))*(VLOOKUP($B126,'Distribution %'!$A$2:$Q$232,MATCH(V$2,'Distribution %'!$A$2:$Q$2,0),FALSE)/(SUMIF('Distribution %'!$C$1:$Q$1,"BUDGET",'Distribution %'!$C63:$Q63))),"0")+0)</f>
        <v>0</v>
      </c>
      <c r="W126" s="431">
        <f>IF(VLOOKUP("Net Income",'FY ACTUALS'!$A$1:$X$996,W$3,FALSE)&lt;&gt;0,IFERROR(VLOOKUP($B126,'FY ACTUALS'!$A$1:$X$996,W$3,FALSE),"0")+0,IFERROR(($H126-SUMIF($I$1:$W$1,"ACTUAL",$I126:$W126))*(VLOOKUP($B126,'Distribution %'!$A$2:$Q$232,MATCH(W$2,'Distribution %'!$A$2:$Q$2,0),FALSE)/(SUMIF('Distribution %'!$C$1:$Q$1,"BUDGET",'Distribution %'!$C63:$Q63))),"0")+0)</f>
        <v>0</v>
      </c>
      <c r="X126" s="387">
        <f t="shared" si="43"/>
        <v>0</v>
      </c>
      <c r="Y126" s="387"/>
      <c r="Z126" s="387">
        <f t="shared" si="39"/>
        <v>0</v>
      </c>
    </row>
    <row r="127" spans="2:26" x14ac:dyDescent="0.75">
      <c r="B127" s="403">
        <v>4350</v>
      </c>
      <c r="C127" s="379" t="s">
        <v>1421</v>
      </c>
      <c r="F127" s="379" t="str">
        <f>IF(ISERROR(VLOOKUP(B127,'Distribution %'!A:A,1,FALSE)),"NO","YES")</f>
        <v>YES</v>
      </c>
      <c r="G127" s="392"/>
      <c r="H127" s="430">
        <f>IFERROR(VLOOKUP(B127,'Expenses w MYP'!$A$8:$K$119,11,FALSE),"0")+0</f>
        <v>0</v>
      </c>
      <c r="I127" s="388">
        <f>IF(VLOOKUP("Net Income",'FY ACTUALS'!$A$1:$X$996,I$3,FALSE)&lt;&gt;0,IFERROR(VLOOKUP($B127,'FY ACTUALS'!$A$1:$X$996,I$3,FALSE),"0")+0,IFERROR(($H127-SUMIF($I$1:$W$1,"ACTUAL",$I127:$W127))*(VLOOKUP($B127,'Distribution %'!$A$2:$Q$232,MATCH(I$2,'Distribution %'!$A$2:$Q$2,0),FALSE)/(SUMIF('Distribution %'!$C$1:$Q$1,"BUDGET",'Distribution %'!$C64:$Q64))),"0")+0)</f>
        <v>0</v>
      </c>
      <c r="J127" s="389">
        <f>IF(VLOOKUP("Net Income",'FY ACTUALS'!$A$1:$X$996,J$3,FALSE)&lt;&gt;0,IFERROR(VLOOKUP($B127,'FY ACTUALS'!$A$1:$X$996,J$3,FALSE),"0")+0,IFERROR(($H127-SUMIF($I$1:$W$1,"ACTUAL",$I127:$W127))*(VLOOKUP($B127,'Distribution %'!$A$2:$Q$232,MATCH(J$2,'Distribution %'!$A$2:$Q$2,0),FALSE)/(SUMIF('Distribution %'!$C$1:$Q$1,"BUDGET",'Distribution %'!$C64:$Q64))),"0")+0)</f>
        <v>0</v>
      </c>
      <c r="K127" s="389">
        <f>IF(VLOOKUP("Net Income",'FY ACTUALS'!$A$1:$X$996,K$3,FALSE)&lt;&gt;0,IFERROR(VLOOKUP($B127,'FY ACTUALS'!$A$1:$X$996,K$3,FALSE),"0")+0,IFERROR(($H127-SUMIF($I$1:$W$1,"ACTUAL",$I127:$W127))*(VLOOKUP($B127,'Distribution %'!$A$2:$Q$232,MATCH(K$2,'Distribution %'!$A$2:$Q$2,0),FALSE)/(SUMIF('Distribution %'!$C$1:$Q$1,"BUDGET",'Distribution %'!$C64:$Q64))),"0")+0)</f>
        <v>0</v>
      </c>
      <c r="L127" s="389">
        <f>IF(VLOOKUP("Net Income",'FY ACTUALS'!$A$1:$X$996,L$3,FALSE)&lt;&gt;0,IFERROR(VLOOKUP($B127,'FY ACTUALS'!$A$1:$X$996,L$3,FALSE),"0")+0,IFERROR(($H127-SUMIF($I$1:$W$1,"ACTUAL",$I127:$W127))*(VLOOKUP($B127,'Distribution %'!$A$2:$Q$232,MATCH(L$2,'Distribution %'!$A$2:$Q$2,0),FALSE)/(SUMIF('Distribution %'!$C$1:$Q$1,"BUDGET",'Distribution %'!$C64:$Q64))),"0")+0)</f>
        <v>0</v>
      </c>
      <c r="M127" s="389">
        <f>IF(VLOOKUP("Net Income",'FY ACTUALS'!$A$1:$X$996,M$3,FALSE)&lt;&gt;0,IFERROR(VLOOKUP($B127,'FY ACTUALS'!$A$1:$X$996,M$3,FALSE),"0")+0,IFERROR(($H127-SUMIF($I$1:$W$1,"ACTUAL",$I127:$W127))*(VLOOKUP($B127,'Distribution %'!$A$2:$Q$232,MATCH(M$2,'Distribution %'!$A$2:$Q$2,0),FALSE)/(SUMIF('Distribution %'!$C$1:$Q$1,"BUDGET",'Distribution %'!$C64:$Q64))),"0")+0)</f>
        <v>0</v>
      </c>
      <c r="N127" s="389">
        <f>IF(VLOOKUP("Net Income",'FY ACTUALS'!$A$1:$X$996,N$3,FALSE)&lt;&gt;0,IFERROR(VLOOKUP($B127,'FY ACTUALS'!$A$1:$X$996,N$3,FALSE),"0")+0,IFERROR(($H127-SUMIF($I$1:$W$1,"ACTUAL",$I127:$W127))*(VLOOKUP($B127,'Distribution %'!$A$2:$Q$232,MATCH(N$2,'Distribution %'!$A$2:$Q$2,0),FALSE)/(SUMIF('Distribution %'!$C$1:$Q$1,"BUDGET",'Distribution %'!$C64:$Q64))),"0")+0)</f>
        <v>0</v>
      </c>
      <c r="O127" s="389">
        <f>IF(VLOOKUP("Net Income",'FY ACTUALS'!$A$1:$X$996,O$3,FALSE)&lt;&gt;0,IFERROR(VLOOKUP($B127,'FY ACTUALS'!$A$1:$X$996,O$3,FALSE),"0")+0,IFERROR(($H127-SUMIF($I$1:$W$1,"ACTUAL",$I127:$W127))*(VLOOKUP($B127,'Distribution %'!$A$2:$Q$232,MATCH(O$2,'Distribution %'!$A$2:$Q$2,0),FALSE)/(SUMIF('Distribution %'!$C$1:$Q$1,"BUDGET",'Distribution %'!$C64:$Q64))),"0")+0)</f>
        <v>0</v>
      </c>
      <c r="P127" s="389">
        <f>IF(VLOOKUP("Net Income",'FY ACTUALS'!$A$1:$X$996,P$3,FALSE)&lt;&gt;0,IFERROR(VLOOKUP($B127,'FY ACTUALS'!$A$1:$X$996,P$3,FALSE),"0")+0,IFERROR(($H127-SUMIF($I$1:$W$1,"ACTUAL",$I127:$W127))*(VLOOKUP($B127,'Distribution %'!$A$2:$Q$232,MATCH(P$2,'Distribution %'!$A$2:$Q$2,0),FALSE)/(SUMIF('Distribution %'!$C$1:$Q$1,"BUDGET",'Distribution %'!$C64:$Q64))),"0")+0)</f>
        <v>0</v>
      </c>
      <c r="Q127" s="389">
        <f>IF(VLOOKUP("Net Income",'FY ACTUALS'!$A$1:$X$996,Q$3,FALSE)&lt;&gt;0,IFERROR(VLOOKUP($B127,'FY ACTUALS'!$A$1:$X$996,Q$3,FALSE),"0")+0,IFERROR(($H127-SUMIF($I$1:$W$1,"ACTUAL",$I127:$W127))*(VLOOKUP($B127,'Distribution %'!$A$2:$Q$232,MATCH(Q$2,'Distribution %'!$A$2:$Q$2,0),FALSE)/(SUMIF('Distribution %'!$C$1:$Q$1,"BUDGET",'Distribution %'!$C64:$Q64))),"0")+0)</f>
        <v>0</v>
      </c>
      <c r="R127" s="389">
        <f>IF(VLOOKUP("Net Income",'FY ACTUALS'!$A$1:$X$996,R$3,FALSE)&lt;&gt;0,IFERROR(VLOOKUP($B127,'FY ACTUALS'!$A$1:$X$996,R$3,FALSE),"0")+0,IFERROR(($H127-SUMIF($I$1:$W$1,"ACTUAL",$I127:$W127))*(VLOOKUP($B127,'Distribution %'!$A$2:$Q$232,MATCH(R$2,'Distribution %'!$A$2:$Q$2,0),FALSE)/(SUMIF('Distribution %'!$C$1:$Q$1,"BUDGET",'Distribution %'!$C64:$Q64))),"0")+0)</f>
        <v>0</v>
      </c>
      <c r="S127" s="389">
        <f>IF(VLOOKUP("Net Income",'FY ACTUALS'!$A$1:$X$996,S$3,FALSE)&lt;&gt;0,IFERROR(VLOOKUP($B127,'FY ACTUALS'!$A$1:$X$996,S$3,FALSE),"0")+0,IFERROR(($H127-SUMIF($I$1:$W$1,"ACTUAL",$I127:$W127))*(VLOOKUP($B127,'Distribution %'!$A$2:$Q$232,MATCH(S$2,'Distribution %'!$A$2:$Q$2,0),FALSE)/(SUMIF('Distribution %'!$C$1:$Q$1,"BUDGET",'Distribution %'!$C64:$Q64))),"0")+0)</f>
        <v>0</v>
      </c>
      <c r="T127" s="389">
        <f>IF(VLOOKUP("Net Income",'FY ACTUALS'!$A$1:$X$996,T$3,FALSE)&lt;&gt;0,IFERROR(VLOOKUP($B127,'FY ACTUALS'!$A$1:$X$996,T$3,FALSE),"0")+0,IFERROR(($H127-SUMIF($I$1:$W$1,"ACTUAL",$I127:$W127))*(VLOOKUP($B127,'Distribution %'!$A$2:$Q$232,MATCH(T$2,'Distribution %'!$A$2:$Q$2,0),FALSE)/(SUMIF('Distribution %'!$C$1:$Q$1,"BUDGET",'Distribution %'!$C64:$Q64))),"0")+0)</f>
        <v>0</v>
      </c>
      <c r="U127" s="389">
        <f>IF(VLOOKUP("Net Income",'FY ACTUALS'!$A$1:$X$996,U$3,FALSE)&lt;&gt;0,IFERROR(VLOOKUP($B127,'FY ACTUALS'!$A$1:$X$996,U$3,FALSE),"0")+0,IFERROR(($H127-SUMIF($I$1:$W$1,"ACTUAL",$I127:$W127))*(VLOOKUP($B127,'Distribution %'!$A$2:$Q$232,MATCH(U$2,'Distribution %'!$A$2:$Q$2,0),FALSE)/(SUMIF('Distribution %'!$C$1:$Q$1,"BUDGET",'Distribution %'!$C64:$Q64))),"0")+0)</f>
        <v>0</v>
      </c>
      <c r="V127" s="389">
        <f>IF(VLOOKUP("Net Income",'FY ACTUALS'!$A$1:$X$996,V$3,FALSE)&lt;&gt;0,IFERROR(VLOOKUP($B127,'FY ACTUALS'!$A$1:$X$996,V$3,FALSE),"0")+0,IFERROR(($H127-SUMIF($I$1:$W$1,"ACTUAL",$I127:$W127))*(VLOOKUP($B127,'Distribution %'!$A$2:$Q$232,MATCH(V$2,'Distribution %'!$A$2:$Q$2,0),FALSE)/(SUMIF('Distribution %'!$C$1:$Q$1,"BUDGET",'Distribution %'!$C64:$Q64))),"0")+0)</f>
        <v>0</v>
      </c>
      <c r="W127" s="431">
        <f>IF(VLOOKUP("Net Income",'FY ACTUALS'!$A$1:$X$996,W$3,FALSE)&lt;&gt;0,IFERROR(VLOOKUP($B127,'FY ACTUALS'!$A$1:$X$996,W$3,FALSE),"0")+0,IFERROR(($H127-SUMIF($I$1:$W$1,"ACTUAL",$I127:$W127))*(VLOOKUP($B127,'Distribution %'!$A$2:$Q$232,MATCH(W$2,'Distribution %'!$A$2:$Q$2,0),FALSE)/(SUMIF('Distribution %'!$C$1:$Q$1,"BUDGET",'Distribution %'!$C64:$Q64))),"0")+0)</f>
        <v>0</v>
      </c>
      <c r="X127" s="387">
        <f t="shared" si="43"/>
        <v>0</v>
      </c>
      <c r="Y127" s="387"/>
      <c r="Z127" s="387">
        <f t="shared" si="39"/>
        <v>0</v>
      </c>
    </row>
    <row r="128" spans="2:26" x14ac:dyDescent="0.75">
      <c r="B128" s="403">
        <v>4354</v>
      </c>
      <c r="C128" s="379" t="s">
        <v>1422</v>
      </c>
      <c r="F128" s="379" t="str">
        <f>IF(ISERROR(VLOOKUP(B128,'Distribution %'!A:A,1,FALSE)),"NO","YES")</f>
        <v>YES</v>
      </c>
      <c r="G128" s="392"/>
      <c r="H128" s="430">
        <f>IFERROR(VLOOKUP(B128,'Expenses w MYP'!$A$8:$K$119,11,FALSE),"0")+0</f>
        <v>0</v>
      </c>
      <c r="I128" s="388">
        <f>IF(VLOOKUP("Net Income",'FY ACTUALS'!$A$1:$X$996,I$3,FALSE)&lt;&gt;0,IFERROR(VLOOKUP($B128,'FY ACTUALS'!$A$1:$X$996,I$3,FALSE),"0")+0,IFERROR(($H128-SUMIF($I$1:$W$1,"ACTUAL",$I128:$W128))*(VLOOKUP($B128,'Distribution %'!$A$2:$Q$232,MATCH(I$2,'Distribution %'!$A$2:$Q$2,0),FALSE)/(SUMIF('Distribution %'!$C$1:$Q$1,"BUDGET",'Distribution %'!$C65:$Q65))),"0")+0)</f>
        <v>0</v>
      </c>
      <c r="J128" s="389">
        <f>IF(VLOOKUP("Net Income",'FY ACTUALS'!$A$1:$X$996,J$3,FALSE)&lt;&gt;0,IFERROR(VLOOKUP($B128,'FY ACTUALS'!$A$1:$X$996,J$3,FALSE),"0")+0,IFERROR(($H128-SUMIF($I$1:$W$1,"ACTUAL",$I128:$W128))*(VLOOKUP($B128,'Distribution %'!$A$2:$Q$232,MATCH(J$2,'Distribution %'!$A$2:$Q$2,0),FALSE)/(SUMIF('Distribution %'!$C$1:$Q$1,"BUDGET",'Distribution %'!$C65:$Q65))),"0")+0)</f>
        <v>0</v>
      </c>
      <c r="K128" s="389">
        <f>IF(VLOOKUP("Net Income",'FY ACTUALS'!$A$1:$X$996,K$3,FALSE)&lt;&gt;0,IFERROR(VLOOKUP($B128,'FY ACTUALS'!$A$1:$X$996,K$3,FALSE),"0")+0,IFERROR(($H128-SUMIF($I$1:$W$1,"ACTUAL",$I128:$W128))*(VLOOKUP($B128,'Distribution %'!$A$2:$Q$232,MATCH(K$2,'Distribution %'!$A$2:$Q$2,0),FALSE)/(SUMIF('Distribution %'!$C$1:$Q$1,"BUDGET",'Distribution %'!$C65:$Q65))),"0")+0)</f>
        <v>0</v>
      </c>
      <c r="L128" s="389">
        <f>IF(VLOOKUP("Net Income",'FY ACTUALS'!$A$1:$X$996,L$3,FALSE)&lt;&gt;0,IFERROR(VLOOKUP($B128,'FY ACTUALS'!$A$1:$X$996,L$3,FALSE),"0")+0,IFERROR(($H128-SUMIF($I$1:$W$1,"ACTUAL",$I128:$W128))*(VLOOKUP($B128,'Distribution %'!$A$2:$Q$232,MATCH(L$2,'Distribution %'!$A$2:$Q$2,0),FALSE)/(SUMIF('Distribution %'!$C$1:$Q$1,"BUDGET",'Distribution %'!$C65:$Q65))),"0")+0)</f>
        <v>0</v>
      </c>
      <c r="M128" s="389">
        <f>IF(VLOOKUP("Net Income",'FY ACTUALS'!$A$1:$X$996,M$3,FALSE)&lt;&gt;0,IFERROR(VLOOKUP($B128,'FY ACTUALS'!$A$1:$X$996,M$3,FALSE),"0")+0,IFERROR(($H128-SUMIF($I$1:$W$1,"ACTUAL",$I128:$W128))*(VLOOKUP($B128,'Distribution %'!$A$2:$Q$232,MATCH(M$2,'Distribution %'!$A$2:$Q$2,0),FALSE)/(SUMIF('Distribution %'!$C$1:$Q$1,"BUDGET",'Distribution %'!$C65:$Q65))),"0")+0)</f>
        <v>0</v>
      </c>
      <c r="N128" s="389">
        <f>IF(VLOOKUP("Net Income",'FY ACTUALS'!$A$1:$X$996,N$3,FALSE)&lt;&gt;0,IFERROR(VLOOKUP($B128,'FY ACTUALS'!$A$1:$X$996,N$3,FALSE),"0")+0,IFERROR(($H128-SUMIF($I$1:$W$1,"ACTUAL",$I128:$W128))*(VLOOKUP($B128,'Distribution %'!$A$2:$Q$232,MATCH(N$2,'Distribution %'!$A$2:$Q$2,0),FALSE)/(SUMIF('Distribution %'!$C$1:$Q$1,"BUDGET",'Distribution %'!$C65:$Q65))),"0")+0)</f>
        <v>0</v>
      </c>
      <c r="O128" s="389">
        <f>IF(VLOOKUP("Net Income",'FY ACTUALS'!$A$1:$X$996,O$3,FALSE)&lt;&gt;0,IFERROR(VLOOKUP($B128,'FY ACTUALS'!$A$1:$X$996,O$3,FALSE),"0")+0,IFERROR(($H128-SUMIF($I$1:$W$1,"ACTUAL",$I128:$W128))*(VLOOKUP($B128,'Distribution %'!$A$2:$Q$232,MATCH(O$2,'Distribution %'!$A$2:$Q$2,0),FALSE)/(SUMIF('Distribution %'!$C$1:$Q$1,"BUDGET",'Distribution %'!$C65:$Q65))),"0")+0)</f>
        <v>0</v>
      </c>
      <c r="P128" s="389">
        <f>IF(VLOOKUP("Net Income",'FY ACTUALS'!$A$1:$X$996,P$3,FALSE)&lt;&gt;0,IFERROR(VLOOKUP($B128,'FY ACTUALS'!$A$1:$X$996,P$3,FALSE),"0")+0,IFERROR(($H128-SUMIF($I$1:$W$1,"ACTUAL",$I128:$W128))*(VLOOKUP($B128,'Distribution %'!$A$2:$Q$232,MATCH(P$2,'Distribution %'!$A$2:$Q$2,0),FALSE)/(SUMIF('Distribution %'!$C$1:$Q$1,"BUDGET",'Distribution %'!$C65:$Q65))),"0")+0)</f>
        <v>0</v>
      </c>
      <c r="Q128" s="389">
        <f>IF(VLOOKUP("Net Income",'FY ACTUALS'!$A$1:$X$996,Q$3,FALSE)&lt;&gt;0,IFERROR(VLOOKUP($B128,'FY ACTUALS'!$A$1:$X$996,Q$3,FALSE),"0")+0,IFERROR(($H128-SUMIF($I$1:$W$1,"ACTUAL",$I128:$W128))*(VLOOKUP($B128,'Distribution %'!$A$2:$Q$232,MATCH(Q$2,'Distribution %'!$A$2:$Q$2,0),FALSE)/(SUMIF('Distribution %'!$C$1:$Q$1,"BUDGET",'Distribution %'!$C65:$Q65))),"0")+0)</f>
        <v>0</v>
      </c>
      <c r="R128" s="389">
        <f>IF(VLOOKUP("Net Income",'FY ACTUALS'!$A$1:$X$996,R$3,FALSE)&lt;&gt;0,IFERROR(VLOOKUP($B128,'FY ACTUALS'!$A$1:$X$996,R$3,FALSE),"0")+0,IFERROR(($H128-SUMIF($I$1:$W$1,"ACTUAL",$I128:$W128))*(VLOOKUP($B128,'Distribution %'!$A$2:$Q$232,MATCH(R$2,'Distribution %'!$A$2:$Q$2,0),FALSE)/(SUMIF('Distribution %'!$C$1:$Q$1,"BUDGET",'Distribution %'!$C65:$Q65))),"0")+0)</f>
        <v>0</v>
      </c>
      <c r="S128" s="389">
        <f>IF(VLOOKUP("Net Income",'FY ACTUALS'!$A$1:$X$996,S$3,FALSE)&lt;&gt;0,IFERROR(VLOOKUP($B128,'FY ACTUALS'!$A$1:$X$996,S$3,FALSE),"0")+0,IFERROR(($H128-SUMIF($I$1:$W$1,"ACTUAL",$I128:$W128))*(VLOOKUP($B128,'Distribution %'!$A$2:$Q$232,MATCH(S$2,'Distribution %'!$A$2:$Q$2,0),FALSE)/(SUMIF('Distribution %'!$C$1:$Q$1,"BUDGET",'Distribution %'!$C65:$Q65))),"0")+0)</f>
        <v>0</v>
      </c>
      <c r="T128" s="389">
        <f>IF(VLOOKUP("Net Income",'FY ACTUALS'!$A$1:$X$996,T$3,FALSE)&lt;&gt;0,IFERROR(VLOOKUP($B128,'FY ACTUALS'!$A$1:$X$996,T$3,FALSE),"0")+0,IFERROR(($H128-SUMIF($I$1:$W$1,"ACTUAL",$I128:$W128))*(VLOOKUP($B128,'Distribution %'!$A$2:$Q$232,MATCH(T$2,'Distribution %'!$A$2:$Q$2,0),FALSE)/(SUMIF('Distribution %'!$C$1:$Q$1,"BUDGET",'Distribution %'!$C65:$Q65))),"0")+0)</f>
        <v>0</v>
      </c>
      <c r="U128" s="389">
        <f>IF(VLOOKUP("Net Income",'FY ACTUALS'!$A$1:$X$996,U$3,FALSE)&lt;&gt;0,IFERROR(VLOOKUP($B128,'FY ACTUALS'!$A$1:$X$996,U$3,FALSE),"0")+0,IFERROR(($H128-SUMIF($I$1:$W$1,"ACTUAL",$I128:$W128))*(VLOOKUP($B128,'Distribution %'!$A$2:$Q$232,MATCH(U$2,'Distribution %'!$A$2:$Q$2,0),FALSE)/(SUMIF('Distribution %'!$C$1:$Q$1,"BUDGET",'Distribution %'!$C65:$Q65))),"0")+0)</f>
        <v>0</v>
      </c>
      <c r="V128" s="389">
        <f>IF(VLOOKUP("Net Income",'FY ACTUALS'!$A$1:$X$996,V$3,FALSE)&lt;&gt;0,IFERROR(VLOOKUP($B128,'FY ACTUALS'!$A$1:$X$996,V$3,FALSE),"0")+0,IFERROR(($H128-SUMIF($I$1:$W$1,"ACTUAL",$I128:$W128))*(VLOOKUP($B128,'Distribution %'!$A$2:$Q$232,MATCH(V$2,'Distribution %'!$A$2:$Q$2,0),FALSE)/(SUMIF('Distribution %'!$C$1:$Q$1,"BUDGET",'Distribution %'!$C65:$Q65))),"0")+0)</f>
        <v>0</v>
      </c>
      <c r="W128" s="431">
        <f>IF(VLOOKUP("Net Income",'FY ACTUALS'!$A$1:$X$996,W$3,FALSE)&lt;&gt;0,IFERROR(VLOOKUP($B128,'FY ACTUALS'!$A$1:$X$996,W$3,FALSE),"0")+0,IFERROR(($H128-SUMIF($I$1:$W$1,"ACTUAL",$I128:$W128))*(VLOOKUP($B128,'Distribution %'!$A$2:$Q$232,MATCH(W$2,'Distribution %'!$A$2:$Q$2,0),FALSE)/(SUMIF('Distribution %'!$C$1:$Q$1,"BUDGET",'Distribution %'!$C65:$Q65))),"0")+0)</f>
        <v>0</v>
      </c>
      <c r="X128" s="387">
        <f t="shared" ref="X128:X137" si="44">+SUM(I128:W128)</f>
        <v>0</v>
      </c>
      <c r="Y128" s="387"/>
      <c r="Z128" s="387">
        <f t="shared" si="39"/>
        <v>0</v>
      </c>
    </row>
    <row r="129" spans="2:26" x14ac:dyDescent="0.75">
      <c r="B129" s="403">
        <v>4381</v>
      </c>
      <c r="C129" s="379" t="s">
        <v>1423</v>
      </c>
      <c r="F129" s="379" t="str">
        <f>IF(ISERROR(VLOOKUP(B129,'Distribution %'!A:A,1,FALSE)),"NO","YES")</f>
        <v>YES</v>
      </c>
      <c r="G129" s="392"/>
      <c r="H129" s="430">
        <f>IFERROR(VLOOKUP(B129,'Expenses w MYP'!$A$8:$K$119,11,FALSE),"0")+0</f>
        <v>0</v>
      </c>
      <c r="I129" s="388">
        <f>IF(VLOOKUP("Net Income",'FY ACTUALS'!$A$1:$X$996,I$3,FALSE)&lt;&gt;0,IFERROR(VLOOKUP($B129,'FY ACTUALS'!$A$1:$X$996,I$3,FALSE),"0")+0,IFERROR(($H129-SUMIF($I$1:$W$1,"ACTUAL",$I129:$W129))*(VLOOKUP($B129,'Distribution %'!$A$2:$Q$232,MATCH(I$2,'Distribution %'!$A$2:$Q$2,0),FALSE)/(SUMIF('Distribution %'!$C$1:$Q$1,"BUDGET",'Distribution %'!$C66:$Q66))),"0")+0)</f>
        <v>0</v>
      </c>
      <c r="J129" s="389">
        <f>IF(VLOOKUP("Net Income",'FY ACTUALS'!$A$1:$X$996,J$3,FALSE)&lt;&gt;0,IFERROR(VLOOKUP($B129,'FY ACTUALS'!$A$1:$X$996,J$3,FALSE),"0")+0,IFERROR(($H129-SUMIF($I$1:$W$1,"ACTUAL",$I129:$W129))*(VLOOKUP($B129,'Distribution %'!$A$2:$Q$232,MATCH(J$2,'Distribution %'!$A$2:$Q$2,0),FALSE)/(SUMIF('Distribution %'!$C$1:$Q$1,"BUDGET",'Distribution %'!$C66:$Q66))),"0")+0)</f>
        <v>0</v>
      </c>
      <c r="K129" s="389">
        <f>IF(VLOOKUP("Net Income",'FY ACTUALS'!$A$1:$X$996,K$3,FALSE)&lt;&gt;0,IFERROR(VLOOKUP($B129,'FY ACTUALS'!$A$1:$X$996,K$3,FALSE),"0")+0,IFERROR(($H129-SUMIF($I$1:$W$1,"ACTUAL",$I129:$W129))*(VLOOKUP($B129,'Distribution %'!$A$2:$Q$232,MATCH(K$2,'Distribution %'!$A$2:$Q$2,0),FALSE)/(SUMIF('Distribution %'!$C$1:$Q$1,"BUDGET",'Distribution %'!$C66:$Q66))),"0")+0)</f>
        <v>0</v>
      </c>
      <c r="L129" s="389">
        <f>IF(VLOOKUP("Net Income",'FY ACTUALS'!$A$1:$X$996,L$3,FALSE)&lt;&gt;0,IFERROR(VLOOKUP($B129,'FY ACTUALS'!$A$1:$X$996,L$3,FALSE),"0")+0,IFERROR(($H129-SUMIF($I$1:$W$1,"ACTUAL",$I129:$W129))*(VLOOKUP($B129,'Distribution %'!$A$2:$Q$232,MATCH(L$2,'Distribution %'!$A$2:$Q$2,0),FALSE)/(SUMIF('Distribution %'!$C$1:$Q$1,"BUDGET",'Distribution %'!$C66:$Q66))),"0")+0)</f>
        <v>0</v>
      </c>
      <c r="M129" s="389">
        <f>IF(VLOOKUP("Net Income",'FY ACTUALS'!$A$1:$X$996,M$3,FALSE)&lt;&gt;0,IFERROR(VLOOKUP($B129,'FY ACTUALS'!$A$1:$X$996,M$3,FALSE),"0")+0,IFERROR(($H129-SUMIF($I$1:$W$1,"ACTUAL",$I129:$W129))*(VLOOKUP($B129,'Distribution %'!$A$2:$Q$232,MATCH(M$2,'Distribution %'!$A$2:$Q$2,0),FALSE)/(SUMIF('Distribution %'!$C$1:$Q$1,"BUDGET",'Distribution %'!$C66:$Q66))),"0")+0)</f>
        <v>0</v>
      </c>
      <c r="N129" s="389">
        <f>IF(VLOOKUP("Net Income",'FY ACTUALS'!$A$1:$X$996,N$3,FALSE)&lt;&gt;0,IFERROR(VLOOKUP($B129,'FY ACTUALS'!$A$1:$X$996,N$3,FALSE),"0")+0,IFERROR(($H129-SUMIF($I$1:$W$1,"ACTUAL",$I129:$W129))*(VLOOKUP($B129,'Distribution %'!$A$2:$Q$232,MATCH(N$2,'Distribution %'!$A$2:$Q$2,0),FALSE)/(SUMIF('Distribution %'!$C$1:$Q$1,"BUDGET",'Distribution %'!$C66:$Q66))),"0")+0)</f>
        <v>0</v>
      </c>
      <c r="O129" s="389">
        <f>IF(VLOOKUP("Net Income",'FY ACTUALS'!$A$1:$X$996,O$3,FALSE)&lt;&gt;0,IFERROR(VLOOKUP($B129,'FY ACTUALS'!$A$1:$X$996,O$3,FALSE),"0")+0,IFERROR(($H129-SUMIF($I$1:$W$1,"ACTUAL",$I129:$W129))*(VLOOKUP($B129,'Distribution %'!$A$2:$Q$232,MATCH(O$2,'Distribution %'!$A$2:$Q$2,0),FALSE)/(SUMIF('Distribution %'!$C$1:$Q$1,"BUDGET",'Distribution %'!$C66:$Q66))),"0")+0)</f>
        <v>0</v>
      </c>
      <c r="P129" s="389">
        <f>IF(VLOOKUP("Net Income",'FY ACTUALS'!$A$1:$X$996,P$3,FALSE)&lt;&gt;0,IFERROR(VLOOKUP($B129,'FY ACTUALS'!$A$1:$X$996,P$3,FALSE),"0")+0,IFERROR(($H129-SUMIF($I$1:$W$1,"ACTUAL",$I129:$W129))*(VLOOKUP($B129,'Distribution %'!$A$2:$Q$232,MATCH(P$2,'Distribution %'!$A$2:$Q$2,0),FALSE)/(SUMIF('Distribution %'!$C$1:$Q$1,"BUDGET",'Distribution %'!$C66:$Q66))),"0")+0)</f>
        <v>0</v>
      </c>
      <c r="Q129" s="389">
        <f>IF(VLOOKUP("Net Income",'FY ACTUALS'!$A$1:$X$996,Q$3,FALSE)&lt;&gt;0,IFERROR(VLOOKUP($B129,'FY ACTUALS'!$A$1:$X$996,Q$3,FALSE),"0")+0,IFERROR(($H129-SUMIF($I$1:$W$1,"ACTUAL",$I129:$W129))*(VLOOKUP($B129,'Distribution %'!$A$2:$Q$232,MATCH(Q$2,'Distribution %'!$A$2:$Q$2,0),FALSE)/(SUMIF('Distribution %'!$C$1:$Q$1,"BUDGET",'Distribution %'!$C66:$Q66))),"0")+0)</f>
        <v>0</v>
      </c>
      <c r="R129" s="389">
        <f>IF(VLOOKUP("Net Income",'FY ACTUALS'!$A$1:$X$996,R$3,FALSE)&lt;&gt;0,IFERROR(VLOOKUP($B129,'FY ACTUALS'!$A$1:$X$996,R$3,FALSE),"0")+0,IFERROR(($H129-SUMIF($I$1:$W$1,"ACTUAL",$I129:$W129))*(VLOOKUP($B129,'Distribution %'!$A$2:$Q$232,MATCH(R$2,'Distribution %'!$A$2:$Q$2,0),FALSE)/(SUMIF('Distribution %'!$C$1:$Q$1,"BUDGET",'Distribution %'!$C66:$Q66))),"0")+0)</f>
        <v>0</v>
      </c>
      <c r="S129" s="389">
        <f>IF(VLOOKUP("Net Income",'FY ACTUALS'!$A$1:$X$996,S$3,FALSE)&lt;&gt;0,IFERROR(VLOOKUP($B129,'FY ACTUALS'!$A$1:$X$996,S$3,FALSE),"0")+0,IFERROR(($H129-SUMIF($I$1:$W$1,"ACTUAL",$I129:$W129))*(VLOOKUP($B129,'Distribution %'!$A$2:$Q$232,MATCH(S$2,'Distribution %'!$A$2:$Q$2,0),FALSE)/(SUMIF('Distribution %'!$C$1:$Q$1,"BUDGET",'Distribution %'!$C66:$Q66))),"0")+0)</f>
        <v>0</v>
      </c>
      <c r="T129" s="389">
        <f>IF(VLOOKUP("Net Income",'FY ACTUALS'!$A$1:$X$996,T$3,FALSE)&lt;&gt;0,IFERROR(VLOOKUP($B129,'FY ACTUALS'!$A$1:$X$996,T$3,FALSE),"0")+0,IFERROR(($H129-SUMIF($I$1:$W$1,"ACTUAL",$I129:$W129))*(VLOOKUP($B129,'Distribution %'!$A$2:$Q$232,MATCH(T$2,'Distribution %'!$A$2:$Q$2,0),FALSE)/(SUMIF('Distribution %'!$C$1:$Q$1,"BUDGET",'Distribution %'!$C66:$Q66))),"0")+0)</f>
        <v>0</v>
      </c>
      <c r="U129" s="389">
        <f>IF(VLOOKUP("Net Income",'FY ACTUALS'!$A$1:$X$996,U$3,FALSE)&lt;&gt;0,IFERROR(VLOOKUP($B129,'FY ACTUALS'!$A$1:$X$996,U$3,FALSE),"0")+0,IFERROR(($H129-SUMIF($I$1:$W$1,"ACTUAL",$I129:$W129))*(VLOOKUP($B129,'Distribution %'!$A$2:$Q$232,MATCH(U$2,'Distribution %'!$A$2:$Q$2,0),FALSE)/(SUMIF('Distribution %'!$C$1:$Q$1,"BUDGET",'Distribution %'!$C66:$Q66))),"0")+0)</f>
        <v>0</v>
      </c>
      <c r="V129" s="389">
        <f>IF(VLOOKUP("Net Income",'FY ACTUALS'!$A$1:$X$996,V$3,FALSE)&lt;&gt;0,IFERROR(VLOOKUP($B129,'FY ACTUALS'!$A$1:$X$996,V$3,FALSE),"0")+0,IFERROR(($H129-SUMIF($I$1:$W$1,"ACTUAL",$I129:$W129))*(VLOOKUP($B129,'Distribution %'!$A$2:$Q$232,MATCH(V$2,'Distribution %'!$A$2:$Q$2,0),FALSE)/(SUMIF('Distribution %'!$C$1:$Q$1,"BUDGET",'Distribution %'!$C66:$Q66))),"0")+0)</f>
        <v>0</v>
      </c>
      <c r="W129" s="431">
        <f>IF(VLOOKUP("Net Income",'FY ACTUALS'!$A$1:$X$996,W$3,FALSE)&lt;&gt;0,IFERROR(VLOOKUP($B129,'FY ACTUALS'!$A$1:$X$996,W$3,FALSE),"0")+0,IFERROR(($H129-SUMIF($I$1:$W$1,"ACTUAL",$I129:$W129))*(VLOOKUP($B129,'Distribution %'!$A$2:$Q$232,MATCH(W$2,'Distribution %'!$A$2:$Q$2,0),FALSE)/(SUMIF('Distribution %'!$C$1:$Q$1,"BUDGET",'Distribution %'!$C66:$Q66))),"0")+0)</f>
        <v>0</v>
      </c>
      <c r="X129" s="387">
        <f t="shared" si="44"/>
        <v>0</v>
      </c>
      <c r="Y129" s="387"/>
      <c r="Z129" s="387">
        <f t="shared" si="39"/>
        <v>0</v>
      </c>
    </row>
    <row r="130" spans="2:26" x14ac:dyDescent="0.75">
      <c r="B130" s="403">
        <v>4400</v>
      </c>
      <c r="C130" s="379" t="s">
        <v>596</v>
      </c>
      <c r="F130" s="379" t="str">
        <f>IF(ISERROR(VLOOKUP(B130,'Distribution %'!A:A,1,FALSE)),"NO","YES")</f>
        <v>YES</v>
      </c>
      <c r="G130" s="392"/>
      <c r="H130" s="430">
        <f>IFERROR(VLOOKUP(B130,'Expenses w MYP'!$A$8:$K$119,11,FALSE),"0")+0</f>
        <v>195000</v>
      </c>
      <c r="I130" s="388">
        <f>IF(VLOOKUP("Net Income",'FY ACTUALS'!$A$1:$X$996,I$3,FALSE)&lt;&gt;0,IFERROR(VLOOKUP($B130,'FY ACTUALS'!$A$1:$X$996,I$3,FALSE),"0")+0,IFERROR(($H130-SUMIF($I$1:$W$1,"ACTUAL",$I130:$W130))*(VLOOKUP($B130,'Distribution %'!$A$2:$Q$232,MATCH(I$2,'Distribution %'!$A$2:$Q$2,0),FALSE)/(SUMIF('Distribution %'!$C$1:$Q$1,"BUDGET",'Distribution %'!$C67:$Q67))),"0")+0)</f>
        <v>15667.89</v>
      </c>
      <c r="J130" s="389">
        <f>IF(VLOOKUP("Net Income",'FY ACTUALS'!$A$1:$X$996,J$3,FALSE)&lt;&gt;0,IFERROR(VLOOKUP($B130,'FY ACTUALS'!$A$1:$X$996,J$3,FALSE),"0")+0,IFERROR(($H130-SUMIF($I$1:$W$1,"ACTUAL",$I130:$W130))*(VLOOKUP($B130,'Distribution %'!$A$2:$Q$232,MATCH(J$2,'Distribution %'!$A$2:$Q$2,0),FALSE)/(SUMIF('Distribution %'!$C$1:$Q$1,"BUDGET",'Distribution %'!$C67:$Q67))),"0")+0)</f>
        <v>0</v>
      </c>
      <c r="K130" s="389">
        <f>IF(VLOOKUP("Net Income",'FY ACTUALS'!$A$1:$X$996,K$3,FALSE)&lt;&gt;0,IFERROR(VLOOKUP($B130,'FY ACTUALS'!$A$1:$X$996,K$3,FALSE),"0")+0,IFERROR(($H130-SUMIF($I$1:$W$1,"ACTUAL",$I130:$W130))*(VLOOKUP($B130,'Distribution %'!$A$2:$Q$232,MATCH(K$2,'Distribution %'!$A$2:$Q$2,0),FALSE)/(SUMIF('Distribution %'!$C$1:$Q$1,"BUDGET",'Distribution %'!$C67:$Q67))),"0")+0)</f>
        <v>1662.77</v>
      </c>
      <c r="L130" s="389">
        <f>IF(VLOOKUP("Net Income",'FY ACTUALS'!$A$1:$X$996,L$3,FALSE)&lt;&gt;0,IFERROR(VLOOKUP($B130,'FY ACTUALS'!$A$1:$X$996,L$3,FALSE),"0")+0,IFERROR(($H130-SUMIF($I$1:$W$1,"ACTUAL",$I130:$W130))*(VLOOKUP($B130,'Distribution %'!$A$2:$Q$232,MATCH(L$2,'Distribution %'!$A$2:$Q$2,0),FALSE)/(SUMIF('Distribution %'!$C$1:$Q$1,"BUDGET",'Distribution %'!$C67:$Q67))),"0")+0)</f>
        <v>317.37</v>
      </c>
      <c r="M130" s="389">
        <f>IF(VLOOKUP("Net Income",'FY ACTUALS'!$A$1:$X$996,M$3,FALSE)&lt;&gt;0,IFERROR(VLOOKUP($B130,'FY ACTUALS'!$A$1:$X$996,M$3,FALSE),"0")+0,IFERROR(($H130-SUMIF($I$1:$W$1,"ACTUAL",$I130:$W130))*(VLOOKUP($B130,'Distribution %'!$A$2:$Q$232,MATCH(M$2,'Distribution %'!$A$2:$Q$2,0),FALSE)/(SUMIF('Distribution %'!$C$1:$Q$1,"BUDGET",'Distribution %'!$C67:$Q67))),"0")+0)</f>
        <v>265.58999999999997</v>
      </c>
      <c r="N130" s="389">
        <f>IF(VLOOKUP("Net Income",'FY ACTUALS'!$A$1:$X$996,N$3,FALSE)&lt;&gt;0,IFERROR(VLOOKUP($B130,'FY ACTUALS'!$A$1:$X$996,N$3,FALSE),"0")+0,IFERROR(($H130-SUMIF($I$1:$W$1,"ACTUAL",$I130:$W130))*(VLOOKUP($B130,'Distribution %'!$A$2:$Q$232,MATCH(N$2,'Distribution %'!$A$2:$Q$2,0),FALSE)/(SUMIF('Distribution %'!$C$1:$Q$1,"BUDGET",'Distribution %'!$C67:$Q67))),"0")+0)</f>
        <v>0</v>
      </c>
      <c r="O130" s="389">
        <f>IF(VLOOKUP("Net Income",'FY ACTUALS'!$A$1:$X$996,O$3,FALSE)&lt;&gt;0,IFERROR(VLOOKUP($B130,'FY ACTUALS'!$A$1:$X$996,O$3,FALSE),"0")+0,IFERROR(($H130-SUMIF($I$1:$W$1,"ACTUAL",$I130:$W130))*(VLOOKUP($B130,'Distribution %'!$A$2:$Q$232,MATCH(O$2,'Distribution %'!$A$2:$Q$2,0),FALSE)/(SUMIF('Distribution %'!$C$1:$Q$1,"BUDGET",'Distribution %'!$C67:$Q67))),"0")+0)</f>
        <v>11042.78</v>
      </c>
      <c r="P130" s="389">
        <f>IF(VLOOKUP("Net Income",'FY ACTUALS'!$A$1:$X$996,P$3,FALSE)&lt;&gt;0,IFERROR(VLOOKUP($B130,'FY ACTUALS'!$A$1:$X$996,P$3,FALSE),"0")+0,IFERROR(($H130-SUMIF($I$1:$W$1,"ACTUAL",$I130:$W130))*(VLOOKUP($B130,'Distribution %'!$A$2:$Q$232,MATCH(P$2,'Distribution %'!$A$2:$Q$2,0),FALSE)/(SUMIF('Distribution %'!$C$1:$Q$1,"BUDGET",'Distribution %'!$C67:$Q67))),"0")+0)</f>
        <v>33208.720000000001</v>
      </c>
      <c r="Q130" s="389">
        <f>IF(VLOOKUP("Net Income",'FY ACTUALS'!$A$1:$X$996,Q$3,FALSE)&lt;&gt;0,IFERROR(VLOOKUP($B130,'FY ACTUALS'!$A$1:$X$996,Q$3,FALSE),"0")+0,IFERROR(($H130-SUMIF($I$1:$W$1,"ACTUAL",$I130:$W130))*(VLOOKUP($B130,'Distribution %'!$A$2:$Q$232,MATCH(Q$2,'Distribution %'!$A$2:$Q$2,0),FALSE)/(SUMIF('Distribution %'!$C$1:$Q$1,"BUDGET",'Distribution %'!$C67:$Q67))),"0")+0)</f>
        <v>33208.720000000001</v>
      </c>
      <c r="R130" s="389">
        <f>IF(VLOOKUP("Net Income",'FY ACTUALS'!$A$1:$X$996,R$3,FALSE)&lt;&gt;0,IFERROR(VLOOKUP($B130,'FY ACTUALS'!$A$1:$X$996,R$3,FALSE),"0")+0,IFERROR(($H130-SUMIF($I$1:$W$1,"ACTUAL",$I130:$W130))*(VLOOKUP($B130,'Distribution %'!$A$2:$Q$232,MATCH(R$2,'Distribution %'!$A$2:$Q$2,0),FALSE)/(SUMIF('Distribution %'!$C$1:$Q$1,"BUDGET",'Distribution %'!$C67:$Q67))),"0")+0)</f>
        <v>33208.720000000001</v>
      </c>
      <c r="S130" s="389">
        <f>IF(VLOOKUP("Net Income",'FY ACTUALS'!$A$1:$X$996,S$3,FALSE)&lt;&gt;0,IFERROR(VLOOKUP($B130,'FY ACTUALS'!$A$1:$X$996,S$3,FALSE),"0")+0,IFERROR(($H130-SUMIF($I$1:$W$1,"ACTUAL",$I130:$W130))*(VLOOKUP($B130,'Distribution %'!$A$2:$Q$232,MATCH(S$2,'Distribution %'!$A$2:$Q$2,0),FALSE)/(SUMIF('Distribution %'!$C$1:$Q$1,"BUDGET",'Distribution %'!$C67:$Q67))),"0")+0)</f>
        <v>33208.720000000001</v>
      </c>
      <c r="T130" s="389">
        <f>IF(VLOOKUP("Net Income",'FY ACTUALS'!$A$1:$X$996,T$3,FALSE)&lt;&gt;0,IFERROR(VLOOKUP($B130,'FY ACTUALS'!$A$1:$X$996,T$3,FALSE),"0")+0,IFERROR(($H130-SUMIF($I$1:$W$1,"ACTUAL",$I130:$W130))*(VLOOKUP($B130,'Distribution %'!$A$2:$Q$232,MATCH(T$2,'Distribution %'!$A$2:$Q$2,0),FALSE)/(SUMIF('Distribution %'!$C$1:$Q$1,"BUDGET",'Distribution %'!$C67:$Q67))),"0")+0)</f>
        <v>33208.720000000001</v>
      </c>
      <c r="U130" s="389">
        <f>IF(VLOOKUP("Net Income",'FY ACTUALS'!$A$1:$X$996,U$3,FALSE)&lt;&gt;0,IFERROR(VLOOKUP($B130,'FY ACTUALS'!$A$1:$X$996,U$3,FALSE),"0")+0,IFERROR(($H130-SUMIF($I$1:$W$1,"ACTUAL",$I130:$W130))*(VLOOKUP($B130,'Distribution %'!$A$2:$Q$232,MATCH(U$2,'Distribution %'!$A$2:$Q$2,0),FALSE)/(SUMIF('Distribution %'!$C$1:$Q$1,"BUDGET",'Distribution %'!$C67:$Q67))),"0")+0)</f>
        <v>0</v>
      </c>
      <c r="V130" s="389">
        <f>IF(VLOOKUP("Net Income",'FY ACTUALS'!$A$1:$X$996,V$3,FALSE)&lt;&gt;0,IFERROR(VLOOKUP($B130,'FY ACTUALS'!$A$1:$X$996,V$3,FALSE),"0")+0,IFERROR(($H130-SUMIF($I$1:$W$1,"ACTUAL",$I130:$W130))*(VLOOKUP($B130,'Distribution %'!$A$2:$Q$232,MATCH(V$2,'Distribution %'!$A$2:$Q$2,0),FALSE)/(SUMIF('Distribution %'!$C$1:$Q$1,"BUDGET",'Distribution %'!$C67:$Q67))),"0")+0)</f>
        <v>0</v>
      </c>
      <c r="W130" s="431">
        <f>IF(VLOOKUP("Net Income",'FY ACTUALS'!$A$1:$X$996,W$3,FALSE)&lt;&gt;0,IFERROR(VLOOKUP($B130,'FY ACTUALS'!$A$1:$X$996,W$3,FALSE),"0")+0,IFERROR(($H130-SUMIF($I$1:$W$1,"ACTUAL",$I130:$W130))*(VLOOKUP($B130,'Distribution %'!$A$2:$Q$232,MATCH(W$2,'Distribution %'!$A$2:$Q$2,0),FALSE)/(SUMIF('Distribution %'!$C$1:$Q$1,"BUDGET",'Distribution %'!$C67:$Q67))),"0")+0)</f>
        <v>0</v>
      </c>
      <c r="X130" s="387">
        <f t="shared" si="44"/>
        <v>195000</v>
      </c>
      <c r="Y130" s="387"/>
      <c r="Z130" s="387">
        <f t="shared" si="39"/>
        <v>0</v>
      </c>
    </row>
    <row r="131" spans="2:26" x14ac:dyDescent="0.75">
      <c r="B131" s="403">
        <v>4410</v>
      </c>
      <c r="C131" s="379" t="s">
        <v>1424</v>
      </c>
      <c r="F131" s="379" t="str">
        <f>IF(ISERROR(VLOOKUP(B131,'Distribution %'!A:A,1,FALSE)),"NO","YES")</f>
        <v>YES</v>
      </c>
      <c r="G131" s="392"/>
      <c r="H131" s="430">
        <f>IFERROR(VLOOKUP(B131,'Expenses w MYP'!$A$8:$K$119,11,FALSE),"0")+0</f>
        <v>776000</v>
      </c>
      <c r="I131" s="388">
        <f>IF(VLOOKUP("Net Income",'FY ACTUALS'!$A$1:$X$996,I$3,FALSE)&lt;&gt;0,IFERROR(VLOOKUP($B131,'FY ACTUALS'!$A$1:$X$996,I$3,FALSE),"0")+0,IFERROR(($H131-SUMIF($I$1:$W$1,"ACTUAL",$I131:$W131))*(VLOOKUP($B131,'Distribution %'!$A$2:$Q$232,MATCH(I$2,'Distribution %'!$A$2:$Q$2,0),FALSE)/(SUMIF('Distribution %'!$C$1:$Q$1,"BUDGET",'Distribution %'!$C68:$Q68))),"0")+0)</f>
        <v>0</v>
      </c>
      <c r="J131" s="389">
        <f>IF(VLOOKUP("Net Income",'FY ACTUALS'!$A$1:$X$996,J$3,FALSE)&lt;&gt;0,IFERROR(VLOOKUP($B131,'FY ACTUALS'!$A$1:$X$996,J$3,FALSE),"0")+0,IFERROR(($H131-SUMIF($I$1:$W$1,"ACTUAL",$I131:$W131))*(VLOOKUP($B131,'Distribution %'!$A$2:$Q$232,MATCH(J$2,'Distribution %'!$A$2:$Q$2,0),FALSE)/(SUMIF('Distribution %'!$C$1:$Q$1,"BUDGET",'Distribution %'!$C68:$Q68))),"0")+0)</f>
        <v>42329.31</v>
      </c>
      <c r="K131" s="389">
        <f>IF(VLOOKUP("Net Income",'FY ACTUALS'!$A$1:$X$996,K$3,FALSE)&lt;&gt;0,IFERROR(VLOOKUP($B131,'FY ACTUALS'!$A$1:$X$996,K$3,FALSE),"0")+0,IFERROR(($H131-SUMIF($I$1:$W$1,"ACTUAL",$I131:$W131))*(VLOOKUP($B131,'Distribution %'!$A$2:$Q$232,MATCH(K$2,'Distribution %'!$A$2:$Q$2,0),FALSE)/(SUMIF('Distribution %'!$C$1:$Q$1,"BUDGET",'Distribution %'!$C68:$Q68))),"0")+0)</f>
        <v>0</v>
      </c>
      <c r="L131" s="389">
        <f>IF(VLOOKUP("Net Income",'FY ACTUALS'!$A$1:$X$996,L$3,FALSE)&lt;&gt;0,IFERROR(VLOOKUP($B131,'FY ACTUALS'!$A$1:$X$996,L$3,FALSE),"0")+0,IFERROR(($H131-SUMIF($I$1:$W$1,"ACTUAL",$I131:$W131))*(VLOOKUP($B131,'Distribution %'!$A$2:$Q$232,MATCH(L$2,'Distribution %'!$A$2:$Q$2,0),FALSE)/(SUMIF('Distribution %'!$C$1:$Q$1,"BUDGET",'Distribution %'!$C68:$Q68))),"0")+0)</f>
        <v>201764.26</v>
      </c>
      <c r="M131" s="389">
        <f>IF(VLOOKUP("Net Income",'FY ACTUALS'!$A$1:$X$996,M$3,FALSE)&lt;&gt;0,IFERROR(VLOOKUP($B131,'FY ACTUALS'!$A$1:$X$996,M$3,FALSE),"0")+0,IFERROR(($H131-SUMIF($I$1:$W$1,"ACTUAL",$I131:$W131))*(VLOOKUP($B131,'Distribution %'!$A$2:$Q$232,MATCH(M$2,'Distribution %'!$A$2:$Q$2,0),FALSE)/(SUMIF('Distribution %'!$C$1:$Q$1,"BUDGET",'Distribution %'!$C68:$Q68))),"0")+0)</f>
        <v>0</v>
      </c>
      <c r="N131" s="389">
        <f>IF(VLOOKUP("Net Income",'FY ACTUALS'!$A$1:$X$996,N$3,FALSE)&lt;&gt;0,IFERROR(VLOOKUP($B131,'FY ACTUALS'!$A$1:$X$996,N$3,FALSE),"0")+0,IFERROR(($H131-SUMIF($I$1:$W$1,"ACTUAL",$I131:$W131))*(VLOOKUP($B131,'Distribution %'!$A$2:$Q$232,MATCH(N$2,'Distribution %'!$A$2:$Q$2,0),FALSE)/(SUMIF('Distribution %'!$C$1:$Q$1,"BUDGET",'Distribution %'!$C68:$Q68))),"0")+0)</f>
        <v>0</v>
      </c>
      <c r="O131" s="389">
        <f>IF(VLOOKUP("Net Income",'FY ACTUALS'!$A$1:$X$996,O$3,FALSE)&lt;&gt;0,IFERROR(VLOOKUP($B131,'FY ACTUALS'!$A$1:$X$996,O$3,FALSE),"0")+0,IFERROR(($H131-SUMIF($I$1:$W$1,"ACTUAL",$I131:$W131))*(VLOOKUP($B131,'Distribution %'!$A$2:$Q$232,MATCH(O$2,'Distribution %'!$A$2:$Q$2,0),FALSE)/(SUMIF('Distribution %'!$C$1:$Q$1,"BUDGET",'Distribution %'!$C68:$Q68))),"0")+0)</f>
        <v>43810.69</v>
      </c>
      <c r="P131" s="389">
        <f>IF(VLOOKUP("Net Income",'FY ACTUALS'!$A$1:$X$996,P$3,FALSE)&lt;&gt;0,IFERROR(VLOOKUP($B131,'FY ACTUALS'!$A$1:$X$996,P$3,FALSE),"0")+0,IFERROR(($H131-SUMIF($I$1:$W$1,"ACTUAL",$I131:$W131))*(VLOOKUP($B131,'Distribution %'!$A$2:$Q$232,MATCH(P$2,'Distribution %'!$A$2:$Q$2,0),FALSE)/(SUMIF('Distribution %'!$C$1:$Q$1,"BUDGET",'Distribution %'!$C68:$Q68))),"0")+0)</f>
        <v>162698.57999999999</v>
      </c>
      <c r="Q131" s="389">
        <f>IF(VLOOKUP("Net Income",'FY ACTUALS'!$A$1:$X$996,Q$3,FALSE)&lt;&gt;0,IFERROR(VLOOKUP($B131,'FY ACTUALS'!$A$1:$X$996,Q$3,FALSE),"0")+0,IFERROR(($H131-SUMIF($I$1:$W$1,"ACTUAL",$I131:$W131))*(VLOOKUP($B131,'Distribution %'!$A$2:$Q$232,MATCH(Q$2,'Distribution %'!$A$2:$Q$2,0),FALSE)/(SUMIF('Distribution %'!$C$1:$Q$1,"BUDGET",'Distribution %'!$C68:$Q68))),"0")+0)</f>
        <v>162698.57999999999</v>
      </c>
      <c r="R131" s="389">
        <f>IF(VLOOKUP("Net Income",'FY ACTUALS'!$A$1:$X$996,R$3,FALSE)&lt;&gt;0,IFERROR(VLOOKUP($B131,'FY ACTUALS'!$A$1:$X$996,R$3,FALSE),"0")+0,IFERROR(($H131-SUMIF($I$1:$W$1,"ACTUAL",$I131:$W131))*(VLOOKUP($B131,'Distribution %'!$A$2:$Q$232,MATCH(R$2,'Distribution %'!$A$2:$Q$2,0),FALSE)/(SUMIF('Distribution %'!$C$1:$Q$1,"BUDGET",'Distribution %'!$C68:$Q68))),"0")+0)</f>
        <v>162698.57999999999</v>
      </c>
      <c r="S131" s="389">
        <f>IF(VLOOKUP("Net Income",'FY ACTUALS'!$A$1:$X$996,S$3,FALSE)&lt;&gt;0,IFERROR(VLOOKUP($B131,'FY ACTUALS'!$A$1:$X$996,S$3,FALSE),"0")+0,IFERROR(($H131-SUMIF($I$1:$W$1,"ACTUAL",$I131:$W131))*(VLOOKUP($B131,'Distribution %'!$A$2:$Q$232,MATCH(S$2,'Distribution %'!$A$2:$Q$2,0),FALSE)/(SUMIF('Distribution %'!$C$1:$Q$1,"BUDGET",'Distribution %'!$C68:$Q68))),"0")+0)</f>
        <v>0</v>
      </c>
      <c r="T131" s="389">
        <f>IF(VLOOKUP("Net Income",'FY ACTUALS'!$A$1:$X$996,T$3,FALSE)&lt;&gt;0,IFERROR(VLOOKUP($B131,'FY ACTUALS'!$A$1:$X$996,T$3,FALSE),"0")+0,IFERROR(($H131-SUMIF($I$1:$W$1,"ACTUAL",$I131:$W131))*(VLOOKUP($B131,'Distribution %'!$A$2:$Q$232,MATCH(T$2,'Distribution %'!$A$2:$Q$2,0),FALSE)/(SUMIF('Distribution %'!$C$1:$Q$1,"BUDGET",'Distribution %'!$C68:$Q68))),"0")+0)</f>
        <v>0</v>
      </c>
      <c r="U131" s="389">
        <f>IF(VLOOKUP("Net Income",'FY ACTUALS'!$A$1:$X$996,U$3,FALSE)&lt;&gt;0,IFERROR(VLOOKUP($B131,'FY ACTUALS'!$A$1:$X$996,U$3,FALSE),"0")+0,IFERROR(($H131-SUMIF($I$1:$W$1,"ACTUAL",$I131:$W131))*(VLOOKUP($B131,'Distribution %'!$A$2:$Q$232,MATCH(U$2,'Distribution %'!$A$2:$Q$2,0),FALSE)/(SUMIF('Distribution %'!$C$1:$Q$1,"BUDGET",'Distribution %'!$C68:$Q68))),"0")+0)</f>
        <v>0</v>
      </c>
      <c r="V131" s="389">
        <f>IF(VLOOKUP("Net Income",'FY ACTUALS'!$A$1:$X$996,V$3,FALSE)&lt;&gt;0,IFERROR(VLOOKUP($B131,'FY ACTUALS'!$A$1:$X$996,V$3,FALSE),"0")+0,IFERROR(($H131-SUMIF($I$1:$W$1,"ACTUAL",$I131:$W131))*(VLOOKUP($B131,'Distribution %'!$A$2:$Q$232,MATCH(V$2,'Distribution %'!$A$2:$Q$2,0),FALSE)/(SUMIF('Distribution %'!$C$1:$Q$1,"BUDGET",'Distribution %'!$C68:$Q68))),"0")+0)</f>
        <v>0</v>
      </c>
      <c r="W131" s="431">
        <f>IF(VLOOKUP("Net Income",'FY ACTUALS'!$A$1:$X$996,W$3,FALSE)&lt;&gt;0,IFERROR(VLOOKUP($B131,'FY ACTUALS'!$A$1:$X$996,W$3,FALSE),"0")+0,IFERROR(($H131-SUMIF($I$1:$W$1,"ACTUAL",$I131:$W131))*(VLOOKUP($B131,'Distribution %'!$A$2:$Q$232,MATCH(W$2,'Distribution %'!$A$2:$Q$2,0),FALSE)/(SUMIF('Distribution %'!$C$1:$Q$1,"BUDGET",'Distribution %'!$C68:$Q68))),"0")+0)</f>
        <v>0</v>
      </c>
      <c r="X131" s="387">
        <f t="shared" si="44"/>
        <v>775999.99999999988</v>
      </c>
      <c r="Y131" s="387"/>
      <c r="Z131" s="387">
        <f t="shared" si="39"/>
        <v>0</v>
      </c>
    </row>
    <row r="132" spans="2:26" x14ac:dyDescent="0.75">
      <c r="B132" s="403">
        <v>4430</v>
      </c>
      <c r="C132" s="379" t="s">
        <v>834</v>
      </c>
      <c r="F132" s="379" t="str">
        <f>IF(ISERROR(VLOOKUP(B132,'Distribution %'!A:A,1,FALSE)),"NO","YES")</f>
        <v>YES</v>
      </c>
      <c r="G132" s="392"/>
      <c r="H132" s="430">
        <f>IFERROR(VLOOKUP(B132,'Expenses w MYP'!$A$8:$K$119,11,FALSE),"0")+0</f>
        <v>7500</v>
      </c>
      <c r="I132" s="388">
        <f>IF(VLOOKUP("Net Income",'FY ACTUALS'!$A$1:$X$996,I$3,FALSE)&lt;&gt;0,IFERROR(VLOOKUP($B132,'FY ACTUALS'!$A$1:$X$996,I$3,FALSE),"0")+0,IFERROR(($H132-SUMIF($I$1:$W$1,"ACTUAL",$I132:$W132))*(VLOOKUP($B132,'Distribution %'!$A$2:$Q$232,MATCH(I$2,'Distribution %'!$A$2:$Q$2,0),FALSE)/(SUMIF('Distribution %'!$C$1:$Q$1,"BUDGET",'Distribution %'!$C69:$Q69))),"0")+0)</f>
        <v>0</v>
      </c>
      <c r="J132" s="389">
        <f>IF(VLOOKUP("Net Income",'FY ACTUALS'!$A$1:$X$996,J$3,FALSE)&lt;&gt;0,IFERROR(VLOOKUP($B132,'FY ACTUALS'!$A$1:$X$996,J$3,FALSE),"0")+0,IFERROR(($H132-SUMIF($I$1:$W$1,"ACTUAL",$I132:$W132))*(VLOOKUP($B132,'Distribution %'!$A$2:$Q$232,MATCH(J$2,'Distribution %'!$A$2:$Q$2,0),FALSE)/(SUMIF('Distribution %'!$C$1:$Q$1,"BUDGET",'Distribution %'!$C69:$Q69))),"0")+0)</f>
        <v>0</v>
      </c>
      <c r="K132" s="389">
        <f>IF(VLOOKUP("Net Income",'FY ACTUALS'!$A$1:$X$996,K$3,FALSE)&lt;&gt;0,IFERROR(VLOOKUP($B132,'FY ACTUALS'!$A$1:$X$996,K$3,FALSE),"0")+0,IFERROR(($H132-SUMIF($I$1:$W$1,"ACTUAL",$I132:$W132))*(VLOOKUP($B132,'Distribution %'!$A$2:$Q$232,MATCH(K$2,'Distribution %'!$A$2:$Q$2,0),FALSE)/(SUMIF('Distribution %'!$C$1:$Q$1,"BUDGET",'Distribution %'!$C69:$Q69))),"0")+0)</f>
        <v>2189.77</v>
      </c>
      <c r="L132" s="389">
        <f>IF(VLOOKUP("Net Income",'FY ACTUALS'!$A$1:$X$996,L$3,FALSE)&lt;&gt;0,IFERROR(VLOOKUP($B132,'FY ACTUALS'!$A$1:$X$996,L$3,FALSE),"0")+0,IFERROR(($H132-SUMIF($I$1:$W$1,"ACTUAL",$I132:$W132))*(VLOOKUP($B132,'Distribution %'!$A$2:$Q$232,MATCH(L$2,'Distribution %'!$A$2:$Q$2,0),FALSE)/(SUMIF('Distribution %'!$C$1:$Q$1,"BUDGET",'Distribution %'!$C69:$Q69))),"0")+0)</f>
        <v>73.11</v>
      </c>
      <c r="M132" s="389">
        <f>IF(VLOOKUP("Net Income",'FY ACTUALS'!$A$1:$X$996,M$3,FALSE)&lt;&gt;0,IFERROR(VLOOKUP($B132,'FY ACTUALS'!$A$1:$X$996,M$3,FALSE),"0")+0,IFERROR(($H132-SUMIF($I$1:$W$1,"ACTUAL",$I132:$W132))*(VLOOKUP($B132,'Distribution %'!$A$2:$Q$232,MATCH(M$2,'Distribution %'!$A$2:$Q$2,0),FALSE)/(SUMIF('Distribution %'!$C$1:$Q$1,"BUDGET",'Distribution %'!$C69:$Q69))),"0")+0)</f>
        <v>83.86</v>
      </c>
      <c r="N132" s="389">
        <f>IF(VLOOKUP("Net Income",'FY ACTUALS'!$A$1:$X$996,N$3,FALSE)&lt;&gt;0,IFERROR(VLOOKUP($B132,'FY ACTUALS'!$A$1:$X$996,N$3,FALSE),"0")+0,IFERROR(($H132-SUMIF($I$1:$W$1,"ACTUAL",$I132:$W132))*(VLOOKUP($B132,'Distribution %'!$A$2:$Q$232,MATCH(N$2,'Distribution %'!$A$2:$Q$2,0),FALSE)/(SUMIF('Distribution %'!$C$1:$Q$1,"BUDGET",'Distribution %'!$C69:$Q69))),"0")+0)</f>
        <v>0</v>
      </c>
      <c r="O132" s="389">
        <f>IF(VLOOKUP("Net Income",'FY ACTUALS'!$A$1:$X$996,O$3,FALSE)&lt;&gt;0,IFERROR(VLOOKUP($B132,'FY ACTUALS'!$A$1:$X$996,O$3,FALSE),"0")+0,IFERROR(($H132-SUMIF($I$1:$W$1,"ACTUAL",$I132:$W132))*(VLOOKUP($B132,'Distribution %'!$A$2:$Q$232,MATCH(O$2,'Distribution %'!$A$2:$Q$2,0),FALSE)/(SUMIF('Distribution %'!$C$1:$Q$1,"BUDGET",'Distribution %'!$C69:$Q69))),"0")+0)</f>
        <v>0</v>
      </c>
      <c r="P132" s="389">
        <f>IF(VLOOKUP("Net Income",'FY ACTUALS'!$A$1:$X$996,P$3,FALSE)&lt;&gt;0,IFERROR(VLOOKUP($B132,'FY ACTUALS'!$A$1:$X$996,P$3,FALSE),"0")+0,IFERROR(($H132-SUMIF($I$1:$W$1,"ACTUAL",$I132:$W132))*(VLOOKUP($B132,'Distribution %'!$A$2:$Q$232,MATCH(P$2,'Distribution %'!$A$2:$Q$2,0),FALSE)/(SUMIF('Distribution %'!$C$1:$Q$1,"BUDGET",'Distribution %'!$C69:$Q69))),"0")+0)</f>
        <v>1030.652</v>
      </c>
      <c r="Q132" s="389">
        <f>IF(VLOOKUP("Net Income",'FY ACTUALS'!$A$1:$X$996,Q$3,FALSE)&lt;&gt;0,IFERROR(VLOOKUP($B132,'FY ACTUALS'!$A$1:$X$996,Q$3,FALSE),"0")+0,IFERROR(($H132-SUMIF($I$1:$W$1,"ACTUAL",$I132:$W132))*(VLOOKUP($B132,'Distribution %'!$A$2:$Q$232,MATCH(Q$2,'Distribution %'!$A$2:$Q$2,0),FALSE)/(SUMIF('Distribution %'!$C$1:$Q$1,"BUDGET",'Distribution %'!$C69:$Q69))),"0")+0)</f>
        <v>1030.652</v>
      </c>
      <c r="R132" s="389">
        <f>IF(VLOOKUP("Net Income",'FY ACTUALS'!$A$1:$X$996,R$3,FALSE)&lt;&gt;0,IFERROR(VLOOKUP($B132,'FY ACTUALS'!$A$1:$X$996,R$3,FALSE),"0")+0,IFERROR(($H132-SUMIF($I$1:$W$1,"ACTUAL",$I132:$W132))*(VLOOKUP($B132,'Distribution %'!$A$2:$Q$232,MATCH(R$2,'Distribution %'!$A$2:$Q$2,0),FALSE)/(SUMIF('Distribution %'!$C$1:$Q$1,"BUDGET",'Distribution %'!$C69:$Q69))),"0")+0)</f>
        <v>1030.652</v>
      </c>
      <c r="S132" s="389">
        <f>IF(VLOOKUP("Net Income",'FY ACTUALS'!$A$1:$X$996,S$3,FALSE)&lt;&gt;0,IFERROR(VLOOKUP($B132,'FY ACTUALS'!$A$1:$X$996,S$3,FALSE),"0")+0,IFERROR(($H132-SUMIF($I$1:$W$1,"ACTUAL",$I132:$W132))*(VLOOKUP($B132,'Distribution %'!$A$2:$Q$232,MATCH(S$2,'Distribution %'!$A$2:$Q$2,0),FALSE)/(SUMIF('Distribution %'!$C$1:$Q$1,"BUDGET",'Distribution %'!$C69:$Q69))),"0")+0)</f>
        <v>1030.652</v>
      </c>
      <c r="T132" s="389">
        <f>IF(VLOOKUP("Net Income",'FY ACTUALS'!$A$1:$X$996,T$3,FALSE)&lt;&gt;0,IFERROR(VLOOKUP($B132,'FY ACTUALS'!$A$1:$X$996,T$3,FALSE),"0")+0,IFERROR(($H132-SUMIF($I$1:$W$1,"ACTUAL",$I132:$W132))*(VLOOKUP($B132,'Distribution %'!$A$2:$Q$232,MATCH(T$2,'Distribution %'!$A$2:$Q$2,0),FALSE)/(SUMIF('Distribution %'!$C$1:$Q$1,"BUDGET",'Distribution %'!$C69:$Q69))),"0")+0)</f>
        <v>1030.652</v>
      </c>
      <c r="U132" s="389">
        <f>IF(VLOOKUP("Net Income",'FY ACTUALS'!$A$1:$X$996,U$3,FALSE)&lt;&gt;0,IFERROR(VLOOKUP($B132,'FY ACTUALS'!$A$1:$X$996,U$3,FALSE),"0")+0,IFERROR(($H132-SUMIF($I$1:$W$1,"ACTUAL",$I132:$W132))*(VLOOKUP($B132,'Distribution %'!$A$2:$Q$232,MATCH(U$2,'Distribution %'!$A$2:$Q$2,0),FALSE)/(SUMIF('Distribution %'!$C$1:$Q$1,"BUDGET",'Distribution %'!$C69:$Q69))),"0")+0)</f>
        <v>0</v>
      </c>
      <c r="V132" s="389">
        <f>IF(VLOOKUP("Net Income",'FY ACTUALS'!$A$1:$X$996,V$3,FALSE)&lt;&gt;0,IFERROR(VLOOKUP($B132,'FY ACTUALS'!$A$1:$X$996,V$3,FALSE),"0")+0,IFERROR(($H132-SUMIF($I$1:$W$1,"ACTUAL",$I132:$W132))*(VLOOKUP($B132,'Distribution %'!$A$2:$Q$232,MATCH(V$2,'Distribution %'!$A$2:$Q$2,0),FALSE)/(SUMIF('Distribution %'!$C$1:$Q$1,"BUDGET",'Distribution %'!$C69:$Q69))),"0")+0)</f>
        <v>0</v>
      </c>
      <c r="W132" s="431">
        <f>IF(VLOOKUP("Net Income",'FY ACTUALS'!$A$1:$X$996,W$3,FALSE)&lt;&gt;0,IFERROR(VLOOKUP($B132,'FY ACTUALS'!$A$1:$X$996,W$3,FALSE),"0")+0,IFERROR(($H132-SUMIF($I$1:$W$1,"ACTUAL",$I132:$W132))*(VLOOKUP($B132,'Distribution %'!$A$2:$Q$232,MATCH(W$2,'Distribution %'!$A$2:$Q$2,0),FALSE)/(SUMIF('Distribution %'!$C$1:$Q$1,"BUDGET",'Distribution %'!$C69:$Q69))),"0")+0)</f>
        <v>0</v>
      </c>
      <c r="X132" s="387">
        <f t="shared" si="44"/>
        <v>7500</v>
      </c>
      <c r="Y132" s="387"/>
      <c r="Z132" s="387">
        <f t="shared" si="39"/>
        <v>0</v>
      </c>
    </row>
    <row r="133" spans="2:26" x14ac:dyDescent="0.75">
      <c r="B133" s="403">
        <v>4700</v>
      </c>
      <c r="C133" s="379" t="s">
        <v>1078</v>
      </c>
      <c r="F133" s="379" t="str">
        <f>IF(ISERROR(VLOOKUP(B133,'Distribution %'!A:A,1,FALSE)),"NO","YES")</f>
        <v>YES</v>
      </c>
      <c r="G133" s="392"/>
      <c r="H133" s="430">
        <f>IFERROR(VLOOKUP(B133,'Expenses w MYP'!$A$8:$K$119,11,FALSE),"0")+0</f>
        <v>0</v>
      </c>
      <c r="I133" s="388">
        <f>IF(VLOOKUP("Net Income",'FY ACTUALS'!$A$1:$X$996,I$3,FALSE)&lt;&gt;0,IFERROR(VLOOKUP($B133,'FY ACTUALS'!$A$1:$X$996,I$3,FALSE),"0")+0,IFERROR(($H133-SUMIF($I$1:$W$1,"ACTUAL",$I133:$W133))*(VLOOKUP($B133,'Distribution %'!$A$2:$Q$232,MATCH(I$2,'Distribution %'!$A$2:$Q$2,0),FALSE)/(SUMIF('Distribution %'!$C$1:$Q$1,"BUDGET",'Distribution %'!$C70:$Q70))),"0")+0)</f>
        <v>0</v>
      </c>
      <c r="J133" s="389">
        <f>IF(VLOOKUP("Net Income",'FY ACTUALS'!$A$1:$X$996,J$3,FALSE)&lt;&gt;0,IFERROR(VLOOKUP($B133,'FY ACTUALS'!$A$1:$X$996,J$3,FALSE),"0")+0,IFERROR(($H133-SUMIF($I$1:$W$1,"ACTUAL",$I133:$W133))*(VLOOKUP($B133,'Distribution %'!$A$2:$Q$232,MATCH(J$2,'Distribution %'!$A$2:$Q$2,0),FALSE)/(SUMIF('Distribution %'!$C$1:$Q$1,"BUDGET",'Distribution %'!$C70:$Q70))),"0")+0)</f>
        <v>0</v>
      </c>
      <c r="K133" s="389">
        <f>IF(VLOOKUP("Net Income",'FY ACTUALS'!$A$1:$X$996,K$3,FALSE)&lt;&gt;0,IFERROR(VLOOKUP($B133,'FY ACTUALS'!$A$1:$X$996,K$3,FALSE),"0")+0,IFERROR(($H133-SUMIF($I$1:$W$1,"ACTUAL",$I133:$W133))*(VLOOKUP($B133,'Distribution %'!$A$2:$Q$232,MATCH(K$2,'Distribution %'!$A$2:$Q$2,0),FALSE)/(SUMIF('Distribution %'!$C$1:$Q$1,"BUDGET",'Distribution %'!$C70:$Q70))),"0")+0)</f>
        <v>0</v>
      </c>
      <c r="L133" s="389">
        <f>IF(VLOOKUP("Net Income",'FY ACTUALS'!$A$1:$X$996,L$3,FALSE)&lt;&gt;0,IFERROR(VLOOKUP($B133,'FY ACTUALS'!$A$1:$X$996,L$3,FALSE),"0")+0,IFERROR(($H133-SUMIF($I$1:$W$1,"ACTUAL",$I133:$W133))*(VLOOKUP($B133,'Distribution %'!$A$2:$Q$232,MATCH(L$2,'Distribution %'!$A$2:$Q$2,0),FALSE)/(SUMIF('Distribution %'!$C$1:$Q$1,"BUDGET",'Distribution %'!$C70:$Q70))),"0")+0)</f>
        <v>0</v>
      </c>
      <c r="M133" s="389">
        <f>IF(VLOOKUP("Net Income",'FY ACTUALS'!$A$1:$X$996,M$3,FALSE)&lt;&gt;0,IFERROR(VLOOKUP($B133,'FY ACTUALS'!$A$1:$X$996,M$3,FALSE),"0")+0,IFERROR(($H133-SUMIF($I$1:$W$1,"ACTUAL",$I133:$W133))*(VLOOKUP($B133,'Distribution %'!$A$2:$Q$232,MATCH(M$2,'Distribution %'!$A$2:$Q$2,0),FALSE)/(SUMIF('Distribution %'!$C$1:$Q$1,"BUDGET",'Distribution %'!$C70:$Q70))),"0")+0)</f>
        <v>244.08</v>
      </c>
      <c r="N133" s="389">
        <f>IF(VLOOKUP("Net Income",'FY ACTUALS'!$A$1:$X$996,N$3,FALSE)&lt;&gt;0,IFERROR(VLOOKUP($B133,'FY ACTUALS'!$A$1:$X$996,N$3,FALSE),"0")+0,IFERROR(($H133-SUMIF($I$1:$W$1,"ACTUAL",$I133:$W133))*(VLOOKUP($B133,'Distribution %'!$A$2:$Q$232,MATCH(N$2,'Distribution %'!$A$2:$Q$2,0),FALSE)/(SUMIF('Distribution %'!$C$1:$Q$1,"BUDGET",'Distribution %'!$C70:$Q70))),"0")+0)</f>
        <v>0</v>
      </c>
      <c r="O133" s="389">
        <f>IF(VLOOKUP("Net Income",'FY ACTUALS'!$A$1:$X$996,O$3,FALSE)&lt;&gt;0,IFERROR(VLOOKUP($B133,'FY ACTUALS'!$A$1:$X$996,O$3,FALSE),"0")+0,IFERROR(($H133-SUMIF($I$1:$W$1,"ACTUAL",$I133:$W133))*(VLOOKUP($B133,'Distribution %'!$A$2:$Q$232,MATCH(O$2,'Distribution %'!$A$2:$Q$2,0),FALSE)/(SUMIF('Distribution %'!$C$1:$Q$1,"BUDGET",'Distribution %'!$C70:$Q70))),"0")+0)</f>
        <v>145.96</v>
      </c>
      <c r="P133" s="389">
        <f>IF(VLOOKUP("Net Income",'FY ACTUALS'!$A$1:$X$996,P$3,FALSE)&lt;&gt;0,IFERROR(VLOOKUP($B133,'FY ACTUALS'!$A$1:$X$996,P$3,FALSE),"0")+0,IFERROR(($H133-SUMIF($I$1:$W$1,"ACTUAL",$I133:$W133))*(VLOOKUP($B133,'Distribution %'!$A$2:$Q$232,MATCH(P$2,'Distribution %'!$A$2:$Q$2,0),FALSE)/(SUMIF('Distribution %'!$C$1:$Q$1,"BUDGET",'Distribution %'!$C70:$Q70))),"0")+0)</f>
        <v>-78.00800000000001</v>
      </c>
      <c r="Q133" s="389">
        <f>IF(VLOOKUP("Net Income",'FY ACTUALS'!$A$1:$X$996,Q$3,FALSE)&lt;&gt;0,IFERROR(VLOOKUP($B133,'FY ACTUALS'!$A$1:$X$996,Q$3,FALSE),"0")+0,IFERROR(($H133-SUMIF($I$1:$W$1,"ACTUAL",$I133:$W133))*(VLOOKUP($B133,'Distribution %'!$A$2:$Q$232,MATCH(Q$2,'Distribution %'!$A$2:$Q$2,0),FALSE)/(SUMIF('Distribution %'!$C$1:$Q$1,"BUDGET",'Distribution %'!$C70:$Q70))),"0")+0)</f>
        <v>-78.00800000000001</v>
      </c>
      <c r="R133" s="389">
        <f>IF(VLOOKUP("Net Income",'FY ACTUALS'!$A$1:$X$996,R$3,FALSE)&lt;&gt;0,IFERROR(VLOOKUP($B133,'FY ACTUALS'!$A$1:$X$996,R$3,FALSE),"0")+0,IFERROR(($H133-SUMIF($I$1:$W$1,"ACTUAL",$I133:$W133))*(VLOOKUP($B133,'Distribution %'!$A$2:$Q$232,MATCH(R$2,'Distribution %'!$A$2:$Q$2,0),FALSE)/(SUMIF('Distribution %'!$C$1:$Q$1,"BUDGET",'Distribution %'!$C70:$Q70))),"0")+0)</f>
        <v>-78.00800000000001</v>
      </c>
      <c r="S133" s="389">
        <f>IF(VLOOKUP("Net Income",'FY ACTUALS'!$A$1:$X$996,S$3,FALSE)&lt;&gt;0,IFERROR(VLOOKUP($B133,'FY ACTUALS'!$A$1:$X$996,S$3,FALSE),"0")+0,IFERROR(($H133-SUMIF($I$1:$W$1,"ACTUAL",$I133:$W133))*(VLOOKUP($B133,'Distribution %'!$A$2:$Q$232,MATCH(S$2,'Distribution %'!$A$2:$Q$2,0),FALSE)/(SUMIF('Distribution %'!$C$1:$Q$1,"BUDGET",'Distribution %'!$C70:$Q70))),"0")+0)</f>
        <v>-78.00800000000001</v>
      </c>
      <c r="T133" s="389">
        <f>IF(VLOOKUP("Net Income",'FY ACTUALS'!$A$1:$X$996,T$3,FALSE)&lt;&gt;0,IFERROR(VLOOKUP($B133,'FY ACTUALS'!$A$1:$X$996,T$3,FALSE),"0")+0,IFERROR(($H133-SUMIF($I$1:$W$1,"ACTUAL",$I133:$W133))*(VLOOKUP($B133,'Distribution %'!$A$2:$Q$232,MATCH(T$2,'Distribution %'!$A$2:$Q$2,0),FALSE)/(SUMIF('Distribution %'!$C$1:$Q$1,"BUDGET",'Distribution %'!$C70:$Q70))),"0")+0)</f>
        <v>-78.00800000000001</v>
      </c>
      <c r="U133" s="389">
        <f>IF(VLOOKUP("Net Income",'FY ACTUALS'!$A$1:$X$996,U$3,FALSE)&lt;&gt;0,IFERROR(VLOOKUP($B133,'FY ACTUALS'!$A$1:$X$996,U$3,FALSE),"0")+0,IFERROR(($H133-SUMIF($I$1:$W$1,"ACTUAL",$I133:$W133))*(VLOOKUP($B133,'Distribution %'!$A$2:$Q$232,MATCH(U$2,'Distribution %'!$A$2:$Q$2,0),FALSE)/(SUMIF('Distribution %'!$C$1:$Q$1,"BUDGET",'Distribution %'!$C70:$Q70))),"0")+0)</f>
        <v>0</v>
      </c>
      <c r="V133" s="389">
        <f>IF(VLOOKUP("Net Income",'FY ACTUALS'!$A$1:$X$996,V$3,FALSE)&lt;&gt;0,IFERROR(VLOOKUP($B133,'FY ACTUALS'!$A$1:$X$996,V$3,FALSE),"0")+0,IFERROR(($H133-SUMIF($I$1:$W$1,"ACTUAL",$I133:$W133))*(VLOOKUP($B133,'Distribution %'!$A$2:$Q$232,MATCH(V$2,'Distribution %'!$A$2:$Q$2,0),FALSE)/(SUMIF('Distribution %'!$C$1:$Q$1,"BUDGET",'Distribution %'!$C70:$Q70))),"0")+0)</f>
        <v>0</v>
      </c>
      <c r="W133" s="431">
        <f>IF(VLOOKUP("Net Income",'FY ACTUALS'!$A$1:$X$996,W$3,FALSE)&lt;&gt;0,IFERROR(VLOOKUP($B133,'FY ACTUALS'!$A$1:$X$996,W$3,FALSE),"0")+0,IFERROR(($H133-SUMIF($I$1:$W$1,"ACTUAL",$I133:$W133))*(VLOOKUP($B133,'Distribution %'!$A$2:$Q$232,MATCH(W$2,'Distribution %'!$A$2:$Q$2,0),FALSE)/(SUMIF('Distribution %'!$C$1:$Q$1,"BUDGET",'Distribution %'!$C70:$Q70))),"0")+0)</f>
        <v>0</v>
      </c>
      <c r="X133" s="387">
        <f t="shared" si="44"/>
        <v>0</v>
      </c>
      <c r="Y133" s="387"/>
      <c r="Z133" s="387">
        <f t="shared" si="39"/>
        <v>0</v>
      </c>
    </row>
    <row r="134" spans="2:26" x14ac:dyDescent="0.75">
      <c r="B134" s="403">
        <v>4720</v>
      </c>
      <c r="C134" s="379" t="s">
        <v>1425</v>
      </c>
      <c r="F134" s="379" t="str">
        <f>IF(ISERROR(VLOOKUP(B134,'Distribution %'!A:A,1,FALSE)),"NO","YES")</f>
        <v>YES</v>
      </c>
      <c r="G134" s="392"/>
      <c r="H134" s="430">
        <f>IFERROR(VLOOKUP(B134,'Expenses w MYP'!$A$8:$K$119,11,FALSE),"0")+0</f>
        <v>0</v>
      </c>
      <c r="I134" s="388">
        <f>IF(VLOOKUP("Net Income",'FY ACTUALS'!$A$1:$X$996,I$3,FALSE)&lt;&gt;0,IFERROR(VLOOKUP($B134,'FY ACTUALS'!$A$1:$X$996,I$3,FALSE),"0")+0,IFERROR(($H134-SUMIF($I$1:$W$1,"ACTUAL",$I134:$W134))*(VLOOKUP($B134,'Distribution %'!$A$2:$Q$232,MATCH(I$2,'Distribution %'!$A$2:$Q$2,0),FALSE)/(SUMIF('Distribution %'!$C$1:$Q$1,"BUDGET",'Distribution %'!$C71:$Q71))),"0")+0)</f>
        <v>0</v>
      </c>
      <c r="J134" s="389">
        <f>IF(VLOOKUP("Net Income",'FY ACTUALS'!$A$1:$X$996,J$3,FALSE)&lt;&gt;0,IFERROR(VLOOKUP($B134,'FY ACTUALS'!$A$1:$X$996,J$3,FALSE),"0")+0,IFERROR(($H134-SUMIF($I$1:$W$1,"ACTUAL",$I134:$W134))*(VLOOKUP($B134,'Distribution %'!$A$2:$Q$232,MATCH(J$2,'Distribution %'!$A$2:$Q$2,0),FALSE)/(SUMIF('Distribution %'!$C$1:$Q$1,"BUDGET",'Distribution %'!$C71:$Q71))),"0")+0)</f>
        <v>0</v>
      </c>
      <c r="K134" s="389">
        <f>IF(VLOOKUP("Net Income",'FY ACTUALS'!$A$1:$X$996,K$3,FALSE)&lt;&gt;0,IFERROR(VLOOKUP($B134,'FY ACTUALS'!$A$1:$X$996,K$3,FALSE),"0")+0,IFERROR(($H134-SUMIF($I$1:$W$1,"ACTUAL",$I134:$W134))*(VLOOKUP($B134,'Distribution %'!$A$2:$Q$232,MATCH(K$2,'Distribution %'!$A$2:$Q$2,0),FALSE)/(SUMIF('Distribution %'!$C$1:$Q$1,"BUDGET",'Distribution %'!$C71:$Q71))),"0")+0)</f>
        <v>0</v>
      </c>
      <c r="L134" s="389">
        <f>IF(VLOOKUP("Net Income",'FY ACTUALS'!$A$1:$X$996,L$3,FALSE)&lt;&gt;0,IFERROR(VLOOKUP($B134,'FY ACTUALS'!$A$1:$X$996,L$3,FALSE),"0")+0,IFERROR(($H134-SUMIF($I$1:$W$1,"ACTUAL",$I134:$W134))*(VLOOKUP($B134,'Distribution %'!$A$2:$Q$232,MATCH(L$2,'Distribution %'!$A$2:$Q$2,0),FALSE)/(SUMIF('Distribution %'!$C$1:$Q$1,"BUDGET",'Distribution %'!$C71:$Q71))),"0")+0)</f>
        <v>0</v>
      </c>
      <c r="M134" s="389">
        <f>IF(VLOOKUP("Net Income",'FY ACTUALS'!$A$1:$X$996,M$3,FALSE)&lt;&gt;0,IFERROR(VLOOKUP($B134,'FY ACTUALS'!$A$1:$X$996,M$3,FALSE),"0")+0,IFERROR(($H134-SUMIF($I$1:$W$1,"ACTUAL",$I134:$W134))*(VLOOKUP($B134,'Distribution %'!$A$2:$Q$232,MATCH(M$2,'Distribution %'!$A$2:$Q$2,0),FALSE)/(SUMIF('Distribution %'!$C$1:$Q$1,"BUDGET",'Distribution %'!$C71:$Q71))),"0")+0)</f>
        <v>0</v>
      </c>
      <c r="N134" s="389">
        <f>IF(VLOOKUP("Net Income",'FY ACTUALS'!$A$1:$X$996,N$3,FALSE)&lt;&gt;0,IFERROR(VLOOKUP($B134,'FY ACTUALS'!$A$1:$X$996,N$3,FALSE),"0")+0,IFERROR(($H134-SUMIF($I$1:$W$1,"ACTUAL",$I134:$W134))*(VLOOKUP($B134,'Distribution %'!$A$2:$Q$232,MATCH(N$2,'Distribution %'!$A$2:$Q$2,0),FALSE)/(SUMIF('Distribution %'!$C$1:$Q$1,"BUDGET",'Distribution %'!$C71:$Q71))),"0")+0)</f>
        <v>0</v>
      </c>
      <c r="O134" s="389">
        <f>IF(VLOOKUP("Net Income",'FY ACTUALS'!$A$1:$X$996,O$3,FALSE)&lt;&gt;0,IFERROR(VLOOKUP($B134,'FY ACTUALS'!$A$1:$X$996,O$3,FALSE),"0")+0,IFERROR(($H134-SUMIF($I$1:$W$1,"ACTUAL",$I134:$W134))*(VLOOKUP($B134,'Distribution %'!$A$2:$Q$232,MATCH(O$2,'Distribution %'!$A$2:$Q$2,0),FALSE)/(SUMIF('Distribution %'!$C$1:$Q$1,"BUDGET",'Distribution %'!$C71:$Q71))),"0")+0)</f>
        <v>0</v>
      </c>
      <c r="P134" s="389">
        <f>IF(VLOOKUP("Net Income",'FY ACTUALS'!$A$1:$X$996,P$3,FALSE)&lt;&gt;0,IFERROR(VLOOKUP($B134,'FY ACTUALS'!$A$1:$X$996,P$3,FALSE),"0")+0,IFERROR(($H134-SUMIF($I$1:$W$1,"ACTUAL",$I134:$W134))*(VLOOKUP($B134,'Distribution %'!$A$2:$Q$232,MATCH(P$2,'Distribution %'!$A$2:$Q$2,0),FALSE)/(SUMIF('Distribution %'!$C$1:$Q$1,"BUDGET",'Distribution %'!$C71:$Q71))),"0")+0)</f>
        <v>0</v>
      </c>
      <c r="Q134" s="389">
        <f>IF(VLOOKUP("Net Income",'FY ACTUALS'!$A$1:$X$996,Q$3,FALSE)&lt;&gt;0,IFERROR(VLOOKUP($B134,'FY ACTUALS'!$A$1:$X$996,Q$3,FALSE),"0")+0,IFERROR(($H134-SUMIF($I$1:$W$1,"ACTUAL",$I134:$W134))*(VLOOKUP($B134,'Distribution %'!$A$2:$Q$232,MATCH(Q$2,'Distribution %'!$A$2:$Q$2,0),FALSE)/(SUMIF('Distribution %'!$C$1:$Q$1,"BUDGET",'Distribution %'!$C71:$Q71))),"0")+0)</f>
        <v>0</v>
      </c>
      <c r="R134" s="389">
        <f>IF(VLOOKUP("Net Income",'FY ACTUALS'!$A$1:$X$996,R$3,FALSE)&lt;&gt;0,IFERROR(VLOOKUP($B134,'FY ACTUALS'!$A$1:$X$996,R$3,FALSE),"0")+0,IFERROR(($H134-SUMIF($I$1:$W$1,"ACTUAL",$I134:$W134))*(VLOOKUP($B134,'Distribution %'!$A$2:$Q$232,MATCH(R$2,'Distribution %'!$A$2:$Q$2,0),FALSE)/(SUMIF('Distribution %'!$C$1:$Q$1,"BUDGET",'Distribution %'!$C71:$Q71))),"0")+0)</f>
        <v>0</v>
      </c>
      <c r="S134" s="389">
        <f>IF(VLOOKUP("Net Income",'FY ACTUALS'!$A$1:$X$996,S$3,FALSE)&lt;&gt;0,IFERROR(VLOOKUP($B134,'FY ACTUALS'!$A$1:$X$996,S$3,FALSE),"0")+0,IFERROR(($H134-SUMIF($I$1:$W$1,"ACTUAL",$I134:$W134))*(VLOOKUP($B134,'Distribution %'!$A$2:$Q$232,MATCH(S$2,'Distribution %'!$A$2:$Q$2,0),FALSE)/(SUMIF('Distribution %'!$C$1:$Q$1,"BUDGET",'Distribution %'!$C71:$Q71))),"0")+0)</f>
        <v>0</v>
      </c>
      <c r="T134" s="389">
        <f>IF(VLOOKUP("Net Income",'FY ACTUALS'!$A$1:$X$996,T$3,FALSE)&lt;&gt;0,IFERROR(VLOOKUP($B134,'FY ACTUALS'!$A$1:$X$996,T$3,FALSE),"0")+0,IFERROR(($H134-SUMIF($I$1:$W$1,"ACTUAL",$I134:$W134))*(VLOOKUP($B134,'Distribution %'!$A$2:$Q$232,MATCH(T$2,'Distribution %'!$A$2:$Q$2,0),FALSE)/(SUMIF('Distribution %'!$C$1:$Q$1,"BUDGET",'Distribution %'!$C71:$Q71))),"0")+0)</f>
        <v>0</v>
      </c>
      <c r="U134" s="389">
        <f>IF(VLOOKUP("Net Income",'FY ACTUALS'!$A$1:$X$996,U$3,FALSE)&lt;&gt;0,IFERROR(VLOOKUP($B134,'FY ACTUALS'!$A$1:$X$996,U$3,FALSE),"0")+0,IFERROR(($H134-SUMIF($I$1:$W$1,"ACTUAL",$I134:$W134))*(VLOOKUP($B134,'Distribution %'!$A$2:$Q$232,MATCH(U$2,'Distribution %'!$A$2:$Q$2,0),FALSE)/(SUMIF('Distribution %'!$C$1:$Q$1,"BUDGET",'Distribution %'!$C71:$Q71))),"0")+0)</f>
        <v>0</v>
      </c>
      <c r="V134" s="389">
        <f>IF(VLOOKUP("Net Income",'FY ACTUALS'!$A$1:$X$996,V$3,FALSE)&lt;&gt;0,IFERROR(VLOOKUP($B134,'FY ACTUALS'!$A$1:$X$996,V$3,FALSE),"0")+0,IFERROR(($H134-SUMIF($I$1:$W$1,"ACTUAL",$I134:$W134))*(VLOOKUP($B134,'Distribution %'!$A$2:$Q$232,MATCH(V$2,'Distribution %'!$A$2:$Q$2,0),FALSE)/(SUMIF('Distribution %'!$C$1:$Q$1,"BUDGET",'Distribution %'!$C71:$Q71))),"0")+0)</f>
        <v>0</v>
      </c>
      <c r="W134" s="431">
        <f>IF(VLOOKUP("Net Income",'FY ACTUALS'!$A$1:$X$996,W$3,FALSE)&lt;&gt;0,IFERROR(VLOOKUP($B134,'FY ACTUALS'!$A$1:$X$996,W$3,FALSE),"0")+0,IFERROR(($H134-SUMIF($I$1:$W$1,"ACTUAL",$I134:$W134))*(VLOOKUP($B134,'Distribution %'!$A$2:$Q$232,MATCH(W$2,'Distribution %'!$A$2:$Q$2,0),FALSE)/(SUMIF('Distribution %'!$C$1:$Q$1,"BUDGET",'Distribution %'!$C71:$Q71))),"0")+0)</f>
        <v>0</v>
      </c>
      <c r="X134" s="387">
        <f t="shared" si="44"/>
        <v>0</v>
      </c>
      <c r="Y134" s="387"/>
      <c r="Z134" s="387">
        <f t="shared" si="39"/>
        <v>0</v>
      </c>
    </row>
    <row r="135" spans="2:26" x14ac:dyDescent="0.75">
      <c r="B135" s="403" t="s">
        <v>1398</v>
      </c>
      <c r="C135" s="379">
        <v>0</v>
      </c>
      <c r="G135" s="392"/>
      <c r="H135" s="430"/>
      <c r="I135" s="388"/>
      <c r="J135" s="389"/>
      <c r="K135" s="389"/>
      <c r="L135" s="389"/>
      <c r="M135" s="389"/>
      <c r="N135" s="389"/>
      <c r="O135" s="389"/>
      <c r="P135" s="389"/>
      <c r="Q135" s="389"/>
      <c r="R135" s="389"/>
      <c r="S135" s="389"/>
      <c r="T135" s="389"/>
      <c r="U135" s="389"/>
      <c r="V135" s="389"/>
      <c r="W135" s="431"/>
      <c r="X135" s="387">
        <f t="shared" si="44"/>
        <v>0</v>
      </c>
      <c r="Y135" s="387"/>
      <c r="Z135" s="387">
        <f t="shared" si="39"/>
        <v>0</v>
      </c>
    </row>
    <row r="136" spans="2:26" x14ac:dyDescent="0.75">
      <c r="B136" s="403" t="s">
        <v>1398</v>
      </c>
      <c r="C136" s="379">
        <v>0</v>
      </c>
      <c r="G136" s="392"/>
      <c r="H136" s="430"/>
      <c r="I136" s="388"/>
      <c r="J136" s="389"/>
      <c r="K136" s="389"/>
      <c r="L136" s="389"/>
      <c r="M136" s="389"/>
      <c r="N136" s="389"/>
      <c r="O136" s="389"/>
      <c r="P136" s="389"/>
      <c r="Q136" s="389"/>
      <c r="R136" s="389"/>
      <c r="S136" s="389"/>
      <c r="T136" s="389"/>
      <c r="U136" s="389"/>
      <c r="V136" s="389"/>
      <c r="W136" s="431"/>
      <c r="X136" s="387">
        <f t="shared" si="44"/>
        <v>0</v>
      </c>
      <c r="Y136" s="387"/>
      <c r="Z136" s="387">
        <f t="shared" si="39"/>
        <v>0</v>
      </c>
    </row>
    <row r="137" spans="2:26" x14ac:dyDescent="0.75">
      <c r="B137" s="403" t="s">
        <v>1398</v>
      </c>
      <c r="C137" s="379">
        <v>0</v>
      </c>
      <c r="G137" s="392"/>
      <c r="H137" s="430"/>
      <c r="I137" s="388"/>
      <c r="J137" s="389"/>
      <c r="K137" s="389"/>
      <c r="L137" s="389"/>
      <c r="M137" s="389"/>
      <c r="N137" s="389"/>
      <c r="O137" s="389"/>
      <c r="P137" s="389"/>
      <c r="Q137" s="389"/>
      <c r="R137" s="389"/>
      <c r="S137" s="389"/>
      <c r="T137" s="389"/>
      <c r="U137" s="389"/>
      <c r="V137" s="389"/>
      <c r="W137" s="431"/>
      <c r="X137" s="387">
        <f t="shared" si="44"/>
        <v>0</v>
      </c>
      <c r="Y137" s="387"/>
      <c r="Z137" s="387">
        <f t="shared" si="39"/>
        <v>0</v>
      </c>
    </row>
    <row r="138" spans="2:26" x14ac:dyDescent="0.75">
      <c r="B138" s="403" t="s">
        <v>1398</v>
      </c>
      <c r="C138" s="379">
        <v>0</v>
      </c>
      <c r="G138" s="392"/>
      <c r="H138" s="430"/>
      <c r="I138" s="398"/>
      <c r="J138" s="399"/>
      <c r="K138" s="399"/>
      <c r="L138" s="399"/>
      <c r="M138" s="399"/>
      <c r="N138" s="399"/>
      <c r="O138" s="399"/>
      <c r="P138" s="399"/>
      <c r="Q138" s="399"/>
      <c r="R138" s="399"/>
      <c r="S138" s="399"/>
      <c r="T138" s="399"/>
      <c r="U138" s="399"/>
      <c r="V138" s="399"/>
      <c r="W138" s="433"/>
      <c r="X138" s="400">
        <f t="shared" ref="X138" si="45">+SUM(I138:W138)</f>
        <v>0</v>
      </c>
      <c r="Y138" s="400"/>
      <c r="Z138" s="400">
        <f t="shared" si="39"/>
        <v>0</v>
      </c>
    </row>
    <row r="139" spans="2:26" x14ac:dyDescent="0.75">
      <c r="B139" s="364" t="s">
        <v>1389</v>
      </c>
      <c r="G139" s="392"/>
      <c r="H139" s="437">
        <f t="shared" ref="H139:X139" si="46">+SUM(H116:H138)</f>
        <v>5619650</v>
      </c>
      <c r="I139" s="404">
        <f t="shared" si="46"/>
        <v>312422.86000000004</v>
      </c>
      <c r="J139" s="405">
        <f t="shared" si="46"/>
        <v>84822.59</v>
      </c>
      <c r="K139" s="405">
        <f t="shared" si="46"/>
        <v>331633.96999999997</v>
      </c>
      <c r="L139" s="405">
        <f t="shared" si="46"/>
        <v>656589.80999999994</v>
      </c>
      <c r="M139" s="405">
        <f t="shared" si="46"/>
        <v>434477.87000000005</v>
      </c>
      <c r="N139" s="405">
        <f t="shared" si="46"/>
        <v>533981.56999999995</v>
      </c>
      <c r="O139" s="405">
        <f t="shared" si="46"/>
        <v>234811.16999999998</v>
      </c>
      <c r="P139" s="405">
        <f t="shared" si="46"/>
        <v>1366456.8147637229</v>
      </c>
      <c r="Q139" s="405">
        <f t="shared" si="46"/>
        <v>1366586.5138090693</v>
      </c>
      <c r="R139" s="405">
        <f t="shared" si="46"/>
        <v>207754.6638090692</v>
      </c>
      <c r="S139" s="405">
        <f t="shared" si="46"/>
        <v>45056.083809069212</v>
      </c>
      <c r="T139" s="405">
        <f t="shared" si="46"/>
        <v>45056.083809069212</v>
      </c>
      <c r="U139" s="405">
        <f t="shared" ref="U139:V139" si="47">+SUM(U116:U138)</f>
        <v>0</v>
      </c>
      <c r="V139" s="405">
        <f t="shared" si="47"/>
        <v>0</v>
      </c>
      <c r="W139" s="438">
        <f t="shared" si="46"/>
        <v>0</v>
      </c>
      <c r="X139" s="418">
        <f t="shared" si="46"/>
        <v>5619650</v>
      </c>
      <c r="Y139" s="418"/>
      <c r="Z139" s="418">
        <f>+SUM(Z116:Z138)</f>
        <v>0</v>
      </c>
    </row>
    <row r="140" spans="2:26" x14ac:dyDescent="0.75">
      <c r="G140" s="392"/>
      <c r="H140" s="430"/>
      <c r="I140" s="388"/>
      <c r="J140" s="389"/>
      <c r="K140" s="389"/>
      <c r="L140" s="389"/>
      <c r="M140" s="389"/>
      <c r="N140" s="389"/>
      <c r="O140" s="389"/>
      <c r="P140" s="389"/>
      <c r="Q140" s="389"/>
      <c r="R140" s="389"/>
      <c r="S140" s="389"/>
      <c r="T140" s="389"/>
      <c r="U140" s="389"/>
      <c r="V140" s="389"/>
      <c r="W140" s="431"/>
      <c r="X140" s="387"/>
      <c r="Y140" s="387"/>
      <c r="Z140" s="387"/>
    </row>
    <row r="141" spans="2:26" x14ac:dyDescent="0.75">
      <c r="B141" s="364" t="s">
        <v>1390</v>
      </c>
      <c r="G141" s="392"/>
      <c r="H141" s="430"/>
      <c r="I141" s="388"/>
      <c r="J141" s="389"/>
      <c r="K141" s="389"/>
      <c r="L141" s="389"/>
      <c r="M141" s="389"/>
      <c r="N141" s="389"/>
      <c r="O141" s="389"/>
      <c r="P141" s="389"/>
      <c r="Q141" s="389"/>
      <c r="R141" s="389"/>
      <c r="S141" s="389"/>
      <c r="T141" s="389"/>
      <c r="U141" s="389"/>
      <c r="V141" s="389"/>
      <c r="W141" s="431"/>
      <c r="X141" s="387"/>
      <c r="Y141" s="387"/>
      <c r="Z141" s="387"/>
    </row>
    <row r="142" spans="2:26" x14ac:dyDescent="0.75">
      <c r="B142" s="403">
        <v>5200</v>
      </c>
      <c r="C142" s="379" t="s">
        <v>1426</v>
      </c>
      <c r="F142" s="379" t="str">
        <f>IF(ISERROR(VLOOKUP(B142,'Distribution %'!A:A,1,FALSE)),"NO","YES")</f>
        <v>YES</v>
      </c>
      <c r="G142" s="392"/>
      <c r="H142" s="430">
        <f>IFERROR(VLOOKUP(B142,'Expenses w MYP'!$A$8:$K$119,11,FALSE),"0")+0</f>
        <v>100000</v>
      </c>
      <c r="I142" s="388">
        <f>IF(VLOOKUP("Net Income",'FY ACTUALS'!$A$1:$X$996,I$3,FALSE)&lt;&gt;0,IFERROR(VLOOKUP($B142,'FY ACTUALS'!$A$1:$X$996,I$3,FALSE),"0")+0,IFERROR(($H142-SUMIF($I$1:$W$1,"ACTUAL",$I142:$W142))*(VLOOKUP($B142,'Distribution %'!$A$2:$Q$232,MATCH(I$2,'Distribution %'!$A$2:$Q$2,0),FALSE)/(SUMIF('Distribution %'!$C$1:$Q$1,"BUDGET",'Distribution %'!$C81:$Q81))),"0")+0)</f>
        <v>9309.7000000000007</v>
      </c>
      <c r="J142" s="389">
        <f>IF(VLOOKUP("Net Income",'FY ACTUALS'!$A$1:$X$996,J$3,FALSE)&lt;&gt;0,IFERROR(VLOOKUP($B142,'FY ACTUALS'!$A$1:$X$996,J$3,FALSE),"0")+0,IFERROR(($H142-SUMIF($I$1:$W$1,"ACTUAL",$I142:$W142))*(VLOOKUP($B142,'Distribution %'!$A$2:$Q$232,MATCH(J$2,'Distribution %'!$A$2:$Q$2,0),FALSE)/(SUMIF('Distribution %'!$C$1:$Q$1,"BUDGET",'Distribution %'!$C81:$Q81))),"0")+0)</f>
        <v>7668.25</v>
      </c>
      <c r="K142" s="389">
        <f>IF(VLOOKUP("Net Income",'FY ACTUALS'!$A$1:$X$996,K$3,FALSE)&lt;&gt;0,IFERROR(VLOOKUP($B142,'FY ACTUALS'!$A$1:$X$996,K$3,FALSE),"0")+0,IFERROR(($H142-SUMIF($I$1:$W$1,"ACTUAL",$I142:$W142))*(VLOOKUP($B142,'Distribution %'!$A$2:$Q$232,MATCH(K$2,'Distribution %'!$A$2:$Q$2,0),FALSE)/(SUMIF('Distribution %'!$C$1:$Q$1,"BUDGET",'Distribution %'!$C81:$Q81))),"0")+0)</f>
        <v>5655.27</v>
      </c>
      <c r="L142" s="389">
        <f>IF(VLOOKUP("Net Income",'FY ACTUALS'!$A$1:$X$996,L$3,FALSE)&lt;&gt;0,IFERROR(VLOOKUP($B142,'FY ACTUALS'!$A$1:$X$996,L$3,FALSE),"0")+0,IFERROR(($H142-SUMIF($I$1:$W$1,"ACTUAL",$I142:$W142))*(VLOOKUP($B142,'Distribution %'!$A$2:$Q$232,MATCH(L$2,'Distribution %'!$A$2:$Q$2,0),FALSE)/(SUMIF('Distribution %'!$C$1:$Q$1,"BUDGET",'Distribution %'!$C81:$Q81))),"0")+0)</f>
        <v>21007.3</v>
      </c>
      <c r="M142" s="389">
        <f>IF(VLOOKUP("Net Income",'FY ACTUALS'!$A$1:$X$996,M$3,FALSE)&lt;&gt;0,IFERROR(VLOOKUP($B142,'FY ACTUALS'!$A$1:$X$996,M$3,FALSE),"0")+0,IFERROR(($H142-SUMIF($I$1:$W$1,"ACTUAL",$I142:$W142))*(VLOOKUP($B142,'Distribution %'!$A$2:$Q$232,MATCH(M$2,'Distribution %'!$A$2:$Q$2,0),FALSE)/(SUMIF('Distribution %'!$C$1:$Q$1,"BUDGET",'Distribution %'!$C81:$Q81))),"0")+0)</f>
        <v>10630.27</v>
      </c>
      <c r="N142" s="389">
        <f>IF(VLOOKUP("Net Income",'FY ACTUALS'!$A$1:$X$996,N$3,FALSE)&lt;&gt;0,IFERROR(VLOOKUP($B142,'FY ACTUALS'!$A$1:$X$996,N$3,FALSE),"0")+0,IFERROR(($H142-SUMIF($I$1:$W$1,"ACTUAL",$I142:$W142))*(VLOOKUP($B142,'Distribution %'!$A$2:$Q$232,MATCH(N$2,'Distribution %'!$A$2:$Q$2,0),FALSE)/(SUMIF('Distribution %'!$C$1:$Q$1,"BUDGET",'Distribution %'!$C81:$Q81))),"0")+0)</f>
        <v>7335.82</v>
      </c>
      <c r="O142" s="389">
        <f>IF(VLOOKUP("Net Income",'FY ACTUALS'!$A$1:$X$996,O$3,FALSE)&lt;&gt;0,IFERROR(VLOOKUP($B142,'FY ACTUALS'!$A$1:$X$996,O$3,FALSE),"0")+0,IFERROR(($H142-SUMIF($I$1:$W$1,"ACTUAL",$I142:$W142))*(VLOOKUP($B142,'Distribution %'!$A$2:$Q$232,MATCH(O$2,'Distribution %'!$A$2:$Q$2,0),FALSE)/(SUMIF('Distribution %'!$C$1:$Q$1,"BUDGET",'Distribution %'!$C81:$Q81))),"0")+0)</f>
        <v>18298.939999999999</v>
      </c>
      <c r="P142" s="389">
        <f>IF(VLOOKUP("Net Income",'FY ACTUALS'!$A$1:$X$996,P$3,FALSE)&lt;&gt;0,IFERROR(VLOOKUP($B142,'FY ACTUALS'!$A$1:$X$996,P$3,FALSE),"0")+0,IFERROR(($H142-SUMIF($I$1:$W$1,"ACTUAL",$I142:$W142))*(VLOOKUP($B142,'Distribution %'!$A$2:$Q$232,MATCH(P$2,'Distribution %'!$A$2:$Q$2,0),FALSE)/(SUMIF('Distribution %'!$C$1:$Q$1,"BUDGET",'Distribution %'!$C81:$Q81))),"0")+0)</f>
        <v>6698.1499999999987</v>
      </c>
      <c r="Q142" s="389">
        <f>IF(VLOOKUP("Net Income",'FY ACTUALS'!$A$1:$X$996,Q$3,FALSE)&lt;&gt;0,IFERROR(VLOOKUP($B142,'FY ACTUALS'!$A$1:$X$996,Q$3,FALSE),"0")+0,IFERROR(($H142-SUMIF($I$1:$W$1,"ACTUAL",$I142:$W142))*(VLOOKUP($B142,'Distribution %'!$A$2:$Q$232,MATCH(Q$2,'Distribution %'!$A$2:$Q$2,0),FALSE)/(SUMIF('Distribution %'!$C$1:$Q$1,"BUDGET",'Distribution %'!$C81:$Q81))),"0")+0)</f>
        <v>6698.1499999999987</v>
      </c>
      <c r="R142" s="389">
        <f>IF(VLOOKUP("Net Income",'FY ACTUALS'!$A$1:$X$996,R$3,FALSE)&lt;&gt;0,IFERROR(VLOOKUP($B142,'FY ACTUALS'!$A$1:$X$996,R$3,FALSE),"0")+0,IFERROR(($H142-SUMIF($I$1:$W$1,"ACTUAL",$I142:$W142))*(VLOOKUP($B142,'Distribution %'!$A$2:$Q$232,MATCH(R$2,'Distribution %'!$A$2:$Q$2,0),FALSE)/(SUMIF('Distribution %'!$C$1:$Q$1,"BUDGET",'Distribution %'!$C81:$Q81))),"0")+0)</f>
        <v>6698.1499999999987</v>
      </c>
      <c r="S142" s="389">
        <f>IF(VLOOKUP("Net Income",'FY ACTUALS'!$A$1:$X$996,S$3,FALSE)&lt;&gt;0,IFERROR(VLOOKUP($B142,'FY ACTUALS'!$A$1:$X$996,S$3,FALSE),"0")+0,IFERROR(($H142-SUMIF($I$1:$W$1,"ACTUAL",$I142:$W142))*(VLOOKUP($B142,'Distribution %'!$A$2:$Q$232,MATCH(S$2,'Distribution %'!$A$2:$Q$2,0),FALSE)/(SUMIF('Distribution %'!$C$1:$Q$1,"BUDGET",'Distribution %'!$C81:$Q81))),"0")+0)</f>
        <v>0</v>
      </c>
      <c r="T142" s="389">
        <f>IF(VLOOKUP("Net Income",'FY ACTUALS'!$A$1:$X$996,T$3,FALSE)&lt;&gt;0,IFERROR(VLOOKUP($B142,'FY ACTUALS'!$A$1:$X$996,T$3,FALSE),"0")+0,IFERROR(($H142-SUMIF($I$1:$W$1,"ACTUAL",$I142:$W142))*(VLOOKUP($B142,'Distribution %'!$A$2:$Q$232,MATCH(T$2,'Distribution %'!$A$2:$Q$2,0),FALSE)/(SUMIF('Distribution %'!$C$1:$Q$1,"BUDGET",'Distribution %'!$C81:$Q81))),"0")+0)</f>
        <v>0</v>
      </c>
      <c r="U142" s="389">
        <f>IF(VLOOKUP("Net Income",'FY ACTUALS'!$A$1:$X$996,U$3,FALSE)&lt;&gt;0,IFERROR(VLOOKUP($B142,'FY ACTUALS'!$A$1:$X$996,U$3,FALSE),"0")+0,IFERROR(($H142-SUMIF($I$1:$W$1,"ACTUAL",$I142:$W142))*(VLOOKUP($B142,'Distribution %'!$A$2:$Q$232,MATCH(U$2,'Distribution %'!$A$2:$Q$2,0),FALSE)/(SUMIF('Distribution %'!$C$1:$Q$1,"BUDGET",'Distribution %'!$C81:$Q81))),"0")+0)</f>
        <v>0</v>
      </c>
      <c r="V142" s="389">
        <f>IF(VLOOKUP("Net Income",'FY ACTUALS'!$A$1:$X$996,V$3,FALSE)&lt;&gt;0,IFERROR(VLOOKUP($B142,'FY ACTUALS'!$A$1:$X$996,V$3,FALSE),"0")+0,IFERROR(($H142-SUMIF($I$1:$W$1,"ACTUAL",$I142:$W142))*(VLOOKUP($B142,'Distribution %'!$A$2:$Q$232,MATCH(V$2,'Distribution %'!$A$2:$Q$2,0),FALSE)/(SUMIF('Distribution %'!$C$1:$Q$1,"BUDGET",'Distribution %'!$C81:$Q81))),"0")+0)</f>
        <v>0</v>
      </c>
      <c r="W142" s="431">
        <f>IF(VLOOKUP("Net Income",'FY ACTUALS'!$A$1:$X$996,W$3,FALSE)&lt;&gt;0,IFERROR(VLOOKUP($B142,'FY ACTUALS'!$A$1:$X$996,W$3,FALSE),"0")+0,IFERROR(($H142-SUMIF($I$1:$W$1,"ACTUAL",$I142:$W142))*(VLOOKUP($B142,'Distribution %'!$A$2:$Q$232,MATCH(W$2,'Distribution %'!$A$2:$Q$2,0),FALSE)/(SUMIF('Distribution %'!$C$1:$Q$1,"BUDGET",'Distribution %'!$C81:$Q81))),"0")+0)</f>
        <v>0</v>
      </c>
      <c r="X142" s="387">
        <f t="shared" ref="X142:X168" si="48">+SUM(I142:W142)</f>
        <v>99999.999999999985</v>
      </c>
      <c r="Y142" s="387"/>
      <c r="Z142" s="387">
        <f t="shared" ref="Z142:Z185" si="49">+H142-X142</f>
        <v>0</v>
      </c>
    </row>
    <row r="143" spans="2:26" x14ac:dyDescent="0.75">
      <c r="B143" s="403">
        <v>5210</v>
      </c>
      <c r="C143" s="379" t="s">
        <v>1427</v>
      </c>
      <c r="F143" s="379" t="str">
        <f>IF(ISERROR(VLOOKUP(B143,'Distribution %'!A:A,1,FALSE)),"NO","YES")</f>
        <v>YES</v>
      </c>
      <c r="G143" s="392"/>
      <c r="H143" s="430">
        <f>IFERROR(VLOOKUP(B143,'Expenses w MYP'!$A$8:$K$119,11,FALSE),"0")+0</f>
        <v>400000</v>
      </c>
      <c r="I143" s="388">
        <f>IF(VLOOKUP("Net Income",'FY ACTUALS'!$A$1:$X$996,I$3,FALSE)&lt;&gt;0,IFERROR(VLOOKUP($B143,'FY ACTUALS'!$A$1:$X$996,I$3,FALSE),"0")+0,IFERROR(($H143-SUMIF($I$1:$W$1,"ACTUAL",$I143:$W143))*(VLOOKUP($B143,'Distribution %'!$A$2:$Q$232,MATCH(I$2,'Distribution %'!$A$2:$Q$2,0),FALSE)/(SUMIF('Distribution %'!$C$1:$Q$1,"BUDGET",'Distribution %'!$C82:$Q82))),"0")+0)</f>
        <v>90976.36</v>
      </c>
      <c r="J143" s="389">
        <f>IF(VLOOKUP("Net Income",'FY ACTUALS'!$A$1:$X$996,J$3,FALSE)&lt;&gt;0,IFERROR(VLOOKUP($B143,'FY ACTUALS'!$A$1:$X$996,J$3,FALSE),"0")+0,IFERROR(($H143-SUMIF($I$1:$W$1,"ACTUAL",$I143:$W143))*(VLOOKUP($B143,'Distribution %'!$A$2:$Q$232,MATCH(J$2,'Distribution %'!$A$2:$Q$2,0),FALSE)/(SUMIF('Distribution %'!$C$1:$Q$1,"BUDGET",'Distribution %'!$C82:$Q82))),"0")+0)</f>
        <v>3559.61</v>
      </c>
      <c r="K143" s="389">
        <f>IF(VLOOKUP("Net Income",'FY ACTUALS'!$A$1:$X$996,K$3,FALSE)&lt;&gt;0,IFERROR(VLOOKUP($B143,'FY ACTUALS'!$A$1:$X$996,K$3,FALSE),"0")+0,IFERROR(($H143-SUMIF($I$1:$W$1,"ACTUAL",$I143:$W143))*(VLOOKUP($B143,'Distribution %'!$A$2:$Q$232,MATCH(K$2,'Distribution %'!$A$2:$Q$2,0),FALSE)/(SUMIF('Distribution %'!$C$1:$Q$1,"BUDGET",'Distribution %'!$C82:$Q82))),"0")+0)</f>
        <v>239770.8</v>
      </c>
      <c r="L143" s="389">
        <f>IF(VLOOKUP("Net Income",'FY ACTUALS'!$A$1:$X$996,L$3,FALSE)&lt;&gt;0,IFERROR(VLOOKUP($B143,'FY ACTUALS'!$A$1:$X$996,L$3,FALSE),"0")+0,IFERROR(($H143-SUMIF($I$1:$W$1,"ACTUAL",$I143:$W143))*(VLOOKUP($B143,'Distribution %'!$A$2:$Q$232,MATCH(L$2,'Distribution %'!$A$2:$Q$2,0),FALSE)/(SUMIF('Distribution %'!$C$1:$Q$1,"BUDGET",'Distribution %'!$C82:$Q82))),"0")+0)</f>
        <v>14899.54</v>
      </c>
      <c r="M143" s="389">
        <f>IF(VLOOKUP("Net Income",'FY ACTUALS'!$A$1:$X$996,M$3,FALSE)&lt;&gt;0,IFERROR(VLOOKUP($B143,'FY ACTUALS'!$A$1:$X$996,M$3,FALSE),"0")+0,IFERROR(($H143-SUMIF($I$1:$W$1,"ACTUAL",$I143:$W143))*(VLOOKUP($B143,'Distribution %'!$A$2:$Q$232,MATCH(M$2,'Distribution %'!$A$2:$Q$2,0),FALSE)/(SUMIF('Distribution %'!$C$1:$Q$1,"BUDGET",'Distribution %'!$C82:$Q82))),"0")+0)</f>
        <v>12758.87</v>
      </c>
      <c r="N143" s="389">
        <f>IF(VLOOKUP("Net Income",'FY ACTUALS'!$A$1:$X$996,N$3,FALSE)&lt;&gt;0,IFERROR(VLOOKUP($B143,'FY ACTUALS'!$A$1:$X$996,N$3,FALSE),"0")+0,IFERROR(($H143-SUMIF($I$1:$W$1,"ACTUAL",$I143:$W143))*(VLOOKUP($B143,'Distribution %'!$A$2:$Q$232,MATCH(N$2,'Distribution %'!$A$2:$Q$2,0),FALSE)/(SUMIF('Distribution %'!$C$1:$Q$1,"BUDGET",'Distribution %'!$C82:$Q82))),"0")+0)</f>
        <v>10000</v>
      </c>
      <c r="O143" s="389">
        <f>IF(VLOOKUP("Net Income",'FY ACTUALS'!$A$1:$X$996,O$3,FALSE)&lt;&gt;0,IFERROR(VLOOKUP($B143,'FY ACTUALS'!$A$1:$X$996,O$3,FALSE),"0")+0,IFERROR(($H143-SUMIF($I$1:$W$1,"ACTUAL",$I143:$W143))*(VLOOKUP($B143,'Distribution %'!$A$2:$Q$232,MATCH(O$2,'Distribution %'!$A$2:$Q$2,0),FALSE)/(SUMIF('Distribution %'!$C$1:$Q$1,"BUDGET",'Distribution %'!$C82:$Q82))),"0")+0)</f>
        <v>2067.9</v>
      </c>
      <c r="P143" s="389">
        <f>IF(VLOOKUP("Net Income",'FY ACTUALS'!$A$1:$X$996,P$3,FALSE)&lt;&gt;0,IFERROR(VLOOKUP($B143,'FY ACTUALS'!$A$1:$X$996,P$3,FALSE),"0")+0,IFERROR(($H143-SUMIF($I$1:$W$1,"ACTUAL",$I143:$W143))*(VLOOKUP($B143,'Distribution %'!$A$2:$Q$232,MATCH(P$2,'Distribution %'!$A$2:$Q$2,0),FALSE)/(SUMIF('Distribution %'!$C$1:$Q$1,"BUDGET",'Distribution %'!$C82:$Q82))),"0")+0)</f>
        <v>5193.3839999999973</v>
      </c>
      <c r="Q143" s="389">
        <f>IF(VLOOKUP("Net Income",'FY ACTUALS'!$A$1:$X$996,Q$3,FALSE)&lt;&gt;0,IFERROR(VLOOKUP($B143,'FY ACTUALS'!$A$1:$X$996,Q$3,FALSE),"0")+0,IFERROR(($H143-SUMIF($I$1:$W$1,"ACTUAL",$I143:$W143))*(VLOOKUP($B143,'Distribution %'!$A$2:$Q$232,MATCH(Q$2,'Distribution %'!$A$2:$Q$2,0),FALSE)/(SUMIF('Distribution %'!$C$1:$Q$1,"BUDGET",'Distribution %'!$C82:$Q82))),"0")+0)</f>
        <v>5193.3839999999973</v>
      </c>
      <c r="R143" s="389">
        <f>IF(VLOOKUP("Net Income",'FY ACTUALS'!$A$1:$X$996,R$3,FALSE)&lt;&gt;0,IFERROR(VLOOKUP($B143,'FY ACTUALS'!$A$1:$X$996,R$3,FALSE),"0")+0,IFERROR(($H143-SUMIF($I$1:$W$1,"ACTUAL",$I143:$W143))*(VLOOKUP($B143,'Distribution %'!$A$2:$Q$232,MATCH(R$2,'Distribution %'!$A$2:$Q$2,0),FALSE)/(SUMIF('Distribution %'!$C$1:$Q$1,"BUDGET",'Distribution %'!$C82:$Q82))),"0")+0)</f>
        <v>5193.3839999999973</v>
      </c>
      <c r="S143" s="389">
        <f>IF(VLOOKUP("Net Income",'FY ACTUALS'!$A$1:$X$996,S$3,FALSE)&lt;&gt;0,IFERROR(VLOOKUP($B143,'FY ACTUALS'!$A$1:$X$996,S$3,FALSE),"0")+0,IFERROR(($H143-SUMIF($I$1:$W$1,"ACTUAL",$I143:$W143))*(VLOOKUP($B143,'Distribution %'!$A$2:$Q$232,MATCH(S$2,'Distribution %'!$A$2:$Q$2,0),FALSE)/(SUMIF('Distribution %'!$C$1:$Q$1,"BUDGET",'Distribution %'!$C82:$Q82))),"0")+0)</f>
        <v>5193.3839999999973</v>
      </c>
      <c r="T143" s="389">
        <f>IF(VLOOKUP("Net Income",'FY ACTUALS'!$A$1:$X$996,T$3,FALSE)&lt;&gt;0,IFERROR(VLOOKUP($B143,'FY ACTUALS'!$A$1:$X$996,T$3,FALSE),"0")+0,IFERROR(($H143-SUMIF($I$1:$W$1,"ACTUAL",$I143:$W143))*(VLOOKUP($B143,'Distribution %'!$A$2:$Q$232,MATCH(T$2,'Distribution %'!$A$2:$Q$2,0),FALSE)/(SUMIF('Distribution %'!$C$1:$Q$1,"BUDGET",'Distribution %'!$C82:$Q82))),"0")+0)</f>
        <v>5193.3839999999973</v>
      </c>
      <c r="U143" s="389">
        <f>IF(VLOOKUP("Net Income",'FY ACTUALS'!$A$1:$X$996,U$3,FALSE)&lt;&gt;0,IFERROR(VLOOKUP($B143,'FY ACTUALS'!$A$1:$X$996,U$3,FALSE),"0")+0,IFERROR(($H143-SUMIF($I$1:$W$1,"ACTUAL",$I143:$W143))*(VLOOKUP($B143,'Distribution %'!$A$2:$Q$232,MATCH(U$2,'Distribution %'!$A$2:$Q$2,0),FALSE)/(SUMIF('Distribution %'!$C$1:$Q$1,"BUDGET",'Distribution %'!$C82:$Q82))),"0")+0)</f>
        <v>0</v>
      </c>
      <c r="V143" s="389">
        <f>IF(VLOOKUP("Net Income",'FY ACTUALS'!$A$1:$X$996,V$3,FALSE)&lt;&gt;0,IFERROR(VLOOKUP($B143,'FY ACTUALS'!$A$1:$X$996,V$3,FALSE),"0")+0,IFERROR(($H143-SUMIF($I$1:$W$1,"ACTUAL",$I143:$W143))*(VLOOKUP($B143,'Distribution %'!$A$2:$Q$232,MATCH(V$2,'Distribution %'!$A$2:$Q$2,0),FALSE)/(SUMIF('Distribution %'!$C$1:$Q$1,"BUDGET",'Distribution %'!$C82:$Q82))),"0")+0)</f>
        <v>0</v>
      </c>
      <c r="W143" s="431">
        <f>IF(VLOOKUP("Net Income",'FY ACTUALS'!$A$1:$X$996,W$3,FALSE)&lt;&gt;0,IFERROR(VLOOKUP($B143,'FY ACTUALS'!$A$1:$X$996,W$3,FALSE),"0")+0,IFERROR(($H143-SUMIF($I$1:$W$1,"ACTUAL",$I143:$W143))*(VLOOKUP($B143,'Distribution %'!$A$2:$Q$232,MATCH(W$2,'Distribution %'!$A$2:$Q$2,0),FALSE)/(SUMIF('Distribution %'!$C$1:$Q$1,"BUDGET",'Distribution %'!$C82:$Q82))),"0")+0)</f>
        <v>0</v>
      </c>
      <c r="X143" s="387">
        <f t="shared" si="48"/>
        <v>400000.00000000012</v>
      </c>
      <c r="Y143" s="387"/>
      <c r="Z143" s="387">
        <f t="shared" si="49"/>
        <v>0</v>
      </c>
    </row>
    <row r="144" spans="2:26" x14ac:dyDescent="0.75">
      <c r="B144" s="403">
        <v>5223</v>
      </c>
      <c r="C144" s="379" t="s">
        <v>1428</v>
      </c>
      <c r="F144" s="379" t="str">
        <f>IF(ISERROR(VLOOKUP(B144,'Distribution %'!A:A,1,FALSE)),"NO","YES")</f>
        <v>YES</v>
      </c>
      <c r="G144" s="392"/>
      <c r="H144" s="430">
        <f>IFERROR(VLOOKUP(B144,'Expenses w MYP'!$A$8:$K$119,11,FALSE),"0")+0</f>
        <v>0</v>
      </c>
      <c r="I144" s="388">
        <f>IF(VLOOKUP("Net Income",'FY ACTUALS'!$A$1:$X$996,I$3,FALSE)&lt;&gt;0,IFERROR(VLOOKUP($B144,'FY ACTUALS'!$A$1:$X$996,I$3,FALSE),"0")+0,IFERROR(($H144-SUMIF($I$1:$W$1,"ACTUAL",$I144:$W144))*(VLOOKUP($B144,'Distribution %'!$A$2:$Q$232,MATCH(I$2,'Distribution %'!$A$2:$Q$2,0),FALSE)/(SUMIF('Distribution %'!$C$1:$Q$1,"BUDGET",'Distribution %'!$C83:$Q83))),"0")+0)</f>
        <v>0</v>
      </c>
      <c r="J144" s="389">
        <f>IF(VLOOKUP("Net Income",'FY ACTUALS'!$A$1:$X$996,J$3,FALSE)&lt;&gt;0,IFERROR(VLOOKUP($B144,'FY ACTUALS'!$A$1:$X$996,J$3,FALSE),"0")+0,IFERROR(($H144-SUMIF($I$1:$W$1,"ACTUAL",$I144:$W144))*(VLOOKUP($B144,'Distribution %'!$A$2:$Q$232,MATCH(J$2,'Distribution %'!$A$2:$Q$2,0),FALSE)/(SUMIF('Distribution %'!$C$1:$Q$1,"BUDGET",'Distribution %'!$C83:$Q83))),"0")+0)</f>
        <v>0</v>
      </c>
      <c r="K144" s="389">
        <f>IF(VLOOKUP("Net Income",'FY ACTUALS'!$A$1:$X$996,K$3,FALSE)&lt;&gt;0,IFERROR(VLOOKUP($B144,'FY ACTUALS'!$A$1:$X$996,K$3,FALSE),"0")+0,IFERROR(($H144-SUMIF($I$1:$W$1,"ACTUAL",$I144:$W144))*(VLOOKUP($B144,'Distribution %'!$A$2:$Q$232,MATCH(K$2,'Distribution %'!$A$2:$Q$2,0),FALSE)/(SUMIF('Distribution %'!$C$1:$Q$1,"BUDGET",'Distribution %'!$C83:$Q83))),"0")+0)</f>
        <v>0</v>
      </c>
      <c r="L144" s="389">
        <f>IF(VLOOKUP("Net Income",'FY ACTUALS'!$A$1:$X$996,L$3,FALSE)&lt;&gt;0,IFERROR(VLOOKUP($B144,'FY ACTUALS'!$A$1:$X$996,L$3,FALSE),"0")+0,IFERROR(($H144-SUMIF($I$1:$W$1,"ACTUAL",$I144:$W144))*(VLOOKUP($B144,'Distribution %'!$A$2:$Q$232,MATCH(L$2,'Distribution %'!$A$2:$Q$2,0),FALSE)/(SUMIF('Distribution %'!$C$1:$Q$1,"BUDGET",'Distribution %'!$C83:$Q83))),"0")+0)</f>
        <v>0</v>
      </c>
      <c r="M144" s="389">
        <f>IF(VLOOKUP("Net Income",'FY ACTUALS'!$A$1:$X$996,M$3,FALSE)&lt;&gt;0,IFERROR(VLOOKUP($B144,'FY ACTUALS'!$A$1:$X$996,M$3,FALSE),"0")+0,IFERROR(($H144-SUMIF($I$1:$W$1,"ACTUAL",$I144:$W144))*(VLOOKUP($B144,'Distribution %'!$A$2:$Q$232,MATCH(M$2,'Distribution %'!$A$2:$Q$2,0),FALSE)/(SUMIF('Distribution %'!$C$1:$Q$1,"BUDGET",'Distribution %'!$C83:$Q83))),"0")+0)</f>
        <v>0</v>
      </c>
      <c r="N144" s="389">
        <f>IF(VLOOKUP("Net Income",'FY ACTUALS'!$A$1:$X$996,N$3,FALSE)&lt;&gt;0,IFERROR(VLOOKUP($B144,'FY ACTUALS'!$A$1:$X$996,N$3,FALSE),"0")+0,IFERROR(($H144-SUMIF($I$1:$W$1,"ACTUAL",$I144:$W144))*(VLOOKUP($B144,'Distribution %'!$A$2:$Q$232,MATCH(N$2,'Distribution %'!$A$2:$Q$2,0),FALSE)/(SUMIF('Distribution %'!$C$1:$Q$1,"BUDGET",'Distribution %'!$C83:$Q83))),"0")+0)</f>
        <v>0</v>
      </c>
      <c r="O144" s="389">
        <f>IF(VLOOKUP("Net Income",'FY ACTUALS'!$A$1:$X$996,O$3,FALSE)&lt;&gt;0,IFERROR(VLOOKUP($B144,'FY ACTUALS'!$A$1:$X$996,O$3,FALSE),"0")+0,IFERROR(($H144-SUMIF($I$1:$W$1,"ACTUAL",$I144:$W144))*(VLOOKUP($B144,'Distribution %'!$A$2:$Q$232,MATCH(O$2,'Distribution %'!$A$2:$Q$2,0),FALSE)/(SUMIF('Distribution %'!$C$1:$Q$1,"BUDGET",'Distribution %'!$C83:$Q83))),"0")+0)</f>
        <v>0</v>
      </c>
      <c r="P144" s="389">
        <f>IF(VLOOKUP("Net Income",'FY ACTUALS'!$A$1:$X$996,P$3,FALSE)&lt;&gt;0,IFERROR(VLOOKUP($B144,'FY ACTUALS'!$A$1:$X$996,P$3,FALSE),"0")+0,IFERROR(($H144-SUMIF($I$1:$W$1,"ACTUAL",$I144:$W144))*(VLOOKUP($B144,'Distribution %'!$A$2:$Q$232,MATCH(P$2,'Distribution %'!$A$2:$Q$2,0),FALSE)/(SUMIF('Distribution %'!$C$1:$Q$1,"BUDGET",'Distribution %'!$C83:$Q83))),"0")+0)</f>
        <v>0</v>
      </c>
      <c r="Q144" s="389">
        <f>IF(VLOOKUP("Net Income",'FY ACTUALS'!$A$1:$X$996,Q$3,FALSE)&lt;&gt;0,IFERROR(VLOOKUP($B144,'FY ACTUALS'!$A$1:$X$996,Q$3,FALSE),"0")+0,IFERROR(($H144-SUMIF($I$1:$W$1,"ACTUAL",$I144:$W144))*(VLOOKUP($B144,'Distribution %'!$A$2:$Q$232,MATCH(Q$2,'Distribution %'!$A$2:$Q$2,0),FALSE)/(SUMIF('Distribution %'!$C$1:$Q$1,"BUDGET",'Distribution %'!$C83:$Q83))),"0")+0)</f>
        <v>0</v>
      </c>
      <c r="R144" s="389">
        <f>IF(VLOOKUP("Net Income",'FY ACTUALS'!$A$1:$X$996,R$3,FALSE)&lt;&gt;0,IFERROR(VLOOKUP($B144,'FY ACTUALS'!$A$1:$X$996,R$3,FALSE),"0")+0,IFERROR(($H144-SUMIF($I$1:$W$1,"ACTUAL",$I144:$W144))*(VLOOKUP($B144,'Distribution %'!$A$2:$Q$232,MATCH(R$2,'Distribution %'!$A$2:$Q$2,0),FALSE)/(SUMIF('Distribution %'!$C$1:$Q$1,"BUDGET",'Distribution %'!$C83:$Q83))),"0")+0)</f>
        <v>0</v>
      </c>
      <c r="S144" s="389">
        <f>IF(VLOOKUP("Net Income",'FY ACTUALS'!$A$1:$X$996,S$3,FALSE)&lt;&gt;0,IFERROR(VLOOKUP($B144,'FY ACTUALS'!$A$1:$X$996,S$3,FALSE),"0")+0,IFERROR(($H144-SUMIF($I$1:$W$1,"ACTUAL",$I144:$W144))*(VLOOKUP($B144,'Distribution %'!$A$2:$Q$232,MATCH(S$2,'Distribution %'!$A$2:$Q$2,0),FALSE)/(SUMIF('Distribution %'!$C$1:$Q$1,"BUDGET",'Distribution %'!$C83:$Q83))),"0")+0)</f>
        <v>0</v>
      </c>
      <c r="T144" s="389">
        <f>IF(VLOOKUP("Net Income",'FY ACTUALS'!$A$1:$X$996,T$3,FALSE)&lt;&gt;0,IFERROR(VLOOKUP($B144,'FY ACTUALS'!$A$1:$X$996,T$3,FALSE),"0")+0,IFERROR(($H144-SUMIF($I$1:$W$1,"ACTUAL",$I144:$W144))*(VLOOKUP($B144,'Distribution %'!$A$2:$Q$232,MATCH(T$2,'Distribution %'!$A$2:$Q$2,0),FALSE)/(SUMIF('Distribution %'!$C$1:$Q$1,"BUDGET",'Distribution %'!$C83:$Q83))),"0")+0)</f>
        <v>0</v>
      </c>
      <c r="U144" s="389">
        <f>IF(VLOOKUP("Net Income",'FY ACTUALS'!$A$1:$X$996,U$3,FALSE)&lt;&gt;0,IFERROR(VLOOKUP($B144,'FY ACTUALS'!$A$1:$X$996,U$3,FALSE),"0")+0,IFERROR(($H144-SUMIF($I$1:$W$1,"ACTUAL",$I144:$W144))*(VLOOKUP($B144,'Distribution %'!$A$2:$Q$232,MATCH(U$2,'Distribution %'!$A$2:$Q$2,0),FALSE)/(SUMIF('Distribution %'!$C$1:$Q$1,"BUDGET",'Distribution %'!$C83:$Q83))),"0")+0)</f>
        <v>0</v>
      </c>
      <c r="V144" s="389">
        <f>IF(VLOOKUP("Net Income",'FY ACTUALS'!$A$1:$X$996,V$3,FALSE)&lt;&gt;0,IFERROR(VLOOKUP($B144,'FY ACTUALS'!$A$1:$X$996,V$3,FALSE),"0")+0,IFERROR(($H144-SUMIF($I$1:$W$1,"ACTUAL",$I144:$W144))*(VLOOKUP($B144,'Distribution %'!$A$2:$Q$232,MATCH(V$2,'Distribution %'!$A$2:$Q$2,0),FALSE)/(SUMIF('Distribution %'!$C$1:$Q$1,"BUDGET",'Distribution %'!$C83:$Q83))),"0")+0)</f>
        <v>0</v>
      </c>
      <c r="W144" s="431">
        <f>IF(VLOOKUP("Net Income",'FY ACTUALS'!$A$1:$X$996,W$3,FALSE)&lt;&gt;0,IFERROR(VLOOKUP($B144,'FY ACTUALS'!$A$1:$X$996,W$3,FALSE),"0")+0,IFERROR(($H144-SUMIF($I$1:$W$1,"ACTUAL",$I144:$W144))*(VLOOKUP($B144,'Distribution %'!$A$2:$Q$232,MATCH(W$2,'Distribution %'!$A$2:$Q$2,0),FALSE)/(SUMIF('Distribution %'!$C$1:$Q$1,"BUDGET",'Distribution %'!$C83:$Q83))),"0")+0)</f>
        <v>0</v>
      </c>
      <c r="X144" s="387">
        <f t="shared" si="48"/>
        <v>0</v>
      </c>
      <c r="Y144" s="387"/>
      <c r="Z144" s="387">
        <f t="shared" si="49"/>
        <v>0</v>
      </c>
    </row>
    <row r="145" spans="2:26" x14ac:dyDescent="0.75">
      <c r="B145" s="403">
        <v>5300</v>
      </c>
      <c r="C145" s="379" t="s">
        <v>599</v>
      </c>
      <c r="F145" s="379" t="str">
        <f>IF(ISERROR(VLOOKUP(B145,'Distribution %'!A:A,1,FALSE)),"NO","YES")</f>
        <v>YES</v>
      </c>
      <c r="G145" s="392"/>
      <c r="H145" s="430">
        <f>IFERROR(VLOOKUP(B145,'Expenses w MYP'!$A$8:$K$119,11,FALSE),"0")+0</f>
        <v>70000</v>
      </c>
      <c r="I145" s="388">
        <f>IF(VLOOKUP("Net Income",'FY ACTUALS'!$A$1:$X$996,I$3,FALSE)&lt;&gt;0,IFERROR(VLOOKUP($B145,'FY ACTUALS'!$A$1:$X$996,I$3,FALSE),"0")+0,IFERROR(($H145-SUMIF($I$1:$W$1,"ACTUAL",$I145:$W145))*(VLOOKUP($B145,'Distribution %'!$A$2:$Q$232,MATCH(I$2,'Distribution %'!$A$2:$Q$2,0),FALSE)/(SUMIF('Distribution %'!$C$1:$Q$1,"BUDGET",'Distribution %'!$C84:$Q84))),"0")+0)</f>
        <v>35118.18</v>
      </c>
      <c r="J145" s="389">
        <f>IF(VLOOKUP("Net Income",'FY ACTUALS'!$A$1:$X$996,J$3,FALSE)&lt;&gt;0,IFERROR(VLOOKUP($B145,'FY ACTUALS'!$A$1:$X$996,J$3,FALSE),"0")+0,IFERROR(($H145-SUMIF($I$1:$W$1,"ACTUAL",$I145:$W145))*(VLOOKUP($B145,'Distribution %'!$A$2:$Q$232,MATCH(J$2,'Distribution %'!$A$2:$Q$2,0),FALSE)/(SUMIF('Distribution %'!$C$1:$Q$1,"BUDGET",'Distribution %'!$C84:$Q84))),"0")+0)</f>
        <v>100</v>
      </c>
      <c r="K145" s="389">
        <f>IF(VLOOKUP("Net Income",'FY ACTUALS'!$A$1:$X$996,K$3,FALSE)&lt;&gt;0,IFERROR(VLOOKUP($B145,'FY ACTUALS'!$A$1:$X$996,K$3,FALSE),"0")+0,IFERROR(($H145-SUMIF($I$1:$W$1,"ACTUAL",$I145:$W145))*(VLOOKUP($B145,'Distribution %'!$A$2:$Q$232,MATCH(K$2,'Distribution %'!$A$2:$Q$2,0),FALSE)/(SUMIF('Distribution %'!$C$1:$Q$1,"BUDGET",'Distribution %'!$C84:$Q84))),"0")+0)</f>
        <v>2350.0100000000002</v>
      </c>
      <c r="L145" s="389">
        <f>IF(VLOOKUP("Net Income",'FY ACTUALS'!$A$1:$X$996,L$3,FALSE)&lt;&gt;0,IFERROR(VLOOKUP($B145,'FY ACTUALS'!$A$1:$X$996,L$3,FALSE),"0")+0,IFERROR(($H145-SUMIF($I$1:$W$1,"ACTUAL",$I145:$W145))*(VLOOKUP($B145,'Distribution %'!$A$2:$Q$232,MATCH(L$2,'Distribution %'!$A$2:$Q$2,0),FALSE)/(SUMIF('Distribution %'!$C$1:$Q$1,"BUDGET",'Distribution %'!$C84:$Q84))),"0")+0)</f>
        <v>0</v>
      </c>
      <c r="M145" s="389">
        <f>IF(VLOOKUP("Net Income",'FY ACTUALS'!$A$1:$X$996,M$3,FALSE)&lt;&gt;0,IFERROR(VLOOKUP($B145,'FY ACTUALS'!$A$1:$X$996,M$3,FALSE),"0")+0,IFERROR(($H145-SUMIF($I$1:$W$1,"ACTUAL",$I145:$W145))*(VLOOKUP($B145,'Distribution %'!$A$2:$Q$232,MATCH(M$2,'Distribution %'!$A$2:$Q$2,0),FALSE)/(SUMIF('Distribution %'!$C$1:$Q$1,"BUDGET",'Distribution %'!$C84:$Q84))),"0")+0)</f>
        <v>23854</v>
      </c>
      <c r="N145" s="389">
        <f>IF(VLOOKUP("Net Income",'FY ACTUALS'!$A$1:$X$996,N$3,FALSE)&lt;&gt;0,IFERROR(VLOOKUP($B145,'FY ACTUALS'!$A$1:$X$996,N$3,FALSE),"0")+0,IFERROR(($H145-SUMIF($I$1:$W$1,"ACTUAL",$I145:$W145))*(VLOOKUP($B145,'Distribution %'!$A$2:$Q$232,MATCH(N$2,'Distribution %'!$A$2:$Q$2,0),FALSE)/(SUMIF('Distribution %'!$C$1:$Q$1,"BUDGET",'Distribution %'!$C84:$Q84))),"0")+0)</f>
        <v>0</v>
      </c>
      <c r="O145" s="389">
        <f>IF(VLOOKUP("Net Income",'FY ACTUALS'!$A$1:$X$996,O$3,FALSE)&lt;&gt;0,IFERROR(VLOOKUP($B145,'FY ACTUALS'!$A$1:$X$996,O$3,FALSE),"0")+0,IFERROR(($H145-SUMIF($I$1:$W$1,"ACTUAL",$I145:$W145))*(VLOOKUP($B145,'Distribution %'!$A$2:$Q$232,MATCH(O$2,'Distribution %'!$A$2:$Q$2,0),FALSE)/(SUMIF('Distribution %'!$C$1:$Q$1,"BUDGET",'Distribution %'!$C84:$Q84))),"0")+0)</f>
        <v>275</v>
      </c>
      <c r="P145" s="389">
        <f>IF(VLOOKUP("Net Income",'FY ACTUALS'!$A$1:$X$996,P$3,FALSE)&lt;&gt;0,IFERROR(VLOOKUP($B145,'FY ACTUALS'!$A$1:$X$996,P$3,FALSE),"0")+0,IFERROR(($H145-SUMIF($I$1:$W$1,"ACTUAL",$I145:$W145))*(VLOOKUP($B145,'Distribution %'!$A$2:$Q$232,MATCH(P$2,'Distribution %'!$A$2:$Q$2,0),FALSE)/(SUMIF('Distribution %'!$C$1:$Q$1,"BUDGET",'Distribution %'!$C84:$Q84))),"0")+0)</f>
        <v>2767.6033333333326</v>
      </c>
      <c r="Q145" s="389">
        <f>IF(VLOOKUP("Net Income",'FY ACTUALS'!$A$1:$X$996,Q$3,FALSE)&lt;&gt;0,IFERROR(VLOOKUP($B145,'FY ACTUALS'!$A$1:$X$996,Q$3,FALSE),"0")+0,IFERROR(($H145-SUMIF($I$1:$W$1,"ACTUAL",$I145:$W145))*(VLOOKUP($B145,'Distribution %'!$A$2:$Q$232,MATCH(Q$2,'Distribution %'!$A$2:$Q$2,0),FALSE)/(SUMIF('Distribution %'!$C$1:$Q$1,"BUDGET",'Distribution %'!$C84:$Q84))),"0")+0)</f>
        <v>2767.6033333333326</v>
      </c>
      <c r="R145" s="389">
        <f>IF(VLOOKUP("Net Income",'FY ACTUALS'!$A$1:$X$996,R$3,FALSE)&lt;&gt;0,IFERROR(VLOOKUP($B145,'FY ACTUALS'!$A$1:$X$996,R$3,FALSE),"0")+0,IFERROR(($H145-SUMIF($I$1:$W$1,"ACTUAL",$I145:$W145))*(VLOOKUP($B145,'Distribution %'!$A$2:$Q$232,MATCH(R$2,'Distribution %'!$A$2:$Q$2,0),FALSE)/(SUMIF('Distribution %'!$C$1:$Q$1,"BUDGET",'Distribution %'!$C84:$Q84))),"0")+0)</f>
        <v>2767.6033333333326</v>
      </c>
      <c r="S145" s="389">
        <f>IF(VLOOKUP("Net Income",'FY ACTUALS'!$A$1:$X$996,S$3,FALSE)&lt;&gt;0,IFERROR(VLOOKUP($B145,'FY ACTUALS'!$A$1:$X$996,S$3,FALSE),"0")+0,IFERROR(($H145-SUMIF($I$1:$W$1,"ACTUAL",$I145:$W145))*(VLOOKUP($B145,'Distribution %'!$A$2:$Q$232,MATCH(S$2,'Distribution %'!$A$2:$Q$2,0),FALSE)/(SUMIF('Distribution %'!$C$1:$Q$1,"BUDGET",'Distribution %'!$C84:$Q84))),"0")+0)</f>
        <v>0</v>
      </c>
      <c r="T145" s="389">
        <f>IF(VLOOKUP("Net Income",'FY ACTUALS'!$A$1:$X$996,T$3,FALSE)&lt;&gt;0,IFERROR(VLOOKUP($B145,'FY ACTUALS'!$A$1:$X$996,T$3,FALSE),"0")+0,IFERROR(($H145-SUMIF($I$1:$W$1,"ACTUAL",$I145:$W145))*(VLOOKUP($B145,'Distribution %'!$A$2:$Q$232,MATCH(T$2,'Distribution %'!$A$2:$Q$2,0),FALSE)/(SUMIF('Distribution %'!$C$1:$Q$1,"BUDGET",'Distribution %'!$C84:$Q84))),"0")+0)</f>
        <v>0</v>
      </c>
      <c r="U145" s="389">
        <f>IF(VLOOKUP("Net Income",'FY ACTUALS'!$A$1:$X$996,U$3,FALSE)&lt;&gt;0,IFERROR(VLOOKUP($B145,'FY ACTUALS'!$A$1:$X$996,U$3,FALSE),"0")+0,IFERROR(($H145-SUMIF($I$1:$W$1,"ACTUAL",$I145:$W145))*(VLOOKUP($B145,'Distribution %'!$A$2:$Q$232,MATCH(U$2,'Distribution %'!$A$2:$Q$2,0),FALSE)/(SUMIF('Distribution %'!$C$1:$Q$1,"BUDGET",'Distribution %'!$C84:$Q84))),"0")+0)</f>
        <v>0</v>
      </c>
      <c r="V145" s="389">
        <f>IF(VLOOKUP("Net Income",'FY ACTUALS'!$A$1:$X$996,V$3,FALSE)&lt;&gt;0,IFERROR(VLOOKUP($B145,'FY ACTUALS'!$A$1:$X$996,V$3,FALSE),"0")+0,IFERROR(($H145-SUMIF($I$1:$W$1,"ACTUAL",$I145:$W145))*(VLOOKUP($B145,'Distribution %'!$A$2:$Q$232,MATCH(V$2,'Distribution %'!$A$2:$Q$2,0),FALSE)/(SUMIF('Distribution %'!$C$1:$Q$1,"BUDGET",'Distribution %'!$C84:$Q84))),"0")+0)</f>
        <v>0</v>
      </c>
      <c r="W145" s="431">
        <f>IF(VLOOKUP("Net Income",'FY ACTUALS'!$A$1:$X$996,W$3,FALSE)&lt;&gt;0,IFERROR(VLOOKUP($B145,'FY ACTUALS'!$A$1:$X$996,W$3,FALSE),"0")+0,IFERROR(($H145-SUMIF($I$1:$W$1,"ACTUAL",$I145:$W145))*(VLOOKUP($B145,'Distribution %'!$A$2:$Q$232,MATCH(W$2,'Distribution %'!$A$2:$Q$2,0),FALSE)/(SUMIF('Distribution %'!$C$1:$Q$1,"BUDGET",'Distribution %'!$C84:$Q84))),"0")+0)</f>
        <v>0</v>
      </c>
      <c r="X145" s="387">
        <f t="shared" si="48"/>
        <v>70000</v>
      </c>
      <c r="Y145" s="387"/>
      <c r="Z145" s="387">
        <f t="shared" si="49"/>
        <v>0</v>
      </c>
    </row>
    <row r="146" spans="2:26" x14ac:dyDescent="0.75">
      <c r="B146" s="403">
        <v>5400</v>
      </c>
      <c r="C146" s="379" t="s">
        <v>1429</v>
      </c>
      <c r="F146" s="379" t="str">
        <f>IF(ISERROR(VLOOKUP(B146,'Distribution %'!A:A,1,FALSE)),"NO","YES")</f>
        <v>YES</v>
      </c>
      <c r="G146" s="392"/>
      <c r="H146" s="430">
        <f>IFERROR(VLOOKUP(B146,'Expenses w MYP'!$A$8:$K$119,11,FALSE),"0")+0</f>
        <v>95000</v>
      </c>
      <c r="I146" s="388">
        <f>IF(VLOOKUP("Net Income",'FY ACTUALS'!$A$1:$X$996,I$3,FALSE)&lt;&gt;0,IFERROR(VLOOKUP($B146,'FY ACTUALS'!$A$1:$X$996,I$3,FALSE),"0")+0,IFERROR(($H146-SUMIF($I$1:$W$1,"ACTUAL",$I146:$W146))*(VLOOKUP($B146,'Distribution %'!$A$2:$Q$232,MATCH(I$2,'Distribution %'!$A$2:$Q$2,0),FALSE)/(SUMIF('Distribution %'!$C$1:$Q$1,"BUDGET",'Distribution %'!$C85:$Q85))),"0")+0)</f>
        <v>0</v>
      </c>
      <c r="J146" s="389">
        <f>IF(VLOOKUP("Net Income",'FY ACTUALS'!$A$1:$X$996,J$3,FALSE)&lt;&gt;0,IFERROR(VLOOKUP($B146,'FY ACTUALS'!$A$1:$X$996,J$3,FALSE),"0")+0,IFERROR(($H146-SUMIF($I$1:$W$1,"ACTUAL",$I146:$W146))*(VLOOKUP($B146,'Distribution %'!$A$2:$Q$232,MATCH(J$2,'Distribution %'!$A$2:$Q$2,0),FALSE)/(SUMIF('Distribution %'!$C$1:$Q$1,"BUDGET",'Distribution %'!$C85:$Q85))),"0")+0)</f>
        <v>0</v>
      </c>
      <c r="K146" s="389">
        <f>IF(VLOOKUP("Net Income",'FY ACTUALS'!$A$1:$X$996,K$3,FALSE)&lt;&gt;0,IFERROR(VLOOKUP($B146,'FY ACTUALS'!$A$1:$X$996,K$3,FALSE),"0")+0,IFERROR(($H146-SUMIF($I$1:$W$1,"ACTUAL",$I146:$W146))*(VLOOKUP($B146,'Distribution %'!$A$2:$Q$232,MATCH(K$2,'Distribution %'!$A$2:$Q$2,0),FALSE)/(SUMIF('Distribution %'!$C$1:$Q$1,"BUDGET",'Distribution %'!$C85:$Q85))),"0")+0)</f>
        <v>25165.23</v>
      </c>
      <c r="L146" s="389">
        <f>IF(VLOOKUP("Net Income",'FY ACTUALS'!$A$1:$X$996,L$3,FALSE)&lt;&gt;0,IFERROR(VLOOKUP($B146,'FY ACTUALS'!$A$1:$X$996,L$3,FALSE),"0")+0,IFERROR(($H146-SUMIF($I$1:$W$1,"ACTUAL",$I146:$W146))*(VLOOKUP($B146,'Distribution %'!$A$2:$Q$232,MATCH(L$2,'Distribution %'!$A$2:$Q$2,0),FALSE)/(SUMIF('Distribution %'!$C$1:$Q$1,"BUDGET",'Distribution %'!$C85:$Q85))),"0")+0)</f>
        <v>34980</v>
      </c>
      <c r="M146" s="389">
        <f>IF(VLOOKUP("Net Income",'FY ACTUALS'!$A$1:$X$996,M$3,FALSE)&lt;&gt;0,IFERROR(VLOOKUP($B146,'FY ACTUALS'!$A$1:$X$996,M$3,FALSE),"0")+0,IFERROR(($H146-SUMIF($I$1:$W$1,"ACTUAL",$I146:$W146))*(VLOOKUP($B146,'Distribution %'!$A$2:$Q$232,MATCH(M$2,'Distribution %'!$A$2:$Q$2,0),FALSE)/(SUMIF('Distribution %'!$C$1:$Q$1,"BUDGET",'Distribution %'!$C85:$Q85))),"0")+0)</f>
        <v>0</v>
      </c>
      <c r="N146" s="389">
        <f>IF(VLOOKUP("Net Income",'FY ACTUALS'!$A$1:$X$996,N$3,FALSE)&lt;&gt;0,IFERROR(VLOOKUP($B146,'FY ACTUALS'!$A$1:$X$996,N$3,FALSE),"0")+0,IFERROR(($H146-SUMIF($I$1:$W$1,"ACTUAL",$I146:$W146))*(VLOOKUP($B146,'Distribution %'!$A$2:$Q$232,MATCH(N$2,'Distribution %'!$A$2:$Q$2,0),FALSE)/(SUMIF('Distribution %'!$C$1:$Q$1,"BUDGET",'Distribution %'!$C85:$Q85))),"0")+0)</f>
        <v>0</v>
      </c>
      <c r="O146" s="389">
        <f>IF(VLOOKUP("Net Income",'FY ACTUALS'!$A$1:$X$996,O$3,FALSE)&lt;&gt;0,IFERROR(VLOOKUP($B146,'FY ACTUALS'!$A$1:$X$996,O$3,FALSE),"0")+0,IFERROR(($H146-SUMIF($I$1:$W$1,"ACTUAL",$I146:$W146))*(VLOOKUP($B146,'Distribution %'!$A$2:$Q$232,MATCH(O$2,'Distribution %'!$A$2:$Q$2,0),FALSE)/(SUMIF('Distribution %'!$C$1:$Q$1,"BUDGET",'Distribution %'!$C85:$Q85))),"0")+0)</f>
        <v>0</v>
      </c>
      <c r="P146" s="389">
        <f>IF(VLOOKUP("Net Income",'FY ACTUALS'!$A$1:$X$996,P$3,FALSE)&lt;&gt;0,IFERROR(VLOOKUP($B146,'FY ACTUALS'!$A$1:$X$996,P$3,FALSE),"0")+0,IFERROR(($H146-SUMIF($I$1:$W$1,"ACTUAL",$I146:$W146))*(VLOOKUP($B146,'Distribution %'!$A$2:$Q$232,MATCH(P$2,'Distribution %'!$A$2:$Q$2,0),FALSE)/(SUMIF('Distribution %'!$C$1:$Q$1,"BUDGET",'Distribution %'!$C85:$Q85))),"0")+0)</f>
        <v>11618.256666666668</v>
      </c>
      <c r="Q146" s="389">
        <f>IF(VLOOKUP("Net Income",'FY ACTUALS'!$A$1:$X$996,Q$3,FALSE)&lt;&gt;0,IFERROR(VLOOKUP($B146,'FY ACTUALS'!$A$1:$X$996,Q$3,FALSE),"0")+0,IFERROR(($H146-SUMIF($I$1:$W$1,"ACTUAL",$I146:$W146))*(VLOOKUP($B146,'Distribution %'!$A$2:$Q$232,MATCH(Q$2,'Distribution %'!$A$2:$Q$2,0),FALSE)/(SUMIF('Distribution %'!$C$1:$Q$1,"BUDGET",'Distribution %'!$C85:$Q85))),"0")+0)</f>
        <v>11618.256666666668</v>
      </c>
      <c r="R146" s="389">
        <f>IF(VLOOKUP("Net Income",'FY ACTUALS'!$A$1:$X$996,R$3,FALSE)&lt;&gt;0,IFERROR(VLOOKUP($B146,'FY ACTUALS'!$A$1:$X$996,R$3,FALSE),"0")+0,IFERROR(($H146-SUMIF($I$1:$W$1,"ACTUAL",$I146:$W146))*(VLOOKUP($B146,'Distribution %'!$A$2:$Q$232,MATCH(R$2,'Distribution %'!$A$2:$Q$2,0),FALSE)/(SUMIF('Distribution %'!$C$1:$Q$1,"BUDGET",'Distribution %'!$C85:$Q85))),"0")+0)</f>
        <v>11618.256666666668</v>
      </c>
      <c r="S146" s="389">
        <f>IF(VLOOKUP("Net Income",'FY ACTUALS'!$A$1:$X$996,S$3,FALSE)&lt;&gt;0,IFERROR(VLOOKUP($B146,'FY ACTUALS'!$A$1:$X$996,S$3,FALSE),"0")+0,IFERROR(($H146-SUMIF($I$1:$W$1,"ACTUAL",$I146:$W146))*(VLOOKUP($B146,'Distribution %'!$A$2:$Q$232,MATCH(S$2,'Distribution %'!$A$2:$Q$2,0),FALSE)/(SUMIF('Distribution %'!$C$1:$Q$1,"BUDGET",'Distribution %'!$C85:$Q85))),"0")+0)</f>
        <v>0</v>
      </c>
      <c r="T146" s="389">
        <f>IF(VLOOKUP("Net Income",'FY ACTUALS'!$A$1:$X$996,T$3,FALSE)&lt;&gt;0,IFERROR(VLOOKUP($B146,'FY ACTUALS'!$A$1:$X$996,T$3,FALSE),"0")+0,IFERROR(($H146-SUMIF($I$1:$W$1,"ACTUAL",$I146:$W146))*(VLOOKUP($B146,'Distribution %'!$A$2:$Q$232,MATCH(T$2,'Distribution %'!$A$2:$Q$2,0),FALSE)/(SUMIF('Distribution %'!$C$1:$Q$1,"BUDGET",'Distribution %'!$C85:$Q85))),"0")+0)</f>
        <v>0</v>
      </c>
      <c r="U146" s="389">
        <f>IF(VLOOKUP("Net Income",'FY ACTUALS'!$A$1:$X$996,U$3,FALSE)&lt;&gt;0,IFERROR(VLOOKUP($B146,'FY ACTUALS'!$A$1:$X$996,U$3,FALSE),"0")+0,IFERROR(($H146-SUMIF($I$1:$W$1,"ACTUAL",$I146:$W146))*(VLOOKUP($B146,'Distribution %'!$A$2:$Q$232,MATCH(U$2,'Distribution %'!$A$2:$Q$2,0),FALSE)/(SUMIF('Distribution %'!$C$1:$Q$1,"BUDGET",'Distribution %'!$C85:$Q85))),"0")+0)</f>
        <v>0</v>
      </c>
      <c r="V146" s="389">
        <f>IF(VLOOKUP("Net Income",'FY ACTUALS'!$A$1:$X$996,V$3,FALSE)&lt;&gt;0,IFERROR(VLOOKUP($B146,'FY ACTUALS'!$A$1:$X$996,V$3,FALSE),"0")+0,IFERROR(($H146-SUMIF($I$1:$W$1,"ACTUAL",$I146:$W146))*(VLOOKUP($B146,'Distribution %'!$A$2:$Q$232,MATCH(V$2,'Distribution %'!$A$2:$Q$2,0),FALSE)/(SUMIF('Distribution %'!$C$1:$Q$1,"BUDGET",'Distribution %'!$C85:$Q85))),"0")+0)</f>
        <v>0</v>
      </c>
      <c r="W146" s="431">
        <f>IF(VLOOKUP("Net Income",'FY ACTUALS'!$A$1:$X$996,W$3,FALSE)&lt;&gt;0,IFERROR(VLOOKUP($B146,'FY ACTUALS'!$A$1:$X$996,W$3,FALSE),"0")+0,IFERROR(($H146-SUMIF($I$1:$W$1,"ACTUAL",$I146:$W146))*(VLOOKUP($B146,'Distribution %'!$A$2:$Q$232,MATCH(W$2,'Distribution %'!$A$2:$Q$2,0),FALSE)/(SUMIF('Distribution %'!$C$1:$Q$1,"BUDGET",'Distribution %'!$C85:$Q85))),"0")+0)</f>
        <v>0</v>
      </c>
      <c r="X146" s="387">
        <f t="shared" si="48"/>
        <v>95000</v>
      </c>
      <c r="Y146" s="387"/>
      <c r="Z146" s="387">
        <f t="shared" si="49"/>
        <v>0</v>
      </c>
    </row>
    <row r="147" spans="2:26" x14ac:dyDescent="0.75">
      <c r="B147" s="403">
        <v>5450</v>
      </c>
      <c r="C147" s="379" t="s">
        <v>1430</v>
      </c>
      <c r="F147" s="379" t="str">
        <f>IF(ISERROR(VLOOKUP(B147,'Distribution %'!A:A,1,FALSE)),"NO","YES")</f>
        <v>YES</v>
      </c>
      <c r="G147" s="392"/>
      <c r="H147" s="430">
        <f>IFERROR(VLOOKUP(B147,'Expenses w MYP'!$A$8:$K$119,11,FALSE),"0")+0</f>
        <v>0</v>
      </c>
      <c r="I147" s="388">
        <f>IF(VLOOKUP("Net Income",'FY ACTUALS'!$A$1:$X$996,I$3,FALSE)&lt;&gt;0,IFERROR(VLOOKUP($B147,'FY ACTUALS'!$A$1:$X$996,I$3,FALSE),"0")+0,IFERROR(($H147-SUMIF($I$1:$W$1,"ACTUAL",$I147:$W147))*(VLOOKUP($B147,'Distribution %'!$A$2:$Q$232,MATCH(I$2,'Distribution %'!$A$2:$Q$2,0),FALSE)/(SUMIF('Distribution %'!$C$1:$Q$1,"BUDGET",'Distribution %'!$C86:$Q86))),"0")+0)</f>
        <v>0</v>
      </c>
      <c r="J147" s="389">
        <f>IF(VLOOKUP("Net Income",'FY ACTUALS'!$A$1:$X$996,J$3,FALSE)&lt;&gt;0,IFERROR(VLOOKUP($B147,'FY ACTUALS'!$A$1:$X$996,J$3,FALSE),"0")+0,IFERROR(($H147-SUMIF($I$1:$W$1,"ACTUAL",$I147:$W147))*(VLOOKUP($B147,'Distribution %'!$A$2:$Q$232,MATCH(J$2,'Distribution %'!$A$2:$Q$2,0),FALSE)/(SUMIF('Distribution %'!$C$1:$Q$1,"BUDGET",'Distribution %'!$C86:$Q86))),"0")+0)</f>
        <v>0</v>
      </c>
      <c r="K147" s="389">
        <f>IF(VLOOKUP("Net Income",'FY ACTUALS'!$A$1:$X$996,K$3,FALSE)&lt;&gt;0,IFERROR(VLOOKUP($B147,'FY ACTUALS'!$A$1:$X$996,K$3,FALSE),"0")+0,IFERROR(($H147-SUMIF($I$1:$W$1,"ACTUAL",$I147:$W147))*(VLOOKUP($B147,'Distribution %'!$A$2:$Q$232,MATCH(K$2,'Distribution %'!$A$2:$Q$2,0),FALSE)/(SUMIF('Distribution %'!$C$1:$Q$1,"BUDGET",'Distribution %'!$C86:$Q86))),"0")+0)</f>
        <v>0</v>
      </c>
      <c r="L147" s="389">
        <f>IF(VLOOKUP("Net Income",'FY ACTUALS'!$A$1:$X$996,L$3,FALSE)&lt;&gt;0,IFERROR(VLOOKUP($B147,'FY ACTUALS'!$A$1:$X$996,L$3,FALSE),"0")+0,IFERROR(($H147-SUMIF($I$1:$W$1,"ACTUAL",$I147:$W147))*(VLOOKUP($B147,'Distribution %'!$A$2:$Q$232,MATCH(L$2,'Distribution %'!$A$2:$Q$2,0),FALSE)/(SUMIF('Distribution %'!$C$1:$Q$1,"BUDGET",'Distribution %'!$C86:$Q86))),"0")+0)</f>
        <v>0</v>
      </c>
      <c r="M147" s="389">
        <f>IF(VLOOKUP("Net Income",'FY ACTUALS'!$A$1:$X$996,M$3,FALSE)&lt;&gt;0,IFERROR(VLOOKUP($B147,'FY ACTUALS'!$A$1:$X$996,M$3,FALSE),"0")+0,IFERROR(($H147-SUMIF($I$1:$W$1,"ACTUAL",$I147:$W147))*(VLOOKUP($B147,'Distribution %'!$A$2:$Q$232,MATCH(M$2,'Distribution %'!$A$2:$Q$2,0),FALSE)/(SUMIF('Distribution %'!$C$1:$Q$1,"BUDGET",'Distribution %'!$C86:$Q86))),"0")+0)</f>
        <v>0</v>
      </c>
      <c r="N147" s="389">
        <f>IF(VLOOKUP("Net Income",'FY ACTUALS'!$A$1:$X$996,N$3,FALSE)&lt;&gt;0,IFERROR(VLOOKUP($B147,'FY ACTUALS'!$A$1:$X$996,N$3,FALSE),"0")+0,IFERROR(($H147-SUMIF($I$1:$W$1,"ACTUAL",$I147:$W147))*(VLOOKUP($B147,'Distribution %'!$A$2:$Q$232,MATCH(N$2,'Distribution %'!$A$2:$Q$2,0),FALSE)/(SUMIF('Distribution %'!$C$1:$Q$1,"BUDGET",'Distribution %'!$C86:$Q86))),"0")+0)</f>
        <v>0</v>
      </c>
      <c r="O147" s="389">
        <f>IF(VLOOKUP("Net Income",'FY ACTUALS'!$A$1:$X$996,O$3,FALSE)&lt;&gt;0,IFERROR(VLOOKUP($B147,'FY ACTUALS'!$A$1:$X$996,O$3,FALSE),"0")+0,IFERROR(($H147-SUMIF($I$1:$W$1,"ACTUAL",$I147:$W147))*(VLOOKUP($B147,'Distribution %'!$A$2:$Q$232,MATCH(O$2,'Distribution %'!$A$2:$Q$2,0),FALSE)/(SUMIF('Distribution %'!$C$1:$Q$1,"BUDGET",'Distribution %'!$C86:$Q86))),"0")+0)</f>
        <v>0</v>
      </c>
      <c r="P147" s="389">
        <f>IF(VLOOKUP("Net Income",'FY ACTUALS'!$A$1:$X$996,P$3,FALSE)&lt;&gt;0,IFERROR(VLOOKUP($B147,'FY ACTUALS'!$A$1:$X$996,P$3,FALSE),"0")+0,IFERROR(($H147-SUMIF($I$1:$W$1,"ACTUAL",$I147:$W147))*(VLOOKUP($B147,'Distribution %'!$A$2:$Q$232,MATCH(P$2,'Distribution %'!$A$2:$Q$2,0),FALSE)/(SUMIF('Distribution %'!$C$1:$Q$1,"BUDGET",'Distribution %'!$C86:$Q86))),"0")+0)</f>
        <v>0</v>
      </c>
      <c r="Q147" s="389">
        <f>IF(VLOOKUP("Net Income",'FY ACTUALS'!$A$1:$X$996,Q$3,FALSE)&lt;&gt;0,IFERROR(VLOOKUP($B147,'FY ACTUALS'!$A$1:$X$996,Q$3,FALSE),"0")+0,IFERROR(($H147-SUMIF($I$1:$W$1,"ACTUAL",$I147:$W147))*(VLOOKUP($B147,'Distribution %'!$A$2:$Q$232,MATCH(Q$2,'Distribution %'!$A$2:$Q$2,0),FALSE)/(SUMIF('Distribution %'!$C$1:$Q$1,"BUDGET",'Distribution %'!$C86:$Q86))),"0")+0)</f>
        <v>0</v>
      </c>
      <c r="R147" s="389">
        <f>IF(VLOOKUP("Net Income",'FY ACTUALS'!$A$1:$X$996,R$3,FALSE)&lt;&gt;0,IFERROR(VLOOKUP($B147,'FY ACTUALS'!$A$1:$X$996,R$3,FALSE),"0")+0,IFERROR(($H147-SUMIF($I$1:$W$1,"ACTUAL",$I147:$W147))*(VLOOKUP($B147,'Distribution %'!$A$2:$Q$232,MATCH(R$2,'Distribution %'!$A$2:$Q$2,0),FALSE)/(SUMIF('Distribution %'!$C$1:$Q$1,"BUDGET",'Distribution %'!$C86:$Q86))),"0")+0)</f>
        <v>0</v>
      </c>
      <c r="S147" s="389">
        <f>IF(VLOOKUP("Net Income",'FY ACTUALS'!$A$1:$X$996,S$3,FALSE)&lt;&gt;0,IFERROR(VLOOKUP($B147,'FY ACTUALS'!$A$1:$X$996,S$3,FALSE),"0")+0,IFERROR(($H147-SUMIF($I$1:$W$1,"ACTUAL",$I147:$W147))*(VLOOKUP($B147,'Distribution %'!$A$2:$Q$232,MATCH(S$2,'Distribution %'!$A$2:$Q$2,0),FALSE)/(SUMIF('Distribution %'!$C$1:$Q$1,"BUDGET",'Distribution %'!$C86:$Q86))),"0")+0)</f>
        <v>0</v>
      </c>
      <c r="T147" s="389">
        <f>IF(VLOOKUP("Net Income",'FY ACTUALS'!$A$1:$X$996,T$3,FALSE)&lt;&gt;0,IFERROR(VLOOKUP($B147,'FY ACTUALS'!$A$1:$X$996,T$3,FALSE),"0")+0,IFERROR(($H147-SUMIF($I$1:$W$1,"ACTUAL",$I147:$W147))*(VLOOKUP($B147,'Distribution %'!$A$2:$Q$232,MATCH(T$2,'Distribution %'!$A$2:$Q$2,0),FALSE)/(SUMIF('Distribution %'!$C$1:$Q$1,"BUDGET",'Distribution %'!$C86:$Q86))),"0")+0)</f>
        <v>0</v>
      </c>
      <c r="U147" s="389">
        <f>IF(VLOOKUP("Net Income",'FY ACTUALS'!$A$1:$X$996,U$3,FALSE)&lt;&gt;0,IFERROR(VLOOKUP($B147,'FY ACTUALS'!$A$1:$X$996,U$3,FALSE),"0")+0,IFERROR(($H147-SUMIF($I$1:$W$1,"ACTUAL",$I147:$W147))*(VLOOKUP($B147,'Distribution %'!$A$2:$Q$232,MATCH(U$2,'Distribution %'!$A$2:$Q$2,0),FALSE)/(SUMIF('Distribution %'!$C$1:$Q$1,"BUDGET",'Distribution %'!$C86:$Q86))),"0")+0)</f>
        <v>0</v>
      </c>
      <c r="V147" s="389">
        <f>IF(VLOOKUP("Net Income",'FY ACTUALS'!$A$1:$X$996,V$3,FALSE)&lt;&gt;0,IFERROR(VLOOKUP($B147,'FY ACTUALS'!$A$1:$X$996,V$3,FALSE),"0")+0,IFERROR(($H147-SUMIF($I$1:$W$1,"ACTUAL",$I147:$W147))*(VLOOKUP($B147,'Distribution %'!$A$2:$Q$232,MATCH(V$2,'Distribution %'!$A$2:$Q$2,0),FALSE)/(SUMIF('Distribution %'!$C$1:$Q$1,"BUDGET",'Distribution %'!$C86:$Q86))),"0")+0)</f>
        <v>0</v>
      </c>
      <c r="W147" s="431">
        <f>IF(VLOOKUP("Net Income",'FY ACTUALS'!$A$1:$X$996,W$3,FALSE)&lt;&gt;0,IFERROR(VLOOKUP($B147,'FY ACTUALS'!$A$1:$X$996,W$3,FALSE),"0")+0,IFERROR(($H147-SUMIF($I$1:$W$1,"ACTUAL",$I147:$W147))*(VLOOKUP($B147,'Distribution %'!$A$2:$Q$232,MATCH(W$2,'Distribution %'!$A$2:$Q$2,0),FALSE)/(SUMIF('Distribution %'!$C$1:$Q$1,"BUDGET",'Distribution %'!$C86:$Q86))),"0")+0)</f>
        <v>0</v>
      </c>
      <c r="X147" s="387">
        <f t="shared" si="48"/>
        <v>0</v>
      </c>
      <c r="Y147" s="387"/>
      <c r="Z147" s="387">
        <f t="shared" si="49"/>
        <v>0</v>
      </c>
    </row>
    <row r="148" spans="2:26" x14ac:dyDescent="0.75">
      <c r="B148" s="403">
        <v>5500</v>
      </c>
      <c r="C148" s="379" t="s">
        <v>601</v>
      </c>
      <c r="F148" s="379" t="str">
        <f>IF(ISERROR(VLOOKUP(B148,'Distribution %'!A:A,1,FALSE)),"NO","YES")</f>
        <v>YES</v>
      </c>
      <c r="G148" s="392"/>
      <c r="H148" s="430">
        <f>IFERROR(VLOOKUP(B148,'Expenses w MYP'!$A$8:$K$119,11,FALSE),"0")+0</f>
        <v>6000</v>
      </c>
      <c r="I148" s="388">
        <f>IF(VLOOKUP("Net Income",'FY ACTUALS'!$A$1:$X$996,I$3,FALSE)&lt;&gt;0,IFERROR(VLOOKUP($B148,'FY ACTUALS'!$A$1:$X$996,I$3,FALSE),"0")+0,IFERROR(($H148-SUMIF($I$1:$W$1,"ACTUAL",$I148:$W148))*(VLOOKUP($B148,'Distribution %'!$A$2:$Q$232,MATCH(I$2,'Distribution %'!$A$2:$Q$2,0),FALSE)/(SUMIF('Distribution %'!$C$1:$Q$1,"BUDGET",'Distribution %'!$C87:$Q87))),"0")+0)</f>
        <v>0</v>
      </c>
      <c r="J148" s="389">
        <f>IF(VLOOKUP("Net Income",'FY ACTUALS'!$A$1:$X$996,J$3,FALSE)&lt;&gt;0,IFERROR(VLOOKUP($B148,'FY ACTUALS'!$A$1:$X$996,J$3,FALSE),"0")+0,IFERROR(($H148-SUMIF($I$1:$W$1,"ACTUAL",$I148:$W148))*(VLOOKUP($B148,'Distribution %'!$A$2:$Q$232,MATCH(J$2,'Distribution %'!$A$2:$Q$2,0),FALSE)/(SUMIF('Distribution %'!$C$1:$Q$1,"BUDGET",'Distribution %'!$C87:$Q87))),"0")+0)</f>
        <v>760</v>
      </c>
      <c r="K148" s="389">
        <f>IF(VLOOKUP("Net Income",'FY ACTUALS'!$A$1:$X$996,K$3,FALSE)&lt;&gt;0,IFERROR(VLOOKUP($B148,'FY ACTUALS'!$A$1:$X$996,K$3,FALSE),"0")+0,IFERROR(($H148-SUMIF($I$1:$W$1,"ACTUAL",$I148:$W148))*(VLOOKUP($B148,'Distribution %'!$A$2:$Q$232,MATCH(K$2,'Distribution %'!$A$2:$Q$2,0),FALSE)/(SUMIF('Distribution %'!$C$1:$Q$1,"BUDGET",'Distribution %'!$C87:$Q87))),"0")+0)</f>
        <v>380.01</v>
      </c>
      <c r="L148" s="389">
        <f>IF(VLOOKUP("Net Income",'FY ACTUALS'!$A$1:$X$996,L$3,FALSE)&lt;&gt;0,IFERROR(VLOOKUP($B148,'FY ACTUALS'!$A$1:$X$996,L$3,FALSE),"0")+0,IFERROR(($H148-SUMIF($I$1:$W$1,"ACTUAL",$I148:$W148))*(VLOOKUP($B148,'Distribution %'!$A$2:$Q$232,MATCH(L$2,'Distribution %'!$A$2:$Q$2,0),FALSE)/(SUMIF('Distribution %'!$C$1:$Q$1,"BUDGET",'Distribution %'!$C87:$Q87))),"0")+0)</f>
        <v>0</v>
      </c>
      <c r="M148" s="389">
        <f>IF(VLOOKUP("Net Income",'FY ACTUALS'!$A$1:$X$996,M$3,FALSE)&lt;&gt;0,IFERROR(VLOOKUP($B148,'FY ACTUALS'!$A$1:$X$996,M$3,FALSE),"0")+0,IFERROR(($H148-SUMIF($I$1:$W$1,"ACTUAL",$I148:$W148))*(VLOOKUP($B148,'Distribution %'!$A$2:$Q$232,MATCH(M$2,'Distribution %'!$A$2:$Q$2,0),FALSE)/(SUMIF('Distribution %'!$C$1:$Q$1,"BUDGET",'Distribution %'!$C87:$Q87))),"0")+0)</f>
        <v>379.99</v>
      </c>
      <c r="N148" s="389">
        <f>IF(VLOOKUP("Net Income",'FY ACTUALS'!$A$1:$X$996,N$3,FALSE)&lt;&gt;0,IFERROR(VLOOKUP($B148,'FY ACTUALS'!$A$1:$X$996,N$3,FALSE),"0")+0,IFERROR(($H148-SUMIF($I$1:$W$1,"ACTUAL",$I148:$W148))*(VLOOKUP($B148,'Distribution %'!$A$2:$Q$232,MATCH(N$2,'Distribution %'!$A$2:$Q$2,0),FALSE)/(SUMIF('Distribution %'!$C$1:$Q$1,"BUDGET",'Distribution %'!$C87:$Q87))),"0")+0)</f>
        <v>475</v>
      </c>
      <c r="O148" s="389">
        <f>IF(VLOOKUP("Net Income",'FY ACTUALS'!$A$1:$X$996,O$3,FALSE)&lt;&gt;0,IFERROR(VLOOKUP($B148,'FY ACTUALS'!$A$1:$X$996,O$3,FALSE),"0")+0,IFERROR(($H148-SUMIF($I$1:$W$1,"ACTUAL",$I148:$W148))*(VLOOKUP($B148,'Distribution %'!$A$2:$Q$232,MATCH(O$2,'Distribution %'!$A$2:$Q$2,0),FALSE)/(SUMIF('Distribution %'!$C$1:$Q$1,"BUDGET",'Distribution %'!$C87:$Q87))),"0")+0)</f>
        <v>380.01</v>
      </c>
      <c r="P148" s="389">
        <f>IF(VLOOKUP("Net Income",'FY ACTUALS'!$A$1:$X$996,P$3,FALSE)&lt;&gt;0,IFERROR(VLOOKUP($B148,'FY ACTUALS'!$A$1:$X$996,P$3,FALSE),"0")+0,IFERROR(($H148-SUMIF($I$1:$W$1,"ACTUAL",$I148:$W148))*(VLOOKUP($B148,'Distribution %'!$A$2:$Q$232,MATCH(P$2,'Distribution %'!$A$2:$Q$2,0),FALSE)/(SUMIF('Distribution %'!$C$1:$Q$1,"BUDGET",'Distribution %'!$C87:$Q87))),"0")+0)</f>
        <v>718.0767780429594</v>
      </c>
      <c r="Q148" s="389">
        <f>IF(VLOOKUP("Net Income",'FY ACTUALS'!$A$1:$X$996,Q$3,FALSE)&lt;&gt;0,IFERROR(VLOOKUP($B148,'FY ACTUALS'!$A$1:$X$996,Q$3,FALSE),"0")+0,IFERROR(($H148-SUMIF($I$1:$W$1,"ACTUAL",$I148:$W148))*(VLOOKUP($B148,'Distribution %'!$A$2:$Q$232,MATCH(Q$2,'Distribution %'!$A$2:$Q$2,0),FALSE)/(SUMIF('Distribution %'!$C$1:$Q$1,"BUDGET",'Distribution %'!$C87:$Q87))),"0")+0)</f>
        <v>726.72830548926015</v>
      </c>
      <c r="R148" s="389">
        <f>IF(VLOOKUP("Net Income",'FY ACTUALS'!$A$1:$X$996,R$3,FALSE)&lt;&gt;0,IFERROR(VLOOKUP($B148,'FY ACTUALS'!$A$1:$X$996,R$3,FALSE),"0")+0,IFERROR(($H148-SUMIF($I$1:$W$1,"ACTUAL",$I148:$W148))*(VLOOKUP($B148,'Distribution %'!$A$2:$Q$232,MATCH(R$2,'Distribution %'!$A$2:$Q$2,0),FALSE)/(SUMIF('Distribution %'!$C$1:$Q$1,"BUDGET",'Distribution %'!$C87:$Q87))),"0")+0)</f>
        <v>726.72830548926015</v>
      </c>
      <c r="S148" s="389">
        <f>IF(VLOOKUP("Net Income",'FY ACTUALS'!$A$1:$X$996,S$3,FALSE)&lt;&gt;0,IFERROR(VLOOKUP($B148,'FY ACTUALS'!$A$1:$X$996,S$3,FALSE),"0")+0,IFERROR(($H148-SUMIF($I$1:$W$1,"ACTUAL",$I148:$W148))*(VLOOKUP($B148,'Distribution %'!$A$2:$Q$232,MATCH(S$2,'Distribution %'!$A$2:$Q$2,0),FALSE)/(SUMIF('Distribution %'!$C$1:$Q$1,"BUDGET",'Distribution %'!$C87:$Q87))),"0")+0)</f>
        <v>726.72830548926015</v>
      </c>
      <c r="T148" s="389">
        <f>IF(VLOOKUP("Net Income",'FY ACTUALS'!$A$1:$X$996,T$3,FALSE)&lt;&gt;0,IFERROR(VLOOKUP($B148,'FY ACTUALS'!$A$1:$X$996,T$3,FALSE),"0")+0,IFERROR(($H148-SUMIF($I$1:$W$1,"ACTUAL",$I148:$W148))*(VLOOKUP($B148,'Distribution %'!$A$2:$Q$232,MATCH(T$2,'Distribution %'!$A$2:$Q$2,0),FALSE)/(SUMIF('Distribution %'!$C$1:$Q$1,"BUDGET",'Distribution %'!$C87:$Q87))),"0")+0)</f>
        <v>726.72830548926015</v>
      </c>
      <c r="U148" s="389">
        <f>IF(VLOOKUP("Net Income",'FY ACTUALS'!$A$1:$X$996,U$3,FALSE)&lt;&gt;0,IFERROR(VLOOKUP($B148,'FY ACTUALS'!$A$1:$X$996,U$3,FALSE),"0")+0,IFERROR(($H148-SUMIF($I$1:$W$1,"ACTUAL",$I148:$W148))*(VLOOKUP($B148,'Distribution %'!$A$2:$Q$232,MATCH(U$2,'Distribution %'!$A$2:$Q$2,0),FALSE)/(SUMIF('Distribution %'!$C$1:$Q$1,"BUDGET",'Distribution %'!$C87:$Q87))),"0")+0)</f>
        <v>0</v>
      </c>
      <c r="V148" s="389">
        <f>IF(VLOOKUP("Net Income",'FY ACTUALS'!$A$1:$X$996,V$3,FALSE)&lt;&gt;0,IFERROR(VLOOKUP($B148,'FY ACTUALS'!$A$1:$X$996,V$3,FALSE),"0")+0,IFERROR(($H148-SUMIF($I$1:$W$1,"ACTUAL",$I148:$W148))*(VLOOKUP($B148,'Distribution %'!$A$2:$Q$232,MATCH(V$2,'Distribution %'!$A$2:$Q$2,0),FALSE)/(SUMIF('Distribution %'!$C$1:$Q$1,"BUDGET",'Distribution %'!$C87:$Q87))),"0")+0)</f>
        <v>0</v>
      </c>
      <c r="W148" s="431">
        <f>IF(VLOOKUP("Net Income",'FY ACTUALS'!$A$1:$X$996,W$3,FALSE)&lt;&gt;0,IFERROR(VLOOKUP($B148,'FY ACTUALS'!$A$1:$X$996,W$3,FALSE),"0")+0,IFERROR(($H148-SUMIF($I$1:$W$1,"ACTUAL",$I148:$W148))*(VLOOKUP($B148,'Distribution %'!$A$2:$Q$232,MATCH(W$2,'Distribution %'!$A$2:$Q$2,0),FALSE)/(SUMIF('Distribution %'!$C$1:$Q$1,"BUDGET",'Distribution %'!$C87:$Q87))),"0")+0)</f>
        <v>0</v>
      </c>
      <c r="X148" s="387">
        <f t="shared" si="48"/>
        <v>6000.0000000000009</v>
      </c>
      <c r="Y148" s="387"/>
      <c r="Z148" s="387">
        <f t="shared" si="49"/>
        <v>0</v>
      </c>
    </row>
    <row r="149" spans="2:26" x14ac:dyDescent="0.75">
      <c r="B149" s="403">
        <v>5501</v>
      </c>
      <c r="C149" s="379" t="s">
        <v>602</v>
      </c>
      <c r="F149" s="379" t="str">
        <f>IF(ISERROR(VLOOKUP(B149,'Distribution %'!A:A,1,FALSE)),"NO","YES")</f>
        <v>YES</v>
      </c>
      <c r="G149" s="392"/>
      <c r="H149" s="430">
        <f>IFERROR(VLOOKUP(B149,'Expenses w MYP'!$A$8:$K$119,11,FALSE),"0")+0</f>
        <v>2500</v>
      </c>
      <c r="I149" s="388">
        <f>IF(VLOOKUP("Net Income",'FY ACTUALS'!$A$1:$X$996,I$3,FALSE)&lt;&gt;0,IFERROR(VLOOKUP($B149,'FY ACTUALS'!$A$1:$X$996,I$3,FALSE),"0")+0,IFERROR(($H149-SUMIF($I$1:$W$1,"ACTUAL",$I149:$W149))*(VLOOKUP($B149,'Distribution %'!$A$2:$Q$232,MATCH(I$2,'Distribution %'!$A$2:$Q$2,0),FALSE)/(SUMIF('Distribution %'!$C$1:$Q$1,"BUDGET",'Distribution %'!$C88:$Q88))),"0")+0)</f>
        <v>204.33</v>
      </c>
      <c r="J149" s="389">
        <f>IF(VLOOKUP("Net Income",'FY ACTUALS'!$A$1:$X$996,J$3,FALSE)&lt;&gt;0,IFERROR(VLOOKUP($B149,'FY ACTUALS'!$A$1:$X$996,J$3,FALSE),"0")+0,IFERROR(($H149-SUMIF($I$1:$W$1,"ACTUAL",$I149:$W149))*(VLOOKUP($B149,'Distribution %'!$A$2:$Q$232,MATCH(J$2,'Distribution %'!$A$2:$Q$2,0),FALSE)/(SUMIF('Distribution %'!$C$1:$Q$1,"BUDGET",'Distribution %'!$C88:$Q88))),"0")+0)</f>
        <v>211.75</v>
      </c>
      <c r="K149" s="389">
        <f>IF(VLOOKUP("Net Income",'FY ACTUALS'!$A$1:$X$996,K$3,FALSE)&lt;&gt;0,IFERROR(VLOOKUP($B149,'FY ACTUALS'!$A$1:$X$996,K$3,FALSE),"0")+0,IFERROR(($H149-SUMIF($I$1:$W$1,"ACTUAL",$I149:$W149))*(VLOOKUP($B149,'Distribution %'!$A$2:$Q$232,MATCH(K$2,'Distribution %'!$A$2:$Q$2,0),FALSE)/(SUMIF('Distribution %'!$C$1:$Q$1,"BUDGET",'Distribution %'!$C88:$Q88))),"0")+0)</f>
        <v>0</v>
      </c>
      <c r="L149" s="389">
        <f>IF(VLOOKUP("Net Income",'FY ACTUALS'!$A$1:$X$996,L$3,FALSE)&lt;&gt;0,IFERROR(VLOOKUP($B149,'FY ACTUALS'!$A$1:$X$996,L$3,FALSE),"0")+0,IFERROR(($H149-SUMIF($I$1:$W$1,"ACTUAL",$I149:$W149))*(VLOOKUP($B149,'Distribution %'!$A$2:$Q$232,MATCH(L$2,'Distribution %'!$A$2:$Q$2,0),FALSE)/(SUMIF('Distribution %'!$C$1:$Q$1,"BUDGET",'Distribution %'!$C88:$Q88))),"0")+0)</f>
        <v>200.49</v>
      </c>
      <c r="M149" s="389">
        <f>IF(VLOOKUP("Net Income",'FY ACTUALS'!$A$1:$X$996,M$3,FALSE)&lt;&gt;0,IFERROR(VLOOKUP($B149,'FY ACTUALS'!$A$1:$X$996,M$3,FALSE),"0")+0,IFERROR(($H149-SUMIF($I$1:$W$1,"ACTUAL",$I149:$W149))*(VLOOKUP($B149,'Distribution %'!$A$2:$Q$232,MATCH(M$2,'Distribution %'!$A$2:$Q$2,0),FALSE)/(SUMIF('Distribution %'!$C$1:$Q$1,"BUDGET",'Distribution %'!$C88:$Q88))),"0")+0)</f>
        <v>169.51</v>
      </c>
      <c r="N149" s="389">
        <f>IF(VLOOKUP("Net Income",'FY ACTUALS'!$A$1:$X$996,N$3,FALSE)&lt;&gt;0,IFERROR(VLOOKUP($B149,'FY ACTUALS'!$A$1:$X$996,N$3,FALSE),"0")+0,IFERROR(($H149-SUMIF($I$1:$W$1,"ACTUAL",$I149:$W149))*(VLOOKUP($B149,'Distribution %'!$A$2:$Q$232,MATCH(N$2,'Distribution %'!$A$2:$Q$2,0),FALSE)/(SUMIF('Distribution %'!$C$1:$Q$1,"BUDGET",'Distribution %'!$C88:$Q88))),"0")+0)</f>
        <v>147.34</v>
      </c>
      <c r="O149" s="389">
        <f>IF(VLOOKUP("Net Income",'FY ACTUALS'!$A$1:$X$996,O$3,FALSE)&lt;&gt;0,IFERROR(VLOOKUP($B149,'FY ACTUALS'!$A$1:$X$996,O$3,FALSE),"0")+0,IFERROR(($H149-SUMIF($I$1:$W$1,"ACTUAL",$I149:$W149))*(VLOOKUP($B149,'Distribution %'!$A$2:$Q$232,MATCH(O$2,'Distribution %'!$A$2:$Q$2,0),FALSE)/(SUMIF('Distribution %'!$C$1:$Q$1,"BUDGET",'Distribution %'!$C88:$Q88))),"0")+0)</f>
        <v>119.66</v>
      </c>
      <c r="P149" s="389">
        <f>IF(VLOOKUP("Net Income",'FY ACTUALS'!$A$1:$X$996,P$3,FALSE)&lt;&gt;0,IFERROR(VLOOKUP($B149,'FY ACTUALS'!$A$1:$X$996,P$3,FALSE),"0")+0,IFERROR(($H149-SUMIF($I$1:$W$1,"ACTUAL",$I149:$W149))*(VLOOKUP($B149,'Distribution %'!$A$2:$Q$232,MATCH(P$2,'Distribution %'!$A$2:$Q$2,0),FALSE)/(SUMIF('Distribution %'!$C$1:$Q$1,"BUDGET",'Distribution %'!$C88:$Q88))),"0")+0)</f>
        <v>286.62138424821001</v>
      </c>
      <c r="Q149" s="389">
        <f>IF(VLOOKUP("Net Income",'FY ACTUALS'!$A$1:$X$996,Q$3,FALSE)&lt;&gt;0,IFERROR(VLOOKUP($B149,'FY ACTUALS'!$A$1:$X$996,Q$3,FALSE),"0")+0,IFERROR(($H149-SUMIF($I$1:$W$1,"ACTUAL",$I149:$W149))*(VLOOKUP($B149,'Distribution %'!$A$2:$Q$232,MATCH(Q$2,'Distribution %'!$A$2:$Q$2,0),FALSE)/(SUMIF('Distribution %'!$C$1:$Q$1,"BUDGET",'Distribution %'!$C88:$Q88))),"0")+0)</f>
        <v>290.07465393794746</v>
      </c>
      <c r="R149" s="389">
        <f>IF(VLOOKUP("Net Income",'FY ACTUALS'!$A$1:$X$996,R$3,FALSE)&lt;&gt;0,IFERROR(VLOOKUP($B149,'FY ACTUALS'!$A$1:$X$996,R$3,FALSE),"0")+0,IFERROR(($H149-SUMIF($I$1:$W$1,"ACTUAL",$I149:$W149))*(VLOOKUP($B149,'Distribution %'!$A$2:$Q$232,MATCH(R$2,'Distribution %'!$A$2:$Q$2,0),FALSE)/(SUMIF('Distribution %'!$C$1:$Q$1,"BUDGET",'Distribution %'!$C88:$Q88))),"0")+0)</f>
        <v>290.07465393794746</v>
      </c>
      <c r="S149" s="389">
        <f>IF(VLOOKUP("Net Income",'FY ACTUALS'!$A$1:$X$996,S$3,FALSE)&lt;&gt;0,IFERROR(VLOOKUP($B149,'FY ACTUALS'!$A$1:$X$996,S$3,FALSE),"0")+0,IFERROR(($H149-SUMIF($I$1:$W$1,"ACTUAL",$I149:$W149))*(VLOOKUP($B149,'Distribution %'!$A$2:$Q$232,MATCH(S$2,'Distribution %'!$A$2:$Q$2,0),FALSE)/(SUMIF('Distribution %'!$C$1:$Q$1,"BUDGET",'Distribution %'!$C88:$Q88))),"0")+0)</f>
        <v>290.07465393794746</v>
      </c>
      <c r="T149" s="389">
        <f>IF(VLOOKUP("Net Income",'FY ACTUALS'!$A$1:$X$996,T$3,FALSE)&lt;&gt;0,IFERROR(VLOOKUP($B149,'FY ACTUALS'!$A$1:$X$996,T$3,FALSE),"0")+0,IFERROR(($H149-SUMIF($I$1:$W$1,"ACTUAL",$I149:$W149))*(VLOOKUP($B149,'Distribution %'!$A$2:$Q$232,MATCH(T$2,'Distribution %'!$A$2:$Q$2,0),FALSE)/(SUMIF('Distribution %'!$C$1:$Q$1,"BUDGET",'Distribution %'!$C88:$Q88))),"0")+0)</f>
        <v>290.07465393794746</v>
      </c>
      <c r="U149" s="389">
        <f>IF(VLOOKUP("Net Income",'FY ACTUALS'!$A$1:$X$996,U$3,FALSE)&lt;&gt;0,IFERROR(VLOOKUP($B149,'FY ACTUALS'!$A$1:$X$996,U$3,FALSE),"0")+0,IFERROR(($H149-SUMIF($I$1:$W$1,"ACTUAL",$I149:$W149))*(VLOOKUP($B149,'Distribution %'!$A$2:$Q$232,MATCH(U$2,'Distribution %'!$A$2:$Q$2,0),FALSE)/(SUMIF('Distribution %'!$C$1:$Q$1,"BUDGET",'Distribution %'!$C88:$Q88))),"0")+0)</f>
        <v>0</v>
      </c>
      <c r="V149" s="389">
        <f>IF(VLOOKUP("Net Income",'FY ACTUALS'!$A$1:$X$996,V$3,FALSE)&lt;&gt;0,IFERROR(VLOOKUP($B149,'FY ACTUALS'!$A$1:$X$996,V$3,FALSE),"0")+0,IFERROR(($H149-SUMIF($I$1:$W$1,"ACTUAL",$I149:$W149))*(VLOOKUP($B149,'Distribution %'!$A$2:$Q$232,MATCH(V$2,'Distribution %'!$A$2:$Q$2,0),FALSE)/(SUMIF('Distribution %'!$C$1:$Q$1,"BUDGET",'Distribution %'!$C88:$Q88))),"0")+0)</f>
        <v>0</v>
      </c>
      <c r="W149" s="431">
        <f>IF(VLOOKUP("Net Income",'FY ACTUALS'!$A$1:$X$996,W$3,FALSE)&lt;&gt;0,IFERROR(VLOOKUP($B149,'FY ACTUALS'!$A$1:$X$996,W$3,FALSE),"0")+0,IFERROR(($H149-SUMIF($I$1:$W$1,"ACTUAL",$I149:$W149))*(VLOOKUP($B149,'Distribution %'!$A$2:$Q$232,MATCH(W$2,'Distribution %'!$A$2:$Q$2,0),FALSE)/(SUMIF('Distribution %'!$C$1:$Q$1,"BUDGET",'Distribution %'!$C88:$Q88))),"0")+0)</f>
        <v>0</v>
      </c>
      <c r="X149" s="387">
        <f t="shared" si="48"/>
        <v>2500</v>
      </c>
      <c r="Y149" s="387"/>
      <c r="Z149" s="387">
        <f t="shared" si="49"/>
        <v>0</v>
      </c>
    </row>
    <row r="150" spans="2:26" x14ac:dyDescent="0.75">
      <c r="B150" s="403">
        <v>5505</v>
      </c>
      <c r="C150" s="379" t="s">
        <v>1079</v>
      </c>
      <c r="F150" s="379" t="str">
        <f>IF(ISERROR(VLOOKUP(B150,'Distribution %'!A:A,1,FALSE)),"NO","YES")</f>
        <v>YES</v>
      </c>
      <c r="G150" s="392"/>
      <c r="H150" s="430">
        <f>IFERROR(VLOOKUP(B150,'Expenses w MYP'!$A$8:$K$119,11,FALSE),"0")+0</f>
        <v>0</v>
      </c>
      <c r="I150" s="388">
        <f>IF(VLOOKUP("Net Income",'FY ACTUALS'!$A$1:$X$996,I$3,FALSE)&lt;&gt;0,IFERROR(VLOOKUP($B150,'FY ACTUALS'!$A$1:$X$996,I$3,FALSE),"0")+0,IFERROR(($H150-SUMIF($I$1:$W$1,"ACTUAL",$I150:$W150))*(VLOOKUP($B150,'Distribution %'!$A$2:$Q$232,MATCH(I$2,'Distribution %'!$A$2:$Q$2,0),FALSE)/(SUMIF('Distribution %'!$C$1:$Q$1,"BUDGET",'Distribution %'!$C89:$Q89))),"0")+0)</f>
        <v>0</v>
      </c>
      <c r="J150" s="389">
        <f>IF(VLOOKUP("Net Income",'FY ACTUALS'!$A$1:$X$996,J$3,FALSE)&lt;&gt;0,IFERROR(VLOOKUP($B150,'FY ACTUALS'!$A$1:$X$996,J$3,FALSE),"0")+0,IFERROR(($H150-SUMIF($I$1:$W$1,"ACTUAL",$I150:$W150))*(VLOOKUP($B150,'Distribution %'!$A$2:$Q$232,MATCH(J$2,'Distribution %'!$A$2:$Q$2,0),FALSE)/(SUMIF('Distribution %'!$C$1:$Q$1,"BUDGET",'Distribution %'!$C89:$Q89))),"0")+0)</f>
        <v>0</v>
      </c>
      <c r="K150" s="389">
        <f>IF(VLOOKUP("Net Income",'FY ACTUALS'!$A$1:$X$996,K$3,FALSE)&lt;&gt;0,IFERROR(VLOOKUP($B150,'FY ACTUALS'!$A$1:$X$996,K$3,FALSE),"0")+0,IFERROR(($H150-SUMIF($I$1:$W$1,"ACTUAL",$I150:$W150))*(VLOOKUP($B150,'Distribution %'!$A$2:$Q$232,MATCH(K$2,'Distribution %'!$A$2:$Q$2,0),FALSE)/(SUMIF('Distribution %'!$C$1:$Q$1,"BUDGET",'Distribution %'!$C89:$Q89))),"0")+0)</f>
        <v>0</v>
      </c>
      <c r="L150" s="389">
        <f>IF(VLOOKUP("Net Income",'FY ACTUALS'!$A$1:$X$996,L$3,FALSE)&lt;&gt;0,IFERROR(VLOOKUP($B150,'FY ACTUALS'!$A$1:$X$996,L$3,FALSE),"0")+0,IFERROR(($H150-SUMIF($I$1:$W$1,"ACTUAL",$I150:$W150))*(VLOOKUP($B150,'Distribution %'!$A$2:$Q$232,MATCH(L$2,'Distribution %'!$A$2:$Q$2,0),FALSE)/(SUMIF('Distribution %'!$C$1:$Q$1,"BUDGET",'Distribution %'!$C89:$Q89))),"0")+0)</f>
        <v>0</v>
      </c>
      <c r="M150" s="389">
        <f>IF(VLOOKUP("Net Income",'FY ACTUALS'!$A$1:$X$996,M$3,FALSE)&lt;&gt;0,IFERROR(VLOOKUP($B150,'FY ACTUALS'!$A$1:$X$996,M$3,FALSE),"0")+0,IFERROR(($H150-SUMIF($I$1:$W$1,"ACTUAL",$I150:$W150))*(VLOOKUP($B150,'Distribution %'!$A$2:$Q$232,MATCH(M$2,'Distribution %'!$A$2:$Q$2,0),FALSE)/(SUMIF('Distribution %'!$C$1:$Q$1,"BUDGET",'Distribution %'!$C89:$Q89))),"0")+0)</f>
        <v>0</v>
      </c>
      <c r="N150" s="389">
        <f>IF(VLOOKUP("Net Income",'FY ACTUALS'!$A$1:$X$996,N$3,FALSE)&lt;&gt;0,IFERROR(VLOOKUP($B150,'FY ACTUALS'!$A$1:$X$996,N$3,FALSE),"0")+0,IFERROR(($H150-SUMIF($I$1:$W$1,"ACTUAL",$I150:$W150))*(VLOOKUP($B150,'Distribution %'!$A$2:$Q$232,MATCH(N$2,'Distribution %'!$A$2:$Q$2,0),FALSE)/(SUMIF('Distribution %'!$C$1:$Q$1,"BUDGET",'Distribution %'!$C89:$Q89))),"0")+0)</f>
        <v>0</v>
      </c>
      <c r="O150" s="389">
        <f>IF(VLOOKUP("Net Income",'FY ACTUALS'!$A$1:$X$996,O$3,FALSE)&lt;&gt;0,IFERROR(VLOOKUP($B150,'FY ACTUALS'!$A$1:$X$996,O$3,FALSE),"0")+0,IFERROR(($H150-SUMIF($I$1:$W$1,"ACTUAL",$I150:$W150))*(VLOOKUP($B150,'Distribution %'!$A$2:$Q$232,MATCH(O$2,'Distribution %'!$A$2:$Q$2,0),FALSE)/(SUMIF('Distribution %'!$C$1:$Q$1,"BUDGET",'Distribution %'!$C89:$Q89))),"0")+0)</f>
        <v>0</v>
      </c>
      <c r="P150" s="389">
        <f>IF(VLOOKUP("Net Income",'FY ACTUALS'!$A$1:$X$996,P$3,FALSE)&lt;&gt;0,IFERROR(VLOOKUP($B150,'FY ACTUALS'!$A$1:$X$996,P$3,FALSE),"0")+0,IFERROR(($H150-SUMIF($I$1:$W$1,"ACTUAL",$I150:$W150))*(VLOOKUP($B150,'Distribution %'!$A$2:$Q$232,MATCH(P$2,'Distribution %'!$A$2:$Q$2,0),FALSE)/(SUMIF('Distribution %'!$C$1:$Q$1,"BUDGET",'Distribution %'!$C89:$Q89))),"0")+0)</f>
        <v>0</v>
      </c>
      <c r="Q150" s="389">
        <f>IF(VLOOKUP("Net Income",'FY ACTUALS'!$A$1:$X$996,Q$3,FALSE)&lt;&gt;0,IFERROR(VLOOKUP($B150,'FY ACTUALS'!$A$1:$X$996,Q$3,FALSE),"0")+0,IFERROR(($H150-SUMIF($I$1:$W$1,"ACTUAL",$I150:$W150))*(VLOOKUP($B150,'Distribution %'!$A$2:$Q$232,MATCH(Q$2,'Distribution %'!$A$2:$Q$2,0),FALSE)/(SUMIF('Distribution %'!$C$1:$Q$1,"BUDGET",'Distribution %'!$C89:$Q89))),"0")+0)</f>
        <v>0</v>
      </c>
      <c r="R150" s="389">
        <f>IF(VLOOKUP("Net Income",'FY ACTUALS'!$A$1:$X$996,R$3,FALSE)&lt;&gt;0,IFERROR(VLOOKUP($B150,'FY ACTUALS'!$A$1:$X$996,R$3,FALSE),"0")+0,IFERROR(($H150-SUMIF($I$1:$W$1,"ACTUAL",$I150:$W150))*(VLOOKUP($B150,'Distribution %'!$A$2:$Q$232,MATCH(R$2,'Distribution %'!$A$2:$Q$2,0),FALSE)/(SUMIF('Distribution %'!$C$1:$Q$1,"BUDGET",'Distribution %'!$C89:$Q89))),"0")+0)</f>
        <v>0</v>
      </c>
      <c r="S150" s="389">
        <f>IF(VLOOKUP("Net Income",'FY ACTUALS'!$A$1:$X$996,S$3,FALSE)&lt;&gt;0,IFERROR(VLOOKUP($B150,'FY ACTUALS'!$A$1:$X$996,S$3,FALSE),"0")+0,IFERROR(($H150-SUMIF($I$1:$W$1,"ACTUAL",$I150:$W150))*(VLOOKUP($B150,'Distribution %'!$A$2:$Q$232,MATCH(S$2,'Distribution %'!$A$2:$Q$2,0),FALSE)/(SUMIF('Distribution %'!$C$1:$Q$1,"BUDGET",'Distribution %'!$C89:$Q89))),"0")+0)</f>
        <v>0</v>
      </c>
      <c r="T150" s="389">
        <f>IF(VLOOKUP("Net Income",'FY ACTUALS'!$A$1:$X$996,T$3,FALSE)&lt;&gt;0,IFERROR(VLOOKUP($B150,'FY ACTUALS'!$A$1:$X$996,T$3,FALSE),"0")+0,IFERROR(($H150-SUMIF($I$1:$W$1,"ACTUAL",$I150:$W150))*(VLOOKUP($B150,'Distribution %'!$A$2:$Q$232,MATCH(T$2,'Distribution %'!$A$2:$Q$2,0),FALSE)/(SUMIF('Distribution %'!$C$1:$Q$1,"BUDGET",'Distribution %'!$C89:$Q89))),"0")+0)</f>
        <v>0</v>
      </c>
      <c r="U150" s="389">
        <f>IF(VLOOKUP("Net Income",'FY ACTUALS'!$A$1:$X$996,U$3,FALSE)&lt;&gt;0,IFERROR(VLOOKUP($B150,'FY ACTUALS'!$A$1:$X$996,U$3,FALSE),"0")+0,IFERROR(($H150-SUMIF($I$1:$W$1,"ACTUAL",$I150:$W150))*(VLOOKUP($B150,'Distribution %'!$A$2:$Q$232,MATCH(U$2,'Distribution %'!$A$2:$Q$2,0),FALSE)/(SUMIF('Distribution %'!$C$1:$Q$1,"BUDGET",'Distribution %'!$C89:$Q89))),"0")+0)</f>
        <v>0</v>
      </c>
      <c r="V150" s="389">
        <f>IF(VLOOKUP("Net Income",'FY ACTUALS'!$A$1:$X$996,V$3,FALSE)&lt;&gt;0,IFERROR(VLOOKUP($B150,'FY ACTUALS'!$A$1:$X$996,V$3,FALSE),"0")+0,IFERROR(($H150-SUMIF($I$1:$W$1,"ACTUAL",$I150:$W150))*(VLOOKUP($B150,'Distribution %'!$A$2:$Q$232,MATCH(V$2,'Distribution %'!$A$2:$Q$2,0),FALSE)/(SUMIF('Distribution %'!$C$1:$Q$1,"BUDGET",'Distribution %'!$C89:$Q89))),"0")+0)</f>
        <v>0</v>
      </c>
      <c r="W150" s="431">
        <f>IF(VLOOKUP("Net Income",'FY ACTUALS'!$A$1:$X$996,W$3,FALSE)&lt;&gt;0,IFERROR(VLOOKUP($B150,'FY ACTUALS'!$A$1:$X$996,W$3,FALSE),"0")+0,IFERROR(($H150-SUMIF($I$1:$W$1,"ACTUAL",$I150:$W150))*(VLOOKUP($B150,'Distribution %'!$A$2:$Q$232,MATCH(W$2,'Distribution %'!$A$2:$Q$2,0),FALSE)/(SUMIF('Distribution %'!$C$1:$Q$1,"BUDGET",'Distribution %'!$C89:$Q89))),"0")+0)</f>
        <v>0</v>
      </c>
      <c r="X150" s="387">
        <f t="shared" si="48"/>
        <v>0</v>
      </c>
      <c r="Y150" s="387"/>
      <c r="Z150" s="387">
        <f t="shared" si="49"/>
        <v>0</v>
      </c>
    </row>
    <row r="151" spans="2:26" x14ac:dyDescent="0.75">
      <c r="B151" s="403">
        <v>5600</v>
      </c>
      <c r="C151" s="379" t="s">
        <v>1431</v>
      </c>
      <c r="F151" s="379" t="str">
        <f>IF(ISERROR(VLOOKUP(B151,'Distribution %'!A:A,1,FALSE)),"NO","YES")</f>
        <v>YES</v>
      </c>
      <c r="G151" s="392"/>
      <c r="H151" s="430">
        <f>IFERROR(VLOOKUP(B151,'Expenses w MYP'!$A$8:$K$119,11,FALSE),"0")+0</f>
        <v>110219.78000000001</v>
      </c>
      <c r="I151" s="388">
        <f>IF(VLOOKUP("Net Income",'FY ACTUALS'!$A$1:$X$996,I$3,FALSE)&lt;&gt;0,IFERROR(VLOOKUP($B151,'FY ACTUALS'!$A$1:$X$996,I$3,FALSE),"0")+0,IFERROR(($H151-SUMIF($I$1:$W$1,"ACTUAL",$I151:$W151))*(VLOOKUP($B151,'Distribution %'!$A$2:$Q$232,MATCH(I$2,'Distribution %'!$A$2:$Q$2,0),FALSE)/(SUMIF('Distribution %'!$C$1:$Q$1,"BUDGET",'Distribution %'!$C90:$Q90))),"0")+0)</f>
        <v>11803.4</v>
      </c>
      <c r="J151" s="389">
        <f>IF(VLOOKUP("Net Income",'FY ACTUALS'!$A$1:$X$996,J$3,FALSE)&lt;&gt;0,IFERROR(VLOOKUP($B151,'FY ACTUALS'!$A$1:$X$996,J$3,FALSE),"0")+0,IFERROR(($H151-SUMIF($I$1:$W$1,"ACTUAL",$I151:$W151))*(VLOOKUP($B151,'Distribution %'!$A$2:$Q$232,MATCH(J$2,'Distribution %'!$A$2:$Q$2,0),FALSE)/(SUMIF('Distribution %'!$C$1:$Q$1,"BUDGET",'Distribution %'!$C90:$Q90))),"0")+0)</f>
        <v>8372.7000000000007</v>
      </c>
      <c r="K151" s="389">
        <f>IF(VLOOKUP("Net Income",'FY ACTUALS'!$A$1:$X$996,K$3,FALSE)&lt;&gt;0,IFERROR(VLOOKUP($B151,'FY ACTUALS'!$A$1:$X$996,K$3,FALSE),"0")+0,IFERROR(($H151-SUMIF($I$1:$W$1,"ACTUAL",$I151:$W151))*(VLOOKUP($B151,'Distribution %'!$A$2:$Q$232,MATCH(K$2,'Distribution %'!$A$2:$Q$2,0),FALSE)/(SUMIF('Distribution %'!$C$1:$Q$1,"BUDGET",'Distribution %'!$C90:$Q90))),"0")+0)</f>
        <v>9497.7000000000007</v>
      </c>
      <c r="L151" s="389">
        <f>IF(VLOOKUP("Net Income",'FY ACTUALS'!$A$1:$X$996,L$3,FALSE)&lt;&gt;0,IFERROR(VLOOKUP($B151,'FY ACTUALS'!$A$1:$X$996,L$3,FALSE),"0")+0,IFERROR(($H151-SUMIF($I$1:$W$1,"ACTUAL",$I151:$W151))*(VLOOKUP($B151,'Distribution %'!$A$2:$Q$232,MATCH(L$2,'Distribution %'!$A$2:$Q$2,0),FALSE)/(SUMIF('Distribution %'!$C$1:$Q$1,"BUDGET",'Distribution %'!$C90:$Q90))),"0")+0)</f>
        <v>9497.7000000000007</v>
      </c>
      <c r="M151" s="389">
        <f>IF(VLOOKUP("Net Income",'FY ACTUALS'!$A$1:$X$996,M$3,FALSE)&lt;&gt;0,IFERROR(VLOOKUP($B151,'FY ACTUALS'!$A$1:$X$996,M$3,FALSE),"0")+0,IFERROR(($H151-SUMIF($I$1:$W$1,"ACTUAL",$I151:$W151))*(VLOOKUP($B151,'Distribution %'!$A$2:$Q$232,MATCH(M$2,'Distribution %'!$A$2:$Q$2,0),FALSE)/(SUMIF('Distribution %'!$C$1:$Q$1,"BUDGET",'Distribution %'!$C90:$Q90))),"0")+0)</f>
        <v>9497.7000000000007</v>
      </c>
      <c r="N151" s="389">
        <f>IF(VLOOKUP("Net Income",'FY ACTUALS'!$A$1:$X$996,N$3,FALSE)&lt;&gt;0,IFERROR(VLOOKUP($B151,'FY ACTUALS'!$A$1:$X$996,N$3,FALSE),"0")+0,IFERROR(($H151-SUMIF($I$1:$W$1,"ACTUAL",$I151:$W151))*(VLOOKUP($B151,'Distribution %'!$A$2:$Q$232,MATCH(N$2,'Distribution %'!$A$2:$Q$2,0),FALSE)/(SUMIF('Distribution %'!$C$1:$Q$1,"BUDGET",'Distribution %'!$C90:$Q90))),"0")+0)</f>
        <v>9641</v>
      </c>
      <c r="O151" s="389">
        <f>IF(VLOOKUP("Net Income",'FY ACTUALS'!$A$1:$X$996,O$3,FALSE)&lt;&gt;0,IFERROR(VLOOKUP($B151,'FY ACTUALS'!$A$1:$X$996,O$3,FALSE),"0")+0,IFERROR(($H151-SUMIF($I$1:$W$1,"ACTUAL",$I151:$W151))*(VLOOKUP($B151,'Distribution %'!$A$2:$Q$232,MATCH(O$2,'Distribution %'!$A$2:$Q$2,0),FALSE)/(SUMIF('Distribution %'!$C$1:$Q$1,"BUDGET",'Distribution %'!$C90:$Q90))),"0")+0)</f>
        <v>9641</v>
      </c>
      <c r="P151" s="389">
        <f>IF(VLOOKUP("Net Income",'FY ACTUALS'!$A$1:$X$996,P$3,FALSE)&lt;&gt;0,IFERROR(VLOOKUP($B151,'FY ACTUALS'!$A$1:$X$996,P$3,FALSE),"0")+0,IFERROR(($H151-SUMIF($I$1:$W$1,"ACTUAL",$I151:$W151))*(VLOOKUP($B151,'Distribution %'!$A$2:$Q$232,MATCH(P$2,'Distribution %'!$A$2:$Q$2,0),FALSE)/(SUMIF('Distribution %'!$C$1:$Q$1,"BUDGET",'Distribution %'!$C90:$Q90))),"0")+0)</f>
        <v>8373.0122673031055</v>
      </c>
      <c r="Q151" s="389">
        <f>IF(VLOOKUP("Net Income",'FY ACTUALS'!$A$1:$X$996,Q$3,FALSE)&lt;&gt;0,IFERROR(VLOOKUP($B151,'FY ACTUALS'!$A$1:$X$996,Q$3,FALSE),"0")+0,IFERROR(($H151-SUMIF($I$1:$W$1,"ACTUAL",$I151:$W151))*(VLOOKUP($B151,'Distribution %'!$A$2:$Q$232,MATCH(Q$2,'Distribution %'!$A$2:$Q$2,0),FALSE)/(SUMIF('Distribution %'!$C$1:$Q$1,"BUDGET",'Distribution %'!$C90:$Q90))),"0")+0)</f>
        <v>8473.8919331742272</v>
      </c>
      <c r="R151" s="389">
        <f>IF(VLOOKUP("Net Income",'FY ACTUALS'!$A$1:$X$996,R$3,FALSE)&lt;&gt;0,IFERROR(VLOOKUP($B151,'FY ACTUALS'!$A$1:$X$996,R$3,FALSE),"0")+0,IFERROR(($H151-SUMIF($I$1:$W$1,"ACTUAL",$I151:$W151))*(VLOOKUP($B151,'Distribution %'!$A$2:$Q$232,MATCH(R$2,'Distribution %'!$A$2:$Q$2,0),FALSE)/(SUMIF('Distribution %'!$C$1:$Q$1,"BUDGET",'Distribution %'!$C90:$Q90))),"0")+0)</f>
        <v>8473.8919331742272</v>
      </c>
      <c r="S151" s="389">
        <f>IF(VLOOKUP("Net Income",'FY ACTUALS'!$A$1:$X$996,S$3,FALSE)&lt;&gt;0,IFERROR(VLOOKUP($B151,'FY ACTUALS'!$A$1:$X$996,S$3,FALSE),"0")+0,IFERROR(($H151-SUMIF($I$1:$W$1,"ACTUAL",$I151:$W151))*(VLOOKUP($B151,'Distribution %'!$A$2:$Q$232,MATCH(S$2,'Distribution %'!$A$2:$Q$2,0),FALSE)/(SUMIF('Distribution %'!$C$1:$Q$1,"BUDGET",'Distribution %'!$C90:$Q90))),"0")+0)</f>
        <v>8473.8919331742272</v>
      </c>
      <c r="T151" s="389">
        <f>IF(VLOOKUP("Net Income",'FY ACTUALS'!$A$1:$X$996,T$3,FALSE)&lt;&gt;0,IFERROR(VLOOKUP($B151,'FY ACTUALS'!$A$1:$X$996,T$3,FALSE),"0")+0,IFERROR(($H151-SUMIF($I$1:$W$1,"ACTUAL",$I151:$W151))*(VLOOKUP($B151,'Distribution %'!$A$2:$Q$232,MATCH(T$2,'Distribution %'!$A$2:$Q$2,0),FALSE)/(SUMIF('Distribution %'!$C$1:$Q$1,"BUDGET",'Distribution %'!$C90:$Q90))),"0")+0)</f>
        <v>8473.8919331742272</v>
      </c>
      <c r="U151" s="389">
        <f>IF(VLOOKUP("Net Income",'FY ACTUALS'!$A$1:$X$996,U$3,FALSE)&lt;&gt;0,IFERROR(VLOOKUP($B151,'FY ACTUALS'!$A$1:$X$996,U$3,FALSE),"0")+0,IFERROR(($H151-SUMIF($I$1:$W$1,"ACTUAL",$I151:$W151))*(VLOOKUP($B151,'Distribution %'!$A$2:$Q$232,MATCH(U$2,'Distribution %'!$A$2:$Q$2,0),FALSE)/(SUMIF('Distribution %'!$C$1:$Q$1,"BUDGET",'Distribution %'!$C90:$Q90))),"0")+0)</f>
        <v>0</v>
      </c>
      <c r="V151" s="389">
        <f>IF(VLOOKUP("Net Income",'FY ACTUALS'!$A$1:$X$996,V$3,FALSE)&lt;&gt;0,IFERROR(VLOOKUP($B151,'FY ACTUALS'!$A$1:$X$996,V$3,FALSE),"0")+0,IFERROR(($H151-SUMIF($I$1:$W$1,"ACTUAL",$I151:$W151))*(VLOOKUP($B151,'Distribution %'!$A$2:$Q$232,MATCH(V$2,'Distribution %'!$A$2:$Q$2,0),FALSE)/(SUMIF('Distribution %'!$C$1:$Q$1,"BUDGET",'Distribution %'!$C90:$Q90))),"0")+0)</f>
        <v>0</v>
      </c>
      <c r="W151" s="431">
        <f>IF(VLOOKUP("Net Income",'FY ACTUALS'!$A$1:$X$996,W$3,FALSE)&lt;&gt;0,IFERROR(VLOOKUP($B151,'FY ACTUALS'!$A$1:$X$996,W$3,FALSE),"0")+0,IFERROR(($H151-SUMIF($I$1:$W$1,"ACTUAL",$I151:$W151))*(VLOOKUP($B151,'Distribution %'!$A$2:$Q$232,MATCH(W$2,'Distribution %'!$A$2:$Q$2,0),FALSE)/(SUMIF('Distribution %'!$C$1:$Q$1,"BUDGET",'Distribution %'!$C90:$Q90))),"0")+0)</f>
        <v>0</v>
      </c>
      <c r="X151" s="387">
        <f t="shared" si="48"/>
        <v>110219.77999999998</v>
      </c>
      <c r="Y151" s="387"/>
      <c r="Z151" s="387">
        <f t="shared" si="49"/>
        <v>0</v>
      </c>
    </row>
    <row r="152" spans="2:26" x14ac:dyDescent="0.75">
      <c r="B152" s="403">
        <v>5601</v>
      </c>
      <c r="C152" s="379" t="s">
        <v>1432</v>
      </c>
      <c r="F152" s="379" t="str">
        <f>IF(ISERROR(VLOOKUP(B152,'Distribution %'!A:A,1,FALSE)),"NO","YES")</f>
        <v>YES</v>
      </c>
      <c r="G152" s="392"/>
      <c r="H152" s="430">
        <f>IFERROR(VLOOKUP(B152,'Expenses w MYP'!$A$8:$K$119,11,FALSE),"0")+0</f>
        <v>0</v>
      </c>
      <c r="I152" s="388">
        <f>IF(VLOOKUP("Net Income",'FY ACTUALS'!$A$1:$X$996,I$3,FALSE)&lt;&gt;0,IFERROR(VLOOKUP($B152,'FY ACTUALS'!$A$1:$X$996,I$3,FALSE),"0")+0,IFERROR(($H152-SUMIF($I$1:$W$1,"ACTUAL",$I152:$W152))*(VLOOKUP($B152,'Distribution %'!$A$2:$Q$232,MATCH(I$2,'Distribution %'!$A$2:$Q$2,0),FALSE)/(SUMIF('Distribution %'!$C$1:$Q$1,"BUDGET",'Distribution %'!$C91:$Q91))),"0")+0)</f>
        <v>0</v>
      </c>
      <c r="J152" s="389">
        <f>IF(VLOOKUP("Net Income",'FY ACTUALS'!$A$1:$X$996,J$3,FALSE)&lt;&gt;0,IFERROR(VLOOKUP($B152,'FY ACTUALS'!$A$1:$X$996,J$3,FALSE),"0")+0,IFERROR(($H152-SUMIF($I$1:$W$1,"ACTUAL",$I152:$W152))*(VLOOKUP($B152,'Distribution %'!$A$2:$Q$232,MATCH(J$2,'Distribution %'!$A$2:$Q$2,0),FALSE)/(SUMIF('Distribution %'!$C$1:$Q$1,"BUDGET",'Distribution %'!$C91:$Q91))),"0")+0)</f>
        <v>0</v>
      </c>
      <c r="K152" s="389">
        <f>IF(VLOOKUP("Net Income",'FY ACTUALS'!$A$1:$X$996,K$3,FALSE)&lt;&gt;0,IFERROR(VLOOKUP($B152,'FY ACTUALS'!$A$1:$X$996,K$3,FALSE),"0")+0,IFERROR(($H152-SUMIF($I$1:$W$1,"ACTUAL",$I152:$W152))*(VLOOKUP($B152,'Distribution %'!$A$2:$Q$232,MATCH(K$2,'Distribution %'!$A$2:$Q$2,0),FALSE)/(SUMIF('Distribution %'!$C$1:$Q$1,"BUDGET",'Distribution %'!$C91:$Q91))),"0")+0)</f>
        <v>0</v>
      </c>
      <c r="L152" s="389">
        <f>IF(VLOOKUP("Net Income",'FY ACTUALS'!$A$1:$X$996,L$3,FALSE)&lt;&gt;0,IFERROR(VLOOKUP($B152,'FY ACTUALS'!$A$1:$X$996,L$3,FALSE),"0")+0,IFERROR(($H152-SUMIF($I$1:$W$1,"ACTUAL",$I152:$W152))*(VLOOKUP($B152,'Distribution %'!$A$2:$Q$232,MATCH(L$2,'Distribution %'!$A$2:$Q$2,0),FALSE)/(SUMIF('Distribution %'!$C$1:$Q$1,"BUDGET",'Distribution %'!$C91:$Q91))),"0")+0)</f>
        <v>0</v>
      </c>
      <c r="M152" s="389">
        <f>IF(VLOOKUP("Net Income",'FY ACTUALS'!$A$1:$X$996,M$3,FALSE)&lt;&gt;0,IFERROR(VLOOKUP($B152,'FY ACTUALS'!$A$1:$X$996,M$3,FALSE),"0")+0,IFERROR(($H152-SUMIF($I$1:$W$1,"ACTUAL",$I152:$W152))*(VLOOKUP($B152,'Distribution %'!$A$2:$Q$232,MATCH(M$2,'Distribution %'!$A$2:$Q$2,0),FALSE)/(SUMIF('Distribution %'!$C$1:$Q$1,"BUDGET",'Distribution %'!$C91:$Q91))),"0")+0)</f>
        <v>0</v>
      </c>
      <c r="N152" s="389">
        <f>IF(VLOOKUP("Net Income",'FY ACTUALS'!$A$1:$X$996,N$3,FALSE)&lt;&gt;0,IFERROR(VLOOKUP($B152,'FY ACTUALS'!$A$1:$X$996,N$3,FALSE),"0")+0,IFERROR(($H152-SUMIF($I$1:$W$1,"ACTUAL",$I152:$W152))*(VLOOKUP($B152,'Distribution %'!$A$2:$Q$232,MATCH(N$2,'Distribution %'!$A$2:$Q$2,0),FALSE)/(SUMIF('Distribution %'!$C$1:$Q$1,"BUDGET",'Distribution %'!$C91:$Q91))),"0")+0)</f>
        <v>0</v>
      </c>
      <c r="O152" s="389">
        <f>IF(VLOOKUP("Net Income",'FY ACTUALS'!$A$1:$X$996,O$3,FALSE)&lt;&gt;0,IFERROR(VLOOKUP($B152,'FY ACTUALS'!$A$1:$X$996,O$3,FALSE),"0")+0,IFERROR(($H152-SUMIF($I$1:$W$1,"ACTUAL",$I152:$W152))*(VLOOKUP($B152,'Distribution %'!$A$2:$Q$232,MATCH(O$2,'Distribution %'!$A$2:$Q$2,0),FALSE)/(SUMIF('Distribution %'!$C$1:$Q$1,"BUDGET",'Distribution %'!$C91:$Q91))),"0")+0)</f>
        <v>0</v>
      </c>
      <c r="P152" s="389">
        <f>IF(VLOOKUP("Net Income",'FY ACTUALS'!$A$1:$X$996,P$3,FALSE)&lt;&gt;0,IFERROR(VLOOKUP($B152,'FY ACTUALS'!$A$1:$X$996,P$3,FALSE),"0")+0,IFERROR(($H152-SUMIF($I$1:$W$1,"ACTUAL",$I152:$W152))*(VLOOKUP($B152,'Distribution %'!$A$2:$Q$232,MATCH(P$2,'Distribution %'!$A$2:$Q$2,0),FALSE)/(SUMIF('Distribution %'!$C$1:$Q$1,"BUDGET",'Distribution %'!$C91:$Q91))),"0")+0)</f>
        <v>0</v>
      </c>
      <c r="Q152" s="389">
        <f>IF(VLOOKUP("Net Income",'FY ACTUALS'!$A$1:$X$996,Q$3,FALSE)&lt;&gt;0,IFERROR(VLOOKUP($B152,'FY ACTUALS'!$A$1:$X$996,Q$3,FALSE),"0")+0,IFERROR(($H152-SUMIF($I$1:$W$1,"ACTUAL",$I152:$W152))*(VLOOKUP($B152,'Distribution %'!$A$2:$Q$232,MATCH(Q$2,'Distribution %'!$A$2:$Q$2,0),FALSE)/(SUMIF('Distribution %'!$C$1:$Q$1,"BUDGET",'Distribution %'!$C91:$Q91))),"0")+0)</f>
        <v>0</v>
      </c>
      <c r="R152" s="389">
        <f>IF(VLOOKUP("Net Income",'FY ACTUALS'!$A$1:$X$996,R$3,FALSE)&lt;&gt;0,IFERROR(VLOOKUP($B152,'FY ACTUALS'!$A$1:$X$996,R$3,FALSE),"0")+0,IFERROR(($H152-SUMIF($I$1:$W$1,"ACTUAL",$I152:$W152))*(VLOOKUP($B152,'Distribution %'!$A$2:$Q$232,MATCH(R$2,'Distribution %'!$A$2:$Q$2,0),FALSE)/(SUMIF('Distribution %'!$C$1:$Q$1,"BUDGET",'Distribution %'!$C91:$Q91))),"0")+0)</f>
        <v>0</v>
      </c>
      <c r="S152" s="389">
        <f>IF(VLOOKUP("Net Income",'FY ACTUALS'!$A$1:$X$996,S$3,FALSE)&lt;&gt;0,IFERROR(VLOOKUP($B152,'FY ACTUALS'!$A$1:$X$996,S$3,FALSE),"0")+0,IFERROR(($H152-SUMIF($I$1:$W$1,"ACTUAL",$I152:$W152))*(VLOOKUP($B152,'Distribution %'!$A$2:$Q$232,MATCH(S$2,'Distribution %'!$A$2:$Q$2,0),FALSE)/(SUMIF('Distribution %'!$C$1:$Q$1,"BUDGET",'Distribution %'!$C91:$Q91))),"0")+0)</f>
        <v>0</v>
      </c>
      <c r="T152" s="389">
        <f>IF(VLOOKUP("Net Income",'FY ACTUALS'!$A$1:$X$996,T$3,FALSE)&lt;&gt;0,IFERROR(VLOOKUP($B152,'FY ACTUALS'!$A$1:$X$996,T$3,FALSE),"0")+0,IFERROR(($H152-SUMIF($I$1:$W$1,"ACTUAL",$I152:$W152))*(VLOOKUP($B152,'Distribution %'!$A$2:$Q$232,MATCH(T$2,'Distribution %'!$A$2:$Q$2,0),FALSE)/(SUMIF('Distribution %'!$C$1:$Q$1,"BUDGET",'Distribution %'!$C91:$Q91))),"0")+0)</f>
        <v>0</v>
      </c>
      <c r="U152" s="389">
        <f>IF(VLOOKUP("Net Income",'FY ACTUALS'!$A$1:$X$996,U$3,FALSE)&lt;&gt;0,IFERROR(VLOOKUP($B152,'FY ACTUALS'!$A$1:$X$996,U$3,FALSE),"0")+0,IFERROR(($H152-SUMIF($I$1:$W$1,"ACTUAL",$I152:$W152))*(VLOOKUP($B152,'Distribution %'!$A$2:$Q$232,MATCH(U$2,'Distribution %'!$A$2:$Q$2,0),FALSE)/(SUMIF('Distribution %'!$C$1:$Q$1,"BUDGET",'Distribution %'!$C91:$Q91))),"0")+0)</f>
        <v>0</v>
      </c>
      <c r="V152" s="389">
        <f>IF(VLOOKUP("Net Income",'FY ACTUALS'!$A$1:$X$996,V$3,FALSE)&lt;&gt;0,IFERROR(VLOOKUP($B152,'FY ACTUALS'!$A$1:$X$996,V$3,FALSE),"0")+0,IFERROR(($H152-SUMIF($I$1:$W$1,"ACTUAL",$I152:$W152))*(VLOOKUP($B152,'Distribution %'!$A$2:$Q$232,MATCH(V$2,'Distribution %'!$A$2:$Q$2,0),FALSE)/(SUMIF('Distribution %'!$C$1:$Q$1,"BUDGET",'Distribution %'!$C91:$Q91))),"0")+0)</f>
        <v>0</v>
      </c>
      <c r="W152" s="431">
        <f>IF(VLOOKUP("Net Income",'FY ACTUALS'!$A$1:$X$996,W$3,FALSE)&lt;&gt;0,IFERROR(VLOOKUP($B152,'FY ACTUALS'!$A$1:$X$996,W$3,FALSE),"0")+0,IFERROR(($H152-SUMIF($I$1:$W$1,"ACTUAL",$I152:$W152))*(VLOOKUP($B152,'Distribution %'!$A$2:$Q$232,MATCH(W$2,'Distribution %'!$A$2:$Q$2,0),FALSE)/(SUMIF('Distribution %'!$C$1:$Q$1,"BUDGET",'Distribution %'!$C91:$Q91))),"0")+0)</f>
        <v>0</v>
      </c>
      <c r="X152" s="387">
        <f t="shared" si="48"/>
        <v>0</v>
      </c>
      <c r="Y152" s="387"/>
      <c r="Z152" s="387">
        <f t="shared" si="49"/>
        <v>0</v>
      </c>
    </row>
    <row r="153" spans="2:26" x14ac:dyDescent="0.75">
      <c r="B153" s="403">
        <v>5602</v>
      </c>
      <c r="C153" s="379" t="s">
        <v>1433</v>
      </c>
      <c r="F153" s="379" t="str">
        <f>IF(ISERROR(VLOOKUP(B153,'Distribution %'!A:A,1,FALSE)),"NO","YES")</f>
        <v>YES</v>
      </c>
      <c r="G153" s="392"/>
      <c r="H153" s="430">
        <f>IFERROR(VLOOKUP(B153,'Expenses w MYP'!$A$8:$K$119,11,FALSE),"0")+0</f>
        <v>80000</v>
      </c>
      <c r="I153" s="388">
        <f>IF(VLOOKUP("Net Income",'FY ACTUALS'!$A$1:$X$996,I$3,FALSE)&lt;&gt;0,IFERROR(VLOOKUP($B153,'FY ACTUALS'!$A$1:$X$996,I$3,FALSE),"0")+0,IFERROR(($H153-SUMIF($I$1:$W$1,"ACTUAL",$I153:$W153))*(VLOOKUP($B153,'Distribution %'!$A$2:$Q$232,MATCH(I$2,'Distribution %'!$A$2:$Q$2,0),FALSE)/(SUMIF('Distribution %'!$C$1:$Q$1,"BUDGET",'Distribution %'!$C92:$Q92))),"0")+0)</f>
        <v>0</v>
      </c>
      <c r="J153" s="389">
        <f>IF(VLOOKUP("Net Income",'FY ACTUALS'!$A$1:$X$996,J$3,FALSE)&lt;&gt;0,IFERROR(VLOOKUP($B153,'FY ACTUALS'!$A$1:$X$996,J$3,FALSE),"0")+0,IFERROR(($H153-SUMIF($I$1:$W$1,"ACTUAL",$I153:$W153))*(VLOOKUP($B153,'Distribution %'!$A$2:$Q$232,MATCH(J$2,'Distribution %'!$A$2:$Q$2,0),FALSE)/(SUMIF('Distribution %'!$C$1:$Q$1,"BUDGET",'Distribution %'!$C92:$Q92))),"0")+0)</f>
        <v>0</v>
      </c>
      <c r="K153" s="389">
        <f>IF(VLOOKUP("Net Income",'FY ACTUALS'!$A$1:$X$996,K$3,FALSE)&lt;&gt;0,IFERROR(VLOOKUP($B153,'FY ACTUALS'!$A$1:$X$996,K$3,FALSE),"0")+0,IFERROR(($H153-SUMIF($I$1:$W$1,"ACTUAL",$I153:$W153))*(VLOOKUP($B153,'Distribution %'!$A$2:$Q$232,MATCH(K$2,'Distribution %'!$A$2:$Q$2,0),FALSE)/(SUMIF('Distribution %'!$C$1:$Q$1,"BUDGET",'Distribution %'!$C92:$Q92))),"0")+0)</f>
        <v>0</v>
      </c>
      <c r="L153" s="389">
        <f>IF(VLOOKUP("Net Income",'FY ACTUALS'!$A$1:$X$996,L$3,FALSE)&lt;&gt;0,IFERROR(VLOOKUP($B153,'FY ACTUALS'!$A$1:$X$996,L$3,FALSE),"0")+0,IFERROR(($H153-SUMIF($I$1:$W$1,"ACTUAL",$I153:$W153))*(VLOOKUP($B153,'Distribution %'!$A$2:$Q$232,MATCH(L$2,'Distribution %'!$A$2:$Q$2,0),FALSE)/(SUMIF('Distribution %'!$C$1:$Q$1,"BUDGET",'Distribution %'!$C92:$Q92))),"0")+0)</f>
        <v>0</v>
      </c>
      <c r="M153" s="389">
        <f>IF(VLOOKUP("Net Income",'FY ACTUALS'!$A$1:$X$996,M$3,FALSE)&lt;&gt;0,IFERROR(VLOOKUP($B153,'FY ACTUALS'!$A$1:$X$996,M$3,FALSE),"0")+0,IFERROR(($H153-SUMIF($I$1:$W$1,"ACTUAL",$I153:$W153))*(VLOOKUP($B153,'Distribution %'!$A$2:$Q$232,MATCH(M$2,'Distribution %'!$A$2:$Q$2,0),FALSE)/(SUMIF('Distribution %'!$C$1:$Q$1,"BUDGET",'Distribution %'!$C92:$Q92))),"0")+0)</f>
        <v>0</v>
      </c>
      <c r="N153" s="389">
        <f>IF(VLOOKUP("Net Income",'FY ACTUALS'!$A$1:$X$996,N$3,FALSE)&lt;&gt;0,IFERROR(VLOOKUP($B153,'FY ACTUALS'!$A$1:$X$996,N$3,FALSE),"0")+0,IFERROR(($H153-SUMIF($I$1:$W$1,"ACTUAL",$I153:$W153))*(VLOOKUP($B153,'Distribution %'!$A$2:$Q$232,MATCH(N$2,'Distribution %'!$A$2:$Q$2,0),FALSE)/(SUMIF('Distribution %'!$C$1:$Q$1,"BUDGET",'Distribution %'!$C92:$Q92))),"0")+0)</f>
        <v>0</v>
      </c>
      <c r="O153" s="389">
        <f>IF(VLOOKUP("Net Income",'FY ACTUALS'!$A$1:$X$996,O$3,FALSE)&lt;&gt;0,IFERROR(VLOOKUP($B153,'FY ACTUALS'!$A$1:$X$996,O$3,FALSE),"0")+0,IFERROR(($H153-SUMIF($I$1:$W$1,"ACTUAL",$I153:$W153))*(VLOOKUP($B153,'Distribution %'!$A$2:$Q$232,MATCH(O$2,'Distribution %'!$A$2:$Q$2,0),FALSE)/(SUMIF('Distribution %'!$C$1:$Q$1,"BUDGET",'Distribution %'!$C92:$Q92))),"0")+0)</f>
        <v>0</v>
      </c>
      <c r="P153" s="389">
        <f>IF(VLOOKUP("Net Income",'FY ACTUALS'!$A$1:$X$996,P$3,FALSE)&lt;&gt;0,IFERROR(VLOOKUP($B153,'FY ACTUALS'!$A$1:$X$996,P$3,FALSE),"0")+0,IFERROR(($H153-SUMIF($I$1:$W$1,"ACTUAL",$I153:$W153))*(VLOOKUP($B153,'Distribution %'!$A$2:$Q$232,MATCH(P$2,'Distribution %'!$A$2:$Q$2,0),FALSE)/(SUMIF('Distribution %'!$C$1:$Q$1,"BUDGET",'Distribution %'!$C92:$Q92))),"0")+0)</f>
        <v>15847.255369928402</v>
      </c>
      <c r="Q153" s="389">
        <f>IF(VLOOKUP("Net Income",'FY ACTUALS'!$A$1:$X$996,Q$3,FALSE)&lt;&gt;0,IFERROR(VLOOKUP($B153,'FY ACTUALS'!$A$1:$X$996,Q$3,FALSE),"0")+0,IFERROR(($H153-SUMIF($I$1:$W$1,"ACTUAL",$I153:$W153))*(VLOOKUP($B153,'Distribution %'!$A$2:$Q$232,MATCH(Q$2,'Distribution %'!$A$2:$Q$2,0),FALSE)/(SUMIF('Distribution %'!$C$1:$Q$1,"BUDGET",'Distribution %'!$C92:$Q92))),"0")+0)</f>
        <v>16038.186157517899</v>
      </c>
      <c r="R153" s="389">
        <f>IF(VLOOKUP("Net Income",'FY ACTUALS'!$A$1:$X$996,R$3,FALSE)&lt;&gt;0,IFERROR(VLOOKUP($B153,'FY ACTUALS'!$A$1:$X$996,R$3,FALSE),"0")+0,IFERROR(($H153-SUMIF($I$1:$W$1,"ACTUAL",$I153:$W153))*(VLOOKUP($B153,'Distribution %'!$A$2:$Q$232,MATCH(R$2,'Distribution %'!$A$2:$Q$2,0),FALSE)/(SUMIF('Distribution %'!$C$1:$Q$1,"BUDGET",'Distribution %'!$C92:$Q92))),"0")+0)</f>
        <v>16038.186157517899</v>
      </c>
      <c r="S153" s="389">
        <f>IF(VLOOKUP("Net Income",'FY ACTUALS'!$A$1:$X$996,S$3,FALSE)&lt;&gt;0,IFERROR(VLOOKUP($B153,'FY ACTUALS'!$A$1:$X$996,S$3,FALSE),"0")+0,IFERROR(($H153-SUMIF($I$1:$W$1,"ACTUAL",$I153:$W153))*(VLOOKUP($B153,'Distribution %'!$A$2:$Q$232,MATCH(S$2,'Distribution %'!$A$2:$Q$2,0),FALSE)/(SUMIF('Distribution %'!$C$1:$Q$1,"BUDGET",'Distribution %'!$C92:$Q92))),"0")+0)</f>
        <v>16038.186157517899</v>
      </c>
      <c r="T153" s="389">
        <f>IF(VLOOKUP("Net Income",'FY ACTUALS'!$A$1:$X$996,T$3,FALSE)&lt;&gt;0,IFERROR(VLOOKUP($B153,'FY ACTUALS'!$A$1:$X$996,T$3,FALSE),"0")+0,IFERROR(($H153-SUMIF($I$1:$W$1,"ACTUAL",$I153:$W153))*(VLOOKUP($B153,'Distribution %'!$A$2:$Q$232,MATCH(T$2,'Distribution %'!$A$2:$Q$2,0),FALSE)/(SUMIF('Distribution %'!$C$1:$Q$1,"BUDGET",'Distribution %'!$C92:$Q92))),"0")+0)</f>
        <v>16038.186157517899</v>
      </c>
      <c r="U153" s="389">
        <f>IF(VLOOKUP("Net Income",'FY ACTUALS'!$A$1:$X$996,U$3,FALSE)&lt;&gt;0,IFERROR(VLOOKUP($B153,'FY ACTUALS'!$A$1:$X$996,U$3,FALSE),"0")+0,IFERROR(($H153-SUMIF($I$1:$W$1,"ACTUAL",$I153:$W153))*(VLOOKUP($B153,'Distribution %'!$A$2:$Q$232,MATCH(U$2,'Distribution %'!$A$2:$Q$2,0),FALSE)/(SUMIF('Distribution %'!$C$1:$Q$1,"BUDGET",'Distribution %'!$C92:$Q92))),"0")+0)</f>
        <v>0</v>
      </c>
      <c r="V153" s="389">
        <f>IF(VLOOKUP("Net Income",'FY ACTUALS'!$A$1:$X$996,V$3,FALSE)&lt;&gt;0,IFERROR(VLOOKUP($B153,'FY ACTUALS'!$A$1:$X$996,V$3,FALSE),"0")+0,IFERROR(($H153-SUMIF($I$1:$W$1,"ACTUAL",$I153:$W153))*(VLOOKUP($B153,'Distribution %'!$A$2:$Q$232,MATCH(V$2,'Distribution %'!$A$2:$Q$2,0),FALSE)/(SUMIF('Distribution %'!$C$1:$Q$1,"BUDGET",'Distribution %'!$C92:$Q92))),"0")+0)</f>
        <v>0</v>
      </c>
      <c r="W153" s="431">
        <f>IF(VLOOKUP("Net Income",'FY ACTUALS'!$A$1:$X$996,W$3,FALSE)&lt;&gt;0,IFERROR(VLOOKUP($B153,'FY ACTUALS'!$A$1:$X$996,W$3,FALSE),"0")+0,IFERROR(($H153-SUMIF($I$1:$W$1,"ACTUAL",$I153:$W153))*(VLOOKUP($B153,'Distribution %'!$A$2:$Q$232,MATCH(W$2,'Distribution %'!$A$2:$Q$2,0),FALSE)/(SUMIF('Distribution %'!$C$1:$Q$1,"BUDGET",'Distribution %'!$C92:$Q92))),"0")+0)</f>
        <v>0</v>
      </c>
      <c r="X153" s="387">
        <f t="shared" si="48"/>
        <v>80000</v>
      </c>
      <c r="Y153" s="387"/>
      <c r="Z153" s="387">
        <f t="shared" si="49"/>
        <v>0</v>
      </c>
    </row>
    <row r="154" spans="2:26" x14ac:dyDescent="0.75">
      <c r="B154" s="403">
        <v>5603</v>
      </c>
      <c r="C154" s="379" t="s">
        <v>1434</v>
      </c>
      <c r="F154" s="379" t="str">
        <f>IF(ISERROR(VLOOKUP(B154,'Distribution %'!A:A,1,FALSE)),"NO","YES")</f>
        <v>YES</v>
      </c>
      <c r="G154" s="392"/>
      <c r="H154" s="430">
        <f>IFERROR(VLOOKUP(B154,'Expenses w MYP'!$A$8:$K$119,11,FALSE),"0")+0</f>
        <v>0</v>
      </c>
      <c r="I154" s="388">
        <f>IF(VLOOKUP("Net Income",'FY ACTUALS'!$A$1:$X$996,I$3,FALSE)&lt;&gt;0,IFERROR(VLOOKUP($B154,'FY ACTUALS'!$A$1:$X$996,I$3,FALSE),"0")+0,IFERROR(($H154-SUMIF($I$1:$W$1,"ACTUAL",$I154:$W154))*(VLOOKUP($B154,'Distribution %'!$A$2:$Q$232,MATCH(I$2,'Distribution %'!$A$2:$Q$2,0),FALSE)/(SUMIF('Distribution %'!$C$1:$Q$1,"BUDGET",'Distribution %'!$C93:$Q93))),"0")+0)</f>
        <v>0</v>
      </c>
      <c r="J154" s="389">
        <f>IF(VLOOKUP("Net Income",'FY ACTUALS'!$A$1:$X$996,J$3,FALSE)&lt;&gt;0,IFERROR(VLOOKUP($B154,'FY ACTUALS'!$A$1:$X$996,J$3,FALSE),"0")+0,IFERROR(($H154-SUMIF($I$1:$W$1,"ACTUAL",$I154:$W154))*(VLOOKUP($B154,'Distribution %'!$A$2:$Q$232,MATCH(J$2,'Distribution %'!$A$2:$Q$2,0),FALSE)/(SUMIF('Distribution %'!$C$1:$Q$1,"BUDGET",'Distribution %'!$C93:$Q93))),"0")+0)</f>
        <v>0</v>
      </c>
      <c r="K154" s="389">
        <f>IF(VLOOKUP("Net Income",'FY ACTUALS'!$A$1:$X$996,K$3,FALSE)&lt;&gt;0,IFERROR(VLOOKUP($B154,'FY ACTUALS'!$A$1:$X$996,K$3,FALSE),"0")+0,IFERROR(($H154-SUMIF($I$1:$W$1,"ACTUAL",$I154:$W154))*(VLOOKUP($B154,'Distribution %'!$A$2:$Q$232,MATCH(K$2,'Distribution %'!$A$2:$Q$2,0),FALSE)/(SUMIF('Distribution %'!$C$1:$Q$1,"BUDGET",'Distribution %'!$C93:$Q93))),"0")+0)</f>
        <v>0</v>
      </c>
      <c r="L154" s="389">
        <f>IF(VLOOKUP("Net Income",'FY ACTUALS'!$A$1:$X$996,L$3,FALSE)&lt;&gt;0,IFERROR(VLOOKUP($B154,'FY ACTUALS'!$A$1:$X$996,L$3,FALSE),"0")+0,IFERROR(($H154-SUMIF($I$1:$W$1,"ACTUAL",$I154:$W154))*(VLOOKUP($B154,'Distribution %'!$A$2:$Q$232,MATCH(L$2,'Distribution %'!$A$2:$Q$2,0),FALSE)/(SUMIF('Distribution %'!$C$1:$Q$1,"BUDGET",'Distribution %'!$C93:$Q93))),"0")+0)</f>
        <v>0</v>
      </c>
      <c r="M154" s="389">
        <f>IF(VLOOKUP("Net Income",'FY ACTUALS'!$A$1:$X$996,M$3,FALSE)&lt;&gt;0,IFERROR(VLOOKUP($B154,'FY ACTUALS'!$A$1:$X$996,M$3,FALSE),"0")+0,IFERROR(($H154-SUMIF($I$1:$W$1,"ACTUAL",$I154:$W154))*(VLOOKUP($B154,'Distribution %'!$A$2:$Q$232,MATCH(M$2,'Distribution %'!$A$2:$Q$2,0),FALSE)/(SUMIF('Distribution %'!$C$1:$Q$1,"BUDGET",'Distribution %'!$C93:$Q93))),"0")+0)</f>
        <v>500</v>
      </c>
      <c r="N154" s="389">
        <f>IF(VLOOKUP("Net Income",'FY ACTUALS'!$A$1:$X$996,N$3,FALSE)&lt;&gt;0,IFERROR(VLOOKUP($B154,'FY ACTUALS'!$A$1:$X$996,N$3,FALSE),"0")+0,IFERROR(($H154-SUMIF($I$1:$W$1,"ACTUAL",$I154:$W154))*(VLOOKUP($B154,'Distribution %'!$A$2:$Q$232,MATCH(N$2,'Distribution %'!$A$2:$Q$2,0),FALSE)/(SUMIF('Distribution %'!$C$1:$Q$1,"BUDGET",'Distribution %'!$C93:$Q93))),"0")+0)</f>
        <v>1575.01</v>
      </c>
      <c r="O154" s="389">
        <f>IF(VLOOKUP("Net Income",'FY ACTUALS'!$A$1:$X$996,O$3,FALSE)&lt;&gt;0,IFERROR(VLOOKUP($B154,'FY ACTUALS'!$A$1:$X$996,O$3,FALSE),"0")+0,IFERROR(($H154-SUMIF($I$1:$W$1,"ACTUAL",$I154:$W154))*(VLOOKUP($B154,'Distribution %'!$A$2:$Q$232,MATCH(O$2,'Distribution %'!$A$2:$Q$2,0),FALSE)/(SUMIF('Distribution %'!$C$1:$Q$1,"BUDGET",'Distribution %'!$C93:$Q93))),"0")+0)</f>
        <v>-170.01</v>
      </c>
      <c r="P154" s="389">
        <f>IF(VLOOKUP("Net Income",'FY ACTUALS'!$A$1:$X$996,P$3,FALSE)&lt;&gt;0,IFERROR(VLOOKUP($B154,'FY ACTUALS'!$A$1:$X$996,P$3,FALSE),"0")+0,IFERROR(($H154-SUMIF($I$1:$W$1,"ACTUAL",$I154:$W154))*(VLOOKUP($B154,'Distribution %'!$A$2:$Q$232,MATCH(P$2,'Distribution %'!$A$2:$Q$2,0),FALSE)/(SUMIF('Distribution %'!$C$1:$Q$1,"BUDGET",'Distribution %'!$C93:$Q93))),"0")+0)</f>
        <v>-381.00000000000006</v>
      </c>
      <c r="Q154" s="389">
        <f>IF(VLOOKUP("Net Income",'FY ACTUALS'!$A$1:$X$996,Q$3,FALSE)&lt;&gt;0,IFERROR(VLOOKUP($B154,'FY ACTUALS'!$A$1:$X$996,Q$3,FALSE),"0")+0,IFERROR(($H154-SUMIF($I$1:$W$1,"ACTUAL",$I154:$W154))*(VLOOKUP($B154,'Distribution %'!$A$2:$Q$232,MATCH(Q$2,'Distribution %'!$A$2:$Q$2,0),FALSE)/(SUMIF('Distribution %'!$C$1:$Q$1,"BUDGET",'Distribution %'!$C93:$Q93))),"0")+0)</f>
        <v>-381.00000000000006</v>
      </c>
      <c r="R154" s="389">
        <f>IF(VLOOKUP("Net Income",'FY ACTUALS'!$A$1:$X$996,R$3,FALSE)&lt;&gt;0,IFERROR(VLOOKUP($B154,'FY ACTUALS'!$A$1:$X$996,R$3,FALSE),"0")+0,IFERROR(($H154-SUMIF($I$1:$W$1,"ACTUAL",$I154:$W154))*(VLOOKUP($B154,'Distribution %'!$A$2:$Q$232,MATCH(R$2,'Distribution %'!$A$2:$Q$2,0),FALSE)/(SUMIF('Distribution %'!$C$1:$Q$1,"BUDGET",'Distribution %'!$C93:$Q93))),"0")+0)</f>
        <v>-381.00000000000006</v>
      </c>
      <c r="S154" s="389">
        <f>IF(VLOOKUP("Net Income",'FY ACTUALS'!$A$1:$X$996,S$3,FALSE)&lt;&gt;0,IFERROR(VLOOKUP($B154,'FY ACTUALS'!$A$1:$X$996,S$3,FALSE),"0")+0,IFERROR(($H154-SUMIF($I$1:$W$1,"ACTUAL",$I154:$W154))*(VLOOKUP($B154,'Distribution %'!$A$2:$Q$232,MATCH(S$2,'Distribution %'!$A$2:$Q$2,0),FALSE)/(SUMIF('Distribution %'!$C$1:$Q$1,"BUDGET",'Distribution %'!$C93:$Q93))),"0")+0)</f>
        <v>-381.00000000000006</v>
      </c>
      <c r="T154" s="389">
        <f>IF(VLOOKUP("Net Income",'FY ACTUALS'!$A$1:$X$996,T$3,FALSE)&lt;&gt;0,IFERROR(VLOOKUP($B154,'FY ACTUALS'!$A$1:$X$996,T$3,FALSE),"0")+0,IFERROR(($H154-SUMIF($I$1:$W$1,"ACTUAL",$I154:$W154))*(VLOOKUP($B154,'Distribution %'!$A$2:$Q$232,MATCH(T$2,'Distribution %'!$A$2:$Q$2,0),FALSE)/(SUMIF('Distribution %'!$C$1:$Q$1,"BUDGET",'Distribution %'!$C93:$Q93))),"0")+0)</f>
        <v>-381.00000000000006</v>
      </c>
      <c r="U154" s="389">
        <f>IF(VLOOKUP("Net Income",'FY ACTUALS'!$A$1:$X$996,U$3,FALSE)&lt;&gt;0,IFERROR(VLOOKUP($B154,'FY ACTUALS'!$A$1:$X$996,U$3,FALSE),"0")+0,IFERROR(($H154-SUMIF($I$1:$W$1,"ACTUAL",$I154:$W154))*(VLOOKUP($B154,'Distribution %'!$A$2:$Q$232,MATCH(U$2,'Distribution %'!$A$2:$Q$2,0),FALSE)/(SUMIF('Distribution %'!$C$1:$Q$1,"BUDGET",'Distribution %'!$C93:$Q93))),"0")+0)</f>
        <v>0</v>
      </c>
      <c r="V154" s="389">
        <f>IF(VLOOKUP("Net Income",'FY ACTUALS'!$A$1:$X$996,V$3,FALSE)&lt;&gt;0,IFERROR(VLOOKUP($B154,'FY ACTUALS'!$A$1:$X$996,V$3,FALSE),"0")+0,IFERROR(($H154-SUMIF($I$1:$W$1,"ACTUAL",$I154:$W154))*(VLOOKUP($B154,'Distribution %'!$A$2:$Q$232,MATCH(V$2,'Distribution %'!$A$2:$Q$2,0),FALSE)/(SUMIF('Distribution %'!$C$1:$Q$1,"BUDGET",'Distribution %'!$C93:$Q93))),"0")+0)</f>
        <v>0</v>
      </c>
      <c r="W154" s="431">
        <f>IF(VLOOKUP("Net Income",'FY ACTUALS'!$A$1:$X$996,W$3,FALSE)&lt;&gt;0,IFERROR(VLOOKUP($B154,'FY ACTUALS'!$A$1:$X$996,W$3,FALSE),"0")+0,IFERROR(($H154-SUMIF($I$1:$W$1,"ACTUAL",$I154:$W154))*(VLOOKUP($B154,'Distribution %'!$A$2:$Q$232,MATCH(W$2,'Distribution %'!$A$2:$Q$2,0),FALSE)/(SUMIF('Distribution %'!$C$1:$Q$1,"BUDGET",'Distribution %'!$C93:$Q93))),"0")+0)</f>
        <v>0</v>
      </c>
      <c r="X154" s="387">
        <f t="shared" si="48"/>
        <v>1.1368683772161603E-13</v>
      </c>
      <c r="Y154" s="387"/>
      <c r="Z154" s="387">
        <f t="shared" si="49"/>
        <v>-1.1368683772161603E-13</v>
      </c>
    </row>
    <row r="155" spans="2:26" x14ac:dyDescent="0.75">
      <c r="B155" s="403">
        <v>5605</v>
      </c>
      <c r="C155" s="379" t="s">
        <v>605</v>
      </c>
      <c r="F155" s="379" t="str">
        <f>IF(ISERROR(VLOOKUP(B155,'Distribution %'!A:A,1,FALSE)),"NO","YES")</f>
        <v>YES</v>
      </c>
      <c r="G155" s="392"/>
      <c r="H155" s="430">
        <f>IFERROR(VLOOKUP(B155,'Expenses w MYP'!$A$8:$K$119,11,FALSE),"0")+0</f>
        <v>0</v>
      </c>
      <c r="I155" s="388">
        <f>IF(VLOOKUP("Net Income",'FY ACTUALS'!$A$1:$X$996,I$3,FALSE)&lt;&gt;0,IFERROR(VLOOKUP($B155,'FY ACTUALS'!$A$1:$X$996,I$3,FALSE),"0")+0,IFERROR(($H155-SUMIF($I$1:$W$1,"ACTUAL",$I155:$W155))*(VLOOKUP($B155,'Distribution %'!$A$2:$Q$232,MATCH(I$2,'Distribution %'!$A$2:$Q$2,0),FALSE)/(SUMIF('Distribution %'!$C$1:$Q$1,"BUDGET",'Distribution %'!$C94:$Q94))),"0")+0)</f>
        <v>0</v>
      </c>
      <c r="J155" s="389">
        <f>IF(VLOOKUP("Net Income",'FY ACTUALS'!$A$1:$X$996,J$3,FALSE)&lt;&gt;0,IFERROR(VLOOKUP($B155,'FY ACTUALS'!$A$1:$X$996,J$3,FALSE),"0")+0,IFERROR(($H155-SUMIF($I$1:$W$1,"ACTUAL",$I155:$W155))*(VLOOKUP($B155,'Distribution %'!$A$2:$Q$232,MATCH(J$2,'Distribution %'!$A$2:$Q$2,0),FALSE)/(SUMIF('Distribution %'!$C$1:$Q$1,"BUDGET",'Distribution %'!$C94:$Q94))),"0")+0)</f>
        <v>0</v>
      </c>
      <c r="K155" s="389">
        <f>IF(VLOOKUP("Net Income",'FY ACTUALS'!$A$1:$X$996,K$3,FALSE)&lt;&gt;0,IFERROR(VLOOKUP($B155,'FY ACTUALS'!$A$1:$X$996,K$3,FALSE),"0")+0,IFERROR(($H155-SUMIF($I$1:$W$1,"ACTUAL",$I155:$W155))*(VLOOKUP($B155,'Distribution %'!$A$2:$Q$232,MATCH(K$2,'Distribution %'!$A$2:$Q$2,0),FALSE)/(SUMIF('Distribution %'!$C$1:$Q$1,"BUDGET",'Distribution %'!$C94:$Q94))),"0")+0)</f>
        <v>0</v>
      </c>
      <c r="L155" s="389">
        <f>IF(VLOOKUP("Net Income",'FY ACTUALS'!$A$1:$X$996,L$3,FALSE)&lt;&gt;0,IFERROR(VLOOKUP($B155,'FY ACTUALS'!$A$1:$X$996,L$3,FALSE),"0")+0,IFERROR(($H155-SUMIF($I$1:$W$1,"ACTUAL",$I155:$W155))*(VLOOKUP($B155,'Distribution %'!$A$2:$Q$232,MATCH(L$2,'Distribution %'!$A$2:$Q$2,0),FALSE)/(SUMIF('Distribution %'!$C$1:$Q$1,"BUDGET",'Distribution %'!$C94:$Q94))),"0")+0)</f>
        <v>0</v>
      </c>
      <c r="M155" s="389">
        <f>IF(VLOOKUP("Net Income",'FY ACTUALS'!$A$1:$X$996,M$3,FALSE)&lt;&gt;0,IFERROR(VLOOKUP($B155,'FY ACTUALS'!$A$1:$X$996,M$3,FALSE),"0")+0,IFERROR(($H155-SUMIF($I$1:$W$1,"ACTUAL",$I155:$W155))*(VLOOKUP($B155,'Distribution %'!$A$2:$Q$232,MATCH(M$2,'Distribution %'!$A$2:$Q$2,0),FALSE)/(SUMIF('Distribution %'!$C$1:$Q$1,"BUDGET",'Distribution %'!$C94:$Q94))),"0")+0)</f>
        <v>0</v>
      </c>
      <c r="N155" s="389">
        <f>IF(VLOOKUP("Net Income",'FY ACTUALS'!$A$1:$X$996,N$3,FALSE)&lt;&gt;0,IFERROR(VLOOKUP($B155,'FY ACTUALS'!$A$1:$X$996,N$3,FALSE),"0")+0,IFERROR(($H155-SUMIF($I$1:$W$1,"ACTUAL",$I155:$W155))*(VLOOKUP($B155,'Distribution %'!$A$2:$Q$232,MATCH(N$2,'Distribution %'!$A$2:$Q$2,0),FALSE)/(SUMIF('Distribution %'!$C$1:$Q$1,"BUDGET",'Distribution %'!$C94:$Q94))),"0")+0)</f>
        <v>0</v>
      </c>
      <c r="O155" s="389">
        <f>IF(VLOOKUP("Net Income",'FY ACTUALS'!$A$1:$X$996,O$3,FALSE)&lt;&gt;0,IFERROR(VLOOKUP($B155,'FY ACTUALS'!$A$1:$X$996,O$3,FALSE),"0")+0,IFERROR(($H155-SUMIF($I$1:$W$1,"ACTUAL",$I155:$W155))*(VLOOKUP($B155,'Distribution %'!$A$2:$Q$232,MATCH(O$2,'Distribution %'!$A$2:$Q$2,0),FALSE)/(SUMIF('Distribution %'!$C$1:$Q$1,"BUDGET",'Distribution %'!$C94:$Q94))),"0")+0)</f>
        <v>0</v>
      </c>
      <c r="P155" s="389">
        <f>IF(VLOOKUP("Net Income",'FY ACTUALS'!$A$1:$X$996,P$3,FALSE)&lt;&gt;0,IFERROR(VLOOKUP($B155,'FY ACTUALS'!$A$1:$X$996,P$3,FALSE),"0")+0,IFERROR(($H155-SUMIF($I$1:$W$1,"ACTUAL",$I155:$W155))*(VLOOKUP($B155,'Distribution %'!$A$2:$Q$232,MATCH(P$2,'Distribution %'!$A$2:$Q$2,0),FALSE)/(SUMIF('Distribution %'!$C$1:$Q$1,"BUDGET",'Distribution %'!$C94:$Q94))),"0")+0)</f>
        <v>0</v>
      </c>
      <c r="Q155" s="389">
        <f>IF(VLOOKUP("Net Income",'FY ACTUALS'!$A$1:$X$996,Q$3,FALSE)&lt;&gt;0,IFERROR(VLOOKUP($B155,'FY ACTUALS'!$A$1:$X$996,Q$3,FALSE),"0")+0,IFERROR(($H155-SUMIF($I$1:$W$1,"ACTUAL",$I155:$W155))*(VLOOKUP($B155,'Distribution %'!$A$2:$Q$232,MATCH(Q$2,'Distribution %'!$A$2:$Q$2,0),FALSE)/(SUMIF('Distribution %'!$C$1:$Q$1,"BUDGET",'Distribution %'!$C94:$Q94))),"0")+0)</f>
        <v>0</v>
      </c>
      <c r="R155" s="389">
        <f>IF(VLOOKUP("Net Income",'FY ACTUALS'!$A$1:$X$996,R$3,FALSE)&lt;&gt;0,IFERROR(VLOOKUP($B155,'FY ACTUALS'!$A$1:$X$996,R$3,FALSE),"0")+0,IFERROR(($H155-SUMIF($I$1:$W$1,"ACTUAL",$I155:$W155))*(VLOOKUP($B155,'Distribution %'!$A$2:$Q$232,MATCH(R$2,'Distribution %'!$A$2:$Q$2,0),FALSE)/(SUMIF('Distribution %'!$C$1:$Q$1,"BUDGET",'Distribution %'!$C94:$Q94))),"0")+0)</f>
        <v>0</v>
      </c>
      <c r="S155" s="389">
        <f>IF(VLOOKUP("Net Income",'FY ACTUALS'!$A$1:$X$996,S$3,FALSE)&lt;&gt;0,IFERROR(VLOOKUP($B155,'FY ACTUALS'!$A$1:$X$996,S$3,FALSE),"0")+0,IFERROR(($H155-SUMIF($I$1:$W$1,"ACTUAL",$I155:$W155))*(VLOOKUP($B155,'Distribution %'!$A$2:$Q$232,MATCH(S$2,'Distribution %'!$A$2:$Q$2,0),FALSE)/(SUMIF('Distribution %'!$C$1:$Q$1,"BUDGET",'Distribution %'!$C94:$Q94))),"0")+0)</f>
        <v>0</v>
      </c>
      <c r="T155" s="389">
        <f>IF(VLOOKUP("Net Income",'FY ACTUALS'!$A$1:$X$996,T$3,FALSE)&lt;&gt;0,IFERROR(VLOOKUP($B155,'FY ACTUALS'!$A$1:$X$996,T$3,FALSE),"0")+0,IFERROR(($H155-SUMIF($I$1:$W$1,"ACTUAL",$I155:$W155))*(VLOOKUP($B155,'Distribution %'!$A$2:$Q$232,MATCH(T$2,'Distribution %'!$A$2:$Q$2,0),FALSE)/(SUMIF('Distribution %'!$C$1:$Q$1,"BUDGET",'Distribution %'!$C94:$Q94))),"0")+0)</f>
        <v>0</v>
      </c>
      <c r="U155" s="389">
        <f>IF(VLOOKUP("Net Income",'FY ACTUALS'!$A$1:$X$996,U$3,FALSE)&lt;&gt;0,IFERROR(VLOOKUP($B155,'FY ACTUALS'!$A$1:$X$996,U$3,FALSE),"0")+0,IFERROR(($H155-SUMIF($I$1:$W$1,"ACTUAL",$I155:$W155))*(VLOOKUP($B155,'Distribution %'!$A$2:$Q$232,MATCH(U$2,'Distribution %'!$A$2:$Q$2,0),FALSE)/(SUMIF('Distribution %'!$C$1:$Q$1,"BUDGET",'Distribution %'!$C94:$Q94))),"0")+0)</f>
        <v>0</v>
      </c>
      <c r="V155" s="389">
        <f>IF(VLOOKUP("Net Income",'FY ACTUALS'!$A$1:$X$996,V$3,FALSE)&lt;&gt;0,IFERROR(VLOOKUP($B155,'FY ACTUALS'!$A$1:$X$996,V$3,FALSE),"0")+0,IFERROR(($H155-SUMIF($I$1:$W$1,"ACTUAL",$I155:$W155))*(VLOOKUP($B155,'Distribution %'!$A$2:$Q$232,MATCH(V$2,'Distribution %'!$A$2:$Q$2,0),FALSE)/(SUMIF('Distribution %'!$C$1:$Q$1,"BUDGET",'Distribution %'!$C94:$Q94))),"0")+0)</f>
        <v>0</v>
      </c>
      <c r="W155" s="431">
        <f>IF(VLOOKUP("Net Income",'FY ACTUALS'!$A$1:$X$996,W$3,FALSE)&lt;&gt;0,IFERROR(VLOOKUP($B155,'FY ACTUALS'!$A$1:$X$996,W$3,FALSE),"0")+0,IFERROR(($H155-SUMIF($I$1:$W$1,"ACTUAL",$I155:$W155))*(VLOOKUP($B155,'Distribution %'!$A$2:$Q$232,MATCH(W$2,'Distribution %'!$A$2:$Q$2,0),FALSE)/(SUMIF('Distribution %'!$C$1:$Q$1,"BUDGET",'Distribution %'!$C94:$Q94))),"0")+0)</f>
        <v>0</v>
      </c>
      <c r="X155" s="387">
        <f t="shared" si="48"/>
        <v>0</v>
      </c>
      <c r="Y155" s="387"/>
      <c r="Z155" s="387">
        <f t="shared" si="49"/>
        <v>0</v>
      </c>
    </row>
    <row r="156" spans="2:26" x14ac:dyDescent="0.75">
      <c r="B156" s="403">
        <v>5610</v>
      </c>
      <c r="C156" s="379" t="s">
        <v>606</v>
      </c>
      <c r="F156" s="379" t="str">
        <f>IF(ISERROR(VLOOKUP(B156,'Distribution %'!A:A,1,FALSE)),"NO","YES")</f>
        <v>YES</v>
      </c>
      <c r="G156" s="392"/>
      <c r="H156" s="430">
        <f>IFERROR(VLOOKUP(B156,'Expenses w MYP'!$A$8:$K$119,11,FALSE),"0")+0</f>
        <v>0</v>
      </c>
      <c r="I156" s="388">
        <f>IF(VLOOKUP("Net Income",'FY ACTUALS'!$A$1:$X$996,I$3,FALSE)&lt;&gt;0,IFERROR(VLOOKUP($B156,'FY ACTUALS'!$A$1:$X$996,I$3,FALSE),"0")+0,IFERROR(($H156-SUMIF($I$1:$W$1,"ACTUAL",$I156:$W156))*(VLOOKUP($B156,'Distribution %'!$A$2:$Q$232,MATCH(I$2,'Distribution %'!$A$2:$Q$2,0),FALSE)/(SUMIF('Distribution %'!$C$1:$Q$1,"BUDGET",'Distribution %'!$C95:$Q95))),"0")+0)</f>
        <v>0</v>
      </c>
      <c r="J156" s="389">
        <f>IF(VLOOKUP("Net Income",'FY ACTUALS'!$A$1:$X$996,J$3,FALSE)&lt;&gt;0,IFERROR(VLOOKUP($B156,'FY ACTUALS'!$A$1:$X$996,J$3,FALSE),"0")+0,IFERROR(($H156-SUMIF($I$1:$W$1,"ACTUAL",$I156:$W156))*(VLOOKUP($B156,'Distribution %'!$A$2:$Q$232,MATCH(J$2,'Distribution %'!$A$2:$Q$2,0),FALSE)/(SUMIF('Distribution %'!$C$1:$Q$1,"BUDGET",'Distribution %'!$C95:$Q95))),"0")+0)</f>
        <v>0</v>
      </c>
      <c r="K156" s="389">
        <f>IF(VLOOKUP("Net Income",'FY ACTUALS'!$A$1:$X$996,K$3,FALSE)&lt;&gt;0,IFERROR(VLOOKUP($B156,'FY ACTUALS'!$A$1:$X$996,K$3,FALSE),"0")+0,IFERROR(($H156-SUMIF($I$1:$W$1,"ACTUAL",$I156:$W156))*(VLOOKUP($B156,'Distribution %'!$A$2:$Q$232,MATCH(K$2,'Distribution %'!$A$2:$Q$2,0),FALSE)/(SUMIF('Distribution %'!$C$1:$Q$1,"BUDGET",'Distribution %'!$C95:$Q95))),"0")+0)</f>
        <v>0</v>
      </c>
      <c r="L156" s="389">
        <f>IF(VLOOKUP("Net Income",'FY ACTUALS'!$A$1:$X$996,L$3,FALSE)&lt;&gt;0,IFERROR(VLOOKUP($B156,'FY ACTUALS'!$A$1:$X$996,L$3,FALSE),"0")+0,IFERROR(($H156-SUMIF($I$1:$W$1,"ACTUAL",$I156:$W156))*(VLOOKUP($B156,'Distribution %'!$A$2:$Q$232,MATCH(L$2,'Distribution %'!$A$2:$Q$2,0),FALSE)/(SUMIF('Distribution %'!$C$1:$Q$1,"BUDGET",'Distribution %'!$C95:$Q95))),"0")+0)</f>
        <v>0</v>
      </c>
      <c r="M156" s="389">
        <f>IF(VLOOKUP("Net Income",'FY ACTUALS'!$A$1:$X$996,M$3,FALSE)&lt;&gt;0,IFERROR(VLOOKUP($B156,'FY ACTUALS'!$A$1:$X$996,M$3,FALSE),"0")+0,IFERROR(($H156-SUMIF($I$1:$W$1,"ACTUAL",$I156:$W156))*(VLOOKUP($B156,'Distribution %'!$A$2:$Q$232,MATCH(M$2,'Distribution %'!$A$2:$Q$2,0),FALSE)/(SUMIF('Distribution %'!$C$1:$Q$1,"BUDGET",'Distribution %'!$C95:$Q95))),"0")+0)</f>
        <v>0</v>
      </c>
      <c r="N156" s="389">
        <f>IF(VLOOKUP("Net Income",'FY ACTUALS'!$A$1:$X$996,N$3,FALSE)&lt;&gt;0,IFERROR(VLOOKUP($B156,'FY ACTUALS'!$A$1:$X$996,N$3,FALSE),"0")+0,IFERROR(($H156-SUMIF($I$1:$W$1,"ACTUAL",$I156:$W156))*(VLOOKUP($B156,'Distribution %'!$A$2:$Q$232,MATCH(N$2,'Distribution %'!$A$2:$Q$2,0),FALSE)/(SUMIF('Distribution %'!$C$1:$Q$1,"BUDGET",'Distribution %'!$C95:$Q95))),"0")+0)</f>
        <v>0</v>
      </c>
      <c r="O156" s="389">
        <f>IF(VLOOKUP("Net Income",'FY ACTUALS'!$A$1:$X$996,O$3,FALSE)&lt;&gt;0,IFERROR(VLOOKUP($B156,'FY ACTUALS'!$A$1:$X$996,O$3,FALSE),"0")+0,IFERROR(($H156-SUMIF($I$1:$W$1,"ACTUAL",$I156:$W156))*(VLOOKUP($B156,'Distribution %'!$A$2:$Q$232,MATCH(O$2,'Distribution %'!$A$2:$Q$2,0),FALSE)/(SUMIF('Distribution %'!$C$1:$Q$1,"BUDGET",'Distribution %'!$C95:$Q95))),"0")+0)</f>
        <v>0</v>
      </c>
      <c r="P156" s="389">
        <f>IF(VLOOKUP("Net Income",'FY ACTUALS'!$A$1:$X$996,P$3,FALSE)&lt;&gt;0,IFERROR(VLOOKUP($B156,'FY ACTUALS'!$A$1:$X$996,P$3,FALSE),"0")+0,IFERROR(($H156-SUMIF($I$1:$W$1,"ACTUAL",$I156:$W156))*(VLOOKUP($B156,'Distribution %'!$A$2:$Q$232,MATCH(P$2,'Distribution %'!$A$2:$Q$2,0),FALSE)/(SUMIF('Distribution %'!$C$1:$Q$1,"BUDGET",'Distribution %'!$C95:$Q95))),"0")+0)</f>
        <v>0</v>
      </c>
      <c r="Q156" s="389">
        <f>IF(VLOOKUP("Net Income",'FY ACTUALS'!$A$1:$X$996,Q$3,FALSE)&lt;&gt;0,IFERROR(VLOOKUP($B156,'FY ACTUALS'!$A$1:$X$996,Q$3,FALSE),"0")+0,IFERROR(($H156-SUMIF($I$1:$W$1,"ACTUAL",$I156:$W156))*(VLOOKUP($B156,'Distribution %'!$A$2:$Q$232,MATCH(Q$2,'Distribution %'!$A$2:$Q$2,0),FALSE)/(SUMIF('Distribution %'!$C$1:$Q$1,"BUDGET",'Distribution %'!$C95:$Q95))),"0")+0)</f>
        <v>0</v>
      </c>
      <c r="R156" s="389">
        <f>IF(VLOOKUP("Net Income",'FY ACTUALS'!$A$1:$X$996,R$3,FALSE)&lt;&gt;0,IFERROR(VLOOKUP($B156,'FY ACTUALS'!$A$1:$X$996,R$3,FALSE),"0")+0,IFERROR(($H156-SUMIF($I$1:$W$1,"ACTUAL",$I156:$W156))*(VLOOKUP($B156,'Distribution %'!$A$2:$Q$232,MATCH(R$2,'Distribution %'!$A$2:$Q$2,0),FALSE)/(SUMIF('Distribution %'!$C$1:$Q$1,"BUDGET",'Distribution %'!$C95:$Q95))),"0")+0)</f>
        <v>0</v>
      </c>
      <c r="S156" s="389">
        <f>IF(VLOOKUP("Net Income",'FY ACTUALS'!$A$1:$X$996,S$3,FALSE)&lt;&gt;0,IFERROR(VLOOKUP($B156,'FY ACTUALS'!$A$1:$X$996,S$3,FALSE),"0")+0,IFERROR(($H156-SUMIF($I$1:$W$1,"ACTUAL",$I156:$W156))*(VLOOKUP($B156,'Distribution %'!$A$2:$Q$232,MATCH(S$2,'Distribution %'!$A$2:$Q$2,0),FALSE)/(SUMIF('Distribution %'!$C$1:$Q$1,"BUDGET",'Distribution %'!$C95:$Q95))),"0")+0)</f>
        <v>0</v>
      </c>
      <c r="T156" s="389">
        <f>IF(VLOOKUP("Net Income",'FY ACTUALS'!$A$1:$X$996,T$3,FALSE)&lt;&gt;0,IFERROR(VLOOKUP($B156,'FY ACTUALS'!$A$1:$X$996,T$3,FALSE),"0")+0,IFERROR(($H156-SUMIF($I$1:$W$1,"ACTUAL",$I156:$W156))*(VLOOKUP($B156,'Distribution %'!$A$2:$Q$232,MATCH(T$2,'Distribution %'!$A$2:$Q$2,0),FALSE)/(SUMIF('Distribution %'!$C$1:$Q$1,"BUDGET",'Distribution %'!$C95:$Q95))),"0")+0)</f>
        <v>0</v>
      </c>
      <c r="U156" s="389">
        <f>IF(VLOOKUP("Net Income",'FY ACTUALS'!$A$1:$X$996,U$3,FALSE)&lt;&gt;0,IFERROR(VLOOKUP($B156,'FY ACTUALS'!$A$1:$X$996,U$3,FALSE),"0")+0,IFERROR(($H156-SUMIF($I$1:$W$1,"ACTUAL",$I156:$W156))*(VLOOKUP($B156,'Distribution %'!$A$2:$Q$232,MATCH(U$2,'Distribution %'!$A$2:$Q$2,0),FALSE)/(SUMIF('Distribution %'!$C$1:$Q$1,"BUDGET",'Distribution %'!$C95:$Q95))),"0")+0)</f>
        <v>0</v>
      </c>
      <c r="V156" s="389">
        <f>IF(VLOOKUP("Net Income",'FY ACTUALS'!$A$1:$X$996,V$3,FALSE)&lt;&gt;0,IFERROR(VLOOKUP($B156,'FY ACTUALS'!$A$1:$X$996,V$3,FALSE),"0")+0,IFERROR(($H156-SUMIF($I$1:$W$1,"ACTUAL",$I156:$W156))*(VLOOKUP($B156,'Distribution %'!$A$2:$Q$232,MATCH(V$2,'Distribution %'!$A$2:$Q$2,0),FALSE)/(SUMIF('Distribution %'!$C$1:$Q$1,"BUDGET",'Distribution %'!$C95:$Q95))),"0")+0)</f>
        <v>0</v>
      </c>
      <c r="W156" s="431">
        <f>IF(VLOOKUP("Net Income",'FY ACTUALS'!$A$1:$X$996,W$3,FALSE)&lt;&gt;0,IFERROR(VLOOKUP($B156,'FY ACTUALS'!$A$1:$X$996,W$3,FALSE),"0")+0,IFERROR(($H156-SUMIF($I$1:$W$1,"ACTUAL",$I156:$W156))*(VLOOKUP($B156,'Distribution %'!$A$2:$Q$232,MATCH(W$2,'Distribution %'!$A$2:$Q$2,0),FALSE)/(SUMIF('Distribution %'!$C$1:$Q$1,"BUDGET",'Distribution %'!$C95:$Q95))),"0")+0)</f>
        <v>0</v>
      </c>
      <c r="X156" s="387">
        <f t="shared" si="48"/>
        <v>0</v>
      </c>
      <c r="Y156" s="387"/>
      <c r="Z156" s="387">
        <f t="shared" si="49"/>
        <v>0</v>
      </c>
    </row>
    <row r="157" spans="2:26" x14ac:dyDescent="0.75">
      <c r="B157" s="403">
        <v>5800</v>
      </c>
      <c r="C157" s="379" t="s">
        <v>1435</v>
      </c>
      <c r="F157" s="379" t="str">
        <f>IF(ISERROR(VLOOKUP(B157,'Distribution %'!A:A,1,FALSE)),"NO","YES")</f>
        <v>YES</v>
      </c>
      <c r="G157" s="392"/>
      <c r="H157" s="430">
        <f>IFERROR(VLOOKUP(B157,'Expenses w MYP'!$A$8:$K$119,11,FALSE),"0")+0</f>
        <v>430000</v>
      </c>
      <c r="I157" s="388">
        <f>IF(VLOOKUP("Net Income",'FY ACTUALS'!$A$1:$X$996,I$3,FALSE)&lt;&gt;0,IFERROR(VLOOKUP($B157,'FY ACTUALS'!$A$1:$X$996,I$3,FALSE),"0")+0,IFERROR(($H157-SUMIF($I$1:$W$1,"ACTUAL",$I157:$W157))*(VLOOKUP($B157,'Distribution %'!$A$2:$Q$232,MATCH(I$2,'Distribution %'!$A$2:$Q$2,0),FALSE)/(SUMIF('Distribution %'!$C$1:$Q$1,"BUDGET",'Distribution %'!$C96:$Q96))),"0")+0)</f>
        <v>60000</v>
      </c>
      <c r="J157" s="389">
        <f>IF(VLOOKUP("Net Income",'FY ACTUALS'!$A$1:$X$996,J$3,FALSE)&lt;&gt;0,IFERROR(VLOOKUP($B157,'FY ACTUALS'!$A$1:$X$996,J$3,FALSE),"0")+0,IFERROR(($H157-SUMIF($I$1:$W$1,"ACTUAL",$I157:$W157))*(VLOOKUP($B157,'Distribution %'!$A$2:$Q$232,MATCH(J$2,'Distribution %'!$A$2:$Q$2,0),FALSE)/(SUMIF('Distribution %'!$C$1:$Q$1,"BUDGET",'Distribution %'!$C96:$Q96))),"0")+0)</f>
        <v>24510.400000000001</v>
      </c>
      <c r="K157" s="389">
        <f>IF(VLOOKUP("Net Income",'FY ACTUALS'!$A$1:$X$996,K$3,FALSE)&lt;&gt;0,IFERROR(VLOOKUP($B157,'FY ACTUALS'!$A$1:$X$996,K$3,FALSE),"0")+0,IFERROR(($H157-SUMIF($I$1:$W$1,"ACTUAL",$I157:$W157))*(VLOOKUP($B157,'Distribution %'!$A$2:$Q$232,MATCH(K$2,'Distribution %'!$A$2:$Q$2,0),FALSE)/(SUMIF('Distribution %'!$C$1:$Q$1,"BUDGET",'Distribution %'!$C96:$Q96))),"0")+0)</f>
        <v>2193.0300000000002</v>
      </c>
      <c r="L157" s="389">
        <f>IF(VLOOKUP("Net Income",'FY ACTUALS'!$A$1:$X$996,L$3,FALSE)&lt;&gt;0,IFERROR(VLOOKUP($B157,'FY ACTUALS'!$A$1:$X$996,L$3,FALSE),"0")+0,IFERROR(($H157-SUMIF($I$1:$W$1,"ACTUAL",$I157:$W157))*(VLOOKUP($B157,'Distribution %'!$A$2:$Q$232,MATCH(L$2,'Distribution %'!$A$2:$Q$2,0),FALSE)/(SUMIF('Distribution %'!$C$1:$Q$1,"BUDGET",'Distribution %'!$C96:$Q96))),"0")+0)</f>
        <v>115000</v>
      </c>
      <c r="M157" s="389">
        <f>IF(VLOOKUP("Net Income",'FY ACTUALS'!$A$1:$X$996,M$3,FALSE)&lt;&gt;0,IFERROR(VLOOKUP($B157,'FY ACTUALS'!$A$1:$X$996,M$3,FALSE),"0")+0,IFERROR(($H157-SUMIF($I$1:$W$1,"ACTUAL",$I157:$W157))*(VLOOKUP($B157,'Distribution %'!$A$2:$Q$232,MATCH(M$2,'Distribution %'!$A$2:$Q$2,0),FALSE)/(SUMIF('Distribution %'!$C$1:$Q$1,"BUDGET",'Distribution %'!$C96:$Q96))),"0")+0)</f>
        <v>27966.5</v>
      </c>
      <c r="N157" s="389">
        <f>IF(VLOOKUP("Net Income",'FY ACTUALS'!$A$1:$X$996,N$3,FALSE)&lt;&gt;0,IFERROR(VLOOKUP($B157,'FY ACTUALS'!$A$1:$X$996,N$3,FALSE),"0")+0,IFERROR(($H157-SUMIF($I$1:$W$1,"ACTUAL",$I157:$W157))*(VLOOKUP($B157,'Distribution %'!$A$2:$Q$232,MATCH(N$2,'Distribution %'!$A$2:$Q$2,0),FALSE)/(SUMIF('Distribution %'!$C$1:$Q$1,"BUDGET",'Distribution %'!$C96:$Q96))),"0")+0)</f>
        <v>1150.01</v>
      </c>
      <c r="O157" s="389">
        <f>IF(VLOOKUP("Net Income",'FY ACTUALS'!$A$1:$X$996,O$3,FALSE)&lt;&gt;0,IFERROR(VLOOKUP($B157,'FY ACTUALS'!$A$1:$X$996,O$3,FALSE),"0")+0,IFERROR(($H157-SUMIF($I$1:$W$1,"ACTUAL",$I157:$W157))*(VLOOKUP($B157,'Distribution %'!$A$2:$Q$232,MATCH(O$2,'Distribution %'!$A$2:$Q$2,0),FALSE)/(SUMIF('Distribution %'!$C$1:$Q$1,"BUDGET",'Distribution %'!$C96:$Q96))),"0")+0)</f>
        <v>157700.01</v>
      </c>
      <c r="P157" s="389">
        <f>IF(VLOOKUP("Net Income",'FY ACTUALS'!$A$1:$X$996,P$3,FALSE)&lt;&gt;0,IFERROR(VLOOKUP($B157,'FY ACTUALS'!$A$1:$X$996,P$3,FALSE),"0")+0,IFERROR(($H157-SUMIF($I$1:$W$1,"ACTUAL",$I157:$W157))*(VLOOKUP($B157,'Distribution %'!$A$2:$Q$232,MATCH(P$2,'Distribution %'!$A$2:$Q$2,0),FALSE)/(SUMIF('Distribution %'!$C$1:$Q$1,"BUDGET",'Distribution %'!$C96:$Q96))),"0")+0)</f>
        <v>8216.8118138424798</v>
      </c>
      <c r="Q157" s="389">
        <f>IF(VLOOKUP("Net Income",'FY ACTUALS'!$A$1:$X$996,Q$3,FALSE)&lt;&gt;0,IFERROR(VLOOKUP($B157,'FY ACTUALS'!$A$1:$X$996,Q$3,FALSE),"0")+0,IFERROR(($H157-SUMIF($I$1:$W$1,"ACTUAL",$I157:$W157))*(VLOOKUP($B157,'Distribution %'!$A$2:$Q$232,MATCH(Q$2,'Distribution %'!$A$2:$Q$2,0),FALSE)/(SUMIF('Distribution %'!$C$1:$Q$1,"BUDGET",'Distribution %'!$C96:$Q96))),"0")+0)</f>
        <v>8315.8095465393762</v>
      </c>
      <c r="R157" s="389">
        <f>IF(VLOOKUP("Net Income",'FY ACTUALS'!$A$1:$X$996,R$3,FALSE)&lt;&gt;0,IFERROR(VLOOKUP($B157,'FY ACTUALS'!$A$1:$X$996,R$3,FALSE),"0")+0,IFERROR(($H157-SUMIF($I$1:$W$1,"ACTUAL",$I157:$W157))*(VLOOKUP($B157,'Distribution %'!$A$2:$Q$232,MATCH(R$2,'Distribution %'!$A$2:$Q$2,0),FALSE)/(SUMIF('Distribution %'!$C$1:$Q$1,"BUDGET",'Distribution %'!$C96:$Q96))),"0")+0)</f>
        <v>8315.8095465393762</v>
      </c>
      <c r="S157" s="389">
        <f>IF(VLOOKUP("Net Income",'FY ACTUALS'!$A$1:$X$996,S$3,FALSE)&lt;&gt;0,IFERROR(VLOOKUP($B157,'FY ACTUALS'!$A$1:$X$996,S$3,FALSE),"0")+0,IFERROR(($H157-SUMIF($I$1:$W$1,"ACTUAL",$I157:$W157))*(VLOOKUP($B157,'Distribution %'!$A$2:$Q$232,MATCH(S$2,'Distribution %'!$A$2:$Q$2,0),FALSE)/(SUMIF('Distribution %'!$C$1:$Q$1,"BUDGET",'Distribution %'!$C96:$Q96))),"0")+0)</f>
        <v>8315.8095465393762</v>
      </c>
      <c r="T157" s="389">
        <f>IF(VLOOKUP("Net Income",'FY ACTUALS'!$A$1:$X$996,T$3,FALSE)&lt;&gt;0,IFERROR(VLOOKUP($B157,'FY ACTUALS'!$A$1:$X$996,T$3,FALSE),"0")+0,IFERROR(($H157-SUMIF($I$1:$W$1,"ACTUAL",$I157:$W157))*(VLOOKUP($B157,'Distribution %'!$A$2:$Q$232,MATCH(T$2,'Distribution %'!$A$2:$Q$2,0),FALSE)/(SUMIF('Distribution %'!$C$1:$Q$1,"BUDGET",'Distribution %'!$C96:$Q96))),"0")+0)</f>
        <v>8315.8095465393762</v>
      </c>
      <c r="U157" s="389">
        <f>IF(VLOOKUP("Net Income",'FY ACTUALS'!$A$1:$X$996,U$3,FALSE)&lt;&gt;0,IFERROR(VLOOKUP($B157,'FY ACTUALS'!$A$1:$X$996,U$3,FALSE),"0")+0,IFERROR(($H157-SUMIF($I$1:$W$1,"ACTUAL",$I157:$W157))*(VLOOKUP($B157,'Distribution %'!$A$2:$Q$232,MATCH(U$2,'Distribution %'!$A$2:$Q$2,0),FALSE)/(SUMIF('Distribution %'!$C$1:$Q$1,"BUDGET",'Distribution %'!$C96:$Q96))),"0")+0)</f>
        <v>0</v>
      </c>
      <c r="V157" s="389">
        <f>IF(VLOOKUP("Net Income",'FY ACTUALS'!$A$1:$X$996,V$3,FALSE)&lt;&gt;0,IFERROR(VLOOKUP($B157,'FY ACTUALS'!$A$1:$X$996,V$3,FALSE),"0")+0,IFERROR(($H157-SUMIF($I$1:$W$1,"ACTUAL",$I157:$W157))*(VLOOKUP($B157,'Distribution %'!$A$2:$Q$232,MATCH(V$2,'Distribution %'!$A$2:$Q$2,0),FALSE)/(SUMIF('Distribution %'!$C$1:$Q$1,"BUDGET",'Distribution %'!$C96:$Q96))),"0")+0)</f>
        <v>0</v>
      </c>
      <c r="W157" s="431">
        <f>IF(VLOOKUP("Net Income",'FY ACTUALS'!$A$1:$X$996,W$3,FALSE)&lt;&gt;0,IFERROR(VLOOKUP($B157,'FY ACTUALS'!$A$1:$X$996,W$3,FALSE),"0")+0,IFERROR(($H157-SUMIF($I$1:$W$1,"ACTUAL",$I157:$W157))*(VLOOKUP($B157,'Distribution %'!$A$2:$Q$232,MATCH(W$2,'Distribution %'!$A$2:$Q$2,0),FALSE)/(SUMIF('Distribution %'!$C$1:$Q$1,"BUDGET",'Distribution %'!$C96:$Q96))),"0")+0)</f>
        <v>0</v>
      </c>
      <c r="X157" s="387">
        <f t="shared" si="48"/>
        <v>430000.00000000006</v>
      </c>
      <c r="Y157" s="387"/>
      <c r="Z157" s="387">
        <f t="shared" si="49"/>
        <v>0</v>
      </c>
    </row>
    <row r="158" spans="2:26" x14ac:dyDescent="0.75">
      <c r="B158" s="403">
        <v>5803</v>
      </c>
      <c r="C158" s="379" t="s">
        <v>1436</v>
      </c>
      <c r="F158" s="379" t="str">
        <f>IF(ISERROR(VLOOKUP(B158,'Distribution %'!A:A,1,FALSE)),"NO","YES")</f>
        <v>YES</v>
      </c>
      <c r="G158" s="392"/>
      <c r="H158" s="430">
        <f>IFERROR(VLOOKUP(B158,'Expenses w MYP'!$A$8:$K$119,11,FALSE),"0")+0</f>
        <v>30000</v>
      </c>
      <c r="I158" s="388">
        <f>IF(VLOOKUP("Net Income",'FY ACTUALS'!$A$1:$X$996,I$3,FALSE)&lt;&gt;0,IFERROR(VLOOKUP($B158,'FY ACTUALS'!$A$1:$X$996,I$3,FALSE),"0")+0,IFERROR(($H158-SUMIF($I$1:$W$1,"ACTUAL",$I158:$W158))*(VLOOKUP($B158,'Distribution %'!$A$2:$Q$232,MATCH(I$2,'Distribution %'!$A$2:$Q$2,0),FALSE)/(SUMIF('Distribution %'!$C$1:$Q$1,"BUDGET",'Distribution %'!$C97:$Q97))),"0")+0)</f>
        <v>528.79999999999995</v>
      </c>
      <c r="J158" s="389">
        <f>IF(VLOOKUP("Net Income",'FY ACTUALS'!$A$1:$X$996,J$3,FALSE)&lt;&gt;0,IFERROR(VLOOKUP($B158,'FY ACTUALS'!$A$1:$X$996,J$3,FALSE),"0")+0,IFERROR(($H158-SUMIF($I$1:$W$1,"ACTUAL",$I158:$W158))*(VLOOKUP($B158,'Distribution %'!$A$2:$Q$232,MATCH(J$2,'Distribution %'!$A$2:$Q$2,0),FALSE)/(SUMIF('Distribution %'!$C$1:$Q$1,"BUDGET",'Distribution %'!$C97:$Q97))),"0")+0)</f>
        <v>1532.55</v>
      </c>
      <c r="K158" s="389">
        <f>IF(VLOOKUP("Net Income",'FY ACTUALS'!$A$1:$X$996,K$3,FALSE)&lt;&gt;0,IFERROR(VLOOKUP($B158,'FY ACTUALS'!$A$1:$X$996,K$3,FALSE),"0")+0,IFERROR(($H158-SUMIF($I$1:$W$1,"ACTUAL",$I158:$W158))*(VLOOKUP($B158,'Distribution %'!$A$2:$Q$232,MATCH(K$2,'Distribution %'!$A$2:$Q$2,0),FALSE)/(SUMIF('Distribution %'!$C$1:$Q$1,"BUDGET",'Distribution %'!$C97:$Q97))),"0")+0)</f>
        <v>716.7</v>
      </c>
      <c r="L158" s="389">
        <f>IF(VLOOKUP("Net Income",'FY ACTUALS'!$A$1:$X$996,L$3,FALSE)&lt;&gt;0,IFERROR(VLOOKUP($B158,'FY ACTUALS'!$A$1:$X$996,L$3,FALSE),"0")+0,IFERROR(($H158-SUMIF($I$1:$W$1,"ACTUAL",$I158:$W158))*(VLOOKUP($B158,'Distribution %'!$A$2:$Q$232,MATCH(L$2,'Distribution %'!$A$2:$Q$2,0),FALSE)/(SUMIF('Distribution %'!$C$1:$Q$1,"BUDGET",'Distribution %'!$C97:$Q97))),"0")+0)</f>
        <v>679.95</v>
      </c>
      <c r="M158" s="389">
        <f>IF(VLOOKUP("Net Income",'FY ACTUALS'!$A$1:$X$996,M$3,FALSE)&lt;&gt;0,IFERROR(VLOOKUP($B158,'FY ACTUALS'!$A$1:$X$996,M$3,FALSE),"0")+0,IFERROR(($H158-SUMIF($I$1:$W$1,"ACTUAL",$I158:$W158))*(VLOOKUP($B158,'Distribution %'!$A$2:$Q$232,MATCH(M$2,'Distribution %'!$A$2:$Q$2,0),FALSE)/(SUMIF('Distribution %'!$C$1:$Q$1,"BUDGET",'Distribution %'!$C97:$Q97))),"0")+0)</f>
        <v>752.15</v>
      </c>
      <c r="N158" s="389">
        <f>IF(VLOOKUP("Net Income",'FY ACTUALS'!$A$1:$X$996,N$3,FALSE)&lt;&gt;0,IFERROR(VLOOKUP($B158,'FY ACTUALS'!$A$1:$X$996,N$3,FALSE),"0")+0,IFERROR(($H158-SUMIF($I$1:$W$1,"ACTUAL",$I158:$W158))*(VLOOKUP($B158,'Distribution %'!$A$2:$Q$232,MATCH(N$2,'Distribution %'!$A$2:$Q$2,0),FALSE)/(SUMIF('Distribution %'!$C$1:$Q$1,"BUDGET",'Distribution %'!$C97:$Q97))),"0")+0)</f>
        <v>552</v>
      </c>
      <c r="O158" s="389">
        <f>IF(VLOOKUP("Net Income",'FY ACTUALS'!$A$1:$X$996,O$3,FALSE)&lt;&gt;0,IFERROR(VLOOKUP($B158,'FY ACTUALS'!$A$1:$X$996,O$3,FALSE),"0")+0,IFERROR(($H158-SUMIF($I$1:$W$1,"ACTUAL",$I158:$W158))*(VLOOKUP($B158,'Distribution %'!$A$2:$Q$232,MATCH(O$2,'Distribution %'!$A$2:$Q$2,0),FALSE)/(SUMIF('Distribution %'!$C$1:$Q$1,"BUDGET",'Distribution %'!$C97:$Q97))),"0")+0)</f>
        <v>2251.06</v>
      </c>
      <c r="P158" s="389">
        <f>IF(VLOOKUP("Net Income",'FY ACTUALS'!$A$1:$X$996,P$3,FALSE)&lt;&gt;0,IFERROR(VLOOKUP($B158,'FY ACTUALS'!$A$1:$X$996,P$3,FALSE),"0")+0,IFERROR(($H158-SUMIF($I$1:$W$1,"ACTUAL",$I158:$W158))*(VLOOKUP($B158,'Distribution %'!$A$2:$Q$232,MATCH(P$2,'Distribution %'!$A$2:$Q$2,0),FALSE)/(SUMIF('Distribution %'!$C$1:$Q$1,"BUDGET",'Distribution %'!$C97:$Q97))),"0")+0)</f>
        <v>4553.4691408114559</v>
      </c>
      <c r="Q158" s="389">
        <f>IF(VLOOKUP("Net Income",'FY ACTUALS'!$A$1:$X$996,Q$3,FALSE)&lt;&gt;0,IFERROR(VLOOKUP($B158,'FY ACTUALS'!$A$1:$X$996,Q$3,FALSE),"0")+0,IFERROR(($H158-SUMIF($I$1:$W$1,"ACTUAL",$I158:$W158))*(VLOOKUP($B158,'Distribution %'!$A$2:$Q$232,MATCH(Q$2,'Distribution %'!$A$2:$Q$2,0),FALSE)/(SUMIF('Distribution %'!$C$1:$Q$1,"BUDGET",'Distribution %'!$C97:$Q97))),"0")+0)</f>
        <v>4608.3302147971363</v>
      </c>
      <c r="R158" s="389">
        <f>IF(VLOOKUP("Net Income",'FY ACTUALS'!$A$1:$X$996,R$3,FALSE)&lt;&gt;0,IFERROR(VLOOKUP($B158,'FY ACTUALS'!$A$1:$X$996,R$3,FALSE),"0")+0,IFERROR(($H158-SUMIF($I$1:$W$1,"ACTUAL",$I158:$W158))*(VLOOKUP($B158,'Distribution %'!$A$2:$Q$232,MATCH(R$2,'Distribution %'!$A$2:$Q$2,0),FALSE)/(SUMIF('Distribution %'!$C$1:$Q$1,"BUDGET",'Distribution %'!$C97:$Q97))),"0")+0)</f>
        <v>4608.3302147971363</v>
      </c>
      <c r="S158" s="389">
        <f>IF(VLOOKUP("Net Income",'FY ACTUALS'!$A$1:$X$996,S$3,FALSE)&lt;&gt;0,IFERROR(VLOOKUP($B158,'FY ACTUALS'!$A$1:$X$996,S$3,FALSE),"0")+0,IFERROR(($H158-SUMIF($I$1:$W$1,"ACTUAL",$I158:$W158))*(VLOOKUP($B158,'Distribution %'!$A$2:$Q$232,MATCH(S$2,'Distribution %'!$A$2:$Q$2,0),FALSE)/(SUMIF('Distribution %'!$C$1:$Q$1,"BUDGET",'Distribution %'!$C97:$Q97))),"0")+0)</f>
        <v>4608.3302147971363</v>
      </c>
      <c r="T158" s="389">
        <f>IF(VLOOKUP("Net Income",'FY ACTUALS'!$A$1:$X$996,T$3,FALSE)&lt;&gt;0,IFERROR(VLOOKUP($B158,'FY ACTUALS'!$A$1:$X$996,T$3,FALSE),"0")+0,IFERROR(($H158-SUMIF($I$1:$W$1,"ACTUAL",$I158:$W158))*(VLOOKUP($B158,'Distribution %'!$A$2:$Q$232,MATCH(T$2,'Distribution %'!$A$2:$Q$2,0),FALSE)/(SUMIF('Distribution %'!$C$1:$Q$1,"BUDGET",'Distribution %'!$C97:$Q97))),"0")+0)</f>
        <v>4608.3302147971363</v>
      </c>
      <c r="U158" s="389">
        <f>IF(VLOOKUP("Net Income",'FY ACTUALS'!$A$1:$X$996,U$3,FALSE)&lt;&gt;0,IFERROR(VLOOKUP($B158,'FY ACTUALS'!$A$1:$X$996,U$3,FALSE),"0")+0,IFERROR(($H158-SUMIF($I$1:$W$1,"ACTUAL",$I158:$W158))*(VLOOKUP($B158,'Distribution %'!$A$2:$Q$232,MATCH(U$2,'Distribution %'!$A$2:$Q$2,0),FALSE)/(SUMIF('Distribution %'!$C$1:$Q$1,"BUDGET",'Distribution %'!$C97:$Q97))),"0")+0)</f>
        <v>0</v>
      </c>
      <c r="V158" s="389">
        <f>IF(VLOOKUP("Net Income",'FY ACTUALS'!$A$1:$X$996,V$3,FALSE)&lt;&gt;0,IFERROR(VLOOKUP($B158,'FY ACTUALS'!$A$1:$X$996,V$3,FALSE),"0")+0,IFERROR(($H158-SUMIF($I$1:$W$1,"ACTUAL",$I158:$W158))*(VLOOKUP($B158,'Distribution %'!$A$2:$Q$232,MATCH(V$2,'Distribution %'!$A$2:$Q$2,0),FALSE)/(SUMIF('Distribution %'!$C$1:$Q$1,"BUDGET",'Distribution %'!$C97:$Q97))),"0")+0)</f>
        <v>0</v>
      </c>
      <c r="W158" s="431">
        <f>IF(VLOOKUP("Net Income",'FY ACTUALS'!$A$1:$X$996,W$3,FALSE)&lt;&gt;0,IFERROR(VLOOKUP($B158,'FY ACTUALS'!$A$1:$X$996,W$3,FALSE),"0")+0,IFERROR(($H158-SUMIF($I$1:$W$1,"ACTUAL",$I158:$W158))*(VLOOKUP($B158,'Distribution %'!$A$2:$Q$232,MATCH(W$2,'Distribution %'!$A$2:$Q$2,0),FALSE)/(SUMIF('Distribution %'!$C$1:$Q$1,"BUDGET",'Distribution %'!$C97:$Q97))),"0")+0)</f>
        <v>0</v>
      </c>
      <c r="X158" s="387">
        <f t="shared" si="48"/>
        <v>30000.000000000004</v>
      </c>
      <c r="Y158" s="387"/>
      <c r="Z158" s="387">
        <f t="shared" si="49"/>
        <v>0</v>
      </c>
    </row>
    <row r="159" spans="2:26" x14ac:dyDescent="0.75">
      <c r="B159" s="403">
        <v>5805</v>
      </c>
      <c r="C159" s="379" t="s">
        <v>1437</v>
      </c>
      <c r="F159" s="379" t="str">
        <f>IF(ISERROR(VLOOKUP(B159,'Distribution %'!A:A,1,FALSE)),"NO","YES")</f>
        <v>YES</v>
      </c>
      <c r="G159" s="392"/>
      <c r="H159" s="430">
        <f>IFERROR(VLOOKUP(B159,'Expenses w MYP'!$A$8:$K$119,11,FALSE),"0")+0</f>
        <v>150000</v>
      </c>
      <c r="I159" s="388">
        <f>IF(VLOOKUP("Net Income",'FY ACTUALS'!$A$1:$X$996,I$3,FALSE)&lt;&gt;0,IFERROR(VLOOKUP($B159,'FY ACTUALS'!$A$1:$X$996,I$3,FALSE),"0")+0,IFERROR(($H159-SUMIF($I$1:$W$1,"ACTUAL",$I159:$W159))*(VLOOKUP($B159,'Distribution %'!$A$2:$Q$232,MATCH(I$2,'Distribution %'!$A$2:$Q$2,0),FALSE)/(SUMIF('Distribution %'!$C$1:$Q$1,"BUDGET",'Distribution %'!$C98:$Q98))),"0")+0)</f>
        <v>0</v>
      </c>
      <c r="J159" s="389">
        <f>IF(VLOOKUP("Net Income",'FY ACTUALS'!$A$1:$X$996,J$3,FALSE)&lt;&gt;0,IFERROR(VLOOKUP($B159,'FY ACTUALS'!$A$1:$X$996,J$3,FALSE),"0")+0,IFERROR(($H159-SUMIF($I$1:$W$1,"ACTUAL",$I159:$W159))*(VLOOKUP($B159,'Distribution %'!$A$2:$Q$232,MATCH(J$2,'Distribution %'!$A$2:$Q$2,0),FALSE)/(SUMIF('Distribution %'!$C$1:$Q$1,"BUDGET",'Distribution %'!$C98:$Q98))),"0")+0)</f>
        <v>25423.42</v>
      </c>
      <c r="K159" s="389">
        <f>IF(VLOOKUP("Net Income",'FY ACTUALS'!$A$1:$X$996,K$3,FALSE)&lt;&gt;0,IFERROR(VLOOKUP($B159,'FY ACTUALS'!$A$1:$X$996,K$3,FALSE),"0")+0,IFERROR(($H159-SUMIF($I$1:$W$1,"ACTUAL",$I159:$W159))*(VLOOKUP($B159,'Distribution %'!$A$2:$Q$232,MATCH(K$2,'Distribution %'!$A$2:$Q$2,0),FALSE)/(SUMIF('Distribution %'!$C$1:$Q$1,"BUDGET",'Distribution %'!$C98:$Q98))),"0")+0)</f>
        <v>15175.78</v>
      </c>
      <c r="L159" s="389">
        <f>IF(VLOOKUP("Net Income",'FY ACTUALS'!$A$1:$X$996,L$3,FALSE)&lt;&gt;0,IFERROR(VLOOKUP($B159,'FY ACTUALS'!$A$1:$X$996,L$3,FALSE),"0")+0,IFERROR(($H159-SUMIF($I$1:$W$1,"ACTUAL",$I159:$W159))*(VLOOKUP($B159,'Distribution %'!$A$2:$Q$232,MATCH(L$2,'Distribution %'!$A$2:$Q$2,0),FALSE)/(SUMIF('Distribution %'!$C$1:$Q$1,"BUDGET",'Distribution %'!$C98:$Q98))),"0")+0)</f>
        <v>19082.400000000001</v>
      </c>
      <c r="M159" s="389">
        <f>IF(VLOOKUP("Net Income",'FY ACTUALS'!$A$1:$X$996,M$3,FALSE)&lt;&gt;0,IFERROR(VLOOKUP($B159,'FY ACTUALS'!$A$1:$X$996,M$3,FALSE),"0")+0,IFERROR(($H159-SUMIF($I$1:$W$1,"ACTUAL",$I159:$W159))*(VLOOKUP($B159,'Distribution %'!$A$2:$Q$232,MATCH(M$2,'Distribution %'!$A$2:$Q$2,0),FALSE)/(SUMIF('Distribution %'!$C$1:$Q$1,"BUDGET",'Distribution %'!$C98:$Q98))),"0")+0)</f>
        <v>21286.71</v>
      </c>
      <c r="N159" s="389">
        <f>IF(VLOOKUP("Net Income",'FY ACTUALS'!$A$1:$X$996,N$3,FALSE)&lt;&gt;0,IFERROR(VLOOKUP($B159,'FY ACTUALS'!$A$1:$X$996,N$3,FALSE),"0")+0,IFERROR(($H159-SUMIF($I$1:$W$1,"ACTUAL",$I159:$W159))*(VLOOKUP($B159,'Distribution %'!$A$2:$Q$232,MATCH(N$2,'Distribution %'!$A$2:$Q$2,0),FALSE)/(SUMIF('Distribution %'!$C$1:$Q$1,"BUDGET",'Distribution %'!$C98:$Q98))),"0")+0)</f>
        <v>10000</v>
      </c>
      <c r="O159" s="389">
        <f>IF(VLOOKUP("Net Income",'FY ACTUALS'!$A$1:$X$996,O$3,FALSE)&lt;&gt;0,IFERROR(VLOOKUP($B159,'FY ACTUALS'!$A$1:$X$996,O$3,FALSE),"0")+0,IFERROR(($H159-SUMIF($I$1:$W$1,"ACTUAL",$I159:$W159))*(VLOOKUP($B159,'Distribution %'!$A$2:$Q$232,MATCH(O$2,'Distribution %'!$A$2:$Q$2,0),FALSE)/(SUMIF('Distribution %'!$C$1:$Q$1,"BUDGET",'Distribution %'!$C98:$Q98))),"0")+0)</f>
        <v>15881.63</v>
      </c>
      <c r="P159" s="389">
        <f>IF(VLOOKUP("Net Income",'FY ACTUALS'!$A$1:$X$996,P$3,FALSE)&lt;&gt;0,IFERROR(VLOOKUP($B159,'FY ACTUALS'!$A$1:$X$996,P$3,FALSE),"0")+0,IFERROR(($H159-SUMIF($I$1:$W$1,"ACTUAL",$I159:$W159))*(VLOOKUP($B159,'Distribution %'!$A$2:$Q$232,MATCH(P$2,'Distribution %'!$A$2:$Q$2,0),FALSE)/(SUMIF('Distribution %'!$C$1:$Q$1,"BUDGET",'Distribution %'!$C98:$Q98))),"0")+0)</f>
        <v>8547.6252505966586</v>
      </c>
      <c r="Q159" s="389">
        <f>IF(VLOOKUP("Net Income",'FY ACTUALS'!$A$1:$X$996,Q$3,FALSE)&lt;&gt;0,IFERROR(VLOOKUP($B159,'FY ACTUALS'!$A$1:$X$996,Q$3,FALSE),"0")+0,IFERROR(($H159-SUMIF($I$1:$W$1,"ACTUAL",$I159:$W159))*(VLOOKUP($B159,'Distribution %'!$A$2:$Q$232,MATCH(Q$2,'Distribution %'!$A$2:$Q$2,0),FALSE)/(SUMIF('Distribution %'!$C$1:$Q$1,"BUDGET",'Distribution %'!$C98:$Q98))),"0")+0)</f>
        <v>8650.6086873508357</v>
      </c>
      <c r="R159" s="389">
        <f>IF(VLOOKUP("Net Income",'FY ACTUALS'!$A$1:$X$996,R$3,FALSE)&lt;&gt;0,IFERROR(VLOOKUP($B159,'FY ACTUALS'!$A$1:$X$996,R$3,FALSE),"0")+0,IFERROR(($H159-SUMIF($I$1:$W$1,"ACTUAL",$I159:$W159))*(VLOOKUP($B159,'Distribution %'!$A$2:$Q$232,MATCH(R$2,'Distribution %'!$A$2:$Q$2,0),FALSE)/(SUMIF('Distribution %'!$C$1:$Q$1,"BUDGET",'Distribution %'!$C98:$Q98))),"0")+0)</f>
        <v>8650.6086873508357</v>
      </c>
      <c r="S159" s="389">
        <f>IF(VLOOKUP("Net Income",'FY ACTUALS'!$A$1:$X$996,S$3,FALSE)&lt;&gt;0,IFERROR(VLOOKUP($B159,'FY ACTUALS'!$A$1:$X$996,S$3,FALSE),"0")+0,IFERROR(($H159-SUMIF($I$1:$W$1,"ACTUAL",$I159:$W159))*(VLOOKUP($B159,'Distribution %'!$A$2:$Q$232,MATCH(S$2,'Distribution %'!$A$2:$Q$2,0),FALSE)/(SUMIF('Distribution %'!$C$1:$Q$1,"BUDGET",'Distribution %'!$C98:$Q98))),"0")+0)</f>
        <v>8650.6086873508357</v>
      </c>
      <c r="T159" s="389">
        <f>IF(VLOOKUP("Net Income",'FY ACTUALS'!$A$1:$X$996,T$3,FALSE)&lt;&gt;0,IFERROR(VLOOKUP($B159,'FY ACTUALS'!$A$1:$X$996,T$3,FALSE),"0")+0,IFERROR(($H159-SUMIF($I$1:$W$1,"ACTUAL",$I159:$W159))*(VLOOKUP($B159,'Distribution %'!$A$2:$Q$232,MATCH(T$2,'Distribution %'!$A$2:$Q$2,0),FALSE)/(SUMIF('Distribution %'!$C$1:$Q$1,"BUDGET",'Distribution %'!$C98:$Q98))),"0")+0)</f>
        <v>8650.6086873508357</v>
      </c>
      <c r="U159" s="389">
        <f>IF(VLOOKUP("Net Income",'FY ACTUALS'!$A$1:$X$996,U$3,FALSE)&lt;&gt;0,IFERROR(VLOOKUP($B159,'FY ACTUALS'!$A$1:$X$996,U$3,FALSE),"0")+0,IFERROR(($H159-SUMIF($I$1:$W$1,"ACTUAL",$I159:$W159))*(VLOOKUP($B159,'Distribution %'!$A$2:$Q$232,MATCH(U$2,'Distribution %'!$A$2:$Q$2,0),FALSE)/(SUMIF('Distribution %'!$C$1:$Q$1,"BUDGET",'Distribution %'!$C98:$Q98))),"0")+0)</f>
        <v>0</v>
      </c>
      <c r="V159" s="389">
        <f>IF(VLOOKUP("Net Income",'FY ACTUALS'!$A$1:$X$996,V$3,FALSE)&lt;&gt;0,IFERROR(VLOOKUP($B159,'FY ACTUALS'!$A$1:$X$996,V$3,FALSE),"0")+0,IFERROR(($H159-SUMIF($I$1:$W$1,"ACTUAL",$I159:$W159))*(VLOOKUP($B159,'Distribution %'!$A$2:$Q$232,MATCH(V$2,'Distribution %'!$A$2:$Q$2,0),FALSE)/(SUMIF('Distribution %'!$C$1:$Q$1,"BUDGET",'Distribution %'!$C98:$Q98))),"0")+0)</f>
        <v>0</v>
      </c>
      <c r="W159" s="431">
        <f>IF(VLOOKUP("Net Income",'FY ACTUALS'!$A$1:$X$996,W$3,FALSE)&lt;&gt;0,IFERROR(VLOOKUP($B159,'FY ACTUALS'!$A$1:$X$996,W$3,FALSE),"0")+0,IFERROR(($H159-SUMIF($I$1:$W$1,"ACTUAL",$I159:$W159))*(VLOOKUP($B159,'Distribution %'!$A$2:$Q$232,MATCH(W$2,'Distribution %'!$A$2:$Q$2,0),FALSE)/(SUMIF('Distribution %'!$C$1:$Q$1,"BUDGET",'Distribution %'!$C98:$Q98))),"0")+0)</f>
        <v>0</v>
      </c>
      <c r="X159" s="387">
        <f t="shared" si="48"/>
        <v>150000.00000000003</v>
      </c>
      <c r="Y159" s="387"/>
      <c r="Z159" s="387">
        <f t="shared" si="49"/>
        <v>0</v>
      </c>
    </row>
    <row r="160" spans="2:26" x14ac:dyDescent="0.75">
      <c r="B160" s="403">
        <v>5806</v>
      </c>
      <c r="C160" s="379" t="s">
        <v>1438</v>
      </c>
      <c r="F160" s="379" t="str">
        <f>IF(ISERROR(VLOOKUP(B160,'Distribution %'!A:A,1,FALSE)),"NO","YES")</f>
        <v>YES</v>
      </c>
      <c r="G160" s="392"/>
      <c r="H160" s="430">
        <f>IFERROR(VLOOKUP(B160,'Expenses w MYP'!$A$8:$K$119,11,FALSE),"0")+0</f>
        <v>23030</v>
      </c>
      <c r="I160" s="388">
        <f>IF(VLOOKUP("Net Income",'FY ACTUALS'!$A$1:$X$996,I$3,FALSE)&lt;&gt;0,IFERROR(VLOOKUP($B160,'FY ACTUALS'!$A$1:$X$996,I$3,FALSE),"0")+0,IFERROR(($H160-SUMIF($I$1:$W$1,"ACTUAL",$I160:$W160))*(VLOOKUP($B160,'Distribution %'!$A$2:$Q$232,MATCH(I$2,'Distribution %'!$A$2:$Q$2,0),FALSE)/(SUMIF('Distribution %'!$C$1:$Q$1,"BUDGET",'Distribution %'!$C99:$Q99))),"0")+0)</f>
        <v>0</v>
      </c>
      <c r="J160" s="389">
        <f>IF(VLOOKUP("Net Income",'FY ACTUALS'!$A$1:$X$996,J$3,FALSE)&lt;&gt;0,IFERROR(VLOOKUP($B160,'FY ACTUALS'!$A$1:$X$996,J$3,FALSE),"0")+0,IFERROR(($H160-SUMIF($I$1:$W$1,"ACTUAL",$I160:$W160))*(VLOOKUP($B160,'Distribution %'!$A$2:$Q$232,MATCH(J$2,'Distribution %'!$A$2:$Q$2,0),FALSE)/(SUMIF('Distribution %'!$C$1:$Q$1,"BUDGET",'Distribution %'!$C99:$Q99))),"0")+0)</f>
        <v>0</v>
      </c>
      <c r="K160" s="389">
        <f>IF(VLOOKUP("Net Income",'FY ACTUALS'!$A$1:$X$996,K$3,FALSE)&lt;&gt;0,IFERROR(VLOOKUP($B160,'FY ACTUALS'!$A$1:$X$996,K$3,FALSE),"0")+0,IFERROR(($H160-SUMIF($I$1:$W$1,"ACTUAL",$I160:$W160))*(VLOOKUP($B160,'Distribution %'!$A$2:$Q$232,MATCH(K$2,'Distribution %'!$A$2:$Q$2,0),FALSE)/(SUMIF('Distribution %'!$C$1:$Q$1,"BUDGET",'Distribution %'!$C99:$Q99))),"0")+0)</f>
        <v>6736.49</v>
      </c>
      <c r="L160" s="389">
        <f>IF(VLOOKUP("Net Income",'FY ACTUALS'!$A$1:$X$996,L$3,FALSE)&lt;&gt;0,IFERROR(VLOOKUP($B160,'FY ACTUALS'!$A$1:$X$996,L$3,FALSE),"0")+0,IFERROR(($H160-SUMIF($I$1:$W$1,"ACTUAL",$I160:$W160))*(VLOOKUP($B160,'Distribution %'!$A$2:$Q$232,MATCH(L$2,'Distribution %'!$A$2:$Q$2,0),FALSE)/(SUMIF('Distribution %'!$C$1:$Q$1,"BUDGET",'Distribution %'!$C99:$Q99))),"0")+0)</f>
        <v>6736.49</v>
      </c>
      <c r="M160" s="389">
        <f>IF(VLOOKUP("Net Income",'FY ACTUALS'!$A$1:$X$996,M$3,FALSE)&lt;&gt;0,IFERROR(VLOOKUP($B160,'FY ACTUALS'!$A$1:$X$996,M$3,FALSE),"0")+0,IFERROR(($H160-SUMIF($I$1:$W$1,"ACTUAL",$I160:$W160))*(VLOOKUP($B160,'Distribution %'!$A$2:$Q$232,MATCH(M$2,'Distribution %'!$A$2:$Q$2,0),FALSE)/(SUMIF('Distribution %'!$C$1:$Q$1,"BUDGET",'Distribution %'!$C99:$Q99))),"0")+0)</f>
        <v>0</v>
      </c>
      <c r="N160" s="389">
        <f>IF(VLOOKUP("Net Income",'FY ACTUALS'!$A$1:$X$996,N$3,FALSE)&lt;&gt;0,IFERROR(VLOOKUP($B160,'FY ACTUALS'!$A$1:$X$996,N$3,FALSE),"0")+0,IFERROR(($H160-SUMIF($I$1:$W$1,"ACTUAL",$I160:$W160))*(VLOOKUP($B160,'Distribution %'!$A$2:$Q$232,MATCH(N$2,'Distribution %'!$A$2:$Q$2,0),FALSE)/(SUMIF('Distribution %'!$C$1:$Q$1,"BUDGET",'Distribution %'!$C99:$Q99))),"0")+0)</f>
        <v>2000</v>
      </c>
      <c r="O160" s="389">
        <f>IF(VLOOKUP("Net Income",'FY ACTUALS'!$A$1:$X$996,O$3,FALSE)&lt;&gt;0,IFERROR(VLOOKUP($B160,'FY ACTUALS'!$A$1:$X$996,O$3,FALSE),"0")+0,IFERROR(($H160-SUMIF($I$1:$W$1,"ACTUAL",$I160:$W160))*(VLOOKUP($B160,'Distribution %'!$A$2:$Q$232,MATCH(O$2,'Distribution %'!$A$2:$Q$2,0),FALSE)/(SUMIF('Distribution %'!$C$1:$Q$1,"BUDGET",'Distribution %'!$C99:$Q99))),"0")+0)</f>
        <v>0</v>
      </c>
      <c r="P160" s="389">
        <f>IF(VLOOKUP("Net Income",'FY ACTUALS'!$A$1:$X$996,P$3,FALSE)&lt;&gt;0,IFERROR(VLOOKUP($B160,'FY ACTUALS'!$A$1:$X$996,P$3,FALSE),"0")+0,IFERROR(($H160-SUMIF($I$1:$W$1,"ACTUAL",$I160:$W160))*(VLOOKUP($B160,'Distribution %'!$A$2:$Q$232,MATCH(P$2,'Distribution %'!$A$2:$Q$2,0),FALSE)/(SUMIF('Distribution %'!$C$1:$Q$1,"BUDGET",'Distribution %'!$C99:$Q99))),"0")+0)</f>
        <v>1511.4040000000002</v>
      </c>
      <c r="Q160" s="389">
        <f>IF(VLOOKUP("Net Income",'FY ACTUALS'!$A$1:$X$996,Q$3,FALSE)&lt;&gt;0,IFERROR(VLOOKUP($B160,'FY ACTUALS'!$A$1:$X$996,Q$3,FALSE),"0")+0,IFERROR(($H160-SUMIF($I$1:$W$1,"ACTUAL",$I160:$W160))*(VLOOKUP($B160,'Distribution %'!$A$2:$Q$232,MATCH(Q$2,'Distribution %'!$A$2:$Q$2,0),FALSE)/(SUMIF('Distribution %'!$C$1:$Q$1,"BUDGET",'Distribution %'!$C99:$Q99))),"0")+0)</f>
        <v>1511.4040000000002</v>
      </c>
      <c r="R160" s="389">
        <f>IF(VLOOKUP("Net Income",'FY ACTUALS'!$A$1:$X$996,R$3,FALSE)&lt;&gt;0,IFERROR(VLOOKUP($B160,'FY ACTUALS'!$A$1:$X$996,R$3,FALSE),"0")+0,IFERROR(($H160-SUMIF($I$1:$W$1,"ACTUAL",$I160:$W160))*(VLOOKUP($B160,'Distribution %'!$A$2:$Q$232,MATCH(R$2,'Distribution %'!$A$2:$Q$2,0),FALSE)/(SUMIF('Distribution %'!$C$1:$Q$1,"BUDGET",'Distribution %'!$C99:$Q99))),"0")+0)</f>
        <v>1511.4040000000002</v>
      </c>
      <c r="S160" s="389">
        <f>IF(VLOOKUP("Net Income",'FY ACTUALS'!$A$1:$X$996,S$3,FALSE)&lt;&gt;0,IFERROR(VLOOKUP($B160,'FY ACTUALS'!$A$1:$X$996,S$3,FALSE),"0")+0,IFERROR(($H160-SUMIF($I$1:$W$1,"ACTUAL",$I160:$W160))*(VLOOKUP($B160,'Distribution %'!$A$2:$Q$232,MATCH(S$2,'Distribution %'!$A$2:$Q$2,0),FALSE)/(SUMIF('Distribution %'!$C$1:$Q$1,"BUDGET",'Distribution %'!$C99:$Q99))),"0")+0)</f>
        <v>1511.4040000000002</v>
      </c>
      <c r="T160" s="389">
        <f>IF(VLOOKUP("Net Income",'FY ACTUALS'!$A$1:$X$996,T$3,FALSE)&lt;&gt;0,IFERROR(VLOOKUP($B160,'FY ACTUALS'!$A$1:$X$996,T$3,FALSE),"0")+0,IFERROR(($H160-SUMIF($I$1:$W$1,"ACTUAL",$I160:$W160))*(VLOOKUP($B160,'Distribution %'!$A$2:$Q$232,MATCH(T$2,'Distribution %'!$A$2:$Q$2,0),FALSE)/(SUMIF('Distribution %'!$C$1:$Q$1,"BUDGET",'Distribution %'!$C99:$Q99))),"0")+0)</f>
        <v>1511.4040000000002</v>
      </c>
      <c r="U160" s="389">
        <f>IF(VLOOKUP("Net Income",'FY ACTUALS'!$A$1:$X$996,U$3,FALSE)&lt;&gt;0,IFERROR(VLOOKUP($B160,'FY ACTUALS'!$A$1:$X$996,U$3,FALSE),"0")+0,IFERROR(($H160-SUMIF($I$1:$W$1,"ACTUAL",$I160:$W160))*(VLOOKUP($B160,'Distribution %'!$A$2:$Q$232,MATCH(U$2,'Distribution %'!$A$2:$Q$2,0),FALSE)/(SUMIF('Distribution %'!$C$1:$Q$1,"BUDGET",'Distribution %'!$C99:$Q99))),"0")+0)</f>
        <v>0</v>
      </c>
      <c r="V160" s="389">
        <f>IF(VLOOKUP("Net Income",'FY ACTUALS'!$A$1:$X$996,V$3,FALSE)&lt;&gt;0,IFERROR(VLOOKUP($B160,'FY ACTUALS'!$A$1:$X$996,V$3,FALSE),"0")+0,IFERROR(($H160-SUMIF($I$1:$W$1,"ACTUAL",$I160:$W160))*(VLOOKUP($B160,'Distribution %'!$A$2:$Q$232,MATCH(V$2,'Distribution %'!$A$2:$Q$2,0),FALSE)/(SUMIF('Distribution %'!$C$1:$Q$1,"BUDGET",'Distribution %'!$C99:$Q99))),"0")+0)</f>
        <v>0</v>
      </c>
      <c r="W160" s="431">
        <f>IF(VLOOKUP("Net Income",'FY ACTUALS'!$A$1:$X$996,W$3,FALSE)&lt;&gt;0,IFERROR(VLOOKUP($B160,'FY ACTUALS'!$A$1:$X$996,W$3,FALSE),"0")+0,IFERROR(($H160-SUMIF($I$1:$W$1,"ACTUAL",$I160:$W160))*(VLOOKUP($B160,'Distribution %'!$A$2:$Q$232,MATCH(W$2,'Distribution %'!$A$2:$Q$2,0),FALSE)/(SUMIF('Distribution %'!$C$1:$Q$1,"BUDGET",'Distribution %'!$C99:$Q99))),"0")+0)</f>
        <v>0</v>
      </c>
      <c r="X160" s="387">
        <f t="shared" si="48"/>
        <v>23029.999999999993</v>
      </c>
      <c r="Y160" s="387"/>
      <c r="Z160" s="387">
        <f t="shared" si="49"/>
        <v>0</v>
      </c>
    </row>
    <row r="161" spans="2:26" x14ac:dyDescent="0.75">
      <c r="B161" s="403">
        <v>5807</v>
      </c>
      <c r="C161" s="379" t="s">
        <v>1439</v>
      </c>
      <c r="F161" s="379" t="str">
        <f>IF(ISERROR(VLOOKUP(B161,'Distribution %'!A:A,1,FALSE)),"NO","YES")</f>
        <v>YES</v>
      </c>
      <c r="G161" s="392"/>
      <c r="H161" s="430">
        <f>IFERROR(VLOOKUP(B161,'Expenses w MYP'!$A$8:$K$119,11,FALSE),"0")+0</f>
        <v>180000</v>
      </c>
      <c r="I161" s="388">
        <f>IF(VLOOKUP("Net Income",'FY ACTUALS'!$A$1:$X$996,I$3,FALSE)&lt;&gt;0,IFERROR(VLOOKUP($B161,'FY ACTUALS'!$A$1:$X$996,I$3,FALSE),"0")+0,IFERROR(($H161-SUMIF($I$1:$W$1,"ACTUAL",$I161:$W161))*(VLOOKUP($B161,'Distribution %'!$A$2:$Q$232,MATCH(I$2,'Distribution %'!$A$2:$Q$2,0),FALSE)/(SUMIF('Distribution %'!$C$1:$Q$1,"BUDGET",'Distribution %'!$C100:$Q100))),"0")+0)</f>
        <v>5429.53</v>
      </c>
      <c r="J161" s="389">
        <f>IF(VLOOKUP("Net Income",'FY ACTUALS'!$A$1:$X$996,J$3,FALSE)&lt;&gt;0,IFERROR(VLOOKUP($B161,'FY ACTUALS'!$A$1:$X$996,J$3,FALSE),"0")+0,IFERROR(($H161-SUMIF($I$1:$W$1,"ACTUAL",$I161:$W161))*(VLOOKUP($B161,'Distribution %'!$A$2:$Q$232,MATCH(J$2,'Distribution %'!$A$2:$Q$2,0),FALSE)/(SUMIF('Distribution %'!$C$1:$Q$1,"BUDGET",'Distribution %'!$C100:$Q100))),"0")+0)</f>
        <v>-769.36</v>
      </c>
      <c r="K161" s="389">
        <f>IF(VLOOKUP("Net Income",'FY ACTUALS'!$A$1:$X$996,K$3,FALSE)&lt;&gt;0,IFERROR(VLOOKUP($B161,'FY ACTUALS'!$A$1:$X$996,K$3,FALSE),"0")+0,IFERROR(($H161-SUMIF($I$1:$W$1,"ACTUAL",$I161:$W161))*(VLOOKUP($B161,'Distribution %'!$A$2:$Q$232,MATCH(K$2,'Distribution %'!$A$2:$Q$2,0),FALSE)/(SUMIF('Distribution %'!$C$1:$Q$1,"BUDGET",'Distribution %'!$C100:$Q100))),"0")+0)</f>
        <v>1666.13</v>
      </c>
      <c r="L161" s="389">
        <f>IF(VLOOKUP("Net Income",'FY ACTUALS'!$A$1:$X$996,L$3,FALSE)&lt;&gt;0,IFERROR(VLOOKUP($B161,'FY ACTUALS'!$A$1:$X$996,L$3,FALSE),"0")+0,IFERROR(($H161-SUMIF($I$1:$W$1,"ACTUAL",$I161:$W161))*(VLOOKUP($B161,'Distribution %'!$A$2:$Q$232,MATCH(L$2,'Distribution %'!$A$2:$Q$2,0),FALSE)/(SUMIF('Distribution %'!$C$1:$Q$1,"BUDGET",'Distribution %'!$C100:$Q100))),"0")+0)</f>
        <v>125</v>
      </c>
      <c r="M161" s="389">
        <f>IF(VLOOKUP("Net Income",'FY ACTUALS'!$A$1:$X$996,M$3,FALSE)&lt;&gt;0,IFERROR(VLOOKUP($B161,'FY ACTUALS'!$A$1:$X$996,M$3,FALSE),"0")+0,IFERROR(($H161-SUMIF($I$1:$W$1,"ACTUAL",$I161:$W161))*(VLOOKUP($B161,'Distribution %'!$A$2:$Q$232,MATCH(M$2,'Distribution %'!$A$2:$Q$2,0),FALSE)/(SUMIF('Distribution %'!$C$1:$Q$1,"BUDGET",'Distribution %'!$C100:$Q100))),"0")+0)</f>
        <v>300</v>
      </c>
      <c r="N161" s="389">
        <f>IF(VLOOKUP("Net Income",'FY ACTUALS'!$A$1:$X$996,N$3,FALSE)&lt;&gt;0,IFERROR(VLOOKUP($B161,'FY ACTUALS'!$A$1:$X$996,N$3,FALSE),"0")+0,IFERROR(($H161-SUMIF($I$1:$W$1,"ACTUAL",$I161:$W161))*(VLOOKUP($B161,'Distribution %'!$A$2:$Q$232,MATCH(N$2,'Distribution %'!$A$2:$Q$2,0),FALSE)/(SUMIF('Distribution %'!$C$1:$Q$1,"BUDGET",'Distribution %'!$C100:$Q100))),"0")+0)</f>
        <v>5000.01</v>
      </c>
      <c r="O161" s="389">
        <f>IF(VLOOKUP("Net Income",'FY ACTUALS'!$A$1:$X$996,O$3,FALSE)&lt;&gt;0,IFERROR(VLOOKUP($B161,'FY ACTUALS'!$A$1:$X$996,O$3,FALSE),"0")+0,IFERROR(($H161-SUMIF($I$1:$W$1,"ACTUAL",$I161:$W161))*(VLOOKUP($B161,'Distribution %'!$A$2:$Q$232,MATCH(O$2,'Distribution %'!$A$2:$Q$2,0),FALSE)/(SUMIF('Distribution %'!$C$1:$Q$1,"BUDGET",'Distribution %'!$C100:$Q100))),"0")+0)</f>
        <v>-250.02</v>
      </c>
      <c r="P161" s="389">
        <f>IF(VLOOKUP("Net Income",'FY ACTUALS'!$A$1:$X$996,P$3,FALSE)&lt;&gt;0,IFERROR(VLOOKUP($B161,'FY ACTUALS'!$A$1:$X$996,P$3,FALSE),"0")+0,IFERROR(($H161-SUMIF($I$1:$W$1,"ACTUAL",$I161:$W161))*(VLOOKUP($B161,'Distribution %'!$A$2:$Q$232,MATCH(P$2,'Distribution %'!$A$2:$Q$2,0),FALSE)/(SUMIF('Distribution %'!$C$1:$Q$1,"BUDGET",'Distribution %'!$C100:$Q100))),"0")+0)</f>
        <v>33699.741999999998</v>
      </c>
      <c r="Q161" s="389">
        <f>IF(VLOOKUP("Net Income",'FY ACTUALS'!$A$1:$X$996,Q$3,FALSE)&lt;&gt;0,IFERROR(VLOOKUP($B161,'FY ACTUALS'!$A$1:$X$996,Q$3,FALSE),"0")+0,IFERROR(($H161-SUMIF($I$1:$W$1,"ACTUAL",$I161:$W161))*(VLOOKUP($B161,'Distribution %'!$A$2:$Q$232,MATCH(Q$2,'Distribution %'!$A$2:$Q$2,0),FALSE)/(SUMIF('Distribution %'!$C$1:$Q$1,"BUDGET",'Distribution %'!$C100:$Q100))),"0")+0)</f>
        <v>33699.741999999998</v>
      </c>
      <c r="R161" s="389">
        <f>IF(VLOOKUP("Net Income",'FY ACTUALS'!$A$1:$X$996,R$3,FALSE)&lt;&gt;0,IFERROR(VLOOKUP($B161,'FY ACTUALS'!$A$1:$X$996,R$3,FALSE),"0")+0,IFERROR(($H161-SUMIF($I$1:$W$1,"ACTUAL",$I161:$W161))*(VLOOKUP($B161,'Distribution %'!$A$2:$Q$232,MATCH(R$2,'Distribution %'!$A$2:$Q$2,0),FALSE)/(SUMIF('Distribution %'!$C$1:$Q$1,"BUDGET",'Distribution %'!$C100:$Q100))),"0")+0)</f>
        <v>33699.741999999998</v>
      </c>
      <c r="S161" s="389">
        <f>IF(VLOOKUP("Net Income",'FY ACTUALS'!$A$1:$X$996,S$3,FALSE)&lt;&gt;0,IFERROR(VLOOKUP($B161,'FY ACTUALS'!$A$1:$X$996,S$3,FALSE),"0")+0,IFERROR(($H161-SUMIF($I$1:$W$1,"ACTUAL",$I161:$W161))*(VLOOKUP($B161,'Distribution %'!$A$2:$Q$232,MATCH(S$2,'Distribution %'!$A$2:$Q$2,0),FALSE)/(SUMIF('Distribution %'!$C$1:$Q$1,"BUDGET",'Distribution %'!$C100:$Q100))),"0")+0)</f>
        <v>33699.741999999998</v>
      </c>
      <c r="T161" s="389">
        <f>IF(VLOOKUP("Net Income",'FY ACTUALS'!$A$1:$X$996,T$3,FALSE)&lt;&gt;0,IFERROR(VLOOKUP($B161,'FY ACTUALS'!$A$1:$X$996,T$3,FALSE),"0")+0,IFERROR(($H161-SUMIF($I$1:$W$1,"ACTUAL",$I161:$W161))*(VLOOKUP($B161,'Distribution %'!$A$2:$Q$232,MATCH(T$2,'Distribution %'!$A$2:$Q$2,0),FALSE)/(SUMIF('Distribution %'!$C$1:$Q$1,"BUDGET",'Distribution %'!$C100:$Q100))),"0")+0)</f>
        <v>33699.741999999998</v>
      </c>
      <c r="U161" s="389">
        <f>IF(VLOOKUP("Net Income",'FY ACTUALS'!$A$1:$X$996,U$3,FALSE)&lt;&gt;0,IFERROR(VLOOKUP($B161,'FY ACTUALS'!$A$1:$X$996,U$3,FALSE),"0")+0,IFERROR(($H161-SUMIF($I$1:$W$1,"ACTUAL",$I161:$W161))*(VLOOKUP($B161,'Distribution %'!$A$2:$Q$232,MATCH(U$2,'Distribution %'!$A$2:$Q$2,0),FALSE)/(SUMIF('Distribution %'!$C$1:$Q$1,"BUDGET",'Distribution %'!$C100:$Q100))),"0")+0)</f>
        <v>0</v>
      </c>
      <c r="V161" s="389">
        <f>IF(VLOOKUP("Net Income",'FY ACTUALS'!$A$1:$X$996,V$3,FALSE)&lt;&gt;0,IFERROR(VLOOKUP($B161,'FY ACTUALS'!$A$1:$X$996,V$3,FALSE),"0")+0,IFERROR(($H161-SUMIF($I$1:$W$1,"ACTUAL",$I161:$W161))*(VLOOKUP($B161,'Distribution %'!$A$2:$Q$232,MATCH(V$2,'Distribution %'!$A$2:$Q$2,0),FALSE)/(SUMIF('Distribution %'!$C$1:$Q$1,"BUDGET",'Distribution %'!$C100:$Q100))),"0")+0)</f>
        <v>0</v>
      </c>
      <c r="W161" s="431">
        <f>IF(VLOOKUP("Net Income",'FY ACTUALS'!$A$1:$X$996,W$3,FALSE)&lt;&gt;0,IFERROR(VLOOKUP($B161,'FY ACTUALS'!$A$1:$X$996,W$3,FALSE),"0")+0,IFERROR(($H161-SUMIF($I$1:$W$1,"ACTUAL",$I161:$W161))*(VLOOKUP($B161,'Distribution %'!$A$2:$Q$232,MATCH(W$2,'Distribution %'!$A$2:$Q$2,0),FALSE)/(SUMIF('Distribution %'!$C$1:$Q$1,"BUDGET",'Distribution %'!$C100:$Q100))),"0")+0)</f>
        <v>0</v>
      </c>
      <c r="X161" s="387">
        <f t="shared" si="48"/>
        <v>180000</v>
      </c>
      <c r="Y161" s="387"/>
      <c r="Z161" s="387">
        <f t="shared" si="49"/>
        <v>0</v>
      </c>
    </row>
    <row r="162" spans="2:26" x14ac:dyDescent="0.75">
      <c r="B162" s="403">
        <v>5809</v>
      </c>
      <c r="C162" s="379" t="s">
        <v>1512</v>
      </c>
      <c r="F162" s="379" t="str">
        <f>IF(ISERROR(VLOOKUP(B162,'Distribution %'!A:A,1,FALSE)),"NO","YES")</f>
        <v>YES</v>
      </c>
      <c r="G162" s="392"/>
      <c r="H162" s="430">
        <f>IFERROR(VLOOKUP(B162,'Expenses w MYP'!$A$8:$K$119,11,FALSE),"0")+0</f>
        <v>50000</v>
      </c>
      <c r="I162" s="388">
        <f>IF(VLOOKUP("Net Income",'FY ACTUALS'!$A$1:$X$996,I$3,FALSE)&lt;&gt;0,IFERROR(VLOOKUP($B162,'FY ACTUALS'!$A$1:$X$996,I$3,FALSE),"0")+0,IFERROR(($H162-SUMIF($I$1:$W$1,"ACTUAL",$I162:$W162))*(VLOOKUP($B162,'Distribution %'!$A$2:$Q$232,MATCH(I$2,'Distribution %'!$A$2:$Q$2,0),FALSE)/(SUMIF('Distribution %'!$C$1:$Q$1,"BUDGET",'Distribution %'!$C122:$Q122))),"0")+0)</f>
        <v>0</v>
      </c>
      <c r="J162" s="389">
        <f>IF(VLOOKUP("Net Income",'FY ACTUALS'!$A$1:$X$996,J$3,FALSE)&lt;&gt;0,IFERROR(VLOOKUP($B162,'FY ACTUALS'!$A$1:$X$996,J$3,FALSE),"0")+0,IFERROR(($H162-SUMIF($I$1:$W$1,"ACTUAL",$I162:$W162))*(VLOOKUP($B162,'Distribution %'!$A$2:$Q$232,MATCH(J$2,'Distribution %'!$A$2:$Q$2,0),FALSE)/(SUMIF('Distribution %'!$C$1:$Q$1,"BUDGET",'Distribution %'!$C122:$Q122))),"0")+0)</f>
        <v>0</v>
      </c>
      <c r="K162" s="389">
        <f>IF(VLOOKUP("Net Income",'FY ACTUALS'!$A$1:$X$996,K$3,FALSE)&lt;&gt;0,IFERROR(VLOOKUP($B162,'FY ACTUALS'!$A$1:$X$996,K$3,FALSE),"0")+0,IFERROR(($H162-SUMIF($I$1:$W$1,"ACTUAL",$I162:$W162))*(VLOOKUP($B162,'Distribution %'!$A$2:$Q$232,MATCH(K$2,'Distribution %'!$A$2:$Q$2,0),FALSE)/(SUMIF('Distribution %'!$C$1:$Q$1,"BUDGET",'Distribution %'!$C122:$Q122))),"0")+0)</f>
        <v>3720</v>
      </c>
      <c r="L162" s="389">
        <f>IF(VLOOKUP("Net Income",'FY ACTUALS'!$A$1:$X$996,L$3,FALSE)&lt;&gt;0,IFERROR(VLOOKUP($B162,'FY ACTUALS'!$A$1:$X$996,L$3,FALSE),"0")+0,IFERROR(($H162-SUMIF($I$1:$W$1,"ACTUAL",$I162:$W162))*(VLOOKUP($B162,'Distribution %'!$A$2:$Q$232,MATCH(L$2,'Distribution %'!$A$2:$Q$2,0),FALSE)/(SUMIF('Distribution %'!$C$1:$Q$1,"BUDGET",'Distribution %'!$C122:$Q122))),"0")+0)</f>
        <v>19250</v>
      </c>
      <c r="M162" s="389">
        <f>IF(VLOOKUP("Net Income",'FY ACTUALS'!$A$1:$X$996,M$3,FALSE)&lt;&gt;0,IFERROR(VLOOKUP($B162,'FY ACTUALS'!$A$1:$X$996,M$3,FALSE),"0")+0,IFERROR(($H162-SUMIF($I$1:$W$1,"ACTUAL",$I162:$W162))*(VLOOKUP($B162,'Distribution %'!$A$2:$Q$232,MATCH(M$2,'Distribution %'!$A$2:$Q$2,0),FALSE)/(SUMIF('Distribution %'!$C$1:$Q$1,"BUDGET",'Distribution %'!$C122:$Q122))),"0")+0)</f>
        <v>105.9</v>
      </c>
      <c r="N162" s="389">
        <f>IF(VLOOKUP("Net Income",'FY ACTUALS'!$A$1:$X$996,N$3,FALSE)&lt;&gt;0,IFERROR(VLOOKUP($B162,'FY ACTUALS'!$A$1:$X$996,N$3,FALSE),"0")+0,IFERROR(($H162-SUMIF($I$1:$W$1,"ACTUAL",$I162:$W162))*(VLOOKUP($B162,'Distribution %'!$A$2:$Q$232,MATCH(N$2,'Distribution %'!$A$2:$Q$2,0),FALSE)/(SUMIF('Distribution %'!$C$1:$Q$1,"BUDGET",'Distribution %'!$C122:$Q122))),"0")+0)</f>
        <v>3920</v>
      </c>
      <c r="O162" s="389">
        <f>IF(VLOOKUP("Net Income",'FY ACTUALS'!$A$1:$X$996,O$3,FALSE)&lt;&gt;0,IFERROR(VLOOKUP($B162,'FY ACTUALS'!$A$1:$X$996,O$3,FALSE),"0")+0,IFERROR(($H162-SUMIF($I$1:$W$1,"ACTUAL",$I162:$W162))*(VLOOKUP($B162,'Distribution %'!$A$2:$Q$232,MATCH(O$2,'Distribution %'!$A$2:$Q$2,0),FALSE)/(SUMIF('Distribution %'!$C$1:$Q$1,"BUDGET",'Distribution %'!$C122:$Q122))),"0")+0)</f>
        <v>-2303.4</v>
      </c>
      <c r="P162" s="389">
        <f>IF(VLOOKUP("Net Income",'FY ACTUALS'!$A$1:$X$996,P$3,FALSE)&lt;&gt;0,IFERROR(VLOOKUP($B162,'FY ACTUALS'!$A$1:$X$996,P$3,FALSE),"0")+0,IFERROR(($H162-SUMIF($I$1:$W$1,"ACTUAL",$I162:$W162))*(VLOOKUP($B162,'Distribution %'!$A$2:$Q$232,MATCH(P$2,'Distribution %'!$A$2:$Q$2,0),FALSE)/(SUMIF('Distribution %'!$C$1:$Q$1,"BUDGET",'Distribution %'!$C122:$Q122))),"0")+0)</f>
        <v>5013.1801909307878</v>
      </c>
      <c r="Q162" s="389">
        <f>IF(VLOOKUP("Net Income",'FY ACTUALS'!$A$1:$X$996,Q$3,FALSE)&lt;&gt;0,IFERROR(VLOOKUP($B162,'FY ACTUALS'!$A$1:$X$996,Q$3,FALSE),"0")+0,IFERROR(($H162-SUMIF($I$1:$W$1,"ACTUAL",$I162:$W162))*(VLOOKUP($B162,'Distribution %'!$A$2:$Q$232,MATCH(Q$2,'Distribution %'!$A$2:$Q$2,0),FALSE)/(SUMIF('Distribution %'!$C$1:$Q$1,"BUDGET",'Distribution %'!$C122:$Q122))),"0")+0)</f>
        <v>5073.5799522673033</v>
      </c>
      <c r="R162" s="389">
        <f>IF(VLOOKUP("Net Income",'FY ACTUALS'!$A$1:$X$996,R$3,FALSE)&lt;&gt;0,IFERROR(VLOOKUP($B162,'FY ACTUALS'!$A$1:$X$996,R$3,FALSE),"0")+0,IFERROR(($H162-SUMIF($I$1:$W$1,"ACTUAL",$I162:$W162))*(VLOOKUP($B162,'Distribution %'!$A$2:$Q$232,MATCH(R$2,'Distribution %'!$A$2:$Q$2,0),FALSE)/(SUMIF('Distribution %'!$C$1:$Q$1,"BUDGET",'Distribution %'!$C122:$Q122))),"0")+0)</f>
        <v>5073.5799522673033</v>
      </c>
      <c r="S162" s="389">
        <f>IF(VLOOKUP("Net Income",'FY ACTUALS'!$A$1:$X$996,S$3,FALSE)&lt;&gt;0,IFERROR(VLOOKUP($B162,'FY ACTUALS'!$A$1:$X$996,S$3,FALSE),"0")+0,IFERROR(($H162-SUMIF($I$1:$W$1,"ACTUAL",$I162:$W162))*(VLOOKUP($B162,'Distribution %'!$A$2:$Q$232,MATCH(S$2,'Distribution %'!$A$2:$Q$2,0),FALSE)/(SUMIF('Distribution %'!$C$1:$Q$1,"BUDGET",'Distribution %'!$C122:$Q122))),"0")+0)</f>
        <v>5073.5799522673033</v>
      </c>
      <c r="T162" s="389">
        <f>IF(VLOOKUP("Net Income",'FY ACTUALS'!$A$1:$X$996,T$3,FALSE)&lt;&gt;0,IFERROR(VLOOKUP($B162,'FY ACTUALS'!$A$1:$X$996,T$3,FALSE),"0")+0,IFERROR(($H162-SUMIF($I$1:$W$1,"ACTUAL",$I162:$W162))*(VLOOKUP($B162,'Distribution %'!$A$2:$Q$232,MATCH(T$2,'Distribution %'!$A$2:$Q$2,0),FALSE)/(SUMIF('Distribution %'!$C$1:$Q$1,"BUDGET",'Distribution %'!$C122:$Q122))),"0")+0)</f>
        <v>5073.5799522673033</v>
      </c>
      <c r="U162" s="389">
        <f>IF(VLOOKUP("Net Income",'FY ACTUALS'!$A$1:$X$996,U$3,FALSE)&lt;&gt;0,IFERROR(VLOOKUP($B162,'FY ACTUALS'!$A$1:$X$996,U$3,FALSE),"0")+0,IFERROR(($H162-SUMIF($I$1:$W$1,"ACTUAL",$I162:$W162))*(VLOOKUP($B162,'Distribution %'!$A$2:$Q$232,MATCH(U$2,'Distribution %'!$A$2:$Q$2,0),FALSE)/(SUMIF('Distribution %'!$C$1:$Q$1,"BUDGET",'Distribution %'!$C122:$Q122))),"0")+0)</f>
        <v>0</v>
      </c>
      <c r="V162" s="389">
        <f>IF(VLOOKUP("Net Income",'FY ACTUALS'!$A$1:$X$996,V$3,FALSE)&lt;&gt;0,IFERROR(VLOOKUP($B162,'FY ACTUALS'!$A$1:$X$996,V$3,FALSE),"0")+0,IFERROR(($H162-SUMIF($I$1:$W$1,"ACTUAL",$I162:$W162))*(VLOOKUP($B162,'Distribution %'!$A$2:$Q$232,MATCH(V$2,'Distribution %'!$A$2:$Q$2,0),FALSE)/(SUMIF('Distribution %'!$C$1:$Q$1,"BUDGET",'Distribution %'!$C122:$Q122))),"0")+0)</f>
        <v>0</v>
      </c>
      <c r="W162" s="431">
        <f>IF(VLOOKUP("Net Income",'FY ACTUALS'!$A$1:$X$996,W$3,FALSE)&lt;&gt;0,IFERROR(VLOOKUP($B162,'FY ACTUALS'!$A$1:$X$996,W$3,FALSE),"0")+0,IFERROR(($H162-SUMIF($I$1:$W$1,"ACTUAL",$I162:$W162))*(VLOOKUP($B162,'Distribution %'!$A$2:$Q$232,MATCH(W$2,'Distribution %'!$A$2:$Q$2,0),FALSE)/(SUMIF('Distribution %'!$C$1:$Q$1,"BUDGET",'Distribution %'!$C122:$Q122))),"0")+0)</f>
        <v>0</v>
      </c>
      <c r="X162" s="387">
        <f t="shared" ref="X162" si="50">+SUM(I162:W162)</f>
        <v>50000</v>
      </c>
      <c r="Y162" s="387"/>
      <c r="Z162" s="387">
        <f t="shared" ref="Z162" si="51">+H162-X162</f>
        <v>0</v>
      </c>
    </row>
    <row r="163" spans="2:26" x14ac:dyDescent="0.75">
      <c r="B163" s="403">
        <v>5810</v>
      </c>
      <c r="C163" s="379" t="s">
        <v>609</v>
      </c>
      <c r="F163" s="379" t="str">
        <f>IF(ISERROR(VLOOKUP(B163,'Distribution %'!A:A,1,FALSE)),"NO","YES")</f>
        <v>YES</v>
      </c>
      <c r="G163" s="392"/>
      <c r="H163" s="430">
        <f>IFERROR(VLOOKUP(B163,'Expenses w MYP'!$A$8:$K$119,11,FALSE),"0")+0</f>
        <v>2400000</v>
      </c>
      <c r="I163" s="388">
        <f>IF(VLOOKUP("Net Income",'FY ACTUALS'!$A$1:$X$996,I$3,FALSE)&lt;&gt;0,IFERROR(VLOOKUP($B163,'FY ACTUALS'!$A$1:$X$996,I$3,FALSE),"0")+0,IFERROR(($H163-SUMIF($I$1:$W$1,"ACTUAL",$I163:$W163))*(VLOOKUP($B163,'Distribution %'!$A$2:$Q$232,MATCH(I$2,'Distribution %'!$A$2:$Q$2,0),FALSE)/(SUMIF('Distribution %'!$C$1:$Q$1,"BUDGET",'Distribution %'!$C102:$Q102))),"0")+0)</f>
        <v>43907.86</v>
      </c>
      <c r="J163" s="389">
        <f>IF(VLOOKUP("Net Income",'FY ACTUALS'!$A$1:$X$996,J$3,FALSE)&lt;&gt;0,IFERROR(VLOOKUP($B163,'FY ACTUALS'!$A$1:$X$996,J$3,FALSE),"0")+0,IFERROR(($H163-SUMIF($I$1:$W$1,"ACTUAL",$I163:$W163))*(VLOOKUP($B163,'Distribution %'!$A$2:$Q$232,MATCH(J$2,'Distribution %'!$A$2:$Q$2,0),FALSE)/(SUMIF('Distribution %'!$C$1:$Q$1,"BUDGET",'Distribution %'!$C102:$Q102))),"0")+0)</f>
        <v>21963.74</v>
      </c>
      <c r="K163" s="389">
        <f>IF(VLOOKUP("Net Income",'FY ACTUALS'!$A$1:$X$996,K$3,FALSE)&lt;&gt;0,IFERROR(VLOOKUP($B163,'FY ACTUALS'!$A$1:$X$996,K$3,FALSE),"0")+0,IFERROR(($H163-SUMIF($I$1:$W$1,"ACTUAL",$I163:$W163))*(VLOOKUP($B163,'Distribution %'!$A$2:$Q$232,MATCH(K$2,'Distribution %'!$A$2:$Q$2,0),FALSE)/(SUMIF('Distribution %'!$C$1:$Q$1,"BUDGET",'Distribution %'!$C102:$Q102))),"0")+0)</f>
        <v>31626.06</v>
      </c>
      <c r="L163" s="389">
        <f>IF(VLOOKUP("Net Income",'FY ACTUALS'!$A$1:$X$996,L$3,FALSE)&lt;&gt;0,IFERROR(VLOOKUP($B163,'FY ACTUALS'!$A$1:$X$996,L$3,FALSE),"0")+0,IFERROR(($H163-SUMIF($I$1:$W$1,"ACTUAL",$I163:$W163))*(VLOOKUP($B163,'Distribution %'!$A$2:$Q$232,MATCH(L$2,'Distribution %'!$A$2:$Q$2,0),FALSE)/(SUMIF('Distribution %'!$C$1:$Q$1,"BUDGET",'Distribution %'!$C102:$Q102))),"0")+0)</f>
        <v>235410.72</v>
      </c>
      <c r="M163" s="389">
        <f>IF(VLOOKUP("Net Income",'FY ACTUALS'!$A$1:$X$996,M$3,FALSE)&lt;&gt;0,IFERROR(VLOOKUP($B163,'FY ACTUALS'!$A$1:$X$996,M$3,FALSE),"0")+0,IFERROR(($H163-SUMIF($I$1:$W$1,"ACTUAL",$I163:$W163))*(VLOOKUP($B163,'Distribution %'!$A$2:$Q$232,MATCH(M$2,'Distribution %'!$A$2:$Q$2,0),FALSE)/(SUMIF('Distribution %'!$C$1:$Q$1,"BUDGET",'Distribution %'!$C102:$Q102))),"0")+0)</f>
        <v>121177.47</v>
      </c>
      <c r="N163" s="389">
        <f>IF(VLOOKUP("Net Income",'FY ACTUALS'!$A$1:$X$996,N$3,FALSE)&lt;&gt;0,IFERROR(VLOOKUP($B163,'FY ACTUALS'!$A$1:$X$996,N$3,FALSE),"0")+0,IFERROR(($H163-SUMIF($I$1:$W$1,"ACTUAL",$I163:$W163))*(VLOOKUP($B163,'Distribution %'!$A$2:$Q$232,MATCH(N$2,'Distribution %'!$A$2:$Q$2,0),FALSE)/(SUMIF('Distribution %'!$C$1:$Q$1,"BUDGET",'Distribution %'!$C102:$Q102))),"0")+0)</f>
        <v>44724.14</v>
      </c>
      <c r="O163" s="389">
        <f>IF(VLOOKUP("Net Income",'FY ACTUALS'!$A$1:$X$996,O$3,FALSE)&lt;&gt;0,IFERROR(VLOOKUP($B163,'FY ACTUALS'!$A$1:$X$996,O$3,FALSE),"0")+0,IFERROR(($H163-SUMIF($I$1:$W$1,"ACTUAL",$I163:$W163))*(VLOOKUP($B163,'Distribution %'!$A$2:$Q$232,MATCH(O$2,'Distribution %'!$A$2:$Q$2,0),FALSE)/(SUMIF('Distribution %'!$C$1:$Q$1,"BUDGET",'Distribution %'!$C102:$Q102))),"0")+0)</f>
        <v>143836.97</v>
      </c>
      <c r="P163" s="389">
        <f>IF(VLOOKUP("Net Income",'FY ACTUALS'!$A$1:$X$996,P$3,FALSE)&lt;&gt;0,IFERROR(VLOOKUP($B163,'FY ACTUALS'!$A$1:$X$996,P$3,FALSE),"0")+0,IFERROR(($H163-SUMIF($I$1:$W$1,"ACTUAL",$I163:$W163))*(VLOOKUP($B163,'Distribution %'!$A$2:$Q$232,MATCH(P$2,'Distribution %'!$A$2:$Q$2,0),FALSE)/(SUMIF('Distribution %'!$C$1:$Q$1,"BUDGET",'Distribution %'!$C102:$Q102))),"0")+0)</f>
        <v>348115.28</v>
      </c>
      <c r="Q163" s="389">
        <f>IF(VLOOKUP("Net Income",'FY ACTUALS'!$A$1:$X$996,Q$3,FALSE)&lt;&gt;0,IFERROR(VLOOKUP($B163,'FY ACTUALS'!$A$1:$X$996,Q$3,FALSE),"0")+0,IFERROR(($H163-SUMIF($I$1:$W$1,"ACTUAL",$I163:$W163))*(VLOOKUP($B163,'Distribution %'!$A$2:$Q$232,MATCH(Q$2,'Distribution %'!$A$2:$Q$2,0),FALSE)/(SUMIF('Distribution %'!$C$1:$Q$1,"BUDGET",'Distribution %'!$C102:$Q102))),"0")+0)</f>
        <v>352309.44</v>
      </c>
      <c r="R163" s="389">
        <f>IF(VLOOKUP("Net Income",'FY ACTUALS'!$A$1:$X$996,R$3,FALSE)&lt;&gt;0,IFERROR(VLOOKUP($B163,'FY ACTUALS'!$A$1:$X$996,R$3,FALSE),"0")+0,IFERROR(($H163-SUMIF($I$1:$W$1,"ACTUAL",$I163:$W163))*(VLOOKUP($B163,'Distribution %'!$A$2:$Q$232,MATCH(R$2,'Distribution %'!$A$2:$Q$2,0),FALSE)/(SUMIF('Distribution %'!$C$1:$Q$1,"BUDGET",'Distribution %'!$C102:$Q102))),"0")+0)</f>
        <v>352309.44</v>
      </c>
      <c r="S163" s="389">
        <f>IF(VLOOKUP("Net Income",'FY ACTUALS'!$A$1:$X$996,S$3,FALSE)&lt;&gt;0,IFERROR(VLOOKUP($B163,'FY ACTUALS'!$A$1:$X$996,S$3,FALSE),"0")+0,IFERROR(($H163-SUMIF($I$1:$W$1,"ACTUAL",$I163:$W163))*(VLOOKUP($B163,'Distribution %'!$A$2:$Q$232,MATCH(S$2,'Distribution %'!$A$2:$Q$2,0),FALSE)/(SUMIF('Distribution %'!$C$1:$Q$1,"BUDGET",'Distribution %'!$C102:$Q102))),"0")+0)</f>
        <v>352309.44</v>
      </c>
      <c r="T163" s="389">
        <f>IF(VLOOKUP("Net Income",'FY ACTUALS'!$A$1:$X$996,T$3,FALSE)&lt;&gt;0,IFERROR(VLOOKUP($B163,'FY ACTUALS'!$A$1:$X$996,T$3,FALSE),"0")+0,IFERROR(($H163-SUMIF($I$1:$W$1,"ACTUAL",$I163:$W163))*(VLOOKUP($B163,'Distribution %'!$A$2:$Q$232,MATCH(T$2,'Distribution %'!$A$2:$Q$2,0),FALSE)/(SUMIF('Distribution %'!$C$1:$Q$1,"BUDGET",'Distribution %'!$C102:$Q102))),"0")+0)</f>
        <v>352309.44</v>
      </c>
      <c r="U163" s="389">
        <f>IF(VLOOKUP("Net Income",'FY ACTUALS'!$A$1:$X$996,U$3,FALSE)&lt;&gt;0,IFERROR(VLOOKUP($B163,'FY ACTUALS'!$A$1:$X$996,U$3,FALSE),"0")+0,IFERROR(($H163-SUMIF($I$1:$W$1,"ACTUAL",$I163:$W163))*(VLOOKUP($B163,'Distribution %'!$A$2:$Q$232,MATCH(U$2,'Distribution %'!$A$2:$Q$2,0),FALSE)/(SUMIF('Distribution %'!$C$1:$Q$1,"BUDGET",'Distribution %'!$C102:$Q102))),"0")+0)</f>
        <v>0</v>
      </c>
      <c r="V163" s="389">
        <f>IF(VLOOKUP("Net Income",'FY ACTUALS'!$A$1:$X$996,V$3,FALSE)&lt;&gt;0,IFERROR(VLOOKUP($B163,'FY ACTUALS'!$A$1:$X$996,V$3,FALSE),"0")+0,IFERROR(($H163-SUMIF($I$1:$W$1,"ACTUAL",$I163:$W163))*(VLOOKUP($B163,'Distribution %'!$A$2:$Q$232,MATCH(V$2,'Distribution %'!$A$2:$Q$2,0),FALSE)/(SUMIF('Distribution %'!$C$1:$Q$1,"BUDGET",'Distribution %'!$C102:$Q102))),"0")+0)</f>
        <v>0</v>
      </c>
      <c r="W163" s="431">
        <f>IF(VLOOKUP("Net Income",'FY ACTUALS'!$A$1:$X$996,W$3,FALSE)&lt;&gt;0,IFERROR(VLOOKUP($B163,'FY ACTUALS'!$A$1:$X$996,W$3,FALSE),"0")+0,IFERROR(($H163-SUMIF($I$1:$W$1,"ACTUAL",$I163:$W163))*(VLOOKUP($B163,'Distribution %'!$A$2:$Q$232,MATCH(W$2,'Distribution %'!$A$2:$Q$2,0),FALSE)/(SUMIF('Distribution %'!$C$1:$Q$1,"BUDGET",'Distribution %'!$C102:$Q102))),"0")+0)</f>
        <v>0</v>
      </c>
      <c r="X163" s="387">
        <f t="shared" si="48"/>
        <v>2400000</v>
      </c>
      <c r="Y163" s="387"/>
      <c r="Z163" s="387">
        <f t="shared" si="49"/>
        <v>0</v>
      </c>
    </row>
    <row r="164" spans="2:26" x14ac:dyDescent="0.75">
      <c r="B164" s="403">
        <v>5811</v>
      </c>
      <c r="C164" s="379" t="s">
        <v>1440</v>
      </c>
      <c r="F164" s="379" t="str">
        <f>IF(ISERROR(VLOOKUP(B164,'Distribution %'!A:A,1,FALSE)),"NO","YES")</f>
        <v>YES</v>
      </c>
      <c r="G164" s="392"/>
      <c r="H164" s="430">
        <f>IFERROR(VLOOKUP(B164,'Expenses w MYP'!$A$8:$K$119,11,FALSE),"0")+0</f>
        <v>0</v>
      </c>
      <c r="I164" s="388">
        <f>IF(VLOOKUP("Net Income",'FY ACTUALS'!$A$1:$X$996,I$3,FALSE)&lt;&gt;0,IFERROR(VLOOKUP($B164,'FY ACTUALS'!$A$1:$X$996,I$3,FALSE),"0")+0,IFERROR(($H164-SUMIF($I$1:$W$1,"ACTUAL",$I164:$W164))*(VLOOKUP($B164,'Distribution %'!$A$2:$Q$232,MATCH(I$2,'Distribution %'!$A$2:$Q$2,0),FALSE)/(SUMIF('Distribution %'!$C$1:$Q$1,"BUDGET",'Distribution %'!$C103:$Q103))),"0")+0)</f>
        <v>0</v>
      </c>
      <c r="J164" s="389">
        <f>IF(VLOOKUP("Net Income",'FY ACTUALS'!$A$1:$X$996,J$3,FALSE)&lt;&gt;0,IFERROR(VLOOKUP($B164,'FY ACTUALS'!$A$1:$X$996,J$3,FALSE),"0")+0,IFERROR(($H164-SUMIF($I$1:$W$1,"ACTUAL",$I164:$W164))*(VLOOKUP($B164,'Distribution %'!$A$2:$Q$232,MATCH(J$2,'Distribution %'!$A$2:$Q$2,0),FALSE)/(SUMIF('Distribution %'!$C$1:$Q$1,"BUDGET",'Distribution %'!$C103:$Q103))),"0")+0)</f>
        <v>0</v>
      </c>
      <c r="K164" s="389">
        <f>IF(VLOOKUP("Net Income",'FY ACTUALS'!$A$1:$X$996,K$3,FALSE)&lt;&gt;0,IFERROR(VLOOKUP($B164,'FY ACTUALS'!$A$1:$X$996,K$3,FALSE),"0")+0,IFERROR(($H164-SUMIF($I$1:$W$1,"ACTUAL",$I164:$W164))*(VLOOKUP($B164,'Distribution %'!$A$2:$Q$232,MATCH(K$2,'Distribution %'!$A$2:$Q$2,0),FALSE)/(SUMIF('Distribution %'!$C$1:$Q$1,"BUDGET",'Distribution %'!$C103:$Q103))),"0")+0)</f>
        <v>0</v>
      </c>
      <c r="L164" s="389">
        <f>IF(VLOOKUP("Net Income",'FY ACTUALS'!$A$1:$X$996,L$3,FALSE)&lt;&gt;0,IFERROR(VLOOKUP($B164,'FY ACTUALS'!$A$1:$X$996,L$3,FALSE),"0")+0,IFERROR(($H164-SUMIF($I$1:$W$1,"ACTUAL",$I164:$W164))*(VLOOKUP($B164,'Distribution %'!$A$2:$Q$232,MATCH(L$2,'Distribution %'!$A$2:$Q$2,0),FALSE)/(SUMIF('Distribution %'!$C$1:$Q$1,"BUDGET",'Distribution %'!$C103:$Q103))),"0")+0)</f>
        <v>0</v>
      </c>
      <c r="M164" s="389">
        <f>IF(VLOOKUP("Net Income",'FY ACTUALS'!$A$1:$X$996,M$3,FALSE)&lt;&gt;0,IFERROR(VLOOKUP($B164,'FY ACTUALS'!$A$1:$X$996,M$3,FALSE),"0")+0,IFERROR(($H164-SUMIF($I$1:$W$1,"ACTUAL",$I164:$W164))*(VLOOKUP($B164,'Distribution %'!$A$2:$Q$232,MATCH(M$2,'Distribution %'!$A$2:$Q$2,0),FALSE)/(SUMIF('Distribution %'!$C$1:$Q$1,"BUDGET",'Distribution %'!$C103:$Q103))),"0")+0)</f>
        <v>0</v>
      </c>
      <c r="N164" s="389">
        <f>IF(VLOOKUP("Net Income",'FY ACTUALS'!$A$1:$X$996,N$3,FALSE)&lt;&gt;0,IFERROR(VLOOKUP($B164,'FY ACTUALS'!$A$1:$X$996,N$3,FALSE),"0")+0,IFERROR(($H164-SUMIF($I$1:$W$1,"ACTUAL",$I164:$W164))*(VLOOKUP($B164,'Distribution %'!$A$2:$Q$232,MATCH(N$2,'Distribution %'!$A$2:$Q$2,0),FALSE)/(SUMIF('Distribution %'!$C$1:$Q$1,"BUDGET",'Distribution %'!$C103:$Q103))),"0")+0)</f>
        <v>0</v>
      </c>
      <c r="O164" s="389">
        <f>IF(VLOOKUP("Net Income",'FY ACTUALS'!$A$1:$X$996,O$3,FALSE)&lt;&gt;0,IFERROR(VLOOKUP($B164,'FY ACTUALS'!$A$1:$X$996,O$3,FALSE),"0")+0,IFERROR(($H164-SUMIF($I$1:$W$1,"ACTUAL",$I164:$W164))*(VLOOKUP($B164,'Distribution %'!$A$2:$Q$232,MATCH(O$2,'Distribution %'!$A$2:$Q$2,0),FALSE)/(SUMIF('Distribution %'!$C$1:$Q$1,"BUDGET",'Distribution %'!$C103:$Q103))),"0")+0)</f>
        <v>0</v>
      </c>
      <c r="P164" s="389">
        <f>IF(VLOOKUP("Net Income",'FY ACTUALS'!$A$1:$X$996,P$3,FALSE)&lt;&gt;0,IFERROR(VLOOKUP($B164,'FY ACTUALS'!$A$1:$X$996,P$3,FALSE),"0")+0,IFERROR(($H164-SUMIF($I$1:$W$1,"ACTUAL",$I164:$W164))*(VLOOKUP($B164,'Distribution %'!$A$2:$Q$232,MATCH(P$2,'Distribution %'!$A$2:$Q$2,0),FALSE)/(SUMIF('Distribution %'!$C$1:$Q$1,"BUDGET",'Distribution %'!$C103:$Q103))),"0")+0)</f>
        <v>0</v>
      </c>
      <c r="Q164" s="389">
        <f>IF(VLOOKUP("Net Income",'FY ACTUALS'!$A$1:$X$996,Q$3,FALSE)&lt;&gt;0,IFERROR(VLOOKUP($B164,'FY ACTUALS'!$A$1:$X$996,Q$3,FALSE),"0")+0,IFERROR(($H164-SUMIF($I$1:$W$1,"ACTUAL",$I164:$W164))*(VLOOKUP($B164,'Distribution %'!$A$2:$Q$232,MATCH(Q$2,'Distribution %'!$A$2:$Q$2,0),FALSE)/(SUMIF('Distribution %'!$C$1:$Q$1,"BUDGET",'Distribution %'!$C103:$Q103))),"0")+0)</f>
        <v>0</v>
      </c>
      <c r="R164" s="389">
        <f>IF(VLOOKUP("Net Income",'FY ACTUALS'!$A$1:$X$996,R$3,FALSE)&lt;&gt;0,IFERROR(VLOOKUP($B164,'FY ACTUALS'!$A$1:$X$996,R$3,FALSE),"0")+0,IFERROR(($H164-SUMIF($I$1:$W$1,"ACTUAL",$I164:$W164))*(VLOOKUP($B164,'Distribution %'!$A$2:$Q$232,MATCH(R$2,'Distribution %'!$A$2:$Q$2,0),FALSE)/(SUMIF('Distribution %'!$C$1:$Q$1,"BUDGET",'Distribution %'!$C103:$Q103))),"0")+0)</f>
        <v>0</v>
      </c>
      <c r="S164" s="389">
        <f>IF(VLOOKUP("Net Income",'FY ACTUALS'!$A$1:$X$996,S$3,FALSE)&lt;&gt;0,IFERROR(VLOOKUP($B164,'FY ACTUALS'!$A$1:$X$996,S$3,FALSE),"0")+0,IFERROR(($H164-SUMIF($I$1:$W$1,"ACTUAL",$I164:$W164))*(VLOOKUP($B164,'Distribution %'!$A$2:$Q$232,MATCH(S$2,'Distribution %'!$A$2:$Q$2,0),FALSE)/(SUMIF('Distribution %'!$C$1:$Q$1,"BUDGET",'Distribution %'!$C103:$Q103))),"0")+0)</f>
        <v>0</v>
      </c>
      <c r="T164" s="389">
        <f>IF(VLOOKUP("Net Income",'FY ACTUALS'!$A$1:$X$996,T$3,FALSE)&lt;&gt;0,IFERROR(VLOOKUP($B164,'FY ACTUALS'!$A$1:$X$996,T$3,FALSE),"0")+0,IFERROR(($H164-SUMIF($I$1:$W$1,"ACTUAL",$I164:$W164))*(VLOOKUP($B164,'Distribution %'!$A$2:$Q$232,MATCH(T$2,'Distribution %'!$A$2:$Q$2,0),FALSE)/(SUMIF('Distribution %'!$C$1:$Q$1,"BUDGET",'Distribution %'!$C103:$Q103))),"0")+0)</f>
        <v>0</v>
      </c>
      <c r="U164" s="389">
        <f>IF(VLOOKUP("Net Income",'FY ACTUALS'!$A$1:$X$996,U$3,FALSE)&lt;&gt;0,IFERROR(VLOOKUP($B164,'FY ACTUALS'!$A$1:$X$996,U$3,FALSE),"0")+0,IFERROR(($H164-SUMIF($I$1:$W$1,"ACTUAL",$I164:$W164))*(VLOOKUP($B164,'Distribution %'!$A$2:$Q$232,MATCH(U$2,'Distribution %'!$A$2:$Q$2,0),FALSE)/(SUMIF('Distribution %'!$C$1:$Q$1,"BUDGET",'Distribution %'!$C103:$Q103))),"0")+0)</f>
        <v>0</v>
      </c>
      <c r="V164" s="389">
        <f>IF(VLOOKUP("Net Income",'FY ACTUALS'!$A$1:$X$996,V$3,FALSE)&lt;&gt;0,IFERROR(VLOOKUP($B164,'FY ACTUALS'!$A$1:$X$996,V$3,FALSE),"0")+0,IFERROR(($H164-SUMIF($I$1:$W$1,"ACTUAL",$I164:$W164))*(VLOOKUP($B164,'Distribution %'!$A$2:$Q$232,MATCH(V$2,'Distribution %'!$A$2:$Q$2,0),FALSE)/(SUMIF('Distribution %'!$C$1:$Q$1,"BUDGET",'Distribution %'!$C103:$Q103))),"0")+0)</f>
        <v>0</v>
      </c>
      <c r="W164" s="431">
        <f>IF(VLOOKUP("Net Income",'FY ACTUALS'!$A$1:$X$996,W$3,FALSE)&lt;&gt;0,IFERROR(VLOOKUP($B164,'FY ACTUALS'!$A$1:$X$996,W$3,FALSE),"0")+0,IFERROR(($H164-SUMIF($I$1:$W$1,"ACTUAL",$I164:$W164))*(VLOOKUP($B164,'Distribution %'!$A$2:$Q$232,MATCH(W$2,'Distribution %'!$A$2:$Q$2,0),FALSE)/(SUMIF('Distribution %'!$C$1:$Q$1,"BUDGET",'Distribution %'!$C103:$Q103))),"0")+0)</f>
        <v>0</v>
      </c>
      <c r="X164" s="387">
        <f t="shared" si="48"/>
        <v>0</v>
      </c>
      <c r="Y164" s="387"/>
      <c r="Z164" s="387">
        <f t="shared" si="49"/>
        <v>0</v>
      </c>
    </row>
    <row r="165" spans="2:26" x14ac:dyDescent="0.75">
      <c r="B165" s="403">
        <v>5812</v>
      </c>
      <c r="C165" s="379" t="s">
        <v>1338</v>
      </c>
      <c r="F165" s="379" t="str">
        <f>IF(ISERROR(VLOOKUP(B165,'Distribution %'!A:A,1,FALSE)),"NO","YES")</f>
        <v>YES</v>
      </c>
      <c r="G165" s="392"/>
      <c r="H165" s="430">
        <f>IFERROR(VLOOKUP(B165,'Expenses w MYP'!$A$8:$K$119,11,FALSE),"0")+0</f>
        <v>30000</v>
      </c>
      <c r="I165" s="388">
        <f>IF(VLOOKUP("Net Income",'FY ACTUALS'!$A$1:$X$996,I$3,FALSE)&lt;&gt;0,IFERROR(VLOOKUP($B165,'FY ACTUALS'!$A$1:$X$996,I$3,FALSE),"0")+0,IFERROR(($H165-SUMIF($I$1:$W$1,"ACTUAL",$I165:$W165))*(VLOOKUP($B165,'Distribution %'!$A$2:$Q$232,MATCH(I$2,'Distribution %'!$A$2:$Q$2,0),FALSE)/(SUMIF('Distribution %'!$C$1:$Q$1,"BUDGET",'Distribution %'!$C104:$Q104))),"0")+0)</f>
        <v>0</v>
      </c>
      <c r="J165" s="389">
        <f>IF(VLOOKUP("Net Income",'FY ACTUALS'!$A$1:$X$996,J$3,FALSE)&lt;&gt;0,IFERROR(VLOOKUP($B165,'FY ACTUALS'!$A$1:$X$996,J$3,FALSE),"0")+0,IFERROR(($H165-SUMIF($I$1:$W$1,"ACTUAL",$I165:$W165))*(VLOOKUP($B165,'Distribution %'!$A$2:$Q$232,MATCH(J$2,'Distribution %'!$A$2:$Q$2,0),FALSE)/(SUMIF('Distribution %'!$C$1:$Q$1,"BUDGET",'Distribution %'!$C104:$Q104))),"0")+0)</f>
        <v>0</v>
      </c>
      <c r="K165" s="389">
        <f>IF(VLOOKUP("Net Income",'FY ACTUALS'!$A$1:$X$996,K$3,FALSE)&lt;&gt;0,IFERROR(VLOOKUP($B165,'FY ACTUALS'!$A$1:$X$996,K$3,FALSE),"0")+0,IFERROR(($H165-SUMIF($I$1:$W$1,"ACTUAL",$I165:$W165))*(VLOOKUP($B165,'Distribution %'!$A$2:$Q$232,MATCH(K$2,'Distribution %'!$A$2:$Q$2,0),FALSE)/(SUMIF('Distribution %'!$C$1:$Q$1,"BUDGET",'Distribution %'!$C104:$Q104))),"0")+0)</f>
        <v>0</v>
      </c>
      <c r="L165" s="389">
        <f>IF(VLOOKUP("Net Income",'FY ACTUALS'!$A$1:$X$996,L$3,FALSE)&lt;&gt;0,IFERROR(VLOOKUP($B165,'FY ACTUALS'!$A$1:$X$996,L$3,FALSE),"0")+0,IFERROR(($H165-SUMIF($I$1:$W$1,"ACTUAL",$I165:$W165))*(VLOOKUP($B165,'Distribution %'!$A$2:$Q$232,MATCH(L$2,'Distribution %'!$A$2:$Q$2,0),FALSE)/(SUMIF('Distribution %'!$C$1:$Q$1,"BUDGET",'Distribution %'!$C104:$Q104))),"0")+0)</f>
        <v>0</v>
      </c>
      <c r="M165" s="389">
        <f>IF(VLOOKUP("Net Income",'FY ACTUALS'!$A$1:$X$996,M$3,FALSE)&lt;&gt;0,IFERROR(VLOOKUP($B165,'FY ACTUALS'!$A$1:$X$996,M$3,FALSE),"0")+0,IFERROR(($H165-SUMIF($I$1:$W$1,"ACTUAL",$I165:$W165))*(VLOOKUP($B165,'Distribution %'!$A$2:$Q$232,MATCH(M$2,'Distribution %'!$A$2:$Q$2,0),FALSE)/(SUMIF('Distribution %'!$C$1:$Q$1,"BUDGET",'Distribution %'!$C104:$Q104))),"0")+0)</f>
        <v>0</v>
      </c>
      <c r="N165" s="389">
        <f>IF(VLOOKUP("Net Income",'FY ACTUALS'!$A$1:$X$996,N$3,FALSE)&lt;&gt;0,IFERROR(VLOOKUP($B165,'FY ACTUALS'!$A$1:$X$996,N$3,FALSE),"0")+0,IFERROR(($H165-SUMIF($I$1:$W$1,"ACTUAL",$I165:$W165))*(VLOOKUP($B165,'Distribution %'!$A$2:$Q$232,MATCH(N$2,'Distribution %'!$A$2:$Q$2,0),FALSE)/(SUMIF('Distribution %'!$C$1:$Q$1,"BUDGET",'Distribution %'!$C104:$Q104))),"0")+0)</f>
        <v>0</v>
      </c>
      <c r="O165" s="389">
        <f>IF(VLOOKUP("Net Income",'FY ACTUALS'!$A$1:$X$996,O$3,FALSE)&lt;&gt;0,IFERROR(VLOOKUP($B165,'FY ACTUALS'!$A$1:$X$996,O$3,FALSE),"0")+0,IFERROR(($H165-SUMIF($I$1:$W$1,"ACTUAL",$I165:$W165))*(VLOOKUP($B165,'Distribution %'!$A$2:$Q$232,MATCH(O$2,'Distribution %'!$A$2:$Q$2,0),FALSE)/(SUMIF('Distribution %'!$C$1:$Q$1,"BUDGET",'Distribution %'!$C104:$Q104))),"0")+0)</f>
        <v>0</v>
      </c>
      <c r="P165" s="389">
        <f>IF(VLOOKUP("Net Income",'FY ACTUALS'!$A$1:$X$996,P$3,FALSE)&lt;&gt;0,IFERROR(VLOOKUP($B165,'FY ACTUALS'!$A$1:$X$996,P$3,FALSE),"0")+0,IFERROR(($H165-SUMIF($I$1:$W$1,"ACTUAL",$I165:$W165))*(VLOOKUP($B165,'Distribution %'!$A$2:$Q$232,MATCH(P$2,'Distribution %'!$A$2:$Q$2,0),FALSE)/(SUMIF('Distribution %'!$C$1:$Q$1,"BUDGET",'Distribution %'!$C104:$Q104))),"0")+0)</f>
        <v>6000</v>
      </c>
      <c r="Q165" s="389">
        <f>IF(VLOOKUP("Net Income",'FY ACTUALS'!$A$1:$X$996,Q$3,FALSE)&lt;&gt;0,IFERROR(VLOOKUP($B165,'FY ACTUALS'!$A$1:$X$996,Q$3,FALSE),"0")+0,IFERROR(($H165-SUMIF($I$1:$W$1,"ACTUAL",$I165:$W165))*(VLOOKUP($B165,'Distribution %'!$A$2:$Q$232,MATCH(Q$2,'Distribution %'!$A$2:$Q$2,0),FALSE)/(SUMIF('Distribution %'!$C$1:$Q$1,"BUDGET",'Distribution %'!$C104:$Q104))),"0")+0)</f>
        <v>6000</v>
      </c>
      <c r="R165" s="389">
        <f>IF(VLOOKUP("Net Income",'FY ACTUALS'!$A$1:$X$996,R$3,FALSE)&lt;&gt;0,IFERROR(VLOOKUP($B165,'FY ACTUALS'!$A$1:$X$996,R$3,FALSE),"0")+0,IFERROR(($H165-SUMIF($I$1:$W$1,"ACTUAL",$I165:$W165))*(VLOOKUP($B165,'Distribution %'!$A$2:$Q$232,MATCH(R$2,'Distribution %'!$A$2:$Q$2,0),FALSE)/(SUMIF('Distribution %'!$C$1:$Q$1,"BUDGET",'Distribution %'!$C104:$Q104))),"0")+0)</f>
        <v>6000</v>
      </c>
      <c r="S165" s="389">
        <f>IF(VLOOKUP("Net Income",'FY ACTUALS'!$A$1:$X$996,S$3,FALSE)&lt;&gt;0,IFERROR(VLOOKUP($B165,'FY ACTUALS'!$A$1:$X$996,S$3,FALSE),"0")+0,IFERROR(($H165-SUMIF($I$1:$W$1,"ACTUAL",$I165:$W165))*(VLOOKUP($B165,'Distribution %'!$A$2:$Q$232,MATCH(S$2,'Distribution %'!$A$2:$Q$2,0),FALSE)/(SUMIF('Distribution %'!$C$1:$Q$1,"BUDGET",'Distribution %'!$C104:$Q104))),"0")+0)</f>
        <v>6000</v>
      </c>
      <c r="T165" s="389">
        <f>IF(VLOOKUP("Net Income",'FY ACTUALS'!$A$1:$X$996,T$3,FALSE)&lt;&gt;0,IFERROR(VLOOKUP($B165,'FY ACTUALS'!$A$1:$X$996,T$3,FALSE),"0")+0,IFERROR(($H165-SUMIF($I$1:$W$1,"ACTUAL",$I165:$W165))*(VLOOKUP($B165,'Distribution %'!$A$2:$Q$232,MATCH(T$2,'Distribution %'!$A$2:$Q$2,0),FALSE)/(SUMIF('Distribution %'!$C$1:$Q$1,"BUDGET",'Distribution %'!$C104:$Q104))),"0")+0)</f>
        <v>6000</v>
      </c>
      <c r="U165" s="389">
        <f>IF(VLOOKUP("Net Income",'FY ACTUALS'!$A$1:$X$996,U$3,FALSE)&lt;&gt;0,IFERROR(VLOOKUP($B165,'FY ACTUALS'!$A$1:$X$996,U$3,FALSE),"0")+0,IFERROR(($H165-SUMIF($I$1:$W$1,"ACTUAL",$I165:$W165))*(VLOOKUP($B165,'Distribution %'!$A$2:$Q$232,MATCH(U$2,'Distribution %'!$A$2:$Q$2,0),FALSE)/(SUMIF('Distribution %'!$C$1:$Q$1,"BUDGET",'Distribution %'!$C104:$Q104))),"0")+0)</f>
        <v>0</v>
      </c>
      <c r="V165" s="389">
        <f>IF(VLOOKUP("Net Income",'FY ACTUALS'!$A$1:$X$996,V$3,FALSE)&lt;&gt;0,IFERROR(VLOOKUP($B165,'FY ACTUALS'!$A$1:$X$996,V$3,FALSE),"0")+0,IFERROR(($H165-SUMIF($I$1:$W$1,"ACTUAL",$I165:$W165))*(VLOOKUP($B165,'Distribution %'!$A$2:$Q$232,MATCH(V$2,'Distribution %'!$A$2:$Q$2,0),FALSE)/(SUMIF('Distribution %'!$C$1:$Q$1,"BUDGET",'Distribution %'!$C104:$Q104))),"0")+0)</f>
        <v>0</v>
      </c>
      <c r="W165" s="431">
        <f>IF(VLOOKUP("Net Income",'FY ACTUALS'!$A$1:$X$996,W$3,FALSE)&lt;&gt;0,IFERROR(VLOOKUP($B165,'FY ACTUALS'!$A$1:$X$996,W$3,FALSE),"0")+0,IFERROR(($H165-SUMIF($I$1:$W$1,"ACTUAL",$I165:$W165))*(VLOOKUP($B165,'Distribution %'!$A$2:$Q$232,MATCH(W$2,'Distribution %'!$A$2:$Q$2,0),FALSE)/(SUMIF('Distribution %'!$C$1:$Q$1,"BUDGET",'Distribution %'!$C104:$Q104))),"0")+0)</f>
        <v>0</v>
      </c>
      <c r="X165" s="387">
        <f t="shared" ref="X165" si="52">+SUM(I165:W165)</f>
        <v>30000</v>
      </c>
      <c r="Y165" s="387"/>
      <c r="Z165" s="387">
        <f t="shared" ref="Z165" si="53">+H165-X165</f>
        <v>0</v>
      </c>
    </row>
    <row r="166" spans="2:26" x14ac:dyDescent="0.75">
      <c r="B166" s="403">
        <v>5815</v>
      </c>
      <c r="C166" s="379" t="s">
        <v>1441</v>
      </c>
      <c r="F166" s="379" t="str">
        <f>IF(ISERROR(VLOOKUP(B166,'Distribution %'!A:A,1,FALSE)),"NO","YES")</f>
        <v>YES</v>
      </c>
      <c r="G166" s="392"/>
      <c r="H166" s="430">
        <f>IFERROR(VLOOKUP(B166,'Expenses w MYP'!$A$8:$K$119,11,FALSE),"0")+0</f>
        <v>250000</v>
      </c>
      <c r="I166" s="388">
        <f>IF(VLOOKUP("Net Income",'FY ACTUALS'!$A$1:$X$996,I$3,FALSE)&lt;&gt;0,IFERROR(VLOOKUP($B166,'FY ACTUALS'!$A$1:$X$996,I$3,FALSE),"0")+0,IFERROR(($H166-SUMIF($I$1:$W$1,"ACTUAL",$I166:$W166))*(VLOOKUP($B166,'Distribution %'!$A$2:$Q$232,MATCH(I$2,'Distribution %'!$A$2:$Q$2,0),FALSE)/(SUMIF('Distribution %'!$C$1:$Q$1,"BUDGET",'Distribution %'!$C105:$Q105))),"0")+0)</f>
        <v>84405</v>
      </c>
      <c r="J166" s="389">
        <f>IF(VLOOKUP("Net Income",'FY ACTUALS'!$A$1:$X$996,J$3,FALSE)&lt;&gt;0,IFERROR(VLOOKUP($B166,'FY ACTUALS'!$A$1:$X$996,J$3,FALSE),"0")+0,IFERROR(($H166-SUMIF($I$1:$W$1,"ACTUAL",$I166:$W166))*(VLOOKUP($B166,'Distribution %'!$A$2:$Q$232,MATCH(J$2,'Distribution %'!$A$2:$Q$2,0),FALSE)/(SUMIF('Distribution %'!$C$1:$Q$1,"BUDGET",'Distribution %'!$C105:$Q105))),"0")+0)</f>
        <v>880</v>
      </c>
      <c r="K166" s="389">
        <f>IF(VLOOKUP("Net Income",'FY ACTUALS'!$A$1:$X$996,K$3,FALSE)&lt;&gt;0,IFERROR(VLOOKUP($B166,'FY ACTUALS'!$A$1:$X$996,K$3,FALSE),"0")+0,IFERROR(($H166-SUMIF($I$1:$W$1,"ACTUAL",$I166:$W166))*(VLOOKUP($B166,'Distribution %'!$A$2:$Q$232,MATCH(K$2,'Distribution %'!$A$2:$Q$2,0),FALSE)/(SUMIF('Distribution %'!$C$1:$Q$1,"BUDGET",'Distribution %'!$C105:$Q105))),"0")+0)</f>
        <v>1318.55</v>
      </c>
      <c r="L166" s="389">
        <f>IF(VLOOKUP("Net Income",'FY ACTUALS'!$A$1:$X$996,L$3,FALSE)&lt;&gt;0,IFERROR(VLOOKUP($B166,'FY ACTUALS'!$A$1:$X$996,L$3,FALSE),"0")+0,IFERROR(($H166-SUMIF($I$1:$W$1,"ACTUAL",$I166:$W166))*(VLOOKUP($B166,'Distribution %'!$A$2:$Q$232,MATCH(L$2,'Distribution %'!$A$2:$Q$2,0),FALSE)/(SUMIF('Distribution %'!$C$1:$Q$1,"BUDGET",'Distribution %'!$C105:$Q105))),"0")+0)</f>
        <v>1819.7</v>
      </c>
      <c r="M166" s="389">
        <f>IF(VLOOKUP("Net Income",'FY ACTUALS'!$A$1:$X$996,M$3,FALSE)&lt;&gt;0,IFERROR(VLOOKUP($B166,'FY ACTUALS'!$A$1:$X$996,M$3,FALSE),"0")+0,IFERROR(($H166-SUMIF($I$1:$W$1,"ACTUAL",$I166:$W166))*(VLOOKUP($B166,'Distribution %'!$A$2:$Q$232,MATCH(M$2,'Distribution %'!$A$2:$Q$2,0),FALSE)/(SUMIF('Distribution %'!$C$1:$Q$1,"BUDGET",'Distribution %'!$C105:$Q105))),"0")+0)</f>
        <v>1352.51</v>
      </c>
      <c r="N166" s="389">
        <f>IF(VLOOKUP("Net Income",'FY ACTUALS'!$A$1:$X$996,N$3,FALSE)&lt;&gt;0,IFERROR(VLOOKUP($B166,'FY ACTUALS'!$A$1:$X$996,N$3,FALSE),"0")+0,IFERROR(($H166-SUMIF($I$1:$W$1,"ACTUAL",$I166:$W166))*(VLOOKUP($B166,'Distribution %'!$A$2:$Q$232,MATCH(N$2,'Distribution %'!$A$2:$Q$2,0),FALSE)/(SUMIF('Distribution %'!$C$1:$Q$1,"BUDGET",'Distribution %'!$C105:$Q105))),"0")+0)</f>
        <v>1463.98</v>
      </c>
      <c r="O166" s="389">
        <f>IF(VLOOKUP("Net Income",'FY ACTUALS'!$A$1:$X$996,O$3,FALSE)&lt;&gt;0,IFERROR(VLOOKUP($B166,'FY ACTUALS'!$A$1:$X$996,O$3,FALSE),"0")+0,IFERROR(($H166-SUMIF($I$1:$W$1,"ACTUAL",$I166:$W166))*(VLOOKUP($B166,'Distribution %'!$A$2:$Q$232,MATCH(O$2,'Distribution %'!$A$2:$Q$2,0),FALSE)/(SUMIF('Distribution %'!$C$1:$Q$1,"BUDGET",'Distribution %'!$C105:$Q105))),"0")+0)</f>
        <v>1759.76</v>
      </c>
      <c r="P166" s="389">
        <f>IF(VLOOKUP("Net Income",'FY ACTUALS'!$A$1:$X$996,P$3,FALSE)&lt;&gt;0,IFERROR(VLOOKUP($B166,'FY ACTUALS'!$A$1:$X$996,P$3,FALSE),"0")+0,IFERROR(($H166-SUMIF($I$1:$W$1,"ACTUAL",$I166:$W166))*(VLOOKUP($B166,'Distribution %'!$A$2:$Q$232,MATCH(P$2,'Distribution %'!$A$2:$Q$2,0),FALSE)/(SUMIF('Distribution %'!$C$1:$Q$1,"BUDGET",'Distribution %'!$C105:$Q105))),"0")+0)</f>
        <v>0</v>
      </c>
      <c r="Q166" s="389">
        <f>IF(VLOOKUP("Net Income",'FY ACTUALS'!$A$1:$X$996,Q$3,FALSE)&lt;&gt;0,IFERROR(VLOOKUP($B166,'FY ACTUALS'!$A$1:$X$996,Q$3,FALSE),"0")+0,IFERROR(($H166-SUMIF($I$1:$W$1,"ACTUAL",$I166:$W166))*(VLOOKUP($B166,'Distribution %'!$A$2:$Q$232,MATCH(Q$2,'Distribution %'!$A$2:$Q$2,0),FALSE)/(SUMIF('Distribution %'!$C$1:$Q$1,"BUDGET",'Distribution %'!$C105:$Q105))),"0")+0)</f>
        <v>0</v>
      </c>
      <c r="R166" s="389">
        <f>IF(VLOOKUP("Net Income",'FY ACTUALS'!$A$1:$X$996,R$3,FALSE)&lt;&gt;0,IFERROR(VLOOKUP($B166,'FY ACTUALS'!$A$1:$X$996,R$3,FALSE),"0")+0,IFERROR(($H166-SUMIF($I$1:$W$1,"ACTUAL",$I166:$W166))*(VLOOKUP($B166,'Distribution %'!$A$2:$Q$232,MATCH(R$2,'Distribution %'!$A$2:$Q$2,0),FALSE)/(SUMIF('Distribution %'!$C$1:$Q$1,"BUDGET",'Distribution %'!$C105:$Q105))),"0")+0)</f>
        <v>157000.5</v>
      </c>
      <c r="S166" s="389">
        <f>IF(VLOOKUP("Net Income",'FY ACTUALS'!$A$1:$X$996,S$3,FALSE)&lt;&gt;0,IFERROR(VLOOKUP($B166,'FY ACTUALS'!$A$1:$X$996,S$3,FALSE),"0")+0,IFERROR(($H166-SUMIF($I$1:$W$1,"ACTUAL",$I166:$W166))*(VLOOKUP($B166,'Distribution %'!$A$2:$Q$232,MATCH(S$2,'Distribution %'!$A$2:$Q$2,0),FALSE)/(SUMIF('Distribution %'!$C$1:$Q$1,"BUDGET",'Distribution %'!$C105:$Q105))),"0")+0)</f>
        <v>0</v>
      </c>
      <c r="T166" s="389">
        <f>IF(VLOOKUP("Net Income",'FY ACTUALS'!$A$1:$X$996,T$3,FALSE)&lt;&gt;0,IFERROR(VLOOKUP($B166,'FY ACTUALS'!$A$1:$X$996,T$3,FALSE),"0")+0,IFERROR(($H166-SUMIF($I$1:$W$1,"ACTUAL",$I166:$W166))*(VLOOKUP($B166,'Distribution %'!$A$2:$Q$232,MATCH(T$2,'Distribution %'!$A$2:$Q$2,0),FALSE)/(SUMIF('Distribution %'!$C$1:$Q$1,"BUDGET",'Distribution %'!$C105:$Q105))),"0")+0)</f>
        <v>0</v>
      </c>
      <c r="U166" s="389">
        <f>IF(VLOOKUP("Net Income",'FY ACTUALS'!$A$1:$X$996,U$3,FALSE)&lt;&gt;0,IFERROR(VLOOKUP($B166,'FY ACTUALS'!$A$1:$X$996,U$3,FALSE),"0")+0,IFERROR(($H166-SUMIF($I$1:$W$1,"ACTUAL",$I166:$W166))*(VLOOKUP($B166,'Distribution %'!$A$2:$Q$232,MATCH(U$2,'Distribution %'!$A$2:$Q$2,0),FALSE)/(SUMIF('Distribution %'!$C$1:$Q$1,"BUDGET",'Distribution %'!$C105:$Q105))),"0")+0)</f>
        <v>0</v>
      </c>
      <c r="V166" s="389">
        <f>IF(VLOOKUP("Net Income",'FY ACTUALS'!$A$1:$X$996,V$3,FALSE)&lt;&gt;0,IFERROR(VLOOKUP($B166,'FY ACTUALS'!$A$1:$X$996,V$3,FALSE),"0")+0,IFERROR(($H166-SUMIF($I$1:$W$1,"ACTUAL",$I166:$W166))*(VLOOKUP($B166,'Distribution %'!$A$2:$Q$232,MATCH(V$2,'Distribution %'!$A$2:$Q$2,0),FALSE)/(SUMIF('Distribution %'!$C$1:$Q$1,"BUDGET",'Distribution %'!$C105:$Q105))),"0")+0)</f>
        <v>0</v>
      </c>
      <c r="W166" s="431">
        <f>IF(VLOOKUP("Net Income",'FY ACTUALS'!$A$1:$X$996,W$3,FALSE)&lt;&gt;0,IFERROR(VLOOKUP($B166,'FY ACTUALS'!$A$1:$X$996,W$3,FALSE),"0")+0,IFERROR(($H166-SUMIF($I$1:$W$1,"ACTUAL",$I166:$W166))*(VLOOKUP($B166,'Distribution %'!$A$2:$Q$232,MATCH(W$2,'Distribution %'!$A$2:$Q$2,0),FALSE)/(SUMIF('Distribution %'!$C$1:$Q$1,"BUDGET",'Distribution %'!$C105:$Q105))),"0")+0)</f>
        <v>0</v>
      </c>
      <c r="X166" s="387">
        <f t="shared" si="48"/>
        <v>250000</v>
      </c>
      <c r="Y166" s="387"/>
      <c r="Z166" s="387">
        <f t="shared" si="49"/>
        <v>0</v>
      </c>
    </row>
    <row r="167" spans="2:26" x14ac:dyDescent="0.75">
      <c r="B167" s="403">
        <v>5820</v>
      </c>
      <c r="C167" s="379" t="s">
        <v>1442</v>
      </c>
      <c r="F167" s="379" t="str">
        <f>IF(ISERROR(VLOOKUP(B167,'Distribution %'!A:A,1,FALSE)),"NO","YES")</f>
        <v>YES</v>
      </c>
      <c r="G167" s="392"/>
      <c r="H167" s="430">
        <f>IFERROR(VLOOKUP(B167,'Expenses w MYP'!$A$8:$K$119,11,FALSE),"0")+0</f>
        <v>0</v>
      </c>
      <c r="I167" s="388">
        <f>IF(VLOOKUP("Net Income",'FY ACTUALS'!$A$1:$X$996,I$3,FALSE)&lt;&gt;0,IFERROR(VLOOKUP($B167,'FY ACTUALS'!$A$1:$X$996,I$3,FALSE),"0")+0,IFERROR(($H167-SUMIF($I$1:$W$1,"ACTUAL",$I167:$W167))*(VLOOKUP($B167,'Distribution %'!$A$2:$Q$232,MATCH(I$2,'Distribution %'!$A$2:$Q$2,0),FALSE)/(SUMIF('Distribution %'!$C$1:$Q$1,"BUDGET",'Distribution %'!$C106:$Q106))),"0")+0)</f>
        <v>0</v>
      </c>
      <c r="J167" s="389">
        <f>IF(VLOOKUP("Net Income",'FY ACTUALS'!$A$1:$X$996,J$3,FALSE)&lt;&gt;0,IFERROR(VLOOKUP($B167,'FY ACTUALS'!$A$1:$X$996,J$3,FALSE),"0")+0,IFERROR(($H167-SUMIF($I$1:$W$1,"ACTUAL",$I167:$W167))*(VLOOKUP($B167,'Distribution %'!$A$2:$Q$232,MATCH(J$2,'Distribution %'!$A$2:$Q$2,0),FALSE)/(SUMIF('Distribution %'!$C$1:$Q$1,"BUDGET",'Distribution %'!$C106:$Q106))),"0")+0)</f>
        <v>0</v>
      </c>
      <c r="K167" s="389">
        <f>IF(VLOOKUP("Net Income",'FY ACTUALS'!$A$1:$X$996,K$3,FALSE)&lt;&gt;0,IFERROR(VLOOKUP($B167,'FY ACTUALS'!$A$1:$X$996,K$3,FALSE),"0")+0,IFERROR(($H167-SUMIF($I$1:$W$1,"ACTUAL",$I167:$W167))*(VLOOKUP($B167,'Distribution %'!$A$2:$Q$232,MATCH(K$2,'Distribution %'!$A$2:$Q$2,0),FALSE)/(SUMIF('Distribution %'!$C$1:$Q$1,"BUDGET",'Distribution %'!$C106:$Q106))),"0")+0)</f>
        <v>0</v>
      </c>
      <c r="L167" s="389">
        <f>IF(VLOOKUP("Net Income",'FY ACTUALS'!$A$1:$X$996,L$3,FALSE)&lt;&gt;0,IFERROR(VLOOKUP($B167,'FY ACTUALS'!$A$1:$X$996,L$3,FALSE),"0")+0,IFERROR(($H167-SUMIF($I$1:$W$1,"ACTUAL",$I167:$W167))*(VLOOKUP($B167,'Distribution %'!$A$2:$Q$232,MATCH(L$2,'Distribution %'!$A$2:$Q$2,0),FALSE)/(SUMIF('Distribution %'!$C$1:$Q$1,"BUDGET",'Distribution %'!$C106:$Q106))),"0")+0)</f>
        <v>0</v>
      </c>
      <c r="M167" s="389">
        <f>IF(VLOOKUP("Net Income",'FY ACTUALS'!$A$1:$X$996,M$3,FALSE)&lt;&gt;0,IFERROR(VLOOKUP($B167,'FY ACTUALS'!$A$1:$X$996,M$3,FALSE),"0")+0,IFERROR(($H167-SUMIF($I$1:$W$1,"ACTUAL",$I167:$W167))*(VLOOKUP($B167,'Distribution %'!$A$2:$Q$232,MATCH(M$2,'Distribution %'!$A$2:$Q$2,0),FALSE)/(SUMIF('Distribution %'!$C$1:$Q$1,"BUDGET",'Distribution %'!$C106:$Q106))),"0")+0)</f>
        <v>0</v>
      </c>
      <c r="N167" s="389">
        <f>IF(VLOOKUP("Net Income",'FY ACTUALS'!$A$1:$X$996,N$3,FALSE)&lt;&gt;0,IFERROR(VLOOKUP($B167,'FY ACTUALS'!$A$1:$X$996,N$3,FALSE),"0")+0,IFERROR(($H167-SUMIF($I$1:$W$1,"ACTUAL",$I167:$W167))*(VLOOKUP($B167,'Distribution %'!$A$2:$Q$232,MATCH(N$2,'Distribution %'!$A$2:$Q$2,0),FALSE)/(SUMIF('Distribution %'!$C$1:$Q$1,"BUDGET",'Distribution %'!$C106:$Q106))),"0")+0)</f>
        <v>0</v>
      </c>
      <c r="O167" s="389">
        <f>IF(VLOOKUP("Net Income",'FY ACTUALS'!$A$1:$X$996,O$3,FALSE)&lt;&gt;0,IFERROR(VLOOKUP($B167,'FY ACTUALS'!$A$1:$X$996,O$3,FALSE),"0")+0,IFERROR(($H167-SUMIF($I$1:$W$1,"ACTUAL",$I167:$W167))*(VLOOKUP($B167,'Distribution %'!$A$2:$Q$232,MATCH(O$2,'Distribution %'!$A$2:$Q$2,0),FALSE)/(SUMIF('Distribution %'!$C$1:$Q$1,"BUDGET",'Distribution %'!$C106:$Q106))),"0")+0)</f>
        <v>0</v>
      </c>
      <c r="P167" s="389">
        <f>IF(VLOOKUP("Net Income",'FY ACTUALS'!$A$1:$X$996,P$3,FALSE)&lt;&gt;0,IFERROR(VLOOKUP($B167,'FY ACTUALS'!$A$1:$X$996,P$3,FALSE),"0")+0,IFERROR(($H167-SUMIF($I$1:$W$1,"ACTUAL",$I167:$W167))*(VLOOKUP($B167,'Distribution %'!$A$2:$Q$232,MATCH(P$2,'Distribution %'!$A$2:$Q$2,0),FALSE)/(SUMIF('Distribution %'!$C$1:$Q$1,"BUDGET",'Distribution %'!$C106:$Q106))),"0")+0)</f>
        <v>0</v>
      </c>
      <c r="Q167" s="389">
        <f>IF(VLOOKUP("Net Income",'FY ACTUALS'!$A$1:$X$996,Q$3,FALSE)&lt;&gt;0,IFERROR(VLOOKUP($B167,'FY ACTUALS'!$A$1:$X$996,Q$3,FALSE),"0")+0,IFERROR(($H167-SUMIF($I$1:$W$1,"ACTUAL",$I167:$W167))*(VLOOKUP($B167,'Distribution %'!$A$2:$Q$232,MATCH(Q$2,'Distribution %'!$A$2:$Q$2,0),FALSE)/(SUMIF('Distribution %'!$C$1:$Q$1,"BUDGET",'Distribution %'!$C106:$Q106))),"0")+0)</f>
        <v>0</v>
      </c>
      <c r="R167" s="389">
        <f>IF(VLOOKUP("Net Income",'FY ACTUALS'!$A$1:$X$996,R$3,FALSE)&lt;&gt;0,IFERROR(VLOOKUP($B167,'FY ACTUALS'!$A$1:$X$996,R$3,FALSE),"0")+0,IFERROR(($H167-SUMIF($I$1:$W$1,"ACTUAL",$I167:$W167))*(VLOOKUP($B167,'Distribution %'!$A$2:$Q$232,MATCH(R$2,'Distribution %'!$A$2:$Q$2,0),FALSE)/(SUMIF('Distribution %'!$C$1:$Q$1,"BUDGET",'Distribution %'!$C106:$Q106))),"0")+0)</f>
        <v>0</v>
      </c>
      <c r="S167" s="389">
        <f>IF(VLOOKUP("Net Income",'FY ACTUALS'!$A$1:$X$996,S$3,FALSE)&lt;&gt;0,IFERROR(VLOOKUP($B167,'FY ACTUALS'!$A$1:$X$996,S$3,FALSE),"0")+0,IFERROR(($H167-SUMIF($I$1:$W$1,"ACTUAL",$I167:$W167))*(VLOOKUP($B167,'Distribution %'!$A$2:$Q$232,MATCH(S$2,'Distribution %'!$A$2:$Q$2,0),FALSE)/(SUMIF('Distribution %'!$C$1:$Q$1,"BUDGET",'Distribution %'!$C106:$Q106))),"0")+0)</f>
        <v>0</v>
      </c>
      <c r="T167" s="389">
        <f>IF(VLOOKUP("Net Income",'FY ACTUALS'!$A$1:$X$996,T$3,FALSE)&lt;&gt;0,IFERROR(VLOOKUP($B167,'FY ACTUALS'!$A$1:$X$996,T$3,FALSE),"0")+0,IFERROR(($H167-SUMIF($I$1:$W$1,"ACTUAL",$I167:$W167))*(VLOOKUP($B167,'Distribution %'!$A$2:$Q$232,MATCH(T$2,'Distribution %'!$A$2:$Q$2,0),FALSE)/(SUMIF('Distribution %'!$C$1:$Q$1,"BUDGET",'Distribution %'!$C106:$Q106))),"0")+0)</f>
        <v>0</v>
      </c>
      <c r="U167" s="389">
        <f>IF(VLOOKUP("Net Income",'FY ACTUALS'!$A$1:$X$996,U$3,FALSE)&lt;&gt;0,IFERROR(VLOOKUP($B167,'FY ACTUALS'!$A$1:$X$996,U$3,FALSE),"0")+0,IFERROR(($H167-SUMIF($I$1:$W$1,"ACTUAL",$I167:$W167))*(VLOOKUP($B167,'Distribution %'!$A$2:$Q$232,MATCH(U$2,'Distribution %'!$A$2:$Q$2,0),FALSE)/(SUMIF('Distribution %'!$C$1:$Q$1,"BUDGET",'Distribution %'!$C106:$Q106))),"0")+0)</f>
        <v>0</v>
      </c>
      <c r="V167" s="389">
        <f>IF(VLOOKUP("Net Income",'FY ACTUALS'!$A$1:$X$996,V$3,FALSE)&lt;&gt;0,IFERROR(VLOOKUP($B167,'FY ACTUALS'!$A$1:$X$996,V$3,FALSE),"0")+0,IFERROR(($H167-SUMIF($I$1:$W$1,"ACTUAL",$I167:$W167))*(VLOOKUP($B167,'Distribution %'!$A$2:$Q$232,MATCH(V$2,'Distribution %'!$A$2:$Q$2,0),FALSE)/(SUMIF('Distribution %'!$C$1:$Q$1,"BUDGET",'Distribution %'!$C106:$Q106))),"0")+0)</f>
        <v>0</v>
      </c>
      <c r="W167" s="431">
        <f>IF(VLOOKUP("Net Income",'FY ACTUALS'!$A$1:$X$996,W$3,FALSE)&lt;&gt;0,IFERROR(VLOOKUP($B167,'FY ACTUALS'!$A$1:$X$996,W$3,FALSE),"0")+0,IFERROR(($H167-SUMIF($I$1:$W$1,"ACTUAL",$I167:$W167))*(VLOOKUP($B167,'Distribution %'!$A$2:$Q$232,MATCH(W$2,'Distribution %'!$A$2:$Q$2,0),FALSE)/(SUMIF('Distribution %'!$C$1:$Q$1,"BUDGET",'Distribution %'!$C106:$Q106))),"0")+0)</f>
        <v>0</v>
      </c>
      <c r="X167" s="387">
        <f t="shared" si="48"/>
        <v>0</v>
      </c>
      <c r="Y167" s="387"/>
      <c r="Z167" s="387">
        <f t="shared" si="49"/>
        <v>0</v>
      </c>
    </row>
    <row r="168" spans="2:26" x14ac:dyDescent="0.75">
      <c r="B168" s="403">
        <v>5830</v>
      </c>
      <c r="C168" s="379" t="s">
        <v>1412</v>
      </c>
      <c r="F168" s="379" t="str">
        <f>IF(ISERROR(VLOOKUP(B168,'Distribution %'!A:A,1,FALSE)),"NO","YES")</f>
        <v>YES</v>
      </c>
      <c r="G168" s="392"/>
      <c r="H168" s="430">
        <f>IFERROR(VLOOKUP(B168,'Expenses w MYP'!$A$8:$K$119,11,FALSE),"0")+0</f>
        <v>125000</v>
      </c>
      <c r="I168" s="388">
        <f>IF(VLOOKUP("Net Income",'FY ACTUALS'!$A$1:$X$996,I$3,FALSE)&lt;&gt;0,IFERROR(VLOOKUP($B168,'FY ACTUALS'!$A$1:$X$996,I$3,FALSE),"0")+0,IFERROR(($H168-SUMIF($I$1:$W$1,"ACTUAL",$I168:$W168))*(VLOOKUP($B168,'Distribution %'!$A$2:$Q$232,MATCH(I$2,'Distribution %'!$A$2:$Q$2,0),FALSE)/(SUMIF('Distribution %'!$C$1:$Q$1,"BUDGET",'Distribution %'!$C107:$Q107))),"0")+0)</f>
        <v>19364.91</v>
      </c>
      <c r="J168" s="389">
        <f>IF(VLOOKUP("Net Income",'FY ACTUALS'!$A$1:$X$996,J$3,FALSE)&lt;&gt;0,IFERROR(VLOOKUP($B168,'FY ACTUALS'!$A$1:$X$996,J$3,FALSE),"0")+0,IFERROR(($H168-SUMIF($I$1:$W$1,"ACTUAL",$I168:$W168))*(VLOOKUP($B168,'Distribution %'!$A$2:$Q$232,MATCH(J$2,'Distribution %'!$A$2:$Q$2,0),FALSE)/(SUMIF('Distribution %'!$C$1:$Q$1,"BUDGET",'Distribution %'!$C107:$Q107))),"0")+0)</f>
        <v>1783.69</v>
      </c>
      <c r="K168" s="389">
        <f>IF(VLOOKUP("Net Income",'FY ACTUALS'!$A$1:$X$996,K$3,FALSE)&lt;&gt;0,IFERROR(VLOOKUP($B168,'FY ACTUALS'!$A$1:$X$996,K$3,FALSE),"0")+0,IFERROR(($H168-SUMIF($I$1:$W$1,"ACTUAL",$I168:$W168))*(VLOOKUP($B168,'Distribution %'!$A$2:$Q$232,MATCH(K$2,'Distribution %'!$A$2:$Q$2,0),FALSE)/(SUMIF('Distribution %'!$C$1:$Q$1,"BUDGET",'Distribution %'!$C107:$Q107))),"0")+0)</f>
        <v>14448.9</v>
      </c>
      <c r="L168" s="389">
        <f>IF(VLOOKUP("Net Income",'FY ACTUALS'!$A$1:$X$996,L$3,FALSE)&lt;&gt;0,IFERROR(VLOOKUP($B168,'FY ACTUALS'!$A$1:$X$996,L$3,FALSE),"0")+0,IFERROR(($H168-SUMIF($I$1:$W$1,"ACTUAL",$I168:$W168))*(VLOOKUP($B168,'Distribution %'!$A$2:$Q$232,MATCH(L$2,'Distribution %'!$A$2:$Q$2,0),FALSE)/(SUMIF('Distribution %'!$C$1:$Q$1,"BUDGET",'Distribution %'!$C107:$Q107))),"0")+0)</f>
        <v>11904.45</v>
      </c>
      <c r="M168" s="389">
        <f>IF(VLOOKUP("Net Income",'FY ACTUALS'!$A$1:$X$996,M$3,FALSE)&lt;&gt;0,IFERROR(VLOOKUP($B168,'FY ACTUALS'!$A$1:$X$996,M$3,FALSE),"0")+0,IFERROR(($H168-SUMIF($I$1:$W$1,"ACTUAL",$I168:$W168))*(VLOOKUP($B168,'Distribution %'!$A$2:$Q$232,MATCH(M$2,'Distribution %'!$A$2:$Q$2,0),FALSE)/(SUMIF('Distribution %'!$C$1:$Q$1,"BUDGET",'Distribution %'!$C107:$Q107))),"0")+0)</f>
        <v>11827.37</v>
      </c>
      <c r="N168" s="389">
        <f>IF(VLOOKUP("Net Income",'FY ACTUALS'!$A$1:$X$996,N$3,FALSE)&lt;&gt;0,IFERROR(VLOOKUP($B168,'FY ACTUALS'!$A$1:$X$996,N$3,FALSE),"0")+0,IFERROR(($H168-SUMIF($I$1:$W$1,"ACTUAL",$I168:$W168))*(VLOOKUP($B168,'Distribution %'!$A$2:$Q$232,MATCH(N$2,'Distribution %'!$A$2:$Q$2,0),FALSE)/(SUMIF('Distribution %'!$C$1:$Q$1,"BUDGET",'Distribution %'!$C107:$Q107))),"0")+0)</f>
        <v>8887.36</v>
      </c>
      <c r="O168" s="389">
        <f>IF(VLOOKUP("Net Income",'FY ACTUALS'!$A$1:$X$996,O$3,FALSE)&lt;&gt;0,IFERROR(VLOOKUP($B168,'FY ACTUALS'!$A$1:$X$996,O$3,FALSE),"0")+0,IFERROR(($H168-SUMIF($I$1:$W$1,"ACTUAL",$I168:$W168))*(VLOOKUP($B168,'Distribution %'!$A$2:$Q$232,MATCH(O$2,'Distribution %'!$A$2:$Q$2,0),FALSE)/(SUMIF('Distribution %'!$C$1:$Q$1,"BUDGET",'Distribution %'!$C107:$Q107))),"0")+0)</f>
        <v>-5687.61</v>
      </c>
      <c r="P168" s="389">
        <f>IF(VLOOKUP("Net Income",'FY ACTUALS'!$A$1:$X$996,P$3,FALSE)&lt;&gt;0,IFERROR(VLOOKUP($B168,'FY ACTUALS'!$A$1:$X$996,P$3,FALSE),"0")+0,IFERROR(($H168-SUMIF($I$1:$W$1,"ACTUAL",$I168:$W168))*(VLOOKUP($B168,'Distribution %'!$A$2:$Q$232,MATCH(P$2,'Distribution %'!$A$2:$Q$2,0),FALSE)/(SUMIF('Distribution %'!$C$1:$Q$1,"BUDGET",'Distribution %'!$C107:$Q107))),"0")+0)</f>
        <v>12494.186000000002</v>
      </c>
      <c r="Q168" s="389">
        <f>IF(VLOOKUP("Net Income",'FY ACTUALS'!$A$1:$X$996,Q$3,FALSE)&lt;&gt;0,IFERROR(VLOOKUP($B168,'FY ACTUALS'!$A$1:$X$996,Q$3,FALSE),"0")+0,IFERROR(($H168-SUMIF($I$1:$W$1,"ACTUAL",$I168:$W168))*(VLOOKUP($B168,'Distribution %'!$A$2:$Q$232,MATCH(Q$2,'Distribution %'!$A$2:$Q$2,0),FALSE)/(SUMIF('Distribution %'!$C$1:$Q$1,"BUDGET",'Distribution %'!$C107:$Q107))),"0")+0)</f>
        <v>12494.186000000002</v>
      </c>
      <c r="R168" s="389">
        <f>IF(VLOOKUP("Net Income",'FY ACTUALS'!$A$1:$X$996,R$3,FALSE)&lt;&gt;0,IFERROR(VLOOKUP($B168,'FY ACTUALS'!$A$1:$X$996,R$3,FALSE),"0")+0,IFERROR(($H168-SUMIF($I$1:$W$1,"ACTUAL",$I168:$W168))*(VLOOKUP($B168,'Distribution %'!$A$2:$Q$232,MATCH(R$2,'Distribution %'!$A$2:$Q$2,0),FALSE)/(SUMIF('Distribution %'!$C$1:$Q$1,"BUDGET",'Distribution %'!$C107:$Q107))),"0")+0)</f>
        <v>12494.186000000002</v>
      </c>
      <c r="S168" s="389">
        <f>IF(VLOOKUP("Net Income",'FY ACTUALS'!$A$1:$X$996,S$3,FALSE)&lt;&gt;0,IFERROR(VLOOKUP($B168,'FY ACTUALS'!$A$1:$X$996,S$3,FALSE),"0")+0,IFERROR(($H168-SUMIF($I$1:$W$1,"ACTUAL",$I168:$W168))*(VLOOKUP($B168,'Distribution %'!$A$2:$Q$232,MATCH(S$2,'Distribution %'!$A$2:$Q$2,0),FALSE)/(SUMIF('Distribution %'!$C$1:$Q$1,"BUDGET",'Distribution %'!$C107:$Q107))),"0")+0)</f>
        <v>12494.186000000002</v>
      </c>
      <c r="T168" s="389">
        <f>IF(VLOOKUP("Net Income",'FY ACTUALS'!$A$1:$X$996,T$3,FALSE)&lt;&gt;0,IFERROR(VLOOKUP($B168,'FY ACTUALS'!$A$1:$X$996,T$3,FALSE),"0")+0,IFERROR(($H168-SUMIF($I$1:$W$1,"ACTUAL",$I168:$W168))*(VLOOKUP($B168,'Distribution %'!$A$2:$Q$232,MATCH(T$2,'Distribution %'!$A$2:$Q$2,0),FALSE)/(SUMIF('Distribution %'!$C$1:$Q$1,"BUDGET",'Distribution %'!$C107:$Q107))),"0")+0)</f>
        <v>12494.186000000002</v>
      </c>
      <c r="U168" s="389">
        <f>IF(VLOOKUP("Net Income",'FY ACTUALS'!$A$1:$X$996,U$3,FALSE)&lt;&gt;0,IFERROR(VLOOKUP($B168,'FY ACTUALS'!$A$1:$X$996,U$3,FALSE),"0")+0,IFERROR(($H168-SUMIF($I$1:$W$1,"ACTUAL",$I168:$W168))*(VLOOKUP($B168,'Distribution %'!$A$2:$Q$232,MATCH(U$2,'Distribution %'!$A$2:$Q$2,0),FALSE)/(SUMIF('Distribution %'!$C$1:$Q$1,"BUDGET",'Distribution %'!$C107:$Q107))),"0")+0)</f>
        <v>0</v>
      </c>
      <c r="V168" s="389">
        <f>IF(VLOOKUP("Net Income",'FY ACTUALS'!$A$1:$X$996,V$3,FALSE)&lt;&gt;0,IFERROR(VLOOKUP($B168,'FY ACTUALS'!$A$1:$X$996,V$3,FALSE),"0")+0,IFERROR(($H168-SUMIF($I$1:$W$1,"ACTUAL",$I168:$W168))*(VLOOKUP($B168,'Distribution %'!$A$2:$Q$232,MATCH(V$2,'Distribution %'!$A$2:$Q$2,0),FALSE)/(SUMIF('Distribution %'!$C$1:$Q$1,"BUDGET",'Distribution %'!$C107:$Q107))),"0")+0)</f>
        <v>0</v>
      </c>
      <c r="W168" s="431">
        <f>IF(VLOOKUP("Net Income",'FY ACTUALS'!$A$1:$X$996,W$3,FALSE)&lt;&gt;0,IFERROR(VLOOKUP($B168,'FY ACTUALS'!$A$1:$X$996,W$3,FALSE),"0")+0,IFERROR(($H168-SUMIF($I$1:$W$1,"ACTUAL",$I168:$W168))*(VLOOKUP($B168,'Distribution %'!$A$2:$Q$232,MATCH(W$2,'Distribution %'!$A$2:$Q$2,0),FALSE)/(SUMIF('Distribution %'!$C$1:$Q$1,"BUDGET",'Distribution %'!$C107:$Q107))),"0")+0)</f>
        <v>0</v>
      </c>
      <c r="X168" s="387">
        <f t="shared" si="48"/>
        <v>125000</v>
      </c>
      <c r="Y168" s="387"/>
      <c r="Z168" s="387">
        <f t="shared" si="49"/>
        <v>0</v>
      </c>
    </row>
    <row r="169" spans="2:26" x14ac:dyDescent="0.75">
      <c r="B169" s="403">
        <v>5836</v>
      </c>
      <c r="C169" s="379" t="s">
        <v>1443</v>
      </c>
      <c r="F169" s="379" t="str">
        <f>IF(ISERROR(VLOOKUP(B169,'Distribution %'!A:A,1,FALSE)),"NO","YES")</f>
        <v>YES</v>
      </c>
      <c r="G169" s="392"/>
      <c r="H169" s="430">
        <f>IFERROR(VLOOKUP(B169,'Expenses w MYP'!$A$8:$K$119,11,FALSE),"0")+0</f>
        <v>0</v>
      </c>
      <c r="I169" s="388">
        <f>IF(VLOOKUP("Net Income",'FY ACTUALS'!$A$1:$X$996,I$3,FALSE)&lt;&gt;0,IFERROR(VLOOKUP($B169,'FY ACTUALS'!$A$1:$X$996,I$3,FALSE),"0")+0,IFERROR(($H169-SUMIF($I$1:$W$1,"ACTUAL",$I169:$W169))*(VLOOKUP($B169,'Distribution %'!$A$2:$Q$232,MATCH(I$2,'Distribution %'!$A$2:$Q$2,0),FALSE)/(SUMIF('Distribution %'!$C$1:$Q$1,"BUDGET",'Distribution %'!$C108:$Q108))),"0")+0)</f>
        <v>0</v>
      </c>
      <c r="J169" s="389">
        <f>IF(VLOOKUP("Net Income",'FY ACTUALS'!$A$1:$X$996,J$3,FALSE)&lt;&gt;0,IFERROR(VLOOKUP($B169,'FY ACTUALS'!$A$1:$X$996,J$3,FALSE),"0")+0,IFERROR(($H169-SUMIF($I$1:$W$1,"ACTUAL",$I169:$W169))*(VLOOKUP($B169,'Distribution %'!$A$2:$Q$232,MATCH(J$2,'Distribution %'!$A$2:$Q$2,0),FALSE)/(SUMIF('Distribution %'!$C$1:$Q$1,"BUDGET",'Distribution %'!$C108:$Q108))),"0")+0)</f>
        <v>0</v>
      </c>
      <c r="K169" s="389">
        <f>IF(VLOOKUP("Net Income",'FY ACTUALS'!$A$1:$X$996,K$3,FALSE)&lt;&gt;0,IFERROR(VLOOKUP($B169,'FY ACTUALS'!$A$1:$X$996,K$3,FALSE),"0")+0,IFERROR(($H169-SUMIF($I$1:$W$1,"ACTUAL",$I169:$W169))*(VLOOKUP($B169,'Distribution %'!$A$2:$Q$232,MATCH(K$2,'Distribution %'!$A$2:$Q$2,0),FALSE)/(SUMIF('Distribution %'!$C$1:$Q$1,"BUDGET",'Distribution %'!$C108:$Q108))),"0")+0)</f>
        <v>0</v>
      </c>
      <c r="L169" s="389">
        <f>IF(VLOOKUP("Net Income",'FY ACTUALS'!$A$1:$X$996,L$3,FALSE)&lt;&gt;0,IFERROR(VLOOKUP($B169,'FY ACTUALS'!$A$1:$X$996,L$3,FALSE),"0")+0,IFERROR(($H169-SUMIF($I$1:$W$1,"ACTUAL",$I169:$W169))*(VLOOKUP($B169,'Distribution %'!$A$2:$Q$232,MATCH(L$2,'Distribution %'!$A$2:$Q$2,0),FALSE)/(SUMIF('Distribution %'!$C$1:$Q$1,"BUDGET",'Distribution %'!$C108:$Q108))),"0")+0)</f>
        <v>0</v>
      </c>
      <c r="M169" s="389">
        <f>IF(VLOOKUP("Net Income",'FY ACTUALS'!$A$1:$X$996,M$3,FALSE)&lt;&gt;0,IFERROR(VLOOKUP($B169,'FY ACTUALS'!$A$1:$X$996,M$3,FALSE),"0")+0,IFERROR(($H169-SUMIF($I$1:$W$1,"ACTUAL",$I169:$W169))*(VLOOKUP($B169,'Distribution %'!$A$2:$Q$232,MATCH(M$2,'Distribution %'!$A$2:$Q$2,0),FALSE)/(SUMIF('Distribution %'!$C$1:$Q$1,"BUDGET",'Distribution %'!$C108:$Q108))),"0")+0)</f>
        <v>0</v>
      </c>
      <c r="N169" s="389">
        <f>IF(VLOOKUP("Net Income",'FY ACTUALS'!$A$1:$X$996,N$3,FALSE)&lt;&gt;0,IFERROR(VLOOKUP($B169,'FY ACTUALS'!$A$1:$X$996,N$3,FALSE),"0")+0,IFERROR(($H169-SUMIF($I$1:$W$1,"ACTUAL",$I169:$W169))*(VLOOKUP($B169,'Distribution %'!$A$2:$Q$232,MATCH(N$2,'Distribution %'!$A$2:$Q$2,0),FALSE)/(SUMIF('Distribution %'!$C$1:$Q$1,"BUDGET",'Distribution %'!$C108:$Q108))),"0")+0)</f>
        <v>0</v>
      </c>
      <c r="O169" s="389">
        <f>IF(VLOOKUP("Net Income",'FY ACTUALS'!$A$1:$X$996,O$3,FALSE)&lt;&gt;0,IFERROR(VLOOKUP($B169,'FY ACTUALS'!$A$1:$X$996,O$3,FALSE),"0")+0,IFERROR(($H169-SUMIF($I$1:$W$1,"ACTUAL",$I169:$W169))*(VLOOKUP($B169,'Distribution %'!$A$2:$Q$232,MATCH(O$2,'Distribution %'!$A$2:$Q$2,0),FALSE)/(SUMIF('Distribution %'!$C$1:$Q$1,"BUDGET",'Distribution %'!$C108:$Q108))),"0")+0)</f>
        <v>0</v>
      </c>
      <c r="P169" s="389">
        <f>IF(VLOOKUP("Net Income",'FY ACTUALS'!$A$1:$X$996,P$3,FALSE)&lt;&gt;0,IFERROR(VLOOKUP($B169,'FY ACTUALS'!$A$1:$X$996,P$3,FALSE),"0")+0,IFERROR(($H169-SUMIF($I$1:$W$1,"ACTUAL",$I169:$W169))*(VLOOKUP($B169,'Distribution %'!$A$2:$Q$232,MATCH(P$2,'Distribution %'!$A$2:$Q$2,0),FALSE)/(SUMIF('Distribution %'!$C$1:$Q$1,"BUDGET",'Distribution %'!$C108:$Q108))),"0")+0)</f>
        <v>0</v>
      </c>
      <c r="Q169" s="389">
        <f>IF(VLOOKUP("Net Income",'FY ACTUALS'!$A$1:$X$996,Q$3,FALSE)&lt;&gt;0,IFERROR(VLOOKUP($B169,'FY ACTUALS'!$A$1:$X$996,Q$3,FALSE),"0")+0,IFERROR(($H169-SUMIF($I$1:$W$1,"ACTUAL",$I169:$W169))*(VLOOKUP($B169,'Distribution %'!$A$2:$Q$232,MATCH(Q$2,'Distribution %'!$A$2:$Q$2,0),FALSE)/(SUMIF('Distribution %'!$C$1:$Q$1,"BUDGET",'Distribution %'!$C108:$Q108))),"0")+0)</f>
        <v>0</v>
      </c>
      <c r="R169" s="389">
        <f>IF(VLOOKUP("Net Income",'FY ACTUALS'!$A$1:$X$996,R$3,FALSE)&lt;&gt;0,IFERROR(VLOOKUP($B169,'FY ACTUALS'!$A$1:$X$996,R$3,FALSE),"0")+0,IFERROR(($H169-SUMIF($I$1:$W$1,"ACTUAL",$I169:$W169))*(VLOOKUP($B169,'Distribution %'!$A$2:$Q$232,MATCH(R$2,'Distribution %'!$A$2:$Q$2,0),FALSE)/(SUMIF('Distribution %'!$C$1:$Q$1,"BUDGET",'Distribution %'!$C108:$Q108))),"0")+0)</f>
        <v>0</v>
      </c>
      <c r="S169" s="389">
        <f>IF(VLOOKUP("Net Income",'FY ACTUALS'!$A$1:$X$996,S$3,FALSE)&lt;&gt;0,IFERROR(VLOOKUP($B169,'FY ACTUALS'!$A$1:$X$996,S$3,FALSE),"0")+0,IFERROR(($H169-SUMIF($I$1:$W$1,"ACTUAL",$I169:$W169))*(VLOOKUP($B169,'Distribution %'!$A$2:$Q$232,MATCH(S$2,'Distribution %'!$A$2:$Q$2,0),FALSE)/(SUMIF('Distribution %'!$C$1:$Q$1,"BUDGET",'Distribution %'!$C108:$Q108))),"0")+0)</f>
        <v>0</v>
      </c>
      <c r="T169" s="389">
        <f>IF(VLOOKUP("Net Income",'FY ACTUALS'!$A$1:$X$996,T$3,FALSE)&lt;&gt;0,IFERROR(VLOOKUP($B169,'FY ACTUALS'!$A$1:$X$996,T$3,FALSE),"0")+0,IFERROR(($H169-SUMIF($I$1:$W$1,"ACTUAL",$I169:$W169))*(VLOOKUP($B169,'Distribution %'!$A$2:$Q$232,MATCH(T$2,'Distribution %'!$A$2:$Q$2,0),FALSE)/(SUMIF('Distribution %'!$C$1:$Q$1,"BUDGET",'Distribution %'!$C108:$Q108))),"0")+0)</f>
        <v>0</v>
      </c>
      <c r="U169" s="389">
        <f>IF(VLOOKUP("Net Income",'FY ACTUALS'!$A$1:$X$996,U$3,FALSE)&lt;&gt;0,IFERROR(VLOOKUP($B169,'FY ACTUALS'!$A$1:$X$996,U$3,FALSE),"0")+0,IFERROR(($H169-SUMIF($I$1:$W$1,"ACTUAL",$I169:$W169))*(VLOOKUP($B169,'Distribution %'!$A$2:$Q$232,MATCH(U$2,'Distribution %'!$A$2:$Q$2,0),FALSE)/(SUMIF('Distribution %'!$C$1:$Q$1,"BUDGET",'Distribution %'!$C108:$Q108))),"0")+0)</f>
        <v>0</v>
      </c>
      <c r="V169" s="389">
        <f>IF(VLOOKUP("Net Income",'FY ACTUALS'!$A$1:$X$996,V$3,FALSE)&lt;&gt;0,IFERROR(VLOOKUP($B169,'FY ACTUALS'!$A$1:$X$996,V$3,FALSE),"0")+0,IFERROR(($H169-SUMIF($I$1:$W$1,"ACTUAL",$I169:$W169))*(VLOOKUP($B169,'Distribution %'!$A$2:$Q$232,MATCH(V$2,'Distribution %'!$A$2:$Q$2,0),FALSE)/(SUMIF('Distribution %'!$C$1:$Q$1,"BUDGET",'Distribution %'!$C108:$Q108))),"0")+0)</f>
        <v>0</v>
      </c>
      <c r="W169" s="431">
        <f>IF(VLOOKUP("Net Income",'FY ACTUALS'!$A$1:$X$996,W$3,FALSE)&lt;&gt;0,IFERROR(VLOOKUP($B169,'FY ACTUALS'!$A$1:$X$996,W$3,FALSE),"0")+0,IFERROR(($H169-SUMIF($I$1:$W$1,"ACTUAL",$I169:$W169))*(VLOOKUP($B169,'Distribution %'!$A$2:$Q$232,MATCH(W$2,'Distribution %'!$A$2:$Q$2,0),FALSE)/(SUMIF('Distribution %'!$C$1:$Q$1,"BUDGET",'Distribution %'!$C108:$Q108))),"0")+0)</f>
        <v>0</v>
      </c>
      <c r="X169" s="387">
        <f t="shared" ref="X169:X176" si="54">+SUM(I169:W169)</f>
        <v>0</v>
      </c>
      <c r="Y169" s="387"/>
      <c r="Z169" s="387">
        <f t="shared" si="49"/>
        <v>0</v>
      </c>
    </row>
    <row r="170" spans="2:26" x14ac:dyDescent="0.75">
      <c r="B170" s="403">
        <v>5842</v>
      </c>
      <c r="C170" s="379" t="s">
        <v>1444</v>
      </c>
      <c r="F170" s="379" t="str">
        <f>IF(ISERROR(VLOOKUP(B170,'Distribution %'!A:A,1,FALSE)),"NO","YES")</f>
        <v>YES</v>
      </c>
      <c r="G170" s="392"/>
      <c r="H170" s="430">
        <f>IFERROR(VLOOKUP(B170,'Expenses w MYP'!$A$8:$K$119,11,FALSE),"0")+0</f>
        <v>0</v>
      </c>
      <c r="I170" s="388">
        <f>IF(VLOOKUP("Net Income",'FY ACTUALS'!$A$1:$X$996,I$3,FALSE)&lt;&gt;0,IFERROR(VLOOKUP($B170,'FY ACTUALS'!$A$1:$X$996,I$3,FALSE),"0")+0,IFERROR(($H170-SUMIF($I$1:$W$1,"ACTUAL",$I170:$W170))*(VLOOKUP($B170,'Distribution %'!$A$2:$Q$232,MATCH(I$2,'Distribution %'!$A$2:$Q$2,0),FALSE)/(SUMIF('Distribution %'!$C$1:$Q$1,"BUDGET",'Distribution %'!$C109:$Q109))),"0")+0)</f>
        <v>0</v>
      </c>
      <c r="J170" s="389">
        <f>IF(VLOOKUP("Net Income",'FY ACTUALS'!$A$1:$X$996,J$3,FALSE)&lt;&gt;0,IFERROR(VLOOKUP($B170,'FY ACTUALS'!$A$1:$X$996,J$3,FALSE),"0")+0,IFERROR(($H170-SUMIF($I$1:$W$1,"ACTUAL",$I170:$W170))*(VLOOKUP($B170,'Distribution %'!$A$2:$Q$232,MATCH(J$2,'Distribution %'!$A$2:$Q$2,0),FALSE)/(SUMIF('Distribution %'!$C$1:$Q$1,"BUDGET",'Distribution %'!$C109:$Q109))),"0")+0)</f>
        <v>0</v>
      </c>
      <c r="K170" s="389">
        <f>IF(VLOOKUP("Net Income",'FY ACTUALS'!$A$1:$X$996,K$3,FALSE)&lt;&gt;0,IFERROR(VLOOKUP($B170,'FY ACTUALS'!$A$1:$X$996,K$3,FALSE),"0")+0,IFERROR(($H170-SUMIF($I$1:$W$1,"ACTUAL",$I170:$W170))*(VLOOKUP($B170,'Distribution %'!$A$2:$Q$232,MATCH(K$2,'Distribution %'!$A$2:$Q$2,0),FALSE)/(SUMIF('Distribution %'!$C$1:$Q$1,"BUDGET",'Distribution %'!$C109:$Q109))),"0")+0)</f>
        <v>0</v>
      </c>
      <c r="L170" s="389">
        <f>IF(VLOOKUP("Net Income",'FY ACTUALS'!$A$1:$X$996,L$3,FALSE)&lt;&gt;0,IFERROR(VLOOKUP($B170,'FY ACTUALS'!$A$1:$X$996,L$3,FALSE),"0")+0,IFERROR(($H170-SUMIF($I$1:$W$1,"ACTUAL",$I170:$W170))*(VLOOKUP($B170,'Distribution %'!$A$2:$Q$232,MATCH(L$2,'Distribution %'!$A$2:$Q$2,0),FALSE)/(SUMIF('Distribution %'!$C$1:$Q$1,"BUDGET",'Distribution %'!$C109:$Q109))),"0")+0)</f>
        <v>0</v>
      </c>
      <c r="M170" s="389">
        <f>IF(VLOOKUP("Net Income",'FY ACTUALS'!$A$1:$X$996,M$3,FALSE)&lt;&gt;0,IFERROR(VLOOKUP($B170,'FY ACTUALS'!$A$1:$X$996,M$3,FALSE),"0")+0,IFERROR(($H170-SUMIF($I$1:$W$1,"ACTUAL",$I170:$W170))*(VLOOKUP($B170,'Distribution %'!$A$2:$Q$232,MATCH(M$2,'Distribution %'!$A$2:$Q$2,0),FALSE)/(SUMIF('Distribution %'!$C$1:$Q$1,"BUDGET",'Distribution %'!$C109:$Q109))),"0")+0)</f>
        <v>0</v>
      </c>
      <c r="N170" s="389">
        <f>IF(VLOOKUP("Net Income",'FY ACTUALS'!$A$1:$X$996,N$3,FALSE)&lt;&gt;0,IFERROR(VLOOKUP($B170,'FY ACTUALS'!$A$1:$X$996,N$3,FALSE),"0")+0,IFERROR(($H170-SUMIF($I$1:$W$1,"ACTUAL",$I170:$W170))*(VLOOKUP($B170,'Distribution %'!$A$2:$Q$232,MATCH(N$2,'Distribution %'!$A$2:$Q$2,0),FALSE)/(SUMIF('Distribution %'!$C$1:$Q$1,"BUDGET",'Distribution %'!$C109:$Q109))),"0")+0)</f>
        <v>0</v>
      </c>
      <c r="O170" s="389">
        <f>IF(VLOOKUP("Net Income",'FY ACTUALS'!$A$1:$X$996,O$3,FALSE)&lt;&gt;0,IFERROR(VLOOKUP($B170,'FY ACTUALS'!$A$1:$X$996,O$3,FALSE),"0")+0,IFERROR(($H170-SUMIF($I$1:$W$1,"ACTUAL",$I170:$W170))*(VLOOKUP($B170,'Distribution %'!$A$2:$Q$232,MATCH(O$2,'Distribution %'!$A$2:$Q$2,0),FALSE)/(SUMIF('Distribution %'!$C$1:$Q$1,"BUDGET",'Distribution %'!$C109:$Q109))),"0")+0)</f>
        <v>0</v>
      </c>
      <c r="P170" s="389">
        <f>IF(VLOOKUP("Net Income",'FY ACTUALS'!$A$1:$X$996,P$3,FALSE)&lt;&gt;0,IFERROR(VLOOKUP($B170,'FY ACTUALS'!$A$1:$X$996,P$3,FALSE),"0")+0,IFERROR(($H170-SUMIF($I$1:$W$1,"ACTUAL",$I170:$W170))*(VLOOKUP($B170,'Distribution %'!$A$2:$Q$232,MATCH(P$2,'Distribution %'!$A$2:$Q$2,0),FALSE)/(SUMIF('Distribution %'!$C$1:$Q$1,"BUDGET",'Distribution %'!$C109:$Q109))),"0")+0)</f>
        <v>0</v>
      </c>
      <c r="Q170" s="389">
        <f>IF(VLOOKUP("Net Income",'FY ACTUALS'!$A$1:$X$996,Q$3,FALSE)&lt;&gt;0,IFERROR(VLOOKUP($B170,'FY ACTUALS'!$A$1:$X$996,Q$3,FALSE),"0")+0,IFERROR(($H170-SUMIF($I$1:$W$1,"ACTUAL",$I170:$W170))*(VLOOKUP($B170,'Distribution %'!$A$2:$Q$232,MATCH(Q$2,'Distribution %'!$A$2:$Q$2,0),FALSE)/(SUMIF('Distribution %'!$C$1:$Q$1,"BUDGET",'Distribution %'!$C109:$Q109))),"0")+0)</f>
        <v>0</v>
      </c>
      <c r="R170" s="389">
        <f>IF(VLOOKUP("Net Income",'FY ACTUALS'!$A$1:$X$996,R$3,FALSE)&lt;&gt;0,IFERROR(VLOOKUP($B170,'FY ACTUALS'!$A$1:$X$996,R$3,FALSE),"0")+0,IFERROR(($H170-SUMIF($I$1:$W$1,"ACTUAL",$I170:$W170))*(VLOOKUP($B170,'Distribution %'!$A$2:$Q$232,MATCH(R$2,'Distribution %'!$A$2:$Q$2,0),FALSE)/(SUMIF('Distribution %'!$C$1:$Q$1,"BUDGET",'Distribution %'!$C109:$Q109))),"0")+0)</f>
        <v>0</v>
      </c>
      <c r="S170" s="389">
        <f>IF(VLOOKUP("Net Income",'FY ACTUALS'!$A$1:$X$996,S$3,FALSE)&lt;&gt;0,IFERROR(VLOOKUP($B170,'FY ACTUALS'!$A$1:$X$996,S$3,FALSE),"0")+0,IFERROR(($H170-SUMIF($I$1:$W$1,"ACTUAL",$I170:$W170))*(VLOOKUP($B170,'Distribution %'!$A$2:$Q$232,MATCH(S$2,'Distribution %'!$A$2:$Q$2,0),FALSE)/(SUMIF('Distribution %'!$C$1:$Q$1,"BUDGET",'Distribution %'!$C109:$Q109))),"0")+0)</f>
        <v>0</v>
      </c>
      <c r="T170" s="389">
        <f>IF(VLOOKUP("Net Income",'FY ACTUALS'!$A$1:$X$996,T$3,FALSE)&lt;&gt;0,IFERROR(VLOOKUP($B170,'FY ACTUALS'!$A$1:$X$996,T$3,FALSE),"0")+0,IFERROR(($H170-SUMIF($I$1:$W$1,"ACTUAL",$I170:$W170))*(VLOOKUP($B170,'Distribution %'!$A$2:$Q$232,MATCH(T$2,'Distribution %'!$A$2:$Q$2,0),FALSE)/(SUMIF('Distribution %'!$C$1:$Q$1,"BUDGET",'Distribution %'!$C109:$Q109))),"0")+0)</f>
        <v>0</v>
      </c>
      <c r="U170" s="389">
        <f>IF(VLOOKUP("Net Income",'FY ACTUALS'!$A$1:$X$996,U$3,FALSE)&lt;&gt;0,IFERROR(VLOOKUP($B170,'FY ACTUALS'!$A$1:$X$996,U$3,FALSE),"0")+0,IFERROR(($H170-SUMIF($I$1:$W$1,"ACTUAL",$I170:$W170))*(VLOOKUP($B170,'Distribution %'!$A$2:$Q$232,MATCH(U$2,'Distribution %'!$A$2:$Q$2,0),FALSE)/(SUMIF('Distribution %'!$C$1:$Q$1,"BUDGET",'Distribution %'!$C109:$Q109))),"0")+0)</f>
        <v>0</v>
      </c>
      <c r="V170" s="389">
        <f>IF(VLOOKUP("Net Income",'FY ACTUALS'!$A$1:$X$996,V$3,FALSE)&lt;&gt;0,IFERROR(VLOOKUP($B170,'FY ACTUALS'!$A$1:$X$996,V$3,FALSE),"0")+0,IFERROR(($H170-SUMIF($I$1:$W$1,"ACTUAL",$I170:$W170))*(VLOOKUP($B170,'Distribution %'!$A$2:$Q$232,MATCH(V$2,'Distribution %'!$A$2:$Q$2,0),FALSE)/(SUMIF('Distribution %'!$C$1:$Q$1,"BUDGET",'Distribution %'!$C109:$Q109))),"0")+0)</f>
        <v>0</v>
      </c>
      <c r="W170" s="431">
        <f>IF(VLOOKUP("Net Income",'FY ACTUALS'!$A$1:$X$996,W$3,FALSE)&lt;&gt;0,IFERROR(VLOOKUP($B170,'FY ACTUALS'!$A$1:$X$996,W$3,FALSE),"0")+0,IFERROR(($H170-SUMIF($I$1:$W$1,"ACTUAL",$I170:$W170))*(VLOOKUP($B170,'Distribution %'!$A$2:$Q$232,MATCH(W$2,'Distribution %'!$A$2:$Q$2,0),FALSE)/(SUMIF('Distribution %'!$C$1:$Q$1,"BUDGET",'Distribution %'!$C109:$Q109))),"0")+0)</f>
        <v>0</v>
      </c>
      <c r="X170" s="387">
        <f t="shared" si="54"/>
        <v>0</v>
      </c>
      <c r="Y170" s="387"/>
      <c r="Z170" s="387">
        <f t="shared" si="49"/>
        <v>0</v>
      </c>
    </row>
    <row r="171" spans="2:26" x14ac:dyDescent="0.75">
      <c r="B171" s="403">
        <v>5850</v>
      </c>
      <c r="C171" s="379" t="s">
        <v>1445</v>
      </c>
      <c r="F171" s="379" t="str">
        <f>IF(ISERROR(VLOOKUP(B171,'Distribution %'!A:A,1,FALSE)),"NO","YES")</f>
        <v>YES</v>
      </c>
      <c r="G171" s="392"/>
      <c r="H171" s="430">
        <f>IFERROR(VLOOKUP(B171,'Expenses w MYP'!$A$8:$K$119,11,FALSE),"0")+0</f>
        <v>0</v>
      </c>
      <c r="I171" s="388">
        <f>IF(VLOOKUP("Net Income",'FY ACTUALS'!$A$1:$X$996,I$3,FALSE)&lt;&gt;0,IFERROR(VLOOKUP($B171,'FY ACTUALS'!$A$1:$X$996,I$3,FALSE),"0")+0,IFERROR(($H171-SUMIF($I$1:$W$1,"ACTUAL",$I171:$W171))*(VLOOKUP($B171,'Distribution %'!$A$2:$Q$232,MATCH(I$2,'Distribution %'!$A$2:$Q$2,0),FALSE)/(SUMIF('Distribution %'!$C$1:$Q$1,"BUDGET",'Distribution %'!$C110:$Q110))),"0")+0)</f>
        <v>0</v>
      </c>
      <c r="J171" s="389">
        <f>IF(VLOOKUP("Net Income",'FY ACTUALS'!$A$1:$X$996,J$3,FALSE)&lt;&gt;0,IFERROR(VLOOKUP($B171,'FY ACTUALS'!$A$1:$X$996,J$3,FALSE),"0")+0,IFERROR(($H171-SUMIF($I$1:$W$1,"ACTUAL",$I171:$W171))*(VLOOKUP($B171,'Distribution %'!$A$2:$Q$232,MATCH(J$2,'Distribution %'!$A$2:$Q$2,0),FALSE)/(SUMIF('Distribution %'!$C$1:$Q$1,"BUDGET",'Distribution %'!$C110:$Q110))),"0")+0)</f>
        <v>0</v>
      </c>
      <c r="K171" s="389">
        <f>IF(VLOOKUP("Net Income",'FY ACTUALS'!$A$1:$X$996,K$3,FALSE)&lt;&gt;0,IFERROR(VLOOKUP($B171,'FY ACTUALS'!$A$1:$X$996,K$3,FALSE),"0")+0,IFERROR(($H171-SUMIF($I$1:$W$1,"ACTUAL",$I171:$W171))*(VLOOKUP($B171,'Distribution %'!$A$2:$Q$232,MATCH(K$2,'Distribution %'!$A$2:$Q$2,0),FALSE)/(SUMIF('Distribution %'!$C$1:$Q$1,"BUDGET",'Distribution %'!$C110:$Q110))),"0")+0)</f>
        <v>0</v>
      </c>
      <c r="L171" s="389">
        <f>IF(VLOOKUP("Net Income",'FY ACTUALS'!$A$1:$X$996,L$3,FALSE)&lt;&gt;0,IFERROR(VLOOKUP($B171,'FY ACTUALS'!$A$1:$X$996,L$3,FALSE),"0")+0,IFERROR(($H171-SUMIF($I$1:$W$1,"ACTUAL",$I171:$W171))*(VLOOKUP($B171,'Distribution %'!$A$2:$Q$232,MATCH(L$2,'Distribution %'!$A$2:$Q$2,0),FALSE)/(SUMIF('Distribution %'!$C$1:$Q$1,"BUDGET",'Distribution %'!$C110:$Q110))),"0")+0)</f>
        <v>0</v>
      </c>
      <c r="M171" s="389">
        <f>IF(VLOOKUP("Net Income",'FY ACTUALS'!$A$1:$X$996,M$3,FALSE)&lt;&gt;0,IFERROR(VLOOKUP($B171,'FY ACTUALS'!$A$1:$X$996,M$3,FALSE),"0")+0,IFERROR(($H171-SUMIF($I$1:$W$1,"ACTUAL",$I171:$W171))*(VLOOKUP($B171,'Distribution %'!$A$2:$Q$232,MATCH(M$2,'Distribution %'!$A$2:$Q$2,0),FALSE)/(SUMIF('Distribution %'!$C$1:$Q$1,"BUDGET",'Distribution %'!$C110:$Q110))),"0")+0)</f>
        <v>0</v>
      </c>
      <c r="N171" s="389">
        <f>IF(VLOOKUP("Net Income",'FY ACTUALS'!$A$1:$X$996,N$3,FALSE)&lt;&gt;0,IFERROR(VLOOKUP($B171,'FY ACTUALS'!$A$1:$X$996,N$3,FALSE),"0")+0,IFERROR(($H171-SUMIF($I$1:$W$1,"ACTUAL",$I171:$W171))*(VLOOKUP($B171,'Distribution %'!$A$2:$Q$232,MATCH(N$2,'Distribution %'!$A$2:$Q$2,0),FALSE)/(SUMIF('Distribution %'!$C$1:$Q$1,"BUDGET",'Distribution %'!$C110:$Q110))),"0")+0)</f>
        <v>0</v>
      </c>
      <c r="O171" s="389">
        <f>IF(VLOOKUP("Net Income",'FY ACTUALS'!$A$1:$X$996,O$3,FALSE)&lt;&gt;0,IFERROR(VLOOKUP($B171,'FY ACTUALS'!$A$1:$X$996,O$3,FALSE),"0")+0,IFERROR(($H171-SUMIF($I$1:$W$1,"ACTUAL",$I171:$W171))*(VLOOKUP($B171,'Distribution %'!$A$2:$Q$232,MATCH(O$2,'Distribution %'!$A$2:$Q$2,0),FALSE)/(SUMIF('Distribution %'!$C$1:$Q$1,"BUDGET",'Distribution %'!$C110:$Q110))),"0")+0)</f>
        <v>0</v>
      </c>
      <c r="P171" s="389">
        <f>IF(VLOOKUP("Net Income",'FY ACTUALS'!$A$1:$X$996,P$3,FALSE)&lt;&gt;0,IFERROR(VLOOKUP($B171,'FY ACTUALS'!$A$1:$X$996,P$3,FALSE),"0")+0,IFERROR(($H171-SUMIF($I$1:$W$1,"ACTUAL",$I171:$W171))*(VLOOKUP($B171,'Distribution %'!$A$2:$Q$232,MATCH(P$2,'Distribution %'!$A$2:$Q$2,0),FALSE)/(SUMIF('Distribution %'!$C$1:$Q$1,"BUDGET",'Distribution %'!$C110:$Q110))),"0")+0)</f>
        <v>0</v>
      </c>
      <c r="Q171" s="389">
        <f>IF(VLOOKUP("Net Income",'FY ACTUALS'!$A$1:$X$996,Q$3,FALSE)&lt;&gt;0,IFERROR(VLOOKUP($B171,'FY ACTUALS'!$A$1:$X$996,Q$3,FALSE),"0")+0,IFERROR(($H171-SUMIF($I$1:$W$1,"ACTUAL",$I171:$W171))*(VLOOKUP($B171,'Distribution %'!$A$2:$Q$232,MATCH(Q$2,'Distribution %'!$A$2:$Q$2,0),FALSE)/(SUMIF('Distribution %'!$C$1:$Q$1,"BUDGET",'Distribution %'!$C110:$Q110))),"0")+0)</f>
        <v>0</v>
      </c>
      <c r="R171" s="389">
        <f>IF(VLOOKUP("Net Income",'FY ACTUALS'!$A$1:$X$996,R$3,FALSE)&lt;&gt;0,IFERROR(VLOOKUP($B171,'FY ACTUALS'!$A$1:$X$996,R$3,FALSE),"0")+0,IFERROR(($H171-SUMIF($I$1:$W$1,"ACTUAL",$I171:$W171))*(VLOOKUP($B171,'Distribution %'!$A$2:$Q$232,MATCH(R$2,'Distribution %'!$A$2:$Q$2,0),FALSE)/(SUMIF('Distribution %'!$C$1:$Q$1,"BUDGET",'Distribution %'!$C110:$Q110))),"0")+0)</f>
        <v>0</v>
      </c>
      <c r="S171" s="389">
        <f>IF(VLOOKUP("Net Income",'FY ACTUALS'!$A$1:$X$996,S$3,FALSE)&lt;&gt;0,IFERROR(VLOOKUP($B171,'FY ACTUALS'!$A$1:$X$996,S$3,FALSE),"0")+0,IFERROR(($H171-SUMIF($I$1:$W$1,"ACTUAL",$I171:$W171))*(VLOOKUP($B171,'Distribution %'!$A$2:$Q$232,MATCH(S$2,'Distribution %'!$A$2:$Q$2,0),FALSE)/(SUMIF('Distribution %'!$C$1:$Q$1,"BUDGET",'Distribution %'!$C110:$Q110))),"0")+0)</f>
        <v>0</v>
      </c>
      <c r="T171" s="389">
        <f>IF(VLOOKUP("Net Income",'FY ACTUALS'!$A$1:$X$996,T$3,FALSE)&lt;&gt;0,IFERROR(VLOOKUP($B171,'FY ACTUALS'!$A$1:$X$996,T$3,FALSE),"0")+0,IFERROR(($H171-SUMIF($I$1:$W$1,"ACTUAL",$I171:$W171))*(VLOOKUP($B171,'Distribution %'!$A$2:$Q$232,MATCH(T$2,'Distribution %'!$A$2:$Q$2,0),FALSE)/(SUMIF('Distribution %'!$C$1:$Q$1,"BUDGET",'Distribution %'!$C110:$Q110))),"0")+0)</f>
        <v>0</v>
      </c>
      <c r="U171" s="389">
        <f>IF(VLOOKUP("Net Income",'FY ACTUALS'!$A$1:$X$996,U$3,FALSE)&lt;&gt;0,IFERROR(VLOOKUP($B171,'FY ACTUALS'!$A$1:$X$996,U$3,FALSE),"0")+0,IFERROR(($H171-SUMIF($I$1:$W$1,"ACTUAL",$I171:$W171))*(VLOOKUP($B171,'Distribution %'!$A$2:$Q$232,MATCH(U$2,'Distribution %'!$A$2:$Q$2,0),FALSE)/(SUMIF('Distribution %'!$C$1:$Q$1,"BUDGET",'Distribution %'!$C110:$Q110))),"0")+0)</f>
        <v>0</v>
      </c>
      <c r="V171" s="389">
        <f>IF(VLOOKUP("Net Income",'FY ACTUALS'!$A$1:$X$996,V$3,FALSE)&lt;&gt;0,IFERROR(VLOOKUP($B171,'FY ACTUALS'!$A$1:$X$996,V$3,FALSE),"0")+0,IFERROR(($H171-SUMIF($I$1:$W$1,"ACTUAL",$I171:$W171))*(VLOOKUP($B171,'Distribution %'!$A$2:$Q$232,MATCH(V$2,'Distribution %'!$A$2:$Q$2,0),FALSE)/(SUMIF('Distribution %'!$C$1:$Q$1,"BUDGET",'Distribution %'!$C110:$Q110))),"0")+0)</f>
        <v>0</v>
      </c>
      <c r="W171" s="431">
        <f>IF(VLOOKUP("Net Income",'FY ACTUALS'!$A$1:$X$996,W$3,FALSE)&lt;&gt;0,IFERROR(VLOOKUP($B171,'FY ACTUALS'!$A$1:$X$996,W$3,FALSE),"0")+0,IFERROR(($H171-SUMIF($I$1:$W$1,"ACTUAL",$I171:$W171))*(VLOOKUP($B171,'Distribution %'!$A$2:$Q$232,MATCH(W$2,'Distribution %'!$A$2:$Q$2,0),FALSE)/(SUMIF('Distribution %'!$C$1:$Q$1,"BUDGET",'Distribution %'!$C110:$Q110))),"0")+0)</f>
        <v>0</v>
      </c>
      <c r="X171" s="387">
        <f t="shared" si="54"/>
        <v>0</v>
      </c>
      <c r="Y171" s="387"/>
      <c r="Z171" s="387">
        <f t="shared" si="49"/>
        <v>0</v>
      </c>
    </row>
    <row r="172" spans="2:26" x14ac:dyDescent="0.75">
      <c r="B172" s="403">
        <v>5873</v>
      </c>
      <c r="C172" s="379" t="s">
        <v>1446</v>
      </c>
      <c r="F172" s="379" t="str">
        <f>IF(ISERROR(VLOOKUP(B172,'Distribution %'!A:A,1,FALSE)),"NO","YES")</f>
        <v>YES</v>
      </c>
      <c r="G172" s="392"/>
      <c r="H172" s="430">
        <f>IFERROR(VLOOKUP(B172,'Expenses w MYP'!$A$8:$K$119,11,FALSE),"0")+0</f>
        <v>626693.87172573002</v>
      </c>
      <c r="I172" s="388">
        <f>IF(VLOOKUP("Net Income",'FY ACTUALS'!$A$1:$X$996,I$3,FALSE)&lt;&gt;0,IFERROR(VLOOKUP($B172,'FY ACTUALS'!$A$1:$X$996,I$3,FALSE),"0")+0,IFERROR(($H172-SUMIF($I$1:$W$1,"ACTUAL",$I172:$W172))*(VLOOKUP($B172,'Distribution %'!$A$2:$Q$232,MATCH(I$2,'Distribution %'!$A$2:$Q$2,0),FALSE)/(SUMIF('Distribution %'!$C$1:$Q$1,"BUDGET",'Distribution %'!$C111:$Q111))),"0")+0)</f>
        <v>110364</v>
      </c>
      <c r="J172" s="389">
        <f>IF(VLOOKUP("Net Income",'FY ACTUALS'!$A$1:$X$996,J$3,FALSE)&lt;&gt;0,IFERROR(VLOOKUP($B172,'FY ACTUALS'!$A$1:$X$996,J$3,FALSE),"0")+0,IFERROR(($H172-SUMIF($I$1:$W$1,"ACTUAL",$I172:$W172))*(VLOOKUP($B172,'Distribution %'!$A$2:$Q$232,MATCH(J$2,'Distribution %'!$A$2:$Q$2,0),FALSE)/(SUMIF('Distribution %'!$C$1:$Q$1,"BUDGET",'Distribution %'!$C111:$Q111))),"0")+0)</f>
        <v>55181.99</v>
      </c>
      <c r="K172" s="389">
        <f>IF(VLOOKUP("Net Income",'FY ACTUALS'!$A$1:$X$996,K$3,FALSE)&lt;&gt;0,IFERROR(VLOOKUP($B172,'FY ACTUALS'!$A$1:$X$996,K$3,FALSE),"0")+0,IFERROR(($H172-SUMIF($I$1:$W$1,"ACTUAL",$I172:$W172))*(VLOOKUP($B172,'Distribution %'!$A$2:$Q$232,MATCH(K$2,'Distribution %'!$A$2:$Q$2,0),FALSE)/(SUMIF('Distribution %'!$C$1:$Q$1,"BUDGET",'Distribution %'!$C111:$Q111))),"0")+0)</f>
        <v>36407</v>
      </c>
      <c r="L172" s="389">
        <f>IF(VLOOKUP("Net Income",'FY ACTUALS'!$A$1:$X$996,L$3,FALSE)&lt;&gt;0,IFERROR(VLOOKUP($B172,'FY ACTUALS'!$A$1:$X$996,L$3,FALSE),"0")+0,IFERROR(($H172-SUMIF($I$1:$W$1,"ACTUAL",$I172:$W172))*(VLOOKUP($B172,'Distribution %'!$A$2:$Q$232,MATCH(L$2,'Distribution %'!$A$2:$Q$2,0),FALSE)/(SUMIF('Distribution %'!$C$1:$Q$1,"BUDGET",'Distribution %'!$C111:$Q111))),"0")+0)</f>
        <v>895</v>
      </c>
      <c r="M172" s="389">
        <f>IF(VLOOKUP("Net Income",'FY ACTUALS'!$A$1:$X$996,M$3,FALSE)&lt;&gt;0,IFERROR(VLOOKUP($B172,'FY ACTUALS'!$A$1:$X$996,M$3,FALSE),"0")+0,IFERROR(($H172-SUMIF($I$1:$W$1,"ACTUAL",$I172:$W172))*(VLOOKUP($B172,'Distribution %'!$A$2:$Q$232,MATCH(M$2,'Distribution %'!$A$2:$Q$2,0),FALSE)/(SUMIF('Distribution %'!$C$1:$Q$1,"BUDGET",'Distribution %'!$C111:$Q111))),"0")+0)</f>
        <v>72814.009999999995</v>
      </c>
      <c r="N172" s="389">
        <f>IF(VLOOKUP("Net Income",'FY ACTUALS'!$A$1:$X$996,N$3,FALSE)&lt;&gt;0,IFERROR(VLOOKUP($B172,'FY ACTUALS'!$A$1:$X$996,N$3,FALSE),"0")+0,IFERROR(($H172-SUMIF($I$1:$W$1,"ACTUAL",$I172:$W172))*(VLOOKUP($B172,'Distribution %'!$A$2:$Q$232,MATCH(N$2,'Distribution %'!$A$2:$Q$2,0),FALSE)/(SUMIF('Distribution %'!$C$1:$Q$1,"BUDGET",'Distribution %'!$C111:$Q111))),"0")+0)</f>
        <v>36407</v>
      </c>
      <c r="O172" s="389">
        <f>IF(VLOOKUP("Net Income",'FY ACTUALS'!$A$1:$X$996,O$3,FALSE)&lt;&gt;0,IFERROR(VLOOKUP($B172,'FY ACTUALS'!$A$1:$X$996,O$3,FALSE),"0")+0,IFERROR(($H172-SUMIF($I$1:$W$1,"ACTUAL",$I172:$W172))*(VLOOKUP($B172,'Distribution %'!$A$2:$Q$232,MATCH(O$2,'Distribution %'!$A$2:$Q$2,0),FALSE)/(SUMIF('Distribution %'!$C$1:$Q$1,"BUDGET",'Distribution %'!$C111:$Q111))),"0")+0)</f>
        <v>0</v>
      </c>
      <c r="P172" s="389">
        <f>IF(VLOOKUP("Net Income",'FY ACTUALS'!$A$1:$X$996,P$3,FALSE)&lt;&gt;0,IFERROR(VLOOKUP($B172,'FY ACTUALS'!$A$1:$X$996,P$3,FALSE),"0")+0,IFERROR(($H172-SUMIF($I$1:$W$1,"ACTUAL",$I172:$W172))*(VLOOKUP($B172,'Distribution %'!$A$2:$Q$232,MATCH(P$2,'Distribution %'!$A$2:$Q$2,0),FALSE)/(SUMIF('Distribution %'!$C$1:$Q$1,"BUDGET",'Distribution %'!$C111:$Q111))),"0")+0)</f>
        <v>62924.974345146009</v>
      </c>
      <c r="Q172" s="389">
        <f>IF(VLOOKUP("Net Income",'FY ACTUALS'!$A$1:$X$996,Q$3,FALSE)&lt;&gt;0,IFERROR(VLOOKUP($B172,'FY ACTUALS'!$A$1:$X$996,Q$3,FALSE),"0")+0,IFERROR(($H172-SUMIF($I$1:$W$1,"ACTUAL",$I172:$W172))*(VLOOKUP($B172,'Distribution %'!$A$2:$Q$232,MATCH(Q$2,'Distribution %'!$A$2:$Q$2,0),FALSE)/(SUMIF('Distribution %'!$C$1:$Q$1,"BUDGET",'Distribution %'!$C111:$Q111))),"0")+0)</f>
        <v>62924.974345146009</v>
      </c>
      <c r="R172" s="389">
        <f>IF(VLOOKUP("Net Income",'FY ACTUALS'!$A$1:$X$996,R$3,FALSE)&lt;&gt;0,IFERROR(VLOOKUP($B172,'FY ACTUALS'!$A$1:$X$996,R$3,FALSE),"0")+0,IFERROR(($H172-SUMIF($I$1:$W$1,"ACTUAL",$I172:$W172))*(VLOOKUP($B172,'Distribution %'!$A$2:$Q$232,MATCH(R$2,'Distribution %'!$A$2:$Q$2,0),FALSE)/(SUMIF('Distribution %'!$C$1:$Q$1,"BUDGET",'Distribution %'!$C111:$Q111))),"0")+0)</f>
        <v>62924.974345146009</v>
      </c>
      <c r="S172" s="389">
        <f>IF(VLOOKUP("Net Income",'FY ACTUALS'!$A$1:$X$996,S$3,FALSE)&lt;&gt;0,IFERROR(VLOOKUP($B172,'FY ACTUALS'!$A$1:$X$996,S$3,FALSE),"0")+0,IFERROR(($H172-SUMIF($I$1:$W$1,"ACTUAL",$I172:$W172))*(VLOOKUP($B172,'Distribution %'!$A$2:$Q$232,MATCH(S$2,'Distribution %'!$A$2:$Q$2,0),FALSE)/(SUMIF('Distribution %'!$C$1:$Q$1,"BUDGET",'Distribution %'!$C111:$Q111))),"0")+0)</f>
        <v>62924.974345146009</v>
      </c>
      <c r="T172" s="389">
        <f>IF(VLOOKUP("Net Income",'FY ACTUALS'!$A$1:$X$996,T$3,FALSE)&lt;&gt;0,IFERROR(VLOOKUP($B172,'FY ACTUALS'!$A$1:$X$996,T$3,FALSE),"0")+0,IFERROR(($H172-SUMIF($I$1:$W$1,"ACTUAL",$I172:$W172))*(VLOOKUP($B172,'Distribution %'!$A$2:$Q$232,MATCH(T$2,'Distribution %'!$A$2:$Q$2,0),FALSE)/(SUMIF('Distribution %'!$C$1:$Q$1,"BUDGET",'Distribution %'!$C111:$Q111))),"0")+0)</f>
        <v>62924.974345146009</v>
      </c>
      <c r="U172" s="389">
        <f>IF(VLOOKUP("Net Income",'FY ACTUALS'!$A$1:$X$996,U$3,FALSE)&lt;&gt;0,IFERROR(VLOOKUP($B172,'FY ACTUALS'!$A$1:$X$996,U$3,FALSE),"0")+0,IFERROR(($H172-SUMIF($I$1:$W$1,"ACTUAL",$I172:$W172))*(VLOOKUP($B172,'Distribution %'!$A$2:$Q$232,MATCH(U$2,'Distribution %'!$A$2:$Q$2,0),FALSE)/(SUMIF('Distribution %'!$C$1:$Q$1,"BUDGET",'Distribution %'!$C111:$Q111))),"0")+0)</f>
        <v>0</v>
      </c>
      <c r="V172" s="389">
        <f>IF(VLOOKUP("Net Income",'FY ACTUALS'!$A$1:$X$996,V$3,FALSE)&lt;&gt;0,IFERROR(VLOOKUP($B172,'FY ACTUALS'!$A$1:$X$996,V$3,FALSE),"0")+0,IFERROR(($H172-SUMIF($I$1:$W$1,"ACTUAL",$I172:$W172))*(VLOOKUP($B172,'Distribution %'!$A$2:$Q$232,MATCH(V$2,'Distribution %'!$A$2:$Q$2,0),FALSE)/(SUMIF('Distribution %'!$C$1:$Q$1,"BUDGET",'Distribution %'!$C111:$Q111))),"0")+0)</f>
        <v>0</v>
      </c>
      <c r="W172" s="431">
        <f>IF(VLOOKUP("Net Income",'FY ACTUALS'!$A$1:$X$996,W$3,FALSE)&lt;&gt;0,IFERROR(VLOOKUP($B172,'FY ACTUALS'!$A$1:$X$996,W$3,FALSE),"0")+0,IFERROR(($H172-SUMIF($I$1:$W$1,"ACTUAL",$I172:$W172))*(VLOOKUP($B172,'Distribution %'!$A$2:$Q$232,MATCH(W$2,'Distribution %'!$A$2:$Q$2,0),FALSE)/(SUMIF('Distribution %'!$C$1:$Q$1,"BUDGET",'Distribution %'!$C111:$Q111))),"0")+0)</f>
        <v>0</v>
      </c>
      <c r="X172" s="387">
        <f t="shared" si="54"/>
        <v>626693.8717257299</v>
      </c>
      <c r="Y172" s="387"/>
      <c r="Z172" s="387">
        <f t="shared" si="49"/>
        <v>0</v>
      </c>
    </row>
    <row r="173" spans="2:26" x14ac:dyDescent="0.75">
      <c r="B173" s="403">
        <v>5875</v>
      </c>
      <c r="C173" s="379" t="s">
        <v>616</v>
      </c>
      <c r="F173" s="379" t="str">
        <f>IF(ISERROR(VLOOKUP(B173,'Distribution %'!A:A,1,FALSE)),"NO","YES")</f>
        <v>YES</v>
      </c>
      <c r="G173" s="392"/>
      <c r="H173" s="430">
        <f>IFERROR(VLOOKUP(B173,'Expenses w MYP'!$A$8:$K$119,11,FALSE),"0")+0</f>
        <v>278530.60965588002</v>
      </c>
      <c r="I173" s="388">
        <f>IF(VLOOKUP("Net Income",'FY ACTUALS'!$A$1:$X$996,I$3,FALSE)&lt;&gt;0,IFERROR(VLOOKUP($B173,'FY ACTUALS'!$A$1:$X$996,I$3,FALSE),"0")+0,IFERROR(($H173-SUMIF($I$1:$W$1,"ACTUAL",$I173:$W173))*(VLOOKUP($B173,'Distribution %'!$A$2:$Q$232,MATCH(I$2,'Distribution %'!$A$2:$Q$2,0),FALSE)/(SUMIF('Distribution %'!$C$1:$Q$1,"BUDGET",'Distribution %'!$C112:$Q112))),"0")+0)</f>
        <v>0</v>
      </c>
      <c r="J173" s="389">
        <f>IF(VLOOKUP("Net Income",'FY ACTUALS'!$A$1:$X$996,J$3,FALSE)&lt;&gt;0,IFERROR(VLOOKUP($B173,'FY ACTUALS'!$A$1:$X$996,J$3,FALSE),"0")+0,IFERROR(($H173-SUMIF($I$1:$W$1,"ACTUAL",$I173:$W173))*(VLOOKUP($B173,'Distribution %'!$A$2:$Q$232,MATCH(J$2,'Distribution %'!$A$2:$Q$2,0),FALSE)/(SUMIF('Distribution %'!$C$1:$Q$1,"BUDGET",'Distribution %'!$C112:$Q112))),"0")+0)</f>
        <v>0</v>
      </c>
      <c r="K173" s="389">
        <f>IF(VLOOKUP("Net Income",'FY ACTUALS'!$A$1:$X$996,K$3,FALSE)&lt;&gt;0,IFERROR(VLOOKUP($B173,'FY ACTUALS'!$A$1:$X$996,K$3,FALSE),"0")+0,IFERROR(($H173-SUMIF($I$1:$W$1,"ACTUAL",$I173:$W173))*(VLOOKUP($B173,'Distribution %'!$A$2:$Q$232,MATCH(K$2,'Distribution %'!$A$2:$Q$2,0),FALSE)/(SUMIF('Distribution %'!$C$1:$Q$1,"BUDGET",'Distribution %'!$C112:$Q112))),"0")+0)</f>
        <v>11905</v>
      </c>
      <c r="L173" s="389">
        <f>IF(VLOOKUP("Net Income",'FY ACTUALS'!$A$1:$X$996,L$3,FALSE)&lt;&gt;0,IFERROR(VLOOKUP($B173,'FY ACTUALS'!$A$1:$X$996,L$3,FALSE),"0")+0,IFERROR(($H173-SUMIF($I$1:$W$1,"ACTUAL",$I173:$W173))*(VLOOKUP($B173,'Distribution %'!$A$2:$Q$232,MATCH(L$2,'Distribution %'!$A$2:$Q$2,0),FALSE)/(SUMIF('Distribution %'!$C$1:$Q$1,"BUDGET",'Distribution %'!$C112:$Q112))),"0")+0)</f>
        <v>11905</v>
      </c>
      <c r="M173" s="389">
        <f>IF(VLOOKUP("Net Income",'FY ACTUALS'!$A$1:$X$996,M$3,FALSE)&lt;&gt;0,IFERROR(VLOOKUP($B173,'FY ACTUALS'!$A$1:$X$996,M$3,FALSE),"0")+0,IFERROR(($H173-SUMIF($I$1:$W$1,"ACTUAL",$I173:$W173))*(VLOOKUP($B173,'Distribution %'!$A$2:$Q$232,MATCH(M$2,'Distribution %'!$A$2:$Q$2,0),FALSE)/(SUMIF('Distribution %'!$C$1:$Q$1,"BUDGET",'Distribution %'!$C112:$Q112))),"0")+0)</f>
        <v>18312</v>
      </c>
      <c r="N173" s="389">
        <f>IF(VLOOKUP("Net Income",'FY ACTUALS'!$A$1:$X$996,N$3,FALSE)&lt;&gt;0,IFERROR(VLOOKUP($B173,'FY ACTUALS'!$A$1:$X$996,N$3,FALSE),"0")+0,IFERROR(($H173-SUMIF($I$1:$W$1,"ACTUAL",$I173:$W173))*(VLOOKUP($B173,'Distribution %'!$A$2:$Q$232,MATCH(N$2,'Distribution %'!$A$2:$Q$2,0),FALSE)/(SUMIF('Distribution %'!$C$1:$Q$1,"BUDGET",'Distribution %'!$C112:$Q112))),"0")+0)</f>
        <v>11959</v>
      </c>
      <c r="O173" s="389">
        <f>IF(VLOOKUP("Net Income",'FY ACTUALS'!$A$1:$X$996,O$3,FALSE)&lt;&gt;0,IFERROR(VLOOKUP($B173,'FY ACTUALS'!$A$1:$X$996,O$3,FALSE),"0")+0,IFERROR(($H173-SUMIF($I$1:$W$1,"ACTUAL",$I173:$W173))*(VLOOKUP($B173,'Distribution %'!$A$2:$Q$232,MATCH(O$2,'Distribution %'!$A$2:$Q$2,0),FALSE)/(SUMIF('Distribution %'!$C$1:$Q$1,"BUDGET",'Distribution %'!$C112:$Q112))),"0")+0)</f>
        <v>24773</v>
      </c>
      <c r="P173" s="389">
        <f>IF(VLOOKUP("Net Income",'FY ACTUALS'!$A$1:$X$996,P$3,FALSE)&lt;&gt;0,IFERROR(VLOOKUP($B173,'FY ACTUALS'!$A$1:$X$996,P$3,FALSE),"0")+0,IFERROR(($H173-SUMIF($I$1:$W$1,"ACTUAL",$I173:$W173))*(VLOOKUP($B173,'Distribution %'!$A$2:$Q$232,MATCH(P$2,'Distribution %'!$A$2:$Q$2,0),FALSE)/(SUMIF('Distribution %'!$C$1:$Q$1,"BUDGET",'Distribution %'!$C112:$Q112))),"0")+0)</f>
        <v>39935.321931176004</v>
      </c>
      <c r="Q173" s="389">
        <f>IF(VLOOKUP("Net Income",'FY ACTUALS'!$A$1:$X$996,Q$3,FALSE)&lt;&gt;0,IFERROR(VLOOKUP($B173,'FY ACTUALS'!$A$1:$X$996,Q$3,FALSE),"0")+0,IFERROR(($H173-SUMIF($I$1:$W$1,"ACTUAL",$I173:$W173))*(VLOOKUP($B173,'Distribution %'!$A$2:$Q$232,MATCH(Q$2,'Distribution %'!$A$2:$Q$2,0),FALSE)/(SUMIF('Distribution %'!$C$1:$Q$1,"BUDGET",'Distribution %'!$C112:$Q112))),"0")+0)</f>
        <v>39935.321931176004</v>
      </c>
      <c r="R173" s="389">
        <f>IF(VLOOKUP("Net Income",'FY ACTUALS'!$A$1:$X$996,R$3,FALSE)&lt;&gt;0,IFERROR(VLOOKUP($B173,'FY ACTUALS'!$A$1:$X$996,R$3,FALSE),"0")+0,IFERROR(($H173-SUMIF($I$1:$W$1,"ACTUAL",$I173:$W173))*(VLOOKUP($B173,'Distribution %'!$A$2:$Q$232,MATCH(R$2,'Distribution %'!$A$2:$Q$2,0),FALSE)/(SUMIF('Distribution %'!$C$1:$Q$1,"BUDGET",'Distribution %'!$C112:$Q112))),"0")+0)</f>
        <v>39935.321931176004</v>
      </c>
      <c r="S173" s="389">
        <f>IF(VLOOKUP("Net Income",'FY ACTUALS'!$A$1:$X$996,S$3,FALSE)&lt;&gt;0,IFERROR(VLOOKUP($B173,'FY ACTUALS'!$A$1:$X$996,S$3,FALSE),"0")+0,IFERROR(($H173-SUMIF($I$1:$W$1,"ACTUAL",$I173:$W173))*(VLOOKUP($B173,'Distribution %'!$A$2:$Q$232,MATCH(S$2,'Distribution %'!$A$2:$Q$2,0),FALSE)/(SUMIF('Distribution %'!$C$1:$Q$1,"BUDGET",'Distribution %'!$C112:$Q112))),"0")+0)</f>
        <v>39935.321931176004</v>
      </c>
      <c r="T173" s="389">
        <f>IF(VLOOKUP("Net Income",'FY ACTUALS'!$A$1:$X$996,T$3,FALSE)&lt;&gt;0,IFERROR(VLOOKUP($B173,'FY ACTUALS'!$A$1:$X$996,T$3,FALSE),"0")+0,IFERROR(($H173-SUMIF($I$1:$W$1,"ACTUAL",$I173:$W173))*(VLOOKUP($B173,'Distribution %'!$A$2:$Q$232,MATCH(T$2,'Distribution %'!$A$2:$Q$2,0),FALSE)/(SUMIF('Distribution %'!$C$1:$Q$1,"BUDGET",'Distribution %'!$C112:$Q112))),"0")+0)</f>
        <v>39935.321931176004</v>
      </c>
      <c r="U173" s="389">
        <f>IF(VLOOKUP("Net Income",'FY ACTUALS'!$A$1:$X$996,U$3,FALSE)&lt;&gt;0,IFERROR(VLOOKUP($B173,'FY ACTUALS'!$A$1:$X$996,U$3,FALSE),"0")+0,IFERROR(($H173-SUMIF($I$1:$W$1,"ACTUAL",$I173:$W173))*(VLOOKUP($B173,'Distribution %'!$A$2:$Q$232,MATCH(U$2,'Distribution %'!$A$2:$Q$2,0),FALSE)/(SUMIF('Distribution %'!$C$1:$Q$1,"BUDGET",'Distribution %'!$C112:$Q112))),"0")+0)</f>
        <v>0</v>
      </c>
      <c r="V173" s="389">
        <f>IF(VLOOKUP("Net Income",'FY ACTUALS'!$A$1:$X$996,V$3,FALSE)&lt;&gt;0,IFERROR(VLOOKUP($B173,'FY ACTUALS'!$A$1:$X$996,V$3,FALSE),"0")+0,IFERROR(($H173-SUMIF($I$1:$W$1,"ACTUAL",$I173:$W173))*(VLOOKUP($B173,'Distribution %'!$A$2:$Q$232,MATCH(V$2,'Distribution %'!$A$2:$Q$2,0),FALSE)/(SUMIF('Distribution %'!$C$1:$Q$1,"BUDGET",'Distribution %'!$C112:$Q112))),"0")+0)</f>
        <v>0</v>
      </c>
      <c r="W173" s="431">
        <f>IF(VLOOKUP("Net Income",'FY ACTUALS'!$A$1:$X$996,W$3,FALSE)&lt;&gt;0,IFERROR(VLOOKUP($B173,'FY ACTUALS'!$A$1:$X$996,W$3,FALSE),"0")+0,IFERROR(($H173-SUMIF($I$1:$W$1,"ACTUAL",$I173:$W173))*(VLOOKUP($B173,'Distribution %'!$A$2:$Q$232,MATCH(W$2,'Distribution %'!$A$2:$Q$2,0),FALSE)/(SUMIF('Distribution %'!$C$1:$Q$1,"BUDGET",'Distribution %'!$C112:$Q112))),"0")+0)</f>
        <v>0</v>
      </c>
      <c r="X173" s="387">
        <f t="shared" si="54"/>
        <v>278530.60965588002</v>
      </c>
      <c r="Y173" s="387"/>
      <c r="Z173" s="387">
        <f t="shared" si="49"/>
        <v>0</v>
      </c>
    </row>
    <row r="174" spans="2:26" x14ac:dyDescent="0.75">
      <c r="B174" s="403">
        <v>5874</v>
      </c>
      <c r="C174" s="379" t="s">
        <v>1447</v>
      </c>
      <c r="F174" s="379" t="str">
        <f>IF(ISERROR(VLOOKUP(B174,'Distribution %'!A:A,1,FALSE)),"NO","YES")</f>
        <v>YES</v>
      </c>
      <c r="G174" s="392"/>
      <c r="H174" s="430">
        <f>IFERROR(VLOOKUP(B174,'Expenses w MYP'!$A$8:$K$119,11,FALSE),"0")+0</f>
        <v>5000</v>
      </c>
      <c r="I174" s="388">
        <f>IF(VLOOKUP("Net Income",'FY ACTUALS'!$A$1:$X$996,I$3,FALSE)&lt;&gt;0,IFERROR(VLOOKUP($B174,'FY ACTUALS'!$A$1:$X$996,I$3,FALSE),"0")+0,IFERROR(($H174-SUMIF($I$1:$W$1,"ACTUAL",$I174:$W174))*(VLOOKUP($B174,'Distribution %'!$A$2:$Q$232,MATCH(I$2,'Distribution %'!$A$2:$Q$2,0),FALSE)/(SUMIF('Distribution %'!$C$1:$Q$1,"BUDGET",'Distribution %'!$C113:$Q113))),"0")+0)</f>
        <v>499</v>
      </c>
      <c r="J174" s="389">
        <f>IF(VLOOKUP("Net Income",'FY ACTUALS'!$A$1:$X$996,J$3,FALSE)&lt;&gt;0,IFERROR(VLOOKUP($B174,'FY ACTUALS'!$A$1:$X$996,J$3,FALSE),"0")+0,IFERROR(($H174-SUMIF($I$1:$W$1,"ACTUAL",$I174:$W174))*(VLOOKUP($B174,'Distribution %'!$A$2:$Q$232,MATCH(J$2,'Distribution %'!$A$2:$Q$2,0),FALSE)/(SUMIF('Distribution %'!$C$1:$Q$1,"BUDGET",'Distribution %'!$C113:$Q113))),"0")+0)</f>
        <v>544</v>
      </c>
      <c r="K174" s="389">
        <f>IF(VLOOKUP("Net Income",'FY ACTUALS'!$A$1:$X$996,K$3,FALSE)&lt;&gt;0,IFERROR(VLOOKUP($B174,'FY ACTUALS'!$A$1:$X$996,K$3,FALSE),"0")+0,IFERROR(($H174-SUMIF($I$1:$W$1,"ACTUAL",$I174:$W174))*(VLOOKUP($B174,'Distribution %'!$A$2:$Q$232,MATCH(K$2,'Distribution %'!$A$2:$Q$2,0),FALSE)/(SUMIF('Distribution %'!$C$1:$Q$1,"BUDGET",'Distribution %'!$C113:$Q113))),"0")+0)</f>
        <v>159.99</v>
      </c>
      <c r="L174" s="389">
        <f>IF(VLOOKUP("Net Income",'FY ACTUALS'!$A$1:$X$996,L$3,FALSE)&lt;&gt;0,IFERROR(VLOOKUP($B174,'FY ACTUALS'!$A$1:$X$996,L$3,FALSE),"0")+0,IFERROR(($H174-SUMIF($I$1:$W$1,"ACTUAL",$I174:$W174))*(VLOOKUP($B174,'Distribution %'!$A$2:$Q$232,MATCH(L$2,'Distribution %'!$A$2:$Q$2,0),FALSE)/(SUMIF('Distribution %'!$C$1:$Q$1,"BUDGET",'Distribution %'!$C113:$Q113))),"0")+0)</f>
        <v>64</v>
      </c>
      <c r="M174" s="389">
        <f>IF(VLOOKUP("Net Income",'FY ACTUALS'!$A$1:$X$996,M$3,FALSE)&lt;&gt;0,IFERROR(VLOOKUP($B174,'FY ACTUALS'!$A$1:$X$996,M$3,FALSE),"0")+0,IFERROR(($H174-SUMIF($I$1:$W$1,"ACTUAL",$I174:$W174))*(VLOOKUP($B174,'Distribution %'!$A$2:$Q$232,MATCH(M$2,'Distribution %'!$A$2:$Q$2,0),FALSE)/(SUMIF('Distribution %'!$C$1:$Q$1,"BUDGET",'Distribution %'!$C113:$Q113))),"0")+0)</f>
        <v>0</v>
      </c>
      <c r="N174" s="389">
        <f>IF(VLOOKUP("Net Income",'FY ACTUALS'!$A$1:$X$996,N$3,FALSE)&lt;&gt;0,IFERROR(VLOOKUP($B174,'FY ACTUALS'!$A$1:$X$996,N$3,FALSE),"0")+0,IFERROR(($H174-SUMIF($I$1:$W$1,"ACTUAL",$I174:$W174))*(VLOOKUP($B174,'Distribution %'!$A$2:$Q$232,MATCH(N$2,'Distribution %'!$A$2:$Q$2,0),FALSE)/(SUMIF('Distribution %'!$C$1:$Q$1,"BUDGET",'Distribution %'!$C113:$Q113))),"0")+0)</f>
        <v>100</v>
      </c>
      <c r="O174" s="389">
        <f>IF(VLOOKUP("Net Income",'FY ACTUALS'!$A$1:$X$996,O$3,FALSE)&lt;&gt;0,IFERROR(VLOOKUP($B174,'FY ACTUALS'!$A$1:$X$996,O$3,FALSE),"0")+0,IFERROR(($H174-SUMIF($I$1:$W$1,"ACTUAL",$I174:$W174))*(VLOOKUP($B174,'Distribution %'!$A$2:$Q$232,MATCH(O$2,'Distribution %'!$A$2:$Q$2,0),FALSE)/(SUMIF('Distribution %'!$C$1:$Q$1,"BUDGET",'Distribution %'!$C113:$Q113))),"0")+0)</f>
        <v>64</v>
      </c>
      <c r="P174" s="389">
        <f>IF(VLOOKUP("Net Income",'FY ACTUALS'!$A$1:$X$996,P$3,FALSE)&lt;&gt;0,IFERROR(VLOOKUP($B174,'FY ACTUALS'!$A$1:$X$996,P$3,FALSE),"0")+0,IFERROR(($H174-SUMIF($I$1:$W$1,"ACTUAL",$I174:$W174))*(VLOOKUP($B174,'Distribution %'!$A$2:$Q$232,MATCH(P$2,'Distribution %'!$A$2:$Q$2,0),FALSE)/(SUMIF('Distribution %'!$C$1:$Q$1,"BUDGET",'Distribution %'!$C113:$Q113))),"0")+0)</f>
        <v>713.80200000000013</v>
      </c>
      <c r="Q174" s="389">
        <f>IF(VLOOKUP("Net Income",'FY ACTUALS'!$A$1:$X$996,Q$3,FALSE)&lt;&gt;0,IFERROR(VLOOKUP($B174,'FY ACTUALS'!$A$1:$X$996,Q$3,FALSE),"0")+0,IFERROR(($H174-SUMIF($I$1:$W$1,"ACTUAL",$I174:$W174))*(VLOOKUP($B174,'Distribution %'!$A$2:$Q$232,MATCH(Q$2,'Distribution %'!$A$2:$Q$2,0),FALSE)/(SUMIF('Distribution %'!$C$1:$Q$1,"BUDGET",'Distribution %'!$C113:$Q113))),"0")+0)</f>
        <v>713.80200000000013</v>
      </c>
      <c r="R174" s="389">
        <f>IF(VLOOKUP("Net Income",'FY ACTUALS'!$A$1:$X$996,R$3,FALSE)&lt;&gt;0,IFERROR(VLOOKUP($B174,'FY ACTUALS'!$A$1:$X$996,R$3,FALSE),"0")+0,IFERROR(($H174-SUMIF($I$1:$W$1,"ACTUAL",$I174:$W174))*(VLOOKUP($B174,'Distribution %'!$A$2:$Q$232,MATCH(R$2,'Distribution %'!$A$2:$Q$2,0),FALSE)/(SUMIF('Distribution %'!$C$1:$Q$1,"BUDGET",'Distribution %'!$C113:$Q113))),"0")+0)</f>
        <v>713.80200000000013</v>
      </c>
      <c r="S174" s="389">
        <f>IF(VLOOKUP("Net Income",'FY ACTUALS'!$A$1:$X$996,S$3,FALSE)&lt;&gt;0,IFERROR(VLOOKUP($B174,'FY ACTUALS'!$A$1:$X$996,S$3,FALSE),"0")+0,IFERROR(($H174-SUMIF($I$1:$W$1,"ACTUAL",$I174:$W174))*(VLOOKUP($B174,'Distribution %'!$A$2:$Q$232,MATCH(S$2,'Distribution %'!$A$2:$Q$2,0),FALSE)/(SUMIF('Distribution %'!$C$1:$Q$1,"BUDGET",'Distribution %'!$C113:$Q113))),"0")+0)</f>
        <v>713.80200000000013</v>
      </c>
      <c r="T174" s="389">
        <f>IF(VLOOKUP("Net Income",'FY ACTUALS'!$A$1:$X$996,T$3,FALSE)&lt;&gt;0,IFERROR(VLOOKUP($B174,'FY ACTUALS'!$A$1:$X$996,T$3,FALSE),"0")+0,IFERROR(($H174-SUMIF($I$1:$W$1,"ACTUAL",$I174:$W174))*(VLOOKUP($B174,'Distribution %'!$A$2:$Q$232,MATCH(T$2,'Distribution %'!$A$2:$Q$2,0),FALSE)/(SUMIF('Distribution %'!$C$1:$Q$1,"BUDGET",'Distribution %'!$C113:$Q113))),"0")+0)</f>
        <v>713.80200000000013</v>
      </c>
      <c r="U174" s="389">
        <f>IF(VLOOKUP("Net Income",'FY ACTUALS'!$A$1:$X$996,U$3,FALSE)&lt;&gt;0,IFERROR(VLOOKUP($B174,'FY ACTUALS'!$A$1:$X$996,U$3,FALSE),"0")+0,IFERROR(($H174-SUMIF($I$1:$W$1,"ACTUAL",$I174:$W174))*(VLOOKUP($B174,'Distribution %'!$A$2:$Q$232,MATCH(U$2,'Distribution %'!$A$2:$Q$2,0),FALSE)/(SUMIF('Distribution %'!$C$1:$Q$1,"BUDGET",'Distribution %'!$C113:$Q113))),"0")+0)</f>
        <v>0</v>
      </c>
      <c r="V174" s="389">
        <f>IF(VLOOKUP("Net Income",'FY ACTUALS'!$A$1:$X$996,V$3,FALSE)&lt;&gt;0,IFERROR(VLOOKUP($B174,'FY ACTUALS'!$A$1:$X$996,V$3,FALSE),"0")+0,IFERROR(($H174-SUMIF($I$1:$W$1,"ACTUAL",$I174:$W174))*(VLOOKUP($B174,'Distribution %'!$A$2:$Q$232,MATCH(V$2,'Distribution %'!$A$2:$Q$2,0),FALSE)/(SUMIF('Distribution %'!$C$1:$Q$1,"BUDGET",'Distribution %'!$C113:$Q113))),"0")+0)</f>
        <v>0</v>
      </c>
      <c r="W174" s="431">
        <f>IF(VLOOKUP("Net Income",'FY ACTUALS'!$A$1:$X$996,W$3,FALSE)&lt;&gt;0,IFERROR(VLOOKUP($B174,'FY ACTUALS'!$A$1:$X$996,W$3,FALSE),"0")+0,IFERROR(($H174-SUMIF($I$1:$W$1,"ACTUAL",$I174:$W174))*(VLOOKUP($B174,'Distribution %'!$A$2:$Q$232,MATCH(W$2,'Distribution %'!$A$2:$Q$2,0),FALSE)/(SUMIF('Distribution %'!$C$1:$Q$1,"BUDGET",'Distribution %'!$C113:$Q113))),"0")+0)</f>
        <v>0</v>
      </c>
      <c r="X174" s="387">
        <f t="shared" si="54"/>
        <v>5000</v>
      </c>
      <c r="Y174" s="387"/>
      <c r="Z174" s="387">
        <f t="shared" si="49"/>
        <v>0</v>
      </c>
    </row>
    <row r="175" spans="2:26" x14ac:dyDescent="0.75">
      <c r="B175" s="403">
        <v>5877</v>
      </c>
      <c r="C175" s="379" t="s">
        <v>1289</v>
      </c>
      <c r="F175" s="379" t="str">
        <f>IF(ISERROR(VLOOKUP(B175,'Distribution %'!A:A,1,FALSE)),"NO","YES")</f>
        <v>YES</v>
      </c>
      <c r="G175" s="392"/>
      <c r="H175" s="430">
        <f>IFERROR(VLOOKUP(B175,'Expenses w MYP'!$A$8:$K$119,11,FALSE),"0")+0</f>
        <v>330000</v>
      </c>
      <c r="I175" s="388">
        <f>IF(VLOOKUP("Net Income",'FY ACTUALS'!$A$1:$X$996,I$3,FALSE)&lt;&gt;0,IFERROR(VLOOKUP($B175,'FY ACTUALS'!$A$1:$X$996,I$3,FALSE),"0")+0,IFERROR(($H175-SUMIF($I$1:$W$1,"ACTUAL",$I175:$W175))*(VLOOKUP($B175,'Distribution %'!$A$2:$Q$232,MATCH(I$2,'Distribution %'!$A$2:$Q$2,0),FALSE)/(SUMIF('Distribution %'!$C$1:$Q$1,"BUDGET",'Distribution %'!$C114:$Q114))),"0")+0)</f>
        <v>224699.87</v>
      </c>
      <c r="J175" s="389">
        <f>IF(VLOOKUP("Net Income",'FY ACTUALS'!$A$1:$X$996,J$3,FALSE)&lt;&gt;0,IFERROR(VLOOKUP($B175,'FY ACTUALS'!$A$1:$X$996,J$3,FALSE),"0")+0,IFERROR(($H175-SUMIF($I$1:$W$1,"ACTUAL",$I175:$W175))*(VLOOKUP($B175,'Distribution %'!$A$2:$Q$232,MATCH(J$2,'Distribution %'!$A$2:$Q$2,0),FALSE)/(SUMIF('Distribution %'!$C$1:$Q$1,"BUDGET",'Distribution %'!$C114:$Q114))),"0")+0)</f>
        <v>798.83</v>
      </c>
      <c r="K175" s="389">
        <f>IF(VLOOKUP("Net Income",'FY ACTUALS'!$A$1:$X$996,K$3,FALSE)&lt;&gt;0,IFERROR(VLOOKUP($B175,'FY ACTUALS'!$A$1:$X$996,K$3,FALSE),"0")+0,IFERROR(($H175-SUMIF($I$1:$W$1,"ACTUAL",$I175:$W175))*(VLOOKUP($B175,'Distribution %'!$A$2:$Q$232,MATCH(K$2,'Distribution %'!$A$2:$Q$2,0),FALSE)/(SUMIF('Distribution %'!$C$1:$Q$1,"BUDGET",'Distribution %'!$C114:$Q114))),"0")+0)</f>
        <v>6931.97</v>
      </c>
      <c r="L175" s="389">
        <f>IF(VLOOKUP("Net Income",'FY ACTUALS'!$A$1:$X$996,L$3,FALSE)&lt;&gt;0,IFERROR(VLOOKUP($B175,'FY ACTUALS'!$A$1:$X$996,L$3,FALSE),"0")+0,IFERROR(($H175-SUMIF($I$1:$W$1,"ACTUAL",$I175:$W175))*(VLOOKUP($B175,'Distribution %'!$A$2:$Q$232,MATCH(L$2,'Distribution %'!$A$2:$Q$2,0),FALSE)/(SUMIF('Distribution %'!$C$1:$Q$1,"BUDGET",'Distribution %'!$C114:$Q114))),"0")+0)</f>
        <v>512.45000000000005</v>
      </c>
      <c r="M175" s="389">
        <f>IF(VLOOKUP("Net Income",'FY ACTUALS'!$A$1:$X$996,M$3,FALSE)&lt;&gt;0,IFERROR(VLOOKUP($B175,'FY ACTUALS'!$A$1:$X$996,M$3,FALSE),"0")+0,IFERROR(($H175-SUMIF($I$1:$W$1,"ACTUAL",$I175:$W175))*(VLOOKUP($B175,'Distribution %'!$A$2:$Q$232,MATCH(M$2,'Distribution %'!$A$2:$Q$2,0),FALSE)/(SUMIF('Distribution %'!$C$1:$Q$1,"BUDGET",'Distribution %'!$C114:$Q114))),"0")+0)</f>
        <v>2771.96</v>
      </c>
      <c r="N175" s="389">
        <f>IF(VLOOKUP("Net Income",'FY ACTUALS'!$A$1:$X$996,N$3,FALSE)&lt;&gt;0,IFERROR(VLOOKUP($B175,'FY ACTUALS'!$A$1:$X$996,N$3,FALSE),"0")+0,IFERROR(($H175-SUMIF($I$1:$W$1,"ACTUAL",$I175:$W175))*(VLOOKUP($B175,'Distribution %'!$A$2:$Q$232,MATCH(N$2,'Distribution %'!$A$2:$Q$2,0),FALSE)/(SUMIF('Distribution %'!$C$1:$Q$1,"BUDGET",'Distribution %'!$C114:$Q114))),"0")+0)</f>
        <v>11514.99</v>
      </c>
      <c r="O175" s="389">
        <f>IF(VLOOKUP("Net Income",'FY ACTUALS'!$A$1:$X$996,O$3,FALSE)&lt;&gt;0,IFERROR(VLOOKUP($B175,'FY ACTUALS'!$A$1:$X$996,O$3,FALSE),"0")+0,IFERROR(($H175-SUMIF($I$1:$W$1,"ACTUAL",$I175:$W175))*(VLOOKUP($B175,'Distribution %'!$A$2:$Q$232,MATCH(O$2,'Distribution %'!$A$2:$Q$2,0),FALSE)/(SUMIF('Distribution %'!$C$1:$Q$1,"BUDGET",'Distribution %'!$C114:$Q114))),"0")+0)</f>
        <v>79.489999999999995</v>
      </c>
      <c r="P175" s="389">
        <f>IF(VLOOKUP("Net Income",'FY ACTUALS'!$A$1:$X$996,P$3,FALSE)&lt;&gt;0,IFERROR(VLOOKUP($B175,'FY ACTUALS'!$A$1:$X$996,P$3,FALSE),"0")+0,IFERROR(($H175-SUMIF($I$1:$W$1,"ACTUAL",$I175:$W175))*(VLOOKUP($B175,'Distribution %'!$A$2:$Q$232,MATCH(P$2,'Distribution %'!$A$2:$Q$2,0),FALSE)/(SUMIF('Distribution %'!$C$1:$Q$1,"BUDGET",'Distribution %'!$C114:$Q114))),"0")+0)</f>
        <v>16538.088000000007</v>
      </c>
      <c r="Q175" s="389">
        <f>IF(VLOOKUP("Net Income",'FY ACTUALS'!$A$1:$X$996,Q$3,FALSE)&lt;&gt;0,IFERROR(VLOOKUP($B175,'FY ACTUALS'!$A$1:$X$996,Q$3,FALSE),"0")+0,IFERROR(($H175-SUMIF($I$1:$W$1,"ACTUAL",$I175:$W175))*(VLOOKUP($B175,'Distribution %'!$A$2:$Q$232,MATCH(Q$2,'Distribution %'!$A$2:$Q$2,0),FALSE)/(SUMIF('Distribution %'!$C$1:$Q$1,"BUDGET",'Distribution %'!$C114:$Q114))),"0")+0)</f>
        <v>16538.088000000007</v>
      </c>
      <c r="R175" s="389">
        <f>IF(VLOOKUP("Net Income",'FY ACTUALS'!$A$1:$X$996,R$3,FALSE)&lt;&gt;0,IFERROR(VLOOKUP($B175,'FY ACTUALS'!$A$1:$X$996,R$3,FALSE),"0")+0,IFERROR(($H175-SUMIF($I$1:$W$1,"ACTUAL",$I175:$W175))*(VLOOKUP($B175,'Distribution %'!$A$2:$Q$232,MATCH(R$2,'Distribution %'!$A$2:$Q$2,0),FALSE)/(SUMIF('Distribution %'!$C$1:$Q$1,"BUDGET",'Distribution %'!$C114:$Q114))),"0")+0)</f>
        <v>16538.088000000007</v>
      </c>
      <c r="S175" s="389">
        <f>IF(VLOOKUP("Net Income",'FY ACTUALS'!$A$1:$X$996,S$3,FALSE)&lt;&gt;0,IFERROR(VLOOKUP($B175,'FY ACTUALS'!$A$1:$X$996,S$3,FALSE),"0")+0,IFERROR(($H175-SUMIF($I$1:$W$1,"ACTUAL",$I175:$W175))*(VLOOKUP($B175,'Distribution %'!$A$2:$Q$232,MATCH(S$2,'Distribution %'!$A$2:$Q$2,0),FALSE)/(SUMIF('Distribution %'!$C$1:$Q$1,"BUDGET",'Distribution %'!$C114:$Q114))),"0")+0)</f>
        <v>16538.088000000007</v>
      </c>
      <c r="T175" s="389">
        <f>IF(VLOOKUP("Net Income",'FY ACTUALS'!$A$1:$X$996,T$3,FALSE)&lt;&gt;0,IFERROR(VLOOKUP($B175,'FY ACTUALS'!$A$1:$X$996,T$3,FALSE),"0")+0,IFERROR(($H175-SUMIF($I$1:$W$1,"ACTUAL",$I175:$W175))*(VLOOKUP($B175,'Distribution %'!$A$2:$Q$232,MATCH(T$2,'Distribution %'!$A$2:$Q$2,0),FALSE)/(SUMIF('Distribution %'!$C$1:$Q$1,"BUDGET",'Distribution %'!$C114:$Q114))),"0")+0)</f>
        <v>16538.088000000007</v>
      </c>
      <c r="U175" s="389">
        <f>IF(VLOOKUP("Net Income",'FY ACTUALS'!$A$1:$X$996,U$3,FALSE)&lt;&gt;0,IFERROR(VLOOKUP($B175,'FY ACTUALS'!$A$1:$X$996,U$3,FALSE),"0")+0,IFERROR(($H175-SUMIF($I$1:$W$1,"ACTUAL",$I175:$W175))*(VLOOKUP($B175,'Distribution %'!$A$2:$Q$232,MATCH(U$2,'Distribution %'!$A$2:$Q$2,0),FALSE)/(SUMIF('Distribution %'!$C$1:$Q$1,"BUDGET",'Distribution %'!$C114:$Q114))),"0")+0)</f>
        <v>0</v>
      </c>
      <c r="V175" s="389">
        <f>IF(VLOOKUP("Net Income",'FY ACTUALS'!$A$1:$X$996,V$3,FALSE)&lt;&gt;0,IFERROR(VLOOKUP($B175,'FY ACTUALS'!$A$1:$X$996,V$3,FALSE),"0")+0,IFERROR(($H175-SUMIF($I$1:$W$1,"ACTUAL",$I175:$W175))*(VLOOKUP($B175,'Distribution %'!$A$2:$Q$232,MATCH(V$2,'Distribution %'!$A$2:$Q$2,0),FALSE)/(SUMIF('Distribution %'!$C$1:$Q$1,"BUDGET",'Distribution %'!$C114:$Q114))),"0")+0)</f>
        <v>0</v>
      </c>
      <c r="W175" s="431">
        <f>IF(VLOOKUP("Net Income",'FY ACTUALS'!$A$1:$X$996,W$3,FALSE)&lt;&gt;0,IFERROR(VLOOKUP($B175,'FY ACTUALS'!$A$1:$X$996,W$3,FALSE),"0")+0,IFERROR(($H175-SUMIF($I$1:$W$1,"ACTUAL",$I175:$W175))*(VLOOKUP($B175,'Distribution %'!$A$2:$Q$232,MATCH(W$2,'Distribution %'!$A$2:$Q$2,0),FALSE)/(SUMIF('Distribution %'!$C$1:$Q$1,"BUDGET",'Distribution %'!$C114:$Q114))),"0")+0)</f>
        <v>0</v>
      </c>
      <c r="X175" s="387">
        <f t="shared" si="54"/>
        <v>329999.99999999994</v>
      </c>
      <c r="Y175" s="387"/>
      <c r="Z175" s="387">
        <f t="shared" si="49"/>
        <v>0</v>
      </c>
    </row>
    <row r="176" spans="2:26" x14ac:dyDescent="0.75">
      <c r="B176" s="403">
        <v>5885</v>
      </c>
      <c r="C176" s="379" t="s">
        <v>1448</v>
      </c>
      <c r="F176" s="379" t="str">
        <f>IF(ISERROR(VLOOKUP(B176,'Distribution %'!A:A,1,FALSE)),"NO","YES")</f>
        <v>YES</v>
      </c>
      <c r="G176" s="392"/>
      <c r="H176" s="430">
        <f>IFERROR(VLOOKUP(B176,'Expenses w MYP'!$A$8:$K$119,11,FALSE),"0")+0</f>
        <v>0</v>
      </c>
      <c r="I176" s="388">
        <f>IF(VLOOKUP("Net Income",'FY ACTUALS'!$A$1:$X$996,I$3,FALSE)&lt;&gt;0,IFERROR(VLOOKUP($B176,'FY ACTUALS'!$A$1:$X$996,I$3,FALSE),"0")+0,IFERROR(($H176-SUMIF($I$1:$W$1,"ACTUAL",$I176:$W176))*(VLOOKUP($B176,'Distribution %'!$A$2:$Q$232,MATCH(I$2,'Distribution %'!$A$2:$Q$2,0),FALSE)/(SUMIF('Distribution %'!$C$1:$Q$1,"BUDGET",'Distribution %'!$C115:$Q115))),"0")+0)</f>
        <v>0</v>
      </c>
      <c r="J176" s="389">
        <f>IF(VLOOKUP("Net Income",'FY ACTUALS'!$A$1:$X$996,J$3,FALSE)&lt;&gt;0,IFERROR(VLOOKUP($B176,'FY ACTUALS'!$A$1:$X$996,J$3,FALSE),"0")+0,IFERROR(($H176-SUMIF($I$1:$W$1,"ACTUAL",$I176:$W176))*(VLOOKUP($B176,'Distribution %'!$A$2:$Q$232,MATCH(J$2,'Distribution %'!$A$2:$Q$2,0),FALSE)/(SUMIF('Distribution %'!$C$1:$Q$1,"BUDGET",'Distribution %'!$C115:$Q115))),"0")+0)</f>
        <v>0</v>
      </c>
      <c r="K176" s="389">
        <f>IF(VLOOKUP("Net Income",'FY ACTUALS'!$A$1:$X$996,K$3,FALSE)&lt;&gt;0,IFERROR(VLOOKUP($B176,'FY ACTUALS'!$A$1:$X$996,K$3,FALSE),"0")+0,IFERROR(($H176-SUMIF($I$1:$W$1,"ACTUAL",$I176:$W176))*(VLOOKUP($B176,'Distribution %'!$A$2:$Q$232,MATCH(K$2,'Distribution %'!$A$2:$Q$2,0),FALSE)/(SUMIF('Distribution %'!$C$1:$Q$1,"BUDGET",'Distribution %'!$C115:$Q115))),"0")+0)</f>
        <v>0</v>
      </c>
      <c r="L176" s="389">
        <f>IF(VLOOKUP("Net Income",'FY ACTUALS'!$A$1:$X$996,L$3,FALSE)&lt;&gt;0,IFERROR(VLOOKUP($B176,'FY ACTUALS'!$A$1:$X$996,L$3,FALSE),"0")+0,IFERROR(($H176-SUMIF($I$1:$W$1,"ACTUAL",$I176:$W176))*(VLOOKUP($B176,'Distribution %'!$A$2:$Q$232,MATCH(L$2,'Distribution %'!$A$2:$Q$2,0),FALSE)/(SUMIF('Distribution %'!$C$1:$Q$1,"BUDGET",'Distribution %'!$C115:$Q115))),"0")+0)</f>
        <v>0</v>
      </c>
      <c r="M176" s="389">
        <f>IF(VLOOKUP("Net Income",'FY ACTUALS'!$A$1:$X$996,M$3,FALSE)&lt;&gt;0,IFERROR(VLOOKUP($B176,'FY ACTUALS'!$A$1:$X$996,M$3,FALSE),"0")+0,IFERROR(($H176-SUMIF($I$1:$W$1,"ACTUAL",$I176:$W176))*(VLOOKUP($B176,'Distribution %'!$A$2:$Q$232,MATCH(M$2,'Distribution %'!$A$2:$Q$2,0),FALSE)/(SUMIF('Distribution %'!$C$1:$Q$1,"BUDGET",'Distribution %'!$C115:$Q115))),"0")+0)</f>
        <v>0</v>
      </c>
      <c r="N176" s="389">
        <f>IF(VLOOKUP("Net Income",'FY ACTUALS'!$A$1:$X$996,N$3,FALSE)&lt;&gt;0,IFERROR(VLOOKUP($B176,'FY ACTUALS'!$A$1:$X$996,N$3,FALSE),"0")+0,IFERROR(($H176-SUMIF($I$1:$W$1,"ACTUAL",$I176:$W176))*(VLOOKUP($B176,'Distribution %'!$A$2:$Q$232,MATCH(N$2,'Distribution %'!$A$2:$Q$2,0),FALSE)/(SUMIF('Distribution %'!$C$1:$Q$1,"BUDGET",'Distribution %'!$C115:$Q115))),"0")+0)</f>
        <v>0</v>
      </c>
      <c r="O176" s="389">
        <f>IF(VLOOKUP("Net Income",'FY ACTUALS'!$A$1:$X$996,O$3,FALSE)&lt;&gt;0,IFERROR(VLOOKUP($B176,'FY ACTUALS'!$A$1:$X$996,O$3,FALSE),"0")+0,IFERROR(($H176-SUMIF($I$1:$W$1,"ACTUAL",$I176:$W176))*(VLOOKUP($B176,'Distribution %'!$A$2:$Q$232,MATCH(O$2,'Distribution %'!$A$2:$Q$2,0),FALSE)/(SUMIF('Distribution %'!$C$1:$Q$1,"BUDGET",'Distribution %'!$C115:$Q115))),"0")+0)</f>
        <v>0</v>
      </c>
      <c r="P176" s="389">
        <f>IF(VLOOKUP("Net Income",'FY ACTUALS'!$A$1:$X$996,P$3,FALSE)&lt;&gt;0,IFERROR(VLOOKUP($B176,'FY ACTUALS'!$A$1:$X$996,P$3,FALSE),"0")+0,IFERROR(($H176-SUMIF($I$1:$W$1,"ACTUAL",$I176:$W176))*(VLOOKUP($B176,'Distribution %'!$A$2:$Q$232,MATCH(P$2,'Distribution %'!$A$2:$Q$2,0),FALSE)/(SUMIF('Distribution %'!$C$1:$Q$1,"BUDGET",'Distribution %'!$C115:$Q115))),"0")+0)</f>
        <v>0</v>
      </c>
      <c r="Q176" s="389">
        <f>IF(VLOOKUP("Net Income",'FY ACTUALS'!$A$1:$X$996,Q$3,FALSE)&lt;&gt;0,IFERROR(VLOOKUP($B176,'FY ACTUALS'!$A$1:$X$996,Q$3,FALSE),"0")+0,IFERROR(($H176-SUMIF($I$1:$W$1,"ACTUAL",$I176:$W176))*(VLOOKUP($B176,'Distribution %'!$A$2:$Q$232,MATCH(Q$2,'Distribution %'!$A$2:$Q$2,0),FALSE)/(SUMIF('Distribution %'!$C$1:$Q$1,"BUDGET",'Distribution %'!$C115:$Q115))),"0")+0)</f>
        <v>0</v>
      </c>
      <c r="R176" s="389">
        <f>IF(VLOOKUP("Net Income",'FY ACTUALS'!$A$1:$X$996,R$3,FALSE)&lt;&gt;0,IFERROR(VLOOKUP($B176,'FY ACTUALS'!$A$1:$X$996,R$3,FALSE),"0")+0,IFERROR(($H176-SUMIF($I$1:$W$1,"ACTUAL",$I176:$W176))*(VLOOKUP($B176,'Distribution %'!$A$2:$Q$232,MATCH(R$2,'Distribution %'!$A$2:$Q$2,0),FALSE)/(SUMIF('Distribution %'!$C$1:$Q$1,"BUDGET",'Distribution %'!$C115:$Q115))),"0")+0)</f>
        <v>0</v>
      </c>
      <c r="S176" s="389">
        <f>IF(VLOOKUP("Net Income",'FY ACTUALS'!$A$1:$X$996,S$3,FALSE)&lt;&gt;0,IFERROR(VLOOKUP($B176,'FY ACTUALS'!$A$1:$X$996,S$3,FALSE),"0")+0,IFERROR(($H176-SUMIF($I$1:$W$1,"ACTUAL",$I176:$W176))*(VLOOKUP($B176,'Distribution %'!$A$2:$Q$232,MATCH(S$2,'Distribution %'!$A$2:$Q$2,0),FALSE)/(SUMIF('Distribution %'!$C$1:$Q$1,"BUDGET",'Distribution %'!$C115:$Q115))),"0")+0)</f>
        <v>0</v>
      </c>
      <c r="T176" s="389">
        <f>IF(VLOOKUP("Net Income",'FY ACTUALS'!$A$1:$X$996,T$3,FALSE)&lt;&gt;0,IFERROR(VLOOKUP($B176,'FY ACTUALS'!$A$1:$X$996,T$3,FALSE),"0")+0,IFERROR(($H176-SUMIF($I$1:$W$1,"ACTUAL",$I176:$W176))*(VLOOKUP($B176,'Distribution %'!$A$2:$Q$232,MATCH(T$2,'Distribution %'!$A$2:$Q$2,0),FALSE)/(SUMIF('Distribution %'!$C$1:$Q$1,"BUDGET",'Distribution %'!$C115:$Q115))),"0")+0)</f>
        <v>0</v>
      </c>
      <c r="U176" s="389">
        <f>IF(VLOOKUP("Net Income",'FY ACTUALS'!$A$1:$X$996,U$3,FALSE)&lt;&gt;0,IFERROR(VLOOKUP($B176,'FY ACTUALS'!$A$1:$X$996,U$3,FALSE),"0")+0,IFERROR(($H176-SUMIF($I$1:$W$1,"ACTUAL",$I176:$W176))*(VLOOKUP($B176,'Distribution %'!$A$2:$Q$232,MATCH(U$2,'Distribution %'!$A$2:$Q$2,0),FALSE)/(SUMIF('Distribution %'!$C$1:$Q$1,"BUDGET",'Distribution %'!$C115:$Q115))),"0")+0)</f>
        <v>0</v>
      </c>
      <c r="V176" s="389">
        <f>IF(VLOOKUP("Net Income",'FY ACTUALS'!$A$1:$X$996,V$3,FALSE)&lt;&gt;0,IFERROR(VLOOKUP($B176,'FY ACTUALS'!$A$1:$X$996,V$3,FALSE),"0")+0,IFERROR(($H176-SUMIF($I$1:$W$1,"ACTUAL",$I176:$W176))*(VLOOKUP($B176,'Distribution %'!$A$2:$Q$232,MATCH(V$2,'Distribution %'!$A$2:$Q$2,0),FALSE)/(SUMIF('Distribution %'!$C$1:$Q$1,"BUDGET",'Distribution %'!$C115:$Q115))),"0")+0)</f>
        <v>0</v>
      </c>
      <c r="W176" s="431">
        <f>IF(VLOOKUP("Net Income",'FY ACTUALS'!$A$1:$X$996,W$3,FALSE)&lt;&gt;0,IFERROR(VLOOKUP($B176,'FY ACTUALS'!$A$1:$X$996,W$3,FALSE),"0")+0,IFERROR(($H176-SUMIF($I$1:$W$1,"ACTUAL",$I176:$W176))*(VLOOKUP($B176,'Distribution %'!$A$2:$Q$232,MATCH(W$2,'Distribution %'!$A$2:$Q$2,0),FALSE)/(SUMIF('Distribution %'!$C$1:$Q$1,"BUDGET",'Distribution %'!$C115:$Q115))),"0")+0)</f>
        <v>0</v>
      </c>
      <c r="X176" s="387">
        <f t="shared" si="54"/>
        <v>0</v>
      </c>
      <c r="Y176" s="387"/>
      <c r="Z176" s="387">
        <f t="shared" si="49"/>
        <v>0</v>
      </c>
    </row>
    <row r="177" spans="2:26" x14ac:dyDescent="0.75">
      <c r="B177" s="403">
        <v>5890</v>
      </c>
      <c r="C177" s="379" t="s">
        <v>839</v>
      </c>
      <c r="F177" s="379" t="str">
        <f>IF(ISERROR(VLOOKUP(B177,'Distribution %'!A:A,1,FALSE)),"NO","YES")</f>
        <v>YES</v>
      </c>
      <c r="G177" s="392"/>
      <c r="H177" s="430">
        <f>IFERROR(VLOOKUP(B177,'Expenses w MYP'!$A$8:$K$119,11,FALSE),"0")+0</f>
        <v>3000</v>
      </c>
      <c r="I177" s="388">
        <f>IF(VLOOKUP("Net Income",'FY ACTUALS'!$A$1:$X$996,I$3,FALSE)&lt;&gt;0,IFERROR(VLOOKUP($B177,'FY ACTUALS'!$A$1:$X$996,I$3,FALSE),"0")+0,IFERROR(($H177-SUMIF($I$1:$W$1,"ACTUAL",$I177:$W177))*(VLOOKUP($B177,'Distribution %'!$A$2:$Q$232,MATCH(I$2,'Distribution %'!$A$2:$Q$2,0),FALSE)/(SUMIF('Distribution %'!$C$1:$Q$1,"BUDGET",'Distribution %'!$C116:$Q116))),"0")+0)</f>
        <v>230.4</v>
      </c>
      <c r="J177" s="389">
        <f>IF(VLOOKUP("Net Income",'FY ACTUALS'!$A$1:$X$996,J$3,FALSE)&lt;&gt;0,IFERROR(VLOOKUP($B177,'FY ACTUALS'!$A$1:$X$996,J$3,FALSE),"0")+0,IFERROR(($H177-SUMIF($I$1:$W$1,"ACTUAL",$I177:$W177))*(VLOOKUP($B177,'Distribution %'!$A$2:$Q$232,MATCH(J$2,'Distribution %'!$A$2:$Q$2,0),FALSE)/(SUMIF('Distribution %'!$C$1:$Q$1,"BUDGET",'Distribution %'!$C116:$Q116))),"0")+0)</f>
        <v>0</v>
      </c>
      <c r="K177" s="389">
        <f>IF(VLOOKUP("Net Income",'FY ACTUALS'!$A$1:$X$996,K$3,FALSE)&lt;&gt;0,IFERROR(VLOOKUP($B177,'FY ACTUALS'!$A$1:$X$996,K$3,FALSE),"0")+0,IFERROR(($H177-SUMIF($I$1:$W$1,"ACTUAL",$I177:$W177))*(VLOOKUP($B177,'Distribution %'!$A$2:$Q$232,MATCH(K$2,'Distribution %'!$A$2:$Q$2,0),FALSE)/(SUMIF('Distribution %'!$C$1:$Q$1,"BUDGET",'Distribution %'!$C116:$Q116))),"0")+0)</f>
        <v>0</v>
      </c>
      <c r="L177" s="389">
        <f>IF(VLOOKUP("Net Income",'FY ACTUALS'!$A$1:$X$996,L$3,FALSE)&lt;&gt;0,IFERROR(VLOOKUP($B177,'FY ACTUALS'!$A$1:$X$996,L$3,FALSE),"0")+0,IFERROR(($H177-SUMIF($I$1:$W$1,"ACTUAL",$I177:$W177))*(VLOOKUP($B177,'Distribution %'!$A$2:$Q$232,MATCH(L$2,'Distribution %'!$A$2:$Q$2,0),FALSE)/(SUMIF('Distribution %'!$C$1:$Q$1,"BUDGET",'Distribution %'!$C116:$Q116))),"0")+0)</f>
        <v>0</v>
      </c>
      <c r="M177" s="389">
        <f>IF(VLOOKUP("Net Income",'FY ACTUALS'!$A$1:$X$996,M$3,FALSE)&lt;&gt;0,IFERROR(VLOOKUP($B177,'FY ACTUALS'!$A$1:$X$996,M$3,FALSE),"0")+0,IFERROR(($H177-SUMIF($I$1:$W$1,"ACTUAL",$I177:$W177))*(VLOOKUP($B177,'Distribution %'!$A$2:$Q$232,MATCH(M$2,'Distribution %'!$A$2:$Q$2,0),FALSE)/(SUMIF('Distribution %'!$C$1:$Q$1,"BUDGET",'Distribution %'!$C116:$Q116))),"0")+0)</f>
        <v>0</v>
      </c>
      <c r="N177" s="389">
        <f>IF(VLOOKUP("Net Income",'FY ACTUALS'!$A$1:$X$996,N$3,FALSE)&lt;&gt;0,IFERROR(VLOOKUP($B177,'FY ACTUALS'!$A$1:$X$996,N$3,FALSE),"0")+0,IFERROR(($H177-SUMIF($I$1:$W$1,"ACTUAL",$I177:$W177))*(VLOOKUP($B177,'Distribution %'!$A$2:$Q$232,MATCH(N$2,'Distribution %'!$A$2:$Q$2,0),FALSE)/(SUMIF('Distribution %'!$C$1:$Q$1,"BUDGET",'Distribution %'!$C116:$Q116))),"0")+0)</f>
        <v>1509.24</v>
      </c>
      <c r="O177" s="389">
        <f>IF(VLOOKUP("Net Income",'FY ACTUALS'!$A$1:$X$996,O$3,FALSE)&lt;&gt;0,IFERROR(VLOOKUP($B177,'FY ACTUALS'!$A$1:$X$996,O$3,FALSE),"0")+0,IFERROR(($H177-SUMIF($I$1:$W$1,"ACTUAL",$I177:$W177))*(VLOOKUP($B177,'Distribution %'!$A$2:$Q$232,MATCH(O$2,'Distribution %'!$A$2:$Q$2,0),FALSE)/(SUMIF('Distribution %'!$C$1:$Q$1,"BUDGET",'Distribution %'!$C116:$Q116))),"0")+0)</f>
        <v>0</v>
      </c>
      <c r="P177" s="389">
        <f>IF(VLOOKUP("Net Income",'FY ACTUALS'!$A$1:$X$996,P$3,FALSE)&lt;&gt;0,IFERROR(VLOOKUP($B177,'FY ACTUALS'!$A$1:$X$996,P$3,FALSE),"0")+0,IFERROR(($H177-SUMIF($I$1:$W$1,"ACTUAL",$I177:$W177))*(VLOOKUP($B177,'Distribution %'!$A$2:$Q$232,MATCH(P$2,'Distribution %'!$A$2:$Q$2,0),FALSE)/(SUMIF('Distribution %'!$C$1:$Q$1,"BUDGET",'Distribution %'!$C116:$Q116))),"0")+0)</f>
        <v>252.072</v>
      </c>
      <c r="Q177" s="389">
        <f>IF(VLOOKUP("Net Income",'FY ACTUALS'!$A$1:$X$996,Q$3,FALSE)&lt;&gt;0,IFERROR(VLOOKUP($B177,'FY ACTUALS'!$A$1:$X$996,Q$3,FALSE),"0")+0,IFERROR(($H177-SUMIF($I$1:$W$1,"ACTUAL",$I177:$W177))*(VLOOKUP($B177,'Distribution %'!$A$2:$Q$232,MATCH(Q$2,'Distribution %'!$A$2:$Q$2,0),FALSE)/(SUMIF('Distribution %'!$C$1:$Q$1,"BUDGET",'Distribution %'!$C116:$Q116))),"0")+0)</f>
        <v>252.072</v>
      </c>
      <c r="R177" s="389">
        <f>IF(VLOOKUP("Net Income",'FY ACTUALS'!$A$1:$X$996,R$3,FALSE)&lt;&gt;0,IFERROR(VLOOKUP($B177,'FY ACTUALS'!$A$1:$X$996,R$3,FALSE),"0")+0,IFERROR(($H177-SUMIF($I$1:$W$1,"ACTUAL",$I177:$W177))*(VLOOKUP($B177,'Distribution %'!$A$2:$Q$232,MATCH(R$2,'Distribution %'!$A$2:$Q$2,0),FALSE)/(SUMIF('Distribution %'!$C$1:$Q$1,"BUDGET",'Distribution %'!$C116:$Q116))),"0")+0)</f>
        <v>252.072</v>
      </c>
      <c r="S177" s="389">
        <f>IF(VLOOKUP("Net Income",'FY ACTUALS'!$A$1:$X$996,S$3,FALSE)&lt;&gt;0,IFERROR(VLOOKUP($B177,'FY ACTUALS'!$A$1:$X$996,S$3,FALSE),"0")+0,IFERROR(($H177-SUMIF($I$1:$W$1,"ACTUAL",$I177:$W177))*(VLOOKUP($B177,'Distribution %'!$A$2:$Q$232,MATCH(S$2,'Distribution %'!$A$2:$Q$2,0),FALSE)/(SUMIF('Distribution %'!$C$1:$Q$1,"BUDGET",'Distribution %'!$C116:$Q116))),"0")+0)</f>
        <v>252.072</v>
      </c>
      <c r="T177" s="389">
        <f>IF(VLOOKUP("Net Income",'FY ACTUALS'!$A$1:$X$996,T$3,FALSE)&lt;&gt;0,IFERROR(VLOOKUP($B177,'FY ACTUALS'!$A$1:$X$996,T$3,FALSE),"0")+0,IFERROR(($H177-SUMIF($I$1:$W$1,"ACTUAL",$I177:$W177))*(VLOOKUP($B177,'Distribution %'!$A$2:$Q$232,MATCH(T$2,'Distribution %'!$A$2:$Q$2,0),FALSE)/(SUMIF('Distribution %'!$C$1:$Q$1,"BUDGET",'Distribution %'!$C116:$Q116))),"0")+0)</f>
        <v>252.072</v>
      </c>
      <c r="U177" s="389">
        <f>IF(VLOOKUP("Net Income",'FY ACTUALS'!$A$1:$X$996,U$3,FALSE)&lt;&gt;0,IFERROR(VLOOKUP($B177,'FY ACTUALS'!$A$1:$X$996,U$3,FALSE),"0")+0,IFERROR(($H177-SUMIF($I$1:$W$1,"ACTUAL",$I177:$W177))*(VLOOKUP($B177,'Distribution %'!$A$2:$Q$232,MATCH(U$2,'Distribution %'!$A$2:$Q$2,0),FALSE)/(SUMIF('Distribution %'!$C$1:$Q$1,"BUDGET",'Distribution %'!$C116:$Q116))),"0")+0)</f>
        <v>0</v>
      </c>
      <c r="V177" s="389">
        <f>IF(VLOOKUP("Net Income",'FY ACTUALS'!$A$1:$X$996,V$3,FALSE)&lt;&gt;0,IFERROR(VLOOKUP($B177,'FY ACTUALS'!$A$1:$X$996,V$3,FALSE),"0")+0,IFERROR(($H177-SUMIF($I$1:$W$1,"ACTUAL",$I177:$W177))*(VLOOKUP($B177,'Distribution %'!$A$2:$Q$232,MATCH(V$2,'Distribution %'!$A$2:$Q$2,0),FALSE)/(SUMIF('Distribution %'!$C$1:$Q$1,"BUDGET",'Distribution %'!$C116:$Q116))),"0")+0)</f>
        <v>0</v>
      </c>
      <c r="W177" s="431">
        <f>IF(VLOOKUP("Net Income",'FY ACTUALS'!$A$1:$X$996,W$3,FALSE)&lt;&gt;0,IFERROR(VLOOKUP($B177,'FY ACTUALS'!$A$1:$X$996,W$3,FALSE),"0")+0,IFERROR(($H177-SUMIF($I$1:$W$1,"ACTUAL",$I177:$W177))*(VLOOKUP($B177,'Distribution %'!$A$2:$Q$232,MATCH(W$2,'Distribution %'!$A$2:$Q$2,0),FALSE)/(SUMIF('Distribution %'!$C$1:$Q$1,"BUDGET",'Distribution %'!$C116:$Q116))),"0")+0)</f>
        <v>0</v>
      </c>
      <c r="X177" s="387">
        <f t="shared" ref="X177:X180" si="55">+SUM(I177:W177)</f>
        <v>3000.0000000000005</v>
      </c>
      <c r="Y177" s="387"/>
      <c r="Z177" s="387">
        <f t="shared" si="49"/>
        <v>0</v>
      </c>
    </row>
    <row r="178" spans="2:26" x14ac:dyDescent="0.75">
      <c r="B178" s="403">
        <v>5900</v>
      </c>
      <c r="C178" s="379" t="s">
        <v>610</v>
      </c>
      <c r="F178" s="379" t="str">
        <f>IF(ISERROR(VLOOKUP(B178,'Distribution %'!A:A,1,FALSE)),"NO","YES")</f>
        <v>YES</v>
      </c>
      <c r="G178" s="392"/>
      <c r="H178" s="430">
        <f>IFERROR(VLOOKUP(B178,'Expenses w MYP'!$A$8:$K$119,11,FALSE),"0")+0</f>
        <v>130000</v>
      </c>
      <c r="I178" s="388">
        <f>IF(VLOOKUP("Net Income",'FY ACTUALS'!$A$1:$X$996,I$3,FALSE)&lt;&gt;0,IFERROR(VLOOKUP($B178,'FY ACTUALS'!$A$1:$X$996,I$3,FALSE),"0")+0,IFERROR(($H178-SUMIF($I$1:$W$1,"ACTUAL",$I178:$W178))*(VLOOKUP($B178,'Distribution %'!$A$2:$Q$232,MATCH(I$2,'Distribution %'!$A$2:$Q$2,0),FALSE)/(SUMIF('Distribution %'!$C$1:$Q$1,"BUDGET",'Distribution %'!$C117:$Q117))),"0")+0)</f>
        <v>5081.7700000000004</v>
      </c>
      <c r="J178" s="389">
        <f>IF(VLOOKUP("Net Income",'FY ACTUALS'!$A$1:$X$996,J$3,FALSE)&lt;&gt;0,IFERROR(VLOOKUP($B178,'FY ACTUALS'!$A$1:$X$996,J$3,FALSE),"0")+0,IFERROR(($H178-SUMIF($I$1:$W$1,"ACTUAL",$I178:$W178))*(VLOOKUP($B178,'Distribution %'!$A$2:$Q$232,MATCH(J$2,'Distribution %'!$A$2:$Q$2,0),FALSE)/(SUMIF('Distribution %'!$C$1:$Q$1,"BUDGET",'Distribution %'!$C117:$Q117))),"0")+0)</f>
        <v>5447.94</v>
      </c>
      <c r="K178" s="389">
        <f>IF(VLOOKUP("Net Income",'FY ACTUALS'!$A$1:$X$996,K$3,FALSE)&lt;&gt;0,IFERROR(VLOOKUP($B178,'FY ACTUALS'!$A$1:$X$996,K$3,FALSE),"0")+0,IFERROR(($H178-SUMIF($I$1:$W$1,"ACTUAL",$I178:$W178))*(VLOOKUP($B178,'Distribution %'!$A$2:$Q$232,MATCH(K$2,'Distribution %'!$A$2:$Q$2,0),FALSE)/(SUMIF('Distribution %'!$C$1:$Q$1,"BUDGET",'Distribution %'!$C117:$Q117))),"0")+0)</f>
        <v>11789.89</v>
      </c>
      <c r="L178" s="389">
        <f>IF(VLOOKUP("Net Income",'FY ACTUALS'!$A$1:$X$996,L$3,FALSE)&lt;&gt;0,IFERROR(VLOOKUP($B178,'FY ACTUALS'!$A$1:$X$996,L$3,FALSE),"0")+0,IFERROR(($H178-SUMIF($I$1:$W$1,"ACTUAL",$I178:$W178))*(VLOOKUP($B178,'Distribution %'!$A$2:$Q$232,MATCH(L$2,'Distribution %'!$A$2:$Q$2,0),FALSE)/(SUMIF('Distribution %'!$C$1:$Q$1,"BUDGET",'Distribution %'!$C117:$Q117))),"0")+0)</f>
        <v>13292.46</v>
      </c>
      <c r="M178" s="389">
        <f>IF(VLOOKUP("Net Income",'FY ACTUALS'!$A$1:$X$996,M$3,FALSE)&lt;&gt;0,IFERROR(VLOOKUP($B178,'FY ACTUALS'!$A$1:$X$996,M$3,FALSE),"0")+0,IFERROR(($H178-SUMIF($I$1:$W$1,"ACTUAL",$I178:$W178))*(VLOOKUP($B178,'Distribution %'!$A$2:$Q$232,MATCH(M$2,'Distribution %'!$A$2:$Q$2,0),FALSE)/(SUMIF('Distribution %'!$C$1:$Q$1,"BUDGET",'Distribution %'!$C117:$Q117))),"0")+0)</f>
        <v>19873.84</v>
      </c>
      <c r="N178" s="389">
        <f>IF(VLOOKUP("Net Income",'FY ACTUALS'!$A$1:$X$996,N$3,FALSE)&lt;&gt;0,IFERROR(VLOOKUP($B178,'FY ACTUALS'!$A$1:$X$996,N$3,FALSE),"0")+0,IFERROR(($H178-SUMIF($I$1:$W$1,"ACTUAL",$I178:$W178))*(VLOOKUP($B178,'Distribution %'!$A$2:$Q$232,MATCH(N$2,'Distribution %'!$A$2:$Q$2,0),FALSE)/(SUMIF('Distribution %'!$C$1:$Q$1,"BUDGET",'Distribution %'!$C117:$Q117))),"0")+0)</f>
        <v>6169.9</v>
      </c>
      <c r="O178" s="389">
        <f>IF(VLOOKUP("Net Income",'FY ACTUALS'!$A$1:$X$996,O$3,FALSE)&lt;&gt;0,IFERROR(VLOOKUP($B178,'FY ACTUALS'!$A$1:$X$996,O$3,FALSE),"0")+0,IFERROR(($H178-SUMIF($I$1:$W$1,"ACTUAL",$I178:$W178))*(VLOOKUP($B178,'Distribution %'!$A$2:$Q$232,MATCH(O$2,'Distribution %'!$A$2:$Q$2,0),FALSE)/(SUMIF('Distribution %'!$C$1:$Q$1,"BUDGET",'Distribution %'!$C117:$Q117))),"0")+0)</f>
        <v>14631.26</v>
      </c>
      <c r="P178" s="389">
        <f>IF(VLOOKUP("Net Income",'FY ACTUALS'!$A$1:$X$996,P$3,FALSE)&lt;&gt;0,IFERROR(VLOOKUP($B178,'FY ACTUALS'!$A$1:$X$996,P$3,FALSE),"0")+0,IFERROR(($H178-SUMIF($I$1:$W$1,"ACTUAL",$I178:$W178))*(VLOOKUP($B178,'Distribution %'!$A$2:$Q$232,MATCH(P$2,'Distribution %'!$A$2:$Q$2,0),FALSE)/(SUMIF('Distribution %'!$C$1:$Q$1,"BUDGET",'Distribution %'!$C117:$Q117))),"0")+0)</f>
        <v>10742.588000000002</v>
      </c>
      <c r="Q178" s="389">
        <f>IF(VLOOKUP("Net Income",'FY ACTUALS'!$A$1:$X$996,Q$3,FALSE)&lt;&gt;0,IFERROR(VLOOKUP($B178,'FY ACTUALS'!$A$1:$X$996,Q$3,FALSE),"0")+0,IFERROR(($H178-SUMIF($I$1:$W$1,"ACTUAL",$I178:$W178))*(VLOOKUP($B178,'Distribution %'!$A$2:$Q$232,MATCH(Q$2,'Distribution %'!$A$2:$Q$2,0),FALSE)/(SUMIF('Distribution %'!$C$1:$Q$1,"BUDGET",'Distribution %'!$C117:$Q117))),"0")+0)</f>
        <v>10742.588000000002</v>
      </c>
      <c r="R178" s="389">
        <f>IF(VLOOKUP("Net Income",'FY ACTUALS'!$A$1:$X$996,R$3,FALSE)&lt;&gt;0,IFERROR(VLOOKUP($B178,'FY ACTUALS'!$A$1:$X$996,R$3,FALSE),"0")+0,IFERROR(($H178-SUMIF($I$1:$W$1,"ACTUAL",$I178:$W178))*(VLOOKUP($B178,'Distribution %'!$A$2:$Q$232,MATCH(R$2,'Distribution %'!$A$2:$Q$2,0),FALSE)/(SUMIF('Distribution %'!$C$1:$Q$1,"BUDGET",'Distribution %'!$C117:$Q117))),"0")+0)</f>
        <v>10742.588000000002</v>
      </c>
      <c r="S178" s="389">
        <f>IF(VLOOKUP("Net Income",'FY ACTUALS'!$A$1:$X$996,S$3,FALSE)&lt;&gt;0,IFERROR(VLOOKUP($B178,'FY ACTUALS'!$A$1:$X$996,S$3,FALSE),"0")+0,IFERROR(($H178-SUMIF($I$1:$W$1,"ACTUAL",$I178:$W178))*(VLOOKUP($B178,'Distribution %'!$A$2:$Q$232,MATCH(S$2,'Distribution %'!$A$2:$Q$2,0),FALSE)/(SUMIF('Distribution %'!$C$1:$Q$1,"BUDGET",'Distribution %'!$C117:$Q117))),"0")+0)</f>
        <v>10742.588000000002</v>
      </c>
      <c r="T178" s="389">
        <f>IF(VLOOKUP("Net Income",'FY ACTUALS'!$A$1:$X$996,T$3,FALSE)&lt;&gt;0,IFERROR(VLOOKUP($B178,'FY ACTUALS'!$A$1:$X$996,T$3,FALSE),"0")+0,IFERROR(($H178-SUMIF($I$1:$W$1,"ACTUAL",$I178:$W178))*(VLOOKUP($B178,'Distribution %'!$A$2:$Q$232,MATCH(T$2,'Distribution %'!$A$2:$Q$2,0),FALSE)/(SUMIF('Distribution %'!$C$1:$Q$1,"BUDGET",'Distribution %'!$C117:$Q117))),"0")+0)</f>
        <v>10742.588000000002</v>
      </c>
      <c r="U178" s="389">
        <f>IF(VLOOKUP("Net Income",'FY ACTUALS'!$A$1:$X$996,U$3,FALSE)&lt;&gt;0,IFERROR(VLOOKUP($B178,'FY ACTUALS'!$A$1:$X$996,U$3,FALSE),"0")+0,IFERROR(($H178-SUMIF($I$1:$W$1,"ACTUAL",$I178:$W178))*(VLOOKUP($B178,'Distribution %'!$A$2:$Q$232,MATCH(U$2,'Distribution %'!$A$2:$Q$2,0),FALSE)/(SUMIF('Distribution %'!$C$1:$Q$1,"BUDGET",'Distribution %'!$C117:$Q117))),"0")+0)</f>
        <v>0</v>
      </c>
      <c r="V178" s="389">
        <f>IF(VLOOKUP("Net Income",'FY ACTUALS'!$A$1:$X$996,V$3,FALSE)&lt;&gt;0,IFERROR(VLOOKUP($B178,'FY ACTUALS'!$A$1:$X$996,V$3,FALSE),"0")+0,IFERROR(($H178-SUMIF($I$1:$W$1,"ACTUAL",$I178:$W178))*(VLOOKUP($B178,'Distribution %'!$A$2:$Q$232,MATCH(V$2,'Distribution %'!$A$2:$Q$2,0),FALSE)/(SUMIF('Distribution %'!$C$1:$Q$1,"BUDGET",'Distribution %'!$C117:$Q117))),"0")+0)</f>
        <v>0</v>
      </c>
      <c r="W178" s="431">
        <f>IF(VLOOKUP("Net Income",'FY ACTUALS'!$A$1:$X$996,W$3,FALSE)&lt;&gt;0,IFERROR(VLOOKUP($B178,'FY ACTUALS'!$A$1:$X$996,W$3,FALSE),"0")+0,IFERROR(($H178-SUMIF($I$1:$W$1,"ACTUAL",$I178:$W178))*(VLOOKUP($B178,'Distribution %'!$A$2:$Q$232,MATCH(W$2,'Distribution %'!$A$2:$Q$2,0),FALSE)/(SUMIF('Distribution %'!$C$1:$Q$1,"BUDGET",'Distribution %'!$C117:$Q117))),"0")+0)</f>
        <v>0</v>
      </c>
      <c r="X178" s="387">
        <f t="shared" si="55"/>
        <v>130000.00000000001</v>
      </c>
      <c r="Y178" s="387"/>
      <c r="Z178" s="387">
        <f t="shared" si="49"/>
        <v>0</v>
      </c>
    </row>
    <row r="179" spans="2:26" x14ac:dyDescent="0.75">
      <c r="B179" s="403">
        <v>5901</v>
      </c>
      <c r="C179" s="379" t="s">
        <v>1084</v>
      </c>
      <c r="F179" s="379" t="str">
        <f>IF(ISERROR(VLOOKUP(B179,'Distribution %'!A:A,1,FALSE)),"NO","YES")</f>
        <v>YES</v>
      </c>
      <c r="G179" s="392"/>
      <c r="H179" s="430">
        <f>IFERROR(VLOOKUP(B179,'Expenses w MYP'!$A$8:$K$119,11,FALSE),"0")+0</f>
        <v>1500</v>
      </c>
      <c r="I179" s="388">
        <f>IF(VLOOKUP("Net Income",'FY ACTUALS'!$A$1:$X$996,I$3,FALSE)&lt;&gt;0,IFERROR(VLOOKUP($B179,'FY ACTUALS'!$A$1:$X$996,I$3,FALSE),"0")+0,IFERROR(($H179-SUMIF($I$1:$W$1,"ACTUAL",$I179:$W179))*(VLOOKUP($B179,'Distribution %'!$A$2:$Q$232,MATCH(I$2,'Distribution %'!$A$2:$Q$2,0),FALSE)/(SUMIF('Distribution %'!$C$1:$Q$1,"BUDGET",'Distribution %'!$C118:$Q118))),"0")+0)</f>
        <v>0</v>
      </c>
      <c r="J179" s="389">
        <f>IF(VLOOKUP("Net Income",'FY ACTUALS'!$A$1:$X$996,J$3,FALSE)&lt;&gt;0,IFERROR(VLOOKUP($B179,'FY ACTUALS'!$A$1:$X$996,J$3,FALSE),"0")+0,IFERROR(($H179-SUMIF($I$1:$W$1,"ACTUAL",$I179:$W179))*(VLOOKUP($B179,'Distribution %'!$A$2:$Q$232,MATCH(J$2,'Distribution %'!$A$2:$Q$2,0),FALSE)/(SUMIF('Distribution %'!$C$1:$Q$1,"BUDGET",'Distribution %'!$C118:$Q118))),"0")+0)</f>
        <v>0</v>
      </c>
      <c r="K179" s="389">
        <f>IF(VLOOKUP("Net Income",'FY ACTUALS'!$A$1:$X$996,K$3,FALSE)&lt;&gt;0,IFERROR(VLOOKUP($B179,'FY ACTUALS'!$A$1:$X$996,K$3,FALSE),"0")+0,IFERROR(($H179-SUMIF($I$1:$W$1,"ACTUAL",$I179:$W179))*(VLOOKUP($B179,'Distribution %'!$A$2:$Q$232,MATCH(K$2,'Distribution %'!$A$2:$Q$2,0),FALSE)/(SUMIF('Distribution %'!$C$1:$Q$1,"BUDGET",'Distribution %'!$C118:$Q118))),"0")+0)</f>
        <v>80.010000000000005</v>
      </c>
      <c r="L179" s="389">
        <f>IF(VLOOKUP("Net Income",'FY ACTUALS'!$A$1:$X$996,L$3,FALSE)&lt;&gt;0,IFERROR(VLOOKUP($B179,'FY ACTUALS'!$A$1:$X$996,L$3,FALSE),"0")+0,IFERROR(($H179-SUMIF($I$1:$W$1,"ACTUAL",$I179:$W179))*(VLOOKUP($B179,'Distribution %'!$A$2:$Q$232,MATCH(L$2,'Distribution %'!$A$2:$Q$2,0),FALSE)/(SUMIF('Distribution %'!$C$1:$Q$1,"BUDGET",'Distribution %'!$C118:$Q118))),"0")+0)</f>
        <v>40</v>
      </c>
      <c r="M179" s="389">
        <f>IF(VLOOKUP("Net Income",'FY ACTUALS'!$A$1:$X$996,M$3,FALSE)&lt;&gt;0,IFERROR(VLOOKUP($B179,'FY ACTUALS'!$A$1:$X$996,M$3,FALSE),"0")+0,IFERROR(($H179-SUMIF($I$1:$W$1,"ACTUAL",$I179:$W179))*(VLOOKUP($B179,'Distribution %'!$A$2:$Q$232,MATCH(M$2,'Distribution %'!$A$2:$Q$2,0),FALSE)/(SUMIF('Distribution %'!$C$1:$Q$1,"BUDGET",'Distribution %'!$C118:$Q118))),"0")+0)</f>
        <v>0</v>
      </c>
      <c r="N179" s="389">
        <f>IF(VLOOKUP("Net Income",'FY ACTUALS'!$A$1:$X$996,N$3,FALSE)&lt;&gt;0,IFERROR(VLOOKUP($B179,'FY ACTUALS'!$A$1:$X$996,N$3,FALSE),"0")+0,IFERROR(($H179-SUMIF($I$1:$W$1,"ACTUAL",$I179:$W179))*(VLOOKUP($B179,'Distribution %'!$A$2:$Q$232,MATCH(N$2,'Distribution %'!$A$2:$Q$2,0),FALSE)/(SUMIF('Distribution %'!$C$1:$Q$1,"BUDGET",'Distribution %'!$C118:$Q118))),"0")+0)</f>
        <v>0</v>
      </c>
      <c r="O179" s="389">
        <f>IF(VLOOKUP("Net Income",'FY ACTUALS'!$A$1:$X$996,O$3,FALSE)&lt;&gt;0,IFERROR(VLOOKUP($B179,'FY ACTUALS'!$A$1:$X$996,O$3,FALSE),"0")+0,IFERROR(($H179-SUMIF($I$1:$W$1,"ACTUAL",$I179:$W179))*(VLOOKUP($B179,'Distribution %'!$A$2:$Q$232,MATCH(O$2,'Distribution %'!$A$2:$Q$2,0),FALSE)/(SUMIF('Distribution %'!$C$1:$Q$1,"BUDGET",'Distribution %'!$C118:$Q118))),"0")+0)</f>
        <v>180.01</v>
      </c>
      <c r="P179" s="389">
        <f>IF(VLOOKUP("Net Income",'FY ACTUALS'!$A$1:$X$996,P$3,FALSE)&lt;&gt;0,IFERROR(VLOOKUP($B179,'FY ACTUALS'!$A$1:$X$996,P$3,FALSE),"0")+0,IFERROR(($H179-SUMIF($I$1:$W$1,"ACTUAL",$I179:$W179))*(VLOOKUP($B179,'Distribution %'!$A$2:$Q$232,MATCH(P$2,'Distribution %'!$A$2:$Q$2,0),FALSE)/(SUMIF('Distribution %'!$C$1:$Q$1,"BUDGET",'Distribution %'!$C118:$Q118))),"0")+0)</f>
        <v>239.99600000000001</v>
      </c>
      <c r="Q179" s="389">
        <f>IF(VLOOKUP("Net Income",'FY ACTUALS'!$A$1:$X$996,Q$3,FALSE)&lt;&gt;0,IFERROR(VLOOKUP($B179,'FY ACTUALS'!$A$1:$X$996,Q$3,FALSE),"0")+0,IFERROR(($H179-SUMIF($I$1:$W$1,"ACTUAL",$I179:$W179))*(VLOOKUP($B179,'Distribution %'!$A$2:$Q$232,MATCH(Q$2,'Distribution %'!$A$2:$Q$2,0),FALSE)/(SUMIF('Distribution %'!$C$1:$Q$1,"BUDGET",'Distribution %'!$C118:$Q118))),"0")+0)</f>
        <v>239.99600000000001</v>
      </c>
      <c r="R179" s="389">
        <f>IF(VLOOKUP("Net Income",'FY ACTUALS'!$A$1:$X$996,R$3,FALSE)&lt;&gt;0,IFERROR(VLOOKUP($B179,'FY ACTUALS'!$A$1:$X$996,R$3,FALSE),"0")+0,IFERROR(($H179-SUMIF($I$1:$W$1,"ACTUAL",$I179:$W179))*(VLOOKUP($B179,'Distribution %'!$A$2:$Q$232,MATCH(R$2,'Distribution %'!$A$2:$Q$2,0),FALSE)/(SUMIF('Distribution %'!$C$1:$Q$1,"BUDGET",'Distribution %'!$C118:$Q118))),"0")+0)</f>
        <v>239.99600000000001</v>
      </c>
      <c r="S179" s="389">
        <f>IF(VLOOKUP("Net Income",'FY ACTUALS'!$A$1:$X$996,S$3,FALSE)&lt;&gt;0,IFERROR(VLOOKUP($B179,'FY ACTUALS'!$A$1:$X$996,S$3,FALSE),"0")+0,IFERROR(($H179-SUMIF($I$1:$W$1,"ACTUAL",$I179:$W179))*(VLOOKUP($B179,'Distribution %'!$A$2:$Q$232,MATCH(S$2,'Distribution %'!$A$2:$Q$2,0),FALSE)/(SUMIF('Distribution %'!$C$1:$Q$1,"BUDGET",'Distribution %'!$C118:$Q118))),"0")+0)</f>
        <v>239.99600000000001</v>
      </c>
      <c r="T179" s="389">
        <f>IF(VLOOKUP("Net Income",'FY ACTUALS'!$A$1:$X$996,T$3,FALSE)&lt;&gt;0,IFERROR(VLOOKUP($B179,'FY ACTUALS'!$A$1:$X$996,T$3,FALSE),"0")+0,IFERROR(($H179-SUMIF($I$1:$W$1,"ACTUAL",$I179:$W179))*(VLOOKUP($B179,'Distribution %'!$A$2:$Q$232,MATCH(T$2,'Distribution %'!$A$2:$Q$2,0),FALSE)/(SUMIF('Distribution %'!$C$1:$Q$1,"BUDGET",'Distribution %'!$C118:$Q118))),"0")+0)</f>
        <v>239.99600000000001</v>
      </c>
      <c r="U179" s="389">
        <f>IF(VLOOKUP("Net Income",'FY ACTUALS'!$A$1:$X$996,U$3,FALSE)&lt;&gt;0,IFERROR(VLOOKUP($B179,'FY ACTUALS'!$A$1:$X$996,U$3,FALSE),"0")+0,IFERROR(($H179-SUMIF($I$1:$W$1,"ACTUAL",$I179:$W179))*(VLOOKUP($B179,'Distribution %'!$A$2:$Q$232,MATCH(U$2,'Distribution %'!$A$2:$Q$2,0),FALSE)/(SUMIF('Distribution %'!$C$1:$Q$1,"BUDGET",'Distribution %'!$C118:$Q118))),"0")+0)</f>
        <v>0</v>
      </c>
      <c r="V179" s="389">
        <f>IF(VLOOKUP("Net Income",'FY ACTUALS'!$A$1:$X$996,V$3,FALSE)&lt;&gt;0,IFERROR(VLOOKUP($B179,'FY ACTUALS'!$A$1:$X$996,V$3,FALSE),"0")+0,IFERROR(($H179-SUMIF($I$1:$W$1,"ACTUAL",$I179:$W179))*(VLOOKUP($B179,'Distribution %'!$A$2:$Q$232,MATCH(V$2,'Distribution %'!$A$2:$Q$2,0),FALSE)/(SUMIF('Distribution %'!$C$1:$Q$1,"BUDGET",'Distribution %'!$C118:$Q118))),"0")+0)</f>
        <v>0</v>
      </c>
      <c r="W179" s="431">
        <f>IF(VLOOKUP("Net Income",'FY ACTUALS'!$A$1:$X$996,W$3,FALSE)&lt;&gt;0,IFERROR(VLOOKUP($B179,'FY ACTUALS'!$A$1:$X$996,W$3,FALSE),"0")+0,IFERROR(($H179-SUMIF($I$1:$W$1,"ACTUAL",$I179:$W179))*(VLOOKUP($B179,'Distribution %'!$A$2:$Q$232,MATCH(W$2,'Distribution %'!$A$2:$Q$2,0),FALSE)/(SUMIF('Distribution %'!$C$1:$Q$1,"BUDGET",'Distribution %'!$C118:$Q118))),"0")+0)</f>
        <v>0</v>
      </c>
      <c r="X179" s="387">
        <f t="shared" si="55"/>
        <v>1500</v>
      </c>
      <c r="Y179" s="387"/>
      <c r="Z179" s="387">
        <f t="shared" si="49"/>
        <v>0</v>
      </c>
    </row>
    <row r="180" spans="2:26" x14ac:dyDescent="0.75">
      <c r="B180" s="403">
        <v>7010</v>
      </c>
      <c r="C180" s="379" t="s">
        <v>613</v>
      </c>
      <c r="F180" s="379" t="str">
        <f>IF(ISERROR(VLOOKUP(B180,'Distribution %'!A:A,1,FALSE)),"NO","YES")</f>
        <v>YES</v>
      </c>
      <c r="G180" s="392"/>
      <c r="H180" s="430">
        <f>IFERROR(VLOOKUP(B180,'Expenses w MYP'!$A$8:$K$119,11,FALSE),"0")+0</f>
        <v>0</v>
      </c>
      <c r="I180" s="388">
        <f>IF(VLOOKUP("Net Income",'FY ACTUALS'!$A$1:$X$996,I$3,FALSE)&lt;&gt;0,IFERROR(VLOOKUP($B180,'FY ACTUALS'!$A$1:$X$996,I$3,FALSE),"0")+0,IFERROR(($H180-SUMIF($I$1:$W$1,"ACTUAL",$I180:$W180))*(VLOOKUP($B180,'Distribution %'!$A$2:$Q$232,MATCH(I$2,'Distribution %'!$A$2:$Q$2,0),FALSE)/(SUMIF('Distribution %'!$C$1:$Q$1,"BUDGET",'Distribution %'!$C119:$Q119))),"0")+0)</f>
        <v>0</v>
      </c>
      <c r="J180" s="389">
        <f>IF(VLOOKUP("Net Income",'FY ACTUALS'!$A$1:$X$996,J$3,FALSE)&lt;&gt;0,IFERROR(VLOOKUP($B180,'FY ACTUALS'!$A$1:$X$996,J$3,FALSE),"0")+0,IFERROR(($H180-SUMIF($I$1:$W$1,"ACTUAL",$I180:$W180))*(VLOOKUP($B180,'Distribution %'!$A$2:$Q$232,MATCH(J$2,'Distribution %'!$A$2:$Q$2,0),FALSE)/(SUMIF('Distribution %'!$C$1:$Q$1,"BUDGET",'Distribution %'!$C119:$Q119))),"0")+0)</f>
        <v>0</v>
      </c>
      <c r="K180" s="389">
        <f>IF(VLOOKUP("Net Income",'FY ACTUALS'!$A$1:$X$996,K$3,FALSE)&lt;&gt;0,IFERROR(VLOOKUP($B180,'FY ACTUALS'!$A$1:$X$996,K$3,FALSE),"0")+0,IFERROR(($H180-SUMIF($I$1:$W$1,"ACTUAL",$I180:$W180))*(VLOOKUP($B180,'Distribution %'!$A$2:$Q$232,MATCH(K$2,'Distribution %'!$A$2:$Q$2,0),FALSE)/(SUMIF('Distribution %'!$C$1:$Q$1,"BUDGET",'Distribution %'!$C119:$Q119))),"0")+0)</f>
        <v>0</v>
      </c>
      <c r="L180" s="389">
        <f>IF(VLOOKUP("Net Income",'FY ACTUALS'!$A$1:$X$996,L$3,FALSE)&lt;&gt;0,IFERROR(VLOOKUP($B180,'FY ACTUALS'!$A$1:$X$996,L$3,FALSE),"0")+0,IFERROR(($H180-SUMIF($I$1:$W$1,"ACTUAL",$I180:$W180))*(VLOOKUP($B180,'Distribution %'!$A$2:$Q$232,MATCH(L$2,'Distribution %'!$A$2:$Q$2,0),FALSE)/(SUMIF('Distribution %'!$C$1:$Q$1,"BUDGET",'Distribution %'!$C119:$Q119))),"0")+0)</f>
        <v>0</v>
      </c>
      <c r="M180" s="389">
        <f>IF(VLOOKUP("Net Income",'FY ACTUALS'!$A$1:$X$996,M$3,FALSE)&lt;&gt;0,IFERROR(VLOOKUP($B180,'FY ACTUALS'!$A$1:$X$996,M$3,FALSE),"0")+0,IFERROR(($H180-SUMIF($I$1:$W$1,"ACTUAL",$I180:$W180))*(VLOOKUP($B180,'Distribution %'!$A$2:$Q$232,MATCH(M$2,'Distribution %'!$A$2:$Q$2,0),FALSE)/(SUMIF('Distribution %'!$C$1:$Q$1,"BUDGET",'Distribution %'!$C119:$Q119))),"0")+0)</f>
        <v>0</v>
      </c>
      <c r="N180" s="389">
        <f>IF(VLOOKUP("Net Income",'FY ACTUALS'!$A$1:$X$996,N$3,FALSE)&lt;&gt;0,IFERROR(VLOOKUP($B180,'FY ACTUALS'!$A$1:$X$996,N$3,FALSE),"0")+0,IFERROR(($H180-SUMIF($I$1:$W$1,"ACTUAL",$I180:$W180))*(VLOOKUP($B180,'Distribution %'!$A$2:$Q$232,MATCH(N$2,'Distribution %'!$A$2:$Q$2,0),FALSE)/(SUMIF('Distribution %'!$C$1:$Q$1,"BUDGET",'Distribution %'!$C119:$Q119))),"0")+0)</f>
        <v>0</v>
      </c>
      <c r="O180" s="389">
        <f>IF(VLOOKUP("Net Income",'FY ACTUALS'!$A$1:$X$996,O$3,FALSE)&lt;&gt;0,IFERROR(VLOOKUP($B180,'FY ACTUALS'!$A$1:$X$996,O$3,FALSE),"0")+0,IFERROR(($H180-SUMIF($I$1:$W$1,"ACTUAL",$I180:$W180))*(VLOOKUP($B180,'Distribution %'!$A$2:$Q$232,MATCH(O$2,'Distribution %'!$A$2:$Q$2,0),FALSE)/(SUMIF('Distribution %'!$C$1:$Q$1,"BUDGET",'Distribution %'!$C119:$Q119))),"0")+0)</f>
        <v>0</v>
      </c>
      <c r="P180" s="389">
        <f>IF(VLOOKUP("Net Income",'FY ACTUALS'!$A$1:$X$996,P$3,FALSE)&lt;&gt;0,IFERROR(VLOOKUP($B180,'FY ACTUALS'!$A$1:$X$996,P$3,FALSE),"0")+0,IFERROR(($H180-SUMIF($I$1:$W$1,"ACTUAL",$I180:$W180))*(VLOOKUP($B180,'Distribution %'!$A$2:$Q$232,MATCH(P$2,'Distribution %'!$A$2:$Q$2,0),FALSE)/(SUMIF('Distribution %'!$C$1:$Q$1,"BUDGET",'Distribution %'!$C119:$Q119))),"0")+0)</f>
        <v>0</v>
      </c>
      <c r="Q180" s="389">
        <f>IF(VLOOKUP("Net Income",'FY ACTUALS'!$A$1:$X$996,Q$3,FALSE)&lt;&gt;0,IFERROR(VLOOKUP($B180,'FY ACTUALS'!$A$1:$X$996,Q$3,FALSE),"0")+0,IFERROR(($H180-SUMIF($I$1:$W$1,"ACTUAL",$I180:$W180))*(VLOOKUP($B180,'Distribution %'!$A$2:$Q$232,MATCH(Q$2,'Distribution %'!$A$2:$Q$2,0),FALSE)/(SUMIF('Distribution %'!$C$1:$Q$1,"BUDGET",'Distribution %'!$C119:$Q119))),"0")+0)</f>
        <v>0</v>
      </c>
      <c r="R180" s="389">
        <f>IF(VLOOKUP("Net Income",'FY ACTUALS'!$A$1:$X$996,R$3,FALSE)&lt;&gt;0,IFERROR(VLOOKUP($B180,'FY ACTUALS'!$A$1:$X$996,R$3,FALSE),"0")+0,IFERROR(($H180-SUMIF($I$1:$W$1,"ACTUAL",$I180:$W180))*(VLOOKUP($B180,'Distribution %'!$A$2:$Q$232,MATCH(R$2,'Distribution %'!$A$2:$Q$2,0),FALSE)/(SUMIF('Distribution %'!$C$1:$Q$1,"BUDGET",'Distribution %'!$C119:$Q119))),"0")+0)</f>
        <v>0</v>
      </c>
      <c r="S180" s="389">
        <f>IF(VLOOKUP("Net Income",'FY ACTUALS'!$A$1:$X$996,S$3,FALSE)&lt;&gt;0,IFERROR(VLOOKUP($B180,'FY ACTUALS'!$A$1:$X$996,S$3,FALSE),"0")+0,IFERROR(($H180-SUMIF($I$1:$W$1,"ACTUAL",$I180:$W180))*(VLOOKUP($B180,'Distribution %'!$A$2:$Q$232,MATCH(S$2,'Distribution %'!$A$2:$Q$2,0),FALSE)/(SUMIF('Distribution %'!$C$1:$Q$1,"BUDGET",'Distribution %'!$C119:$Q119))),"0")+0)</f>
        <v>0</v>
      </c>
      <c r="T180" s="389">
        <f>IF(VLOOKUP("Net Income",'FY ACTUALS'!$A$1:$X$996,T$3,FALSE)&lt;&gt;0,IFERROR(VLOOKUP($B180,'FY ACTUALS'!$A$1:$X$996,T$3,FALSE),"0")+0,IFERROR(($H180-SUMIF($I$1:$W$1,"ACTUAL",$I180:$W180))*(VLOOKUP($B180,'Distribution %'!$A$2:$Q$232,MATCH(T$2,'Distribution %'!$A$2:$Q$2,0),FALSE)/(SUMIF('Distribution %'!$C$1:$Q$1,"BUDGET",'Distribution %'!$C119:$Q119))),"0")+0)</f>
        <v>0</v>
      </c>
      <c r="U180" s="389">
        <f>IF(VLOOKUP("Net Income",'FY ACTUALS'!$A$1:$X$996,U$3,FALSE)&lt;&gt;0,IFERROR(VLOOKUP($B180,'FY ACTUALS'!$A$1:$X$996,U$3,FALSE),"0")+0,IFERROR(($H180-SUMIF($I$1:$W$1,"ACTUAL",$I180:$W180))*(VLOOKUP($B180,'Distribution %'!$A$2:$Q$232,MATCH(U$2,'Distribution %'!$A$2:$Q$2,0),FALSE)/(SUMIF('Distribution %'!$C$1:$Q$1,"BUDGET",'Distribution %'!$C119:$Q119))),"0")+0)</f>
        <v>0</v>
      </c>
      <c r="V180" s="389">
        <f>IF(VLOOKUP("Net Income",'FY ACTUALS'!$A$1:$X$996,V$3,FALSE)&lt;&gt;0,IFERROR(VLOOKUP($B180,'FY ACTUALS'!$A$1:$X$996,V$3,FALSE),"0")+0,IFERROR(($H180-SUMIF($I$1:$W$1,"ACTUAL",$I180:$W180))*(VLOOKUP($B180,'Distribution %'!$A$2:$Q$232,MATCH(V$2,'Distribution %'!$A$2:$Q$2,0),FALSE)/(SUMIF('Distribution %'!$C$1:$Q$1,"BUDGET",'Distribution %'!$C119:$Q119))),"0")+0)</f>
        <v>0</v>
      </c>
      <c r="W180" s="431">
        <f>IF(VLOOKUP("Net Income",'FY ACTUALS'!$A$1:$X$996,W$3,FALSE)&lt;&gt;0,IFERROR(VLOOKUP($B180,'FY ACTUALS'!$A$1:$X$996,W$3,FALSE),"0")+0,IFERROR(($H180-SUMIF($I$1:$W$1,"ACTUAL",$I180:$W180))*(VLOOKUP($B180,'Distribution %'!$A$2:$Q$232,MATCH(W$2,'Distribution %'!$A$2:$Q$2,0),FALSE)/(SUMIF('Distribution %'!$C$1:$Q$1,"BUDGET",'Distribution %'!$C119:$Q119))),"0")+0)</f>
        <v>0</v>
      </c>
      <c r="X180" s="387">
        <f t="shared" si="55"/>
        <v>0</v>
      </c>
      <c r="Y180" s="387"/>
      <c r="Z180" s="387">
        <f t="shared" si="49"/>
        <v>0</v>
      </c>
    </row>
    <row r="181" spans="2:26" x14ac:dyDescent="0.75">
      <c r="B181" s="403">
        <v>5891</v>
      </c>
      <c r="C181" s="379" t="s">
        <v>841</v>
      </c>
      <c r="F181" s="379" t="str">
        <f>IF(ISERROR(VLOOKUP(B181,'Distribution %'!A:A,1,FALSE)),"NO","YES")</f>
        <v>YES</v>
      </c>
      <c r="G181" s="392"/>
      <c r="H181" s="430">
        <f>IFERROR(VLOOKUP(B181,'Expenses w MYP'!$A$8:$K$119,11,FALSE),"0")+0</f>
        <v>0</v>
      </c>
      <c r="I181" s="388">
        <f>IF(VLOOKUP("Net Income",'FY ACTUALS'!$A$1:$X$996,I$3,FALSE)&lt;&gt;0,IFERROR(VLOOKUP($B181,'FY ACTUALS'!$A$1:$X$996,I$3,FALSE),"0")+0,IFERROR(($H181-SUMIF($I$1:$W$1,"ACTUAL",$I181:$W181))*(VLOOKUP($B181,'Distribution %'!$A$2:$Q$232,MATCH(I$2,'Distribution %'!$A$2:$Q$2,0),FALSE)/(SUMIF('Distribution %'!$C$1:$Q$1,"BUDGET",'Distribution %'!$C120:$Q120))),"0")+0)</f>
        <v>0</v>
      </c>
      <c r="J181" s="389">
        <f>IF(VLOOKUP("Net Income",'FY ACTUALS'!$A$1:$X$996,J$3,FALSE)&lt;&gt;0,IFERROR(VLOOKUP($B181,'FY ACTUALS'!$A$1:$X$996,J$3,FALSE),"0")+0,IFERROR(($H181-SUMIF($I$1:$W$1,"ACTUAL",$I181:$W181))*(VLOOKUP($B181,'Distribution %'!$A$2:$Q$232,MATCH(J$2,'Distribution %'!$A$2:$Q$2,0),FALSE)/(SUMIF('Distribution %'!$C$1:$Q$1,"BUDGET",'Distribution %'!$C120:$Q120))),"0")+0)</f>
        <v>0</v>
      </c>
      <c r="K181" s="389">
        <f>IF(VLOOKUP("Net Income",'FY ACTUALS'!$A$1:$X$996,K$3,FALSE)&lt;&gt;0,IFERROR(VLOOKUP($B181,'FY ACTUALS'!$A$1:$X$996,K$3,FALSE),"0")+0,IFERROR(($H181-SUMIF($I$1:$W$1,"ACTUAL",$I181:$W181))*(VLOOKUP($B181,'Distribution %'!$A$2:$Q$232,MATCH(K$2,'Distribution %'!$A$2:$Q$2,0),FALSE)/(SUMIF('Distribution %'!$C$1:$Q$1,"BUDGET",'Distribution %'!$C120:$Q120))),"0")+0)</f>
        <v>0</v>
      </c>
      <c r="L181" s="389">
        <f>IF(VLOOKUP("Net Income",'FY ACTUALS'!$A$1:$X$996,L$3,FALSE)&lt;&gt;0,IFERROR(VLOOKUP($B181,'FY ACTUALS'!$A$1:$X$996,L$3,FALSE),"0")+0,IFERROR(($H181-SUMIF($I$1:$W$1,"ACTUAL",$I181:$W181))*(VLOOKUP($B181,'Distribution %'!$A$2:$Q$232,MATCH(L$2,'Distribution %'!$A$2:$Q$2,0),FALSE)/(SUMIF('Distribution %'!$C$1:$Q$1,"BUDGET",'Distribution %'!$C120:$Q120))),"0")+0)</f>
        <v>0</v>
      </c>
      <c r="M181" s="389">
        <f>IF(VLOOKUP("Net Income",'FY ACTUALS'!$A$1:$X$996,M$3,FALSE)&lt;&gt;0,IFERROR(VLOOKUP($B181,'FY ACTUALS'!$A$1:$X$996,M$3,FALSE),"0")+0,IFERROR(($H181-SUMIF($I$1:$W$1,"ACTUAL",$I181:$W181))*(VLOOKUP($B181,'Distribution %'!$A$2:$Q$232,MATCH(M$2,'Distribution %'!$A$2:$Q$2,0),FALSE)/(SUMIF('Distribution %'!$C$1:$Q$1,"BUDGET",'Distribution %'!$C120:$Q120))),"0")+0)</f>
        <v>0</v>
      </c>
      <c r="N181" s="389">
        <f>IF(VLOOKUP("Net Income",'FY ACTUALS'!$A$1:$X$996,N$3,FALSE)&lt;&gt;0,IFERROR(VLOOKUP($B181,'FY ACTUALS'!$A$1:$X$996,N$3,FALSE),"0")+0,IFERROR(($H181-SUMIF($I$1:$W$1,"ACTUAL",$I181:$W181))*(VLOOKUP($B181,'Distribution %'!$A$2:$Q$232,MATCH(N$2,'Distribution %'!$A$2:$Q$2,0),FALSE)/(SUMIF('Distribution %'!$C$1:$Q$1,"BUDGET",'Distribution %'!$C120:$Q120))),"0")+0)</f>
        <v>0</v>
      </c>
      <c r="O181" s="389">
        <f>IF(VLOOKUP("Net Income",'FY ACTUALS'!$A$1:$X$996,O$3,FALSE)&lt;&gt;0,IFERROR(VLOOKUP($B181,'FY ACTUALS'!$A$1:$X$996,O$3,FALSE),"0")+0,IFERROR(($H181-SUMIF($I$1:$W$1,"ACTUAL",$I181:$W181))*(VLOOKUP($B181,'Distribution %'!$A$2:$Q$232,MATCH(O$2,'Distribution %'!$A$2:$Q$2,0),FALSE)/(SUMIF('Distribution %'!$C$1:$Q$1,"BUDGET",'Distribution %'!$C120:$Q120))),"0")+0)</f>
        <v>0</v>
      </c>
      <c r="P181" s="389">
        <f>IF(VLOOKUP("Net Income",'FY ACTUALS'!$A$1:$X$996,P$3,FALSE)&lt;&gt;0,IFERROR(VLOOKUP($B181,'FY ACTUALS'!$A$1:$X$996,P$3,FALSE),"0")+0,IFERROR(($H181-SUMIF($I$1:$W$1,"ACTUAL",$I181:$W181))*(VLOOKUP($B181,'Distribution %'!$A$2:$Q$232,MATCH(P$2,'Distribution %'!$A$2:$Q$2,0),FALSE)/(SUMIF('Distribution %'!$C$1:$Q$1,"BUDGET",'Distribution %'!$C120:$Q120))),"0")+0)</f>
        <v>0</v>
      </c>
      <c r="Q181" s="389">
        <f>IF(VLOOKUP("Net Income",'FY ACTUALS'!$A$1:$X$996,Q$3,FALSE)&lt;&gt;0,IFERROR(VLOOKUP($B181,'FY ACTUALS'!$A$1:$X$996,Q$3,FALSE),"0")+0,IFERROR(($H181-SUMIF($I$1:$W$1,"ACTUAL",$I181:$W181))*(VLOOKUP($B181,'Distribution %'!$A$2:$Q$232,MATCH(Q$2,'Distribution %'!$A$2:$Q$2,0),FALSE)/(SUMIF('Distribution %'!$C$1:$Q$1,"BUDGET",'Distribution %'!$C120:$Q120))),"0")+0)</f>
        <v>0</v>
      </c>
      <c r="R181" s="389">
        <f>IF(VLOOKUP("Net Income",'FY ACTUALS'!$A$1:$X$996,R$3,FALSE)&lt;&gt;0,IFERROR(VLOOKUP($B181,'FY ACTUALS'!$A$1:$X$996,R$3,FALSE),"0")+0,IFERROR(($H181-SUMIF($I$1:$W$1,"ACTUAL",$I181:$W181))*(VLOOKUP($B181,'Distribution %'!$A$2:$Q$232,MATCH(R$2,'Distribution %'!$A$2:$Q$2,0),FALSE)/(SUMIF('Distribution %'!$C$1:$Q$1,"BUDGET",'Distribution %'!$C120:$Q120))),"0")+0)</f>
        <v>0</v>
      </c>
      <c r="S181" s="389">
        <f>IF(VLOOKUP("Net Income",'FY ACTUALS'!$A$1:$X$996,S$3,FALSE)&lt;&gt;0,IFERROR(VLOOKUP($B181,'FY ACTUALS'!$A$1:$X$996,S$3,FALSE),"0")+0,IFERROR(($H181-SUMIF($I$1:$W$1,"ACTUAL",$I181:$W181))*(VLOOKUP($B181,'Distribution %'!$A$2:$Q$232,MATCH(S$2,'Distribution %'!$A$2:$Q$2,0),FALSE)/(SUMIF('Distribution %'!$C$1:$Q$1,"BUDGET",'Distribution %'!$C120:$Q120))),"0")+0)</f>
        <v>0</v>
      </c>
      <c r="T181" s="389">
        <f>IF(VLOOKUP("Net Income",'FY ACTUALS'!$A$1:$X$996,T$3,FALSE)&lt;&gt;0,IFERROR(VLOOKUP($B181,'FY ACTUALS'!$A$1:$X$996,T$3,FALSE),"0")+0,IFERROR(($H181-SUMIF($I$1:$W$1,"ACTUAL",$I181:$W181))*(VLOOKUP($B181,'Distribution %'!$A$2:$Q$232,MATCH(T$2,'Distribution %'!$A$2:$Q$2,0),FALSE)/(SUMIF('Distribution %'!$C$1:$Q$1,"BUDGET",'Distribution %'!$C120:$Q120))),"0")+0)</f>
        <v>0</v>
      </c>
      <c r="U181" s="389">
        <f>IF(VLOOKUP("Net Income",'FY ACTUALS'!$A$1:$X$996,U$3,FALSE)&lt;&gt;0,IFERROR(VLOOKUP($B181,'FY ACTUALS'!$A$1:$X$996,U$3,FALSE),"0")+0,IFERROR(($H181-SUMIF($I$1:$W$1,"ACTUAL",$I181:$W181))*(VLOOKUP($B181,'Distribution %'!$A$2:$Q$232,MATCH(U$2,'Distribution %'!$A$2:$Q$2,0),FALSE)/(SUMIF('Distribution %'!$C$1:$Q$1,"BUDGET",'Distribution %'!$C120:$Q120))),"0")+0)</f>
        <v>0</v>
      </c>
      <c r="V181" s="389">
        <f>IF(VLOOKUP("Net Income",'FY ACTUALS'!$A$1:$X$996,V$3,FALSE)&lt;&gt;0,IFERROR(VLOOKUP($B181,'FY ACTUALS'!$A$1:$X$996,V$3,FALSE),"0")+0,IFERROR(($H181-SUMIF($I$1:$W$1,"ACTUAL",$I181:$W181))*(VLOOKUP($B181,'Distribution %'!$A$2:$Q$232,MATCH(V$2,'Distribution %'!$A$2:$Q$2,0),FALSE)/(SUMIF('Distribution %'!$C$1:$Q$1,"BUDGET",'Distribution %'!$C120:$Q120))),"0")+0)</f>
        <v>0</v>
      </c>
      <c r="W181" s="431">
        <f>IF(VLOOKUP("Net Income",'FY ACTUALS'!$A$1:$X$996,W$3,FALSE)&lt;&gt;0,IFERROR(VLOOKUP($B181,'FY ACTUALS'!$A$1:$X$996,W$3,FALSE),"0")+0,IFERROR(($H181-SUMIF($I$1:$W$1,"ACTUAL",$I181:$W181))*(VLOOKUP($B181,'Distribution %'!$A$2:$Q$232,MATCH(W$2,'Distribution %'!$A$2:$Q$2,0),FALSE)/(SUMIF('Distribution %'!$C$1:$Q$1,"BUDGET",'Distribution %'!$C120:$Q120))),"0")+0)</f>
        <v>0</v>
      </c>
      <c r="X181" s="387">
        <f t="shared" ref="X181" si="56">+SUM(I181:W181)</f>
        <v>0</v>
      </c>
      <c r="Y181" s="387"/>
      <c r="Z181" s="387">
        <f t="shared" ref="Z181" si="57">+H181-X181</f>
        <v>0</v>
      </c>
    </row>
    <row r="182" spans="2:26" x14ac:dyDescent="0.75">
      <c r="B182" s="403"/>
      <c r="G182" s="392"/>
      <c r="H182" s="430"/>
      <c r="I182" s="388"/>
      <c r="J182" s="389"/>
      <c r="K182" s="389"/>
      <c r="L182" s="389"/>
      <c r="M182" s="389"/>
      <c r="N182" s="389"/>
      <c r="O182" s="389"/>
      <c r="P182" s="389"/>
      <c r="Q182" s="389"/>
      <c r="R182" s="389"/>
      <c r="S182" s="389"/>
      <c r="T182" s="389"/>
      <c r="U182" s="389"/>
      <c r="V182" s="389"/>
      <c r="W182" s="431"/>
      <c r="X182" s="387"/>
      <c r="Y182" s="387"/>
      <c r="Z182" s="387"/>
    </row>
    <row r="183" spans="2:26" x14ac:dyDescent="0.75">
      <c r="B183" s="403"/>
      <c r="G183" s="392"/>
      <c r="H183" s="430"/>
      <c r="I183" s="388"/>
      <c r="J183" s="389"/>
      <c r="K183" s="389"/>
      <c r="L183" s="389"/>
      <c r="M183" s="389"/>
      <c r="N183" s="389"/>
      <c r="O183" s="389"/>
      <c r="P183" s="389"/>
      <c r="Q183" s="389"/>
      <c r="R183" s="389"/>
      <c r="S183" s="389"/>
      <c r="T183" s="389"/>
      <c r="U183" s="389"/>
      <c r="V183" s="389"/>
      <c r="W183" s="431"/>
      <c r="X183" s="387"/>
      <c r="Y183" s="387"/>
      <c r="Z183" s="387"/>
    </row>
    <row r="184" spans="2:26" x14ac:dyDescent="0.75">
      <c r="B184" s="403">
        <v>5998</v>
      </c>
      <c r="C184" s="379" t="s">
        <v>1514</v>
      </c>
      <c r="F184" s="379" t="str">
        <f>IF(ISERROR(VLOOKUP(B184,'Distribution %'!A:A,1,FALSE)),"NO","YES")</f>
        <v>YES</v>
      </c>
      <c r="H184" s="430">
        <f>IFERROR(VLOOKUP(B184,'Expenses w MYP'!$A$8:$K$119,11,FALSE),"0")+0</f>
        <v>0</v>
      </c>
      <c r="I184" s="388">
        <f>IF(VLOOKUP("Net Income",'FY ACTUALS'!$A$1:$X$996,I$3,FALSE)&lt;&gt;0,IFERROR(VLOOKUP($B184,'FY ACTUALS'!$A$1:$X$996,I$3,FALSE),"0")+0,IFERROR(($H184-SUMIF($I$1:$W$1,"ACTUAL",$I184:$W184))*(VLOOKUP($B184,'Distribution %'!$A$2:$Q$232,MATCH(I$2,'Distribution %'!$A$2:$Q$2,0),FALSE)/(SUMIF('Distribution %'!$C$1:$Q$1,"BUDGET",'Distribution %'!$C120:$Q120))),"0")+0)</f>
        <v>0</v>
      </c>
      <c r="J184" s="389">
        <f>IF(VLOOKUP("Net Income",'FY ACTUALS'!$A$1:$X$996,J$3,FALSE)&lt;&gt;0,IFERROR(VLOOKUP($B184,'FY ACTUALS'!$A$1:$X$996,J$3,FALSE),"0")+0,IFERROR(($H184-SUMIF($I$1:$W$1,"ACTUAL",$I184:$W184))*(VLOOKUP($B184,'Distribution %'!$A$2:$Q$232,MATCH(J$2,'Distribution %'!$A$2:$Q$2,0),FALSE)/(SUMIF('Distribution %'!$C$1:$Q$1,"BUDGET",'Distribution %'!$C120:$Q120))),"0")+0)</f>
        <v>0</v>
      </c>
      <c r="K184" s="389">
        <f>IF(VLOOKUP("Net Income",'FY ACTUALS'!$A$1:$X$996,K$3,FALSE)&lt;&gt;0,IFERROR(VLOOKUP($B184,'FY ACTUALS'!$A$1:$X$996,K$3,FALSE),"0")+0,IFERROR(($H184-SUMIF($I$1:$W$1,"ACTUAL",$I184:$W184))*(VLOOKUP($B184,'Distribution %'!$A$2:$Q$232,MATCH(K$2,'Distribution %'!$A$2:$Q$2,0),FALSE)/(SUMIF('Distribution %'!$C$1:$Q$1,"BUDGET",'Distribution %'!$C120:$Q120))),"0")+0)</f>
        <v>0</v>
      </c>
      <c r="L184" s="389">
        <f>IF(VLOOKUP("Net Income",'FY ACTUALS'!$A$1:$X$996,L$3,FALSE)&lt;&gt;0,IFERROR(VLOOKUP($B184,'FY ACTUALS'!$A$1:$X$996,L$3,FALSE),"0")+0,IFERROR(($H184-SUMIF($I$1:$W$1,"ACTUAL",$I184:$W184))*(VLOOKUP($B184,'Distribution %'!$A$2:$Q$232,MATCH(L$2,'Distribution %'!$A$2:$Q$2,0),FALSE)/(SUMIF('Distribution %'!$C$1:$Q$1,"BUDGET",'Distribution %'!$C120:$Q120))),"0")+0)</f>
        <v>0</v>
      </c>
      <c r="M184" s="389">
        <f>IF(VLOOKUP("Net Income",'FY ACTUALS'!$A$1:$X$996,M$3,FALSE)&lt;&gt;0,IFERROR(VLOOKUP($B184,'FY ACTUALS'!$A$1:$X$996,M$3,FALSE),"0")+0,IFERROR(($H184-SUMIF($I$1:$W$1,"ACTUAL",$I184:$W184))*(VLOOKUP($B184,'Distribution %'!$A$2:$Q$232,MATCH(M$2,'Distribution %'!$A$2:$Q$2,0),FALSE)/(SUMIF('Distribution %'!$C$1:$Q$1,"BUDGET",'Distribution %'!$C120:$Q120))),"0")+0)</f>
        <v>0</v>
      </c>
      <c r="N184" s="389">
        <f>IF(VLOOKUP("Net Income",'FY ACTUALS'!$A$1:$X$996,N$3,FALSE)&lt;&gt;0,IFERROR(VLOOKUP($B184,'FY ACTUALS'!$A$1:$X$996,N$3,FALSE),"0")+0,IFERROR(($H184-SUMIF($I$1:$W$1,"ACTUAL",$I184:$W184))*(VLOOKUP($B184,'Distribution %'!$A$2:$Q$232,MATCH(N$2,'Distribution %'!$A$2:$Q$2,0),FALSE)/(SUMIF('Distribution %'!$C$1:$Q$1,"BUDGET",'Distribution %'!$C120:$Q120))),"0")+0)</f>
        <v>0</v>
      </c>
      <c r="O184" s="389">
        <f>IF(VLOOKUP("Net Income",'FY ACTUALS'!$A$1:$X$996,O$3,FALSE)&lt;&gt;0,IFERROR(VLOOKUP($B184,'FY ACTUALS'!$A$1:$X$996,O$3,FALSE),"0")+0,IFERROR(($H184-SUMIF($I$1:$W$1,"ACTUAL",$I184:$W184))*(VLOOKUP($B184,'Distribution %'!$A$2:$Q$232,MATCH(O$2,'Distribution %'!$A$2:$Q$2,0),FALSE)/(SUMIF('Distribution %'!$C$1:$Q$1,"BUDGET",'Distribution %'!$C120:$Q120))),"0")+0)</f>
        <v>0</v>
      </c>
      <c r="P184" s="389">
        <f>IF(VLOOKUP("Net Income",'FY ACTUALS'!$A$1:$X$996,P$3,FALSE)&lt;&gt;0,IFERROR(VLOOKUP($B184,'FY ACTUALS'!$A$1:$X$996,P$3,FALSE),"0")+0,IFERROR(($H184-SUMIF($I$1:$W$1,"ACTUAL",$I184:$W184))*(VLOOKUP($B184,'Distribution %'!$A$2:$Q$232,MATCH(P$2,'Distribution %'!$A$2:$Q$2,0),FALSE)/(SUMIF('Distribution %'!$C$1:$Q$1,"BUDGET",'Distribution %'!$C120:$Q120))),"0")+0)</f>
        <v>0</v>
      </c>
      <c r="Q184" s="389">
        <f>IF(VLOOKUP("Net Income",'FY ACTUALS'!$A$1:$X$996,Q$3,FALSE)&lt;&gt;0,IFERROR(VLOOKUP($B184,'FY ACTUALS'!$A$1:$X$996,Q$3,FALSE),"0")+0,IFERROR(($H184-SUMIF($I$1:$W$1,"ACTUAL",$I184:$W184))*(VLOOKUP($B184,'Distribution %'!$A$2:$Q$232,MATCH(Q$2,'Distribution %'!$A$2:$Q$2,0),FALSE)/(SUMIF('Distribution %'!$C$1:$Q$1,"BUDGET",'Distribution %'!$C120:$Q120))),"0")+0)</f>
        <v>0</v>
      </c>
      <c r="R184" s="389">
        <f>IF(VLOOKUP("Net Income",'FY ACTUALS'!$A$1:$X$996,R$3,FALSE)&lt;&gt;0,IFERROR(VLOOKUP($B184,'FY ACTUALS'!$A$1:$X$996,R$3,FALSE),"0")+0,IFERROR(($H184-SUMIF($I$1:$W$1,"ACTUAL",$I184:$W184))*(VLOOKUP($B184,'Distribution %'!$A$2:$Q$232,MATCH(R$2,'Distribution %'!$A$2:$Q$2,0),FALSE)/(SUMIF('Distribution %'!$C$1:$Q$1,"BUDGET",'Distribution %'!$C120:$Q120))),"0")+0)</f>
        <v>0</v>
      </c>
      <c r="S184" s="389">
        <f>IF(VLOOKUP("Net Income",'FY ACTUALS'!$A$1:$X$996,S$3,FALSE)&lt;&gt;0,IFERROR(VLOOKUP($B184,'FY ACTUALS'!$A$1:$X$996,S$3,FALSE),"0")+0,IFERROR(($H184-SUMIF($I$1:$W$1,"ACTUAL",$I184:$W184))*(VLOOKUP($B184,'Distribution %'!$A$2:$Q$232,MATCH(S$2,'Distribution %'!$A$2:$Q$2,0),FALSE)/(SUMIF('Distribution %'!$C$1:$Q$1,"BUDGET",'Distribution %'!$C120:$Q120))),"0")+0)</f>
        <v>0</v>
      </c>
      <c r="T184" s="389">
        <f>IF(VLOOKUP("Net Income",'FY ACTUALS'!$A$1:$X$996,T$3,FALSE)&lt;&gt;0,IFERROR(VLOOKUP($B184,'FY ACTUALS'!$A$1:$X$996,T$3,FALSE),"0")+0,IFERROR(($H184-SUMIF($I$1:$W$1,"ACTUAL",$I184:$W184))*(VLOOKUP($B184,'Distribution %'!$A$2:$Q$232,MATCH(T$2,'Distribution %'!$A$2:$Q$2,0),FALSE)/(SUMIF('Distribution %'!$C$1:$Q$1,"BUDGET",'Distribution %'!$C120:$Q120))),"0")+0)</f>
        <v>0</v>
      </c>
      <c r="U184" s="389">
        <f>IF(VLOOKUP("Net Income",'FY ACTUALS'!$A$1:$X$996,U$3,FALSE)&lt;&gt;0,IFERROR(VLOOKUP($B184,'FY ACTUALS'!$A$1:$X$996,U$3,FALSE),"0")+0,IFERROR(($H184-SUMIF($I$1:$W$1,"ACTUAL",$I184:$W184))*(VLOOKUP($B184,'Distribution %'!$A$2:$Q$232,MATCH(U$2,'Distribution %'!$A$2:$Q$2,0),FALSE)/(SUMIF('Distribution %'!$C$1:$Q$1,"BUDGET",'Distribution %'!$C120:$Q120))),"0")+0)</f>
        <v>0</v>
      </c>
      <c r="V184" s="389">
        <f>IF(VLOOKUP("Net Income",'FY ACTUALS'!$A$1:$X$996,V$3,FALSE)&lt;&gt;0,IFERROR(VLOOKUP($B184,'FY ACTUALS'!$A$1:$X$996,V$3,FALSE),"0")+0,IFERROR(($H184-SUMIF($I$1:$W$1,"ACTUAL",$I184:$W184))*(VLOOKUP($B184,'Distribution %'!$A$2:$Q$232,MATCH(V$2,'Distribution %'!$A$2:$Q$2,0),FALSE)/(SUMIF('Distribution %'!$C$1:$Q$1,"BUDGET",'Distribution %'!$C120:$Q120))),"0")+0)</f>
        <v>0</v>
      </c>
      <c r="W184" s="431">
        <f>IF(VLOOKUP("Net Income",'FY ACTUALS'!$A$1:$X$996,W$3,FALSE)&lt;&gt;0,IFERROR(VLOOKUP($B184,'FY ACTUALS'!$A$1:$X$996,W$3,FALSE),"0")+0,IFERROR(($H184-SUMIF($I$1:$W$1,"ACTUAL",$I184:$W184))*(VLOOKUP($B184,'Distribution %'!$A$2:$Q$232,MATCH(W$2,'Distribution %'!$A$2:$Q$2,0),FALSE)/(SUMIF('Distribution %'!$C$1:$Q$1,"BUDGET",'Distribution %'!$C120:$Q120))),"0")+0)</f>
        <v>0</v>
      </c>
      <c r="X184" s="387">
        <f t="shared" ref="X184" si="58">+SUM(I184:W184)</f>
        <v>0</v>
      </c>
      <c r="Y184" s="387"/>
      <c r="Z184" s="387">
        <f t="shared" ref="Z184" si="59">+H184-X184</f>
        <v>0</v>
      </c>
    </row>
    <row r="185" spans="2:26" x14ac:dyDescent="0.75">
      <c r="B185" s="414"/>
      <c r="C185" s="415"/>
      <c r="H185" s="432"/>
      <c r="I185" s="398"/>
      <c r="J185" s="399"/>
      <c r="K185" s="399"/>
      <c r="L185" s="399"/>
      <c r="M185" s="399"/>
      <c r="N185" s="399"/>
      <c r="O185" s="399"/>
      <c r="P185" s="399"/>
      <c r="Q185" s="399"/>
      <c r="R185" s="399"/>
      <c r="S185" s="399"/>
      <c r="T185" s="399"/>
      <c r="U185" s="399"/>
      <c r="V185" s="399"/>
      <c r="W185" s="433">
        <f>ROUND(H185-SUM(I185:T185),1)</f>
        <v>0</v>
      </c>
      <c r="X185" s="387">
        <f t="shared" ref="X185" si="60">+SUM(I185:W185)</f>
        <v>0</v>
      </c>
      <c r="Y185" s="387"/>
      <c r="Z185" s="387">
        <f t="shared" si="49"/>
        <v>0</v>
      </c>
    </row>
    <row r="186" spans="2:26" x14ac:dyDescent="0.75">
      <c r="B186" s="364" t="s">
        <v>1391</v>
      </c>
      <c r="H186" s="439">
        <f t="shared" ref="H186:X186" si="61">+SUM(H142:H185)</f>
        <v>5906474.2613816103</v>
      </c>
      <c r="I186" s="404">
        <f t="shared" si="61"/>
        <v>701923.11</v>
      </c>
      <c r="J186" s="405">
        <f t="shared" si="61"/>
        <v>157969.51</v>
      </c>
      <c r="K186" s="405">
        <f t="shared" si="61"/>
        <v>427694.52000000008</v>
      </c>
      <c r="L186" s="405">
        <f t="shared" si="61"/>
        <v>517302.65</v>
      </c>
      <c r="M186" s="405">
        <f t="shared" si="61"/>
        <v>356330.76</v>
      </c>
      <c r="N186" s="405">
        <f t="shared" si="61"/>
        <v>174531.79999999996</v>
      </c>
      <c r="O186" s="405">
        <f t="shared" si="61"/>
        <v>383528.66000000003</v>
      </c>
      <c r="P186" s="405">
        <f t="shared" si="61"/>
        <v>610619.9004720262</v>
      </c>
      <c r="Q186" s="405">
        <f t="shared" si="61"/>
        <v>615435.21772739606</v>
      </c>
      <c r="R186" s="405">
        <f t="shared" si="61"/>
        <v>772435.71772739606</v>
      </c>
      <c r="S186" s="406">
        <f t="shared" si="61"/>
        <v>594351.20772739605</v>
      </c>
      <c r="T186" s="406">
        <f t="shared" si="61"/>
        <v>594351.20772739605</v>
      </c>
      <c r="U186" s="406">
        <f t="shared" ref="U186:V186" si="62">+SUM(U142:U185)</f>
        <v>0</v>
      </c>
      <c r="V186" s="406">
        <f t="shared" si="62"/>
        <v>0</v>
      </c>
      <c r="W186" s="438">
        <f t="shared" si="61"/>
        <v>0</v>
      </c>
      <c r="X186" s="409">
        <f t="shared" si="61"/>
        <v>5906474.2613816103</v>
      </c>
      <c r="Y186" s="409"/>
      <c r="Z186" s="409">
        <f>+SUM(Z142:Z185)</f>
        <v>-1.1368683772161603E-13</v>
      </c>
    </row>
    <row r="187" spans="2:26" x14ac:dyDescent="0.75">
      <c r="H187" s="430"/>
      <c r="I187" s="388"/>
      <c r="J187" s="389"/>
      <c r="K187" s="389"/>
      <c r="L187" s="389"/>
      <c r="M187" s="389"/>
      <c r="N187" s="389"/>
      <c r="O187" s="389"/>
      <c r="P187" s="389"/>
      <c r="Q187" s="389"/>
      <c r="R187" s="389"/>
      <c r="S187" s="390"/>
      <c r="T187" s="390"/>
      <c r="U187" s="390"/>
      <c r="V187" s="390"/>
      <c r="W187" s="431"/>
      <c r="X187" s="387"/>
      <c r="Y187" s="387"/>
      <c r="Z187" s="387"/>
    </row>
    <row r="188" spans="2:26" x14ac:dyDescent="0.75">
      <c r="B188" s="364" t="s">
        <v>721</v>
      </c>
      <c r="H188" s="430"/>
      <c r="I188" s="388"/>
      <c r="J188" s="389"/>
      <c r="K188" s="389"/>
      <c r="L188" s="389"/>
      <c r="M188" s="389"/>
      <c r="N188" s="389"/>
      <c r="O188" s="389"/>
      <c r="P188" s="389"/>
      <c r="Q188" s="389"/>
      <c r="R188" s="389"/>
      <c r="S188" s="390"/>
      <c r="T188" s="390"/>
      <c r="U188" s="390"/>
      <c r="V188" s="390"/>
      <c r="W188" s="431"/>
      <c r="X188" s="387"/>
      <c r="Y188" s="387"/>
      <c r="Z188" s="387"/>
    </row>
    <row r="189" spans="2:26" x14ac:dyDescent="0.75">
      <c r="B189" s="403">
        <v>6900</v>
      </c>
      <c r="C189" s="379" t="s">
        <v>611</v>
      </c>
      <c r="H189" s="430">
        <f>IFERROR(VLOOKUP(B189,'Expenses w MYP'!$A$8:$K$119,11,FALSE),"0")+0</f>
        <v>0</v>
      </c>
      <c r="I189" s="388">
        <f>IF(VLOOKUP("Net Income",'FY ACTUALS'!$A$1:$X$996,I$3,FALSE)&lt;&gt;0,IFERROR(VLOOKUP($B189,'FY ACTUALS'!$A$1:$X$996,I$3,FALSE),"0")+0,IFERROR(($H189-SUMIF($I$1:$W$1,"ACTUAL",$I189:$W189))*(VLOOKUP($B189,'Distribution %'!$A$2:$Q$232,MATCH(I$2,'Distribution %'!$A$2:$Q$2,0),FALSE)/(SUMIF('Distribution %'!$C$1:$Q$1,"BUDGET",'Distribution %'!$C158:$Q158))),"0")+0)</f>
        <v>0</v>
      </c>
      <c r="J189" s="389">
        <f>IF(VLOOKUP("Net Income",'FY ACTUALS'!$A$1:$X$996,J$3,FALSE)&lt;&gt;0,IFERROR(VLOOKUP($B189,'FY ACTUALS'!$A$1:$X$996,J$3,FALSE),"0")+0,IFERROR(($H189-SUMIF($I$1:$W$1,"ACTUAL",$I189:$W189))*(VLOOKUP($B189,'Distribution %'!$A$2:$Q$232,MATCH(J$2,'Distribution %'!$A$2:$Q$2,0),FALSE)/(SUMIF('Distribution %'!$C$1:$Q$1,"BUDGET",'Distribution %'!$C158:$Q158))),"0")+0)</f>
        <v>0</v>
      </c>
      <c r="K189" s="389">
        <f>IF(VLOOKUP("Net Income",'FY ACTUALS'!$A$1:$X$996,K$3,FALSE)&lt;&gt;0,IFERROR(VLOOKUP($B189,'FY ACTUALS'!$A$1:$X$996,K$3,FALSE),"0")+0,IFERROR(($H189-SUMIF($I$1:$W$1,"ACTUAL",$I189:$W189))*(VLOOKUP($B189,'Distribution %'!$A$2:$Q$232,MATCH(K$2,'Distribution %'!$A$2:$Q$2,0),FALSE)/(SUMIF('Distribution %'!$C$1:$Q$1,"BUDGET",'Distribution %'!$C158:$Q158))),"0")+0)</f>
        <v>0</v>
      </c>
      <c r="L189" s="389">
        <f>IF(VLOOKUP("Net Income",'FY ACTUALS'!$A$1:$X$996,L$3,FALSE)&lt;&gt;0,IFERROR(VLOOKUP($B189,'FY ACTUALS'!$A$1:$X$996,L$3,FALSE),"0")+0,IFERROR(($H189-SUMIF($I$1:$W$1,"ACTUAL",$I189:$W189))*(VLOOKUP($B189,'Distribution %'!$A$2:$Q$232,MATCH(L$2,'Distribution %'!$A$2:$Q$2,0),FALSE)/(SUMIF('Distribution %'!$C$1:$Q$1,"BUDGET",'Distribution %'!$C158:$Q158))),"0")+0)</f>
        <v>0</v>
      </c>
      <c r="M189" s="389">
        <f>IF(VLOOKUP("Net Income",'FY ACTUALS'!$A$1:$X$996,M$3,FALSE)&lt;&gt;0,IFERROR(VLOOKUP($B189,'FY ACTUALS'!$A$1:$X$996,M$3,FALSE),"0")+0,IFERROR(($H189-SUMIF($I$1:$W$1,"ACTUAL",$I189:$W189))*(VLOOKUP($B189,'Distribution %'!$A$2:$Q$232,MATCH(M$2,'Distribution %'!$A$2:$Q$2,0),FALSE)/(SUMIF('Distribution %'!$C$1:$Q$1,"BUDGET",'Distribution %'!$C158:$Q158))),"0")+0)</f>
        <v>0</v>
      </c>
      <c r="N189" s="389">
        <f>IF(VLOOKUP("Net Income",'FY ACTUALS'!$A$1:$X$996,N$3,FALSE)&lt;&gt;0,IFERROR(VLOOKUP($B189,'FY ACTUALS'!$A$1:$X$996,N$3,FALSE),"0")+0,IFERROR(($H189-SUMIF($I$1:$W$1,"ACTUAL",$I189:$W189))*(VLOOKUP($B189,'Distribution %'!$A$2:$Q$232,MATCH(N$2,'Distribution %'!$A$2:$Q$2,0),FALSE)/(SUMIF('Distribution %'!$C$1:$Q$1,"BUDGET",'Distribution %'!$C158:$Q158))),"0")+0)</f>
        <v>0</v>
      </c>
      <c r="O189" s="389">
        <f>IF(VLOOKUP("Net Income",'FY ACTUALS'!$A$1:$X$996,O$3,FALSE)&lt;&gt;0,IFERROR(VLOOKUP($B189,'FY ACTUALS'!$A$1:$X$996,O$3,FALSE),"0")+0,IFERROR(($H189-SUMIF($I$1:$W$1,"ACTUAL",$I189:$W189))*(VLOOKUP($B189,'Distribution %'!$A$2:$Q$232,MATCH(O$2,'Distribution %'!$A$2:$Q$2,0),FALSE)/(SUMIF('Distribution %'!$C$1:$Q$1,"BUDGET",'Distribution %'!$C158:$Q158))),"0")+0)</f>
        <v>0</v>
      </c>
      <c r="P189" s="389">
        <f>IF(VLOOKUP("Net Income",'FY ACTUALS'!$A$1:$X$996,P$3,FALSE)&lt;&gt;0,IFERROR(VLOOKUP($B189,'FY ACTUALS'!$A$1:$X$996,P$3,FALSE),"0")+0,IFERROR(($H189-SUMIF($I$1:$W$1,"ACTUAL",$I189:$W189))*(VLOOKUP($B189,'Distribution %'!$A$2:$Q$232,MATCH(P$2,'Distribution %'!$A$2:$Q$2,0),FALSE)/(SUMIF('Distribution %'!$C$1:$Q$1,"BUDGET",'Distribution %'!$C158:$Q158))),"0")+0)</f>
        <v>0</v>
      </c>
      <c r="Q189" s="389">
        <f>IF(VLOOKUP("Net Income",'FY ACTUALS'!$A$1:$X$996,Q$3,FALSE)&lt;&gt;0,IFERROR(VLOOKUP($B189,'FY ACTUALS'!$A$1:$X$996,Q$3,FALSE),"0")+0,IFERROR(($H189-SUMIF($I$1:$W$1,"ACTUAL",$I189:$W189))*(VLOOKUP($B189,'Distribution %'!$A$2:$Q$232,MATCH(Q$2,'Distribution %'!$A$2:$Q$2,0),FALSE)/(SUMIF('Distribution %'!$C$1:$Q$1,"BUDGET",'Distribution %'!$C158:$Q158))),"0")+0)</f>
        <v>0</v>
      </c>
      <c r="R189" s="389">
        <f>IF(VLOOKUP("Net Income",'FY ACTUALS'!$A$1:$X$996,R$3,FALSE)&lt;&gt;0,IFERROR(VLOOKUP($B189,'FY ACTUALS'!$A$1:$X$996,R$3,FALSE),"0")+0,IFERROR(($H189-SUMIF($I$1:$W$1,"ACTUAL",$I189:$W189))*(VLOOKUP($B189,'Distribution %'!$A$2:$Q$232,MATCH(R$2,'Distribution %'!$A$2:$Q$2,0),FALSE)/(SUMIF('Distribution %'!$C$1:$Q$1,"BUDGET",'Distribution %'!$C158:$Q158))),"0")+0)</f>
        <v>0</v>
      </c>
      <c r="S189" s="389">
        <f>IF(VLOOKUP("Net Income",'FY ACTUALS'!$A$1:$X$996,S$3,FALSE)&lt;&gt;0,IFERROR(VLOOKUP($B189,'FY ACTUALS'!$A$1:$X$996,S$3,FALSE),"0")+0,IFERROR(($H189-SUMIF($I$1:$W$1,"ACTUAL",$I189:$W189))*(VLOOKUP($B189,'Distribution %'!$A$2:$Q$232,MATCH(S$2,'Distribution %'!$A$2:$Q$2,0),FALSE)/(SUMIF('Distribution %'!$C$1:$Q$1,"BUDGET",'Distribution %'!$C158:$Q158))),"0")+0)</f>
        <v>0</v>
      </c>
      <c r="T189" s="389">
        <f>IF(VLOOKUP("Net Income",'FY ACTUALS'!$A$1:$X$996,T$3,FALSE)&lt;&gt;0,IFERROR(VLOOKUP($B189,'FY ACTUALS'!$A$1:$X$996,T$3,FALSE),"0")+0,IFERROR(($H189-SUMIF($I$1:$W$1,"ACTUAL",$I189:$W189))*(VLOOKUP($B189,'Distribution %'!$A$2:$Q$232,MATCH(T$2,'Distribution %'!$A$2:$Q$2,0),FALSE)/(SUMIF('Distribution %'!$C$1:$Q$1,"BUDGET",'Distribution %'!$C158:$Q158))),"0")+0)</f>
        <v>0</v>
      </c>
      <c r="U189" s="389">
        <f>IF(VLOOKUP("Net Income",'FY ACTUALS'!$A$1:$X$996,U$3,FALSE)&lt;&gt;0,IFERROR(VLOOKUP($B189,'FY ACTUALS'!$A$1:$X$996,U$3,FALSE),"0")+0,IFERROR(($H189-SUMIF($I$1:$W$1,"ACTUAL",$I189:$W189))*(VLOOKUP($B189,'Distribution %'!$A$2:$Q$232,MATCH(U$2,'Distribution %'!$A$2:$Q$2,0),FALSE)/(SUMIF('Distribution %'!$C$1:$Q$1,"BUDGET",'Distribution %'!$C158:$Q158))),"0")+0)</f>
        <v>0</v>
      </c>
      <c r="V189" s="389">
        <f>IF(VLOOKUP("Net Income",'FY ACTUALS'!$A$1:$X$996,V$3,FALSE)&lt;&gt;0,IFERROR(VLOOKUP($B189,'FY ACTUALS'!$A$1:$X$996,V$3,FALSE),"0")+0,IFERROR(($H189-SUMIF($I$1:$W$1,"ACTUAL",$I189:$W189))*(VLOOKUP($B189,'Distribution %'!$A$2:$Q$232,MATCH(V$2,'Distribution %'!$A$2:$Q$2,0),FALSE)/(SUMIF('Distribution %'!$C$1:$Q$1,"BUDGET",'Distribution %'!$C158:$Q158))),"0")+0)</f>
        <v>0</v>
      </c>
      <c r="W189" s="431">
        <f>IF(VLOOKUP("Net Income",'FY ACTUALS'!$A$1:$X$996,W$3,FALSE)&lt;&gt;0,IFERROR(VLOOKUP($B189,'FY ACTUALS'!$A$1:$X$996,W$3,FALSE),"0")+0,IFERROR(($H189-SUMIF($I$1:$W$1,"ACTUAL",$I189:$W189))*(VLOOKUP($B189,'Distribution %'!$A$2:$Q$232,MATCH(W$2,'Distribution %'!$A$2:$Q$2,0),FALSE)/(SUMIF('Distribution %'!$C$1:$Q$1,"BUDGET",'Distribution %'!$C158:$Q158))),"0")+0)</f>
        <v>0</v>
      </c>
      <c r="X189" s="387">
        <f>+SUM(I189:W189)</f>
        <v>0</v>
      </c>
      <c r="Y189" s="387"/>
      <c r="Z189" s="387">
        <f>+H189-X189</f>
        <v>0</v>
      </c>
    </row>
    <row r="190" spans="2:26" x14ac:dyDescent="0.75">
      <c r="B190" s="403" t="s">
        <v>1400</v>
      </c>
      <c r="C190" s="379">
        <v>0</v>
      </c>
      <c r="H190" s="430"/>
      <c r="I190" s="388"/>
      <c r="J190" s="389"/>
      <c r="K190" s="389"/>
      <c r="L190" s="389"/>
      <c r="M190" s="389"/>
      <c r="N190" s="389"/>
      <c r="O190" s="389"/>
      <c r="P190" s="389"/>
      <c r="Q190" s="389"/>
      <c r="R190" s="389"/>
      <c r="S190" s="390"/>
      <c r="T190" s="390"/>
      <c r="U190" s="390"/>
      <c r="V190" s="390"/>
      <c r="W190" s="431"/>
      <c r="X190" s="387">
        <f>+SUM(I190:W190)</f>
        <v>0</v>
      </c>
      <c r="Y190" s="387"/>
      <c r="Z190" s="387">
        <f>+H190-X190</f>
        <v>0</v>
      </c>
    </row>
    <row r="191" spans="2:26" x14ac:dyDescent="0.75">
      <c r="B191" s="403" t="s">
        <v>1400</v>
      </c>
      <c r="C191" s="379">
        <v>0</v>
      </c>
      <c r="H191" s="430"/>
      <c r="I191" s="398"/>
      <c r="J191" s="399"/>
      <c r="K191" s="399"/>
      <c r="L191" s="399"/>
      <c r="M191" s="399"/>
      <c r="N191" s="399"/>
      <c r="O191" s="399"/>
      <c r="P191" s="399"/>
      <c r="Q191" s="399"/>
      <c r="R191" s="399"/>
      <c r="S191" s="399"/>
      <c r="T191" s="399"/>
      <c r="U191" s="399"/>
      <c r="V191" s="399"/>
      <c r="W191" s="433"/>
      <c r="X191" s="400">
        <f>+SUM(I191:W191)</f>
        <v>0</v>
      </c>
      <c r="Y191" s="400"/>
      <c r="Z191" s="400">
        <v>0</v>
      </c>
    </row>
    <row r="192" spans="2:26" x14ac:dyDescent="0.75">
      <c r="B192" s="364" t="s">
        <v>1392</v>
      </c>
      <c r="H192" s="437">
        <f t="shared" ref="H192:W192" si="63">+SUM(H189:H191)</f>
        <v>0</v>
      </c>
      <c r="I192" s="404">
        <f t="shared" si="63"/>
        <v>0</v>
      </c>
      <c r="J192" s="405">
        <f t="shared" si="63"/>
        <v>0</v>
      </c>
      <c r="K192" s="405">
        <f t="shared" si="63"/>
        <v>0</v>
      </c>
      <c r="L192" s="405">
        <f t="shared" si="63"/>
        <v>0</v>
      </c>
      <c r="M192" s="405">
        <f t="shared" si="63"/>
        <v>0</v>
      </c>
      <c r="N192" s="405">
        <f t="shared" si="63"/>
        <v>0</v>
      </c>
      <c r="O192" s="405">
        <f t="shared" si="63"/>
        <v>0</v>
      </c>
      <c r="P192" s="405">
        <f t="shared" si="63"/>
        <v>0</v>
      </c>
      <c r="Q192" s="405">
        <f t="shared" si="63"/>
        <v>0</v>
      </c>
      <c r="R192" s="405">
        <f t="shared" si="63"/>
        <v>0</v>
      </c>
      <c r="S192" s="406">
        <f t="shared" si="63"/>
        <v>0</v>
      </c>
      <c r="T192" s="406">
        <f t="shared" si="63"/>
        <v>0</v>
      </c>
      <c r="U192" s="406">
        <f t="shared" ref="U192:V192" si="64">+SUM(U189:U191)</f>
        <v>0</v>
      </c>
      <c r="V192" s="406">
        <f t="shared" si="64"/>
        <v>0</v>
      </c>
      <c r="W192" s="440">
        <f t="shared" si="63"/>
        <v>0</v>
      </c>
      <c r="X192" s="418">
        <f>+SUM(X188:X191)</f>
        <v>0</v>
      </c>
      <c r="Y192" s="418"/>
      <c r="Z192" s="418">
        <f>+SUM(Z188:Z191)</f>
        <v>0</v>
      </c>
    </row>
    <row r="193" spans="2:26" x14ac:dyDescent="0.75">
      <c r="H193" s="430"/>
      <c r="I193" s="388"/>
      <c r="J193" s="389"/>
      <c r="K193" s="389"/>
      <c r="L193" s="389"/>
      <c r="M193" s="389"/>
      <c r="N193" s="389"/>
      <c r="O193" s="389"/>
      <c r="P193" s="389"/>
      <c r="Q193" s="389"/>
      <c r="R193" s="389"/>
      <c r="S193" s="390"/>
      <c r="T193" s="390"/>
      <c r="U193" s="390"/>
      <c r="V193" s="390"/>
      <c r="W193" s="431"/>
      <c r="X193" s="387"/>
      <c r="Y193" s="387"/>
      <c r="Z193" s="387"/>
    </row>
    <row r="194" spans="2:26" x14ac:dyDescent="0.75">
      <c r="B194" s="379" t="s">
        <v>1393</v>
      </c>
      <c r="H194" s="430"/>
      <c r="I194" s="388"/>
      <c r="J194" s="389"/>
      <c r="K194" s="389"/>
      <c r="L194" s="389"/>
      <c r="M194" s="389"/>
      <c r="N194" s="389"/>
      <c r="O194" s="389"/>
      <c r="P194" s="389"/>
      <c r="Q194" s="389"/>
      <c r="R194" s="389"/>
      <c r="S194" s="390"/>
      <c r="T194" s="390"/>
      <c r="U194" s="390"/>
      <c r="V194" s="390"/>
      <c r="W194" s="431"/>
      <c r="X194" s="387"/>
      <c r="Y194" s="387"/>
      <c r="Z194" s="387"/>
    </row>
    <row r="195" spans="2:26" x14ac:dyDescent="0.75">
      <c r="B195" s="403">
        <v>7000</v>
      </c>
      <c r="C195" s="379" t="s">
        <v>1449</v>
      </c>
      <c r="H195" s="430">
        <f>IFERROR(VLOOKUP(B195,'Expenses w MYP'!$A$8:$K$119,11,FALSE),"0")+0</f>
        <v>0</v>
      </c>
      <c r="I195" s="388">
        <f>IF(VLOOKUP("Net Income",'FY ACTUALS'!$A$1:$X$996,I$3,FALSE)&lt;&gt;0,IFERROR(VLOOKUP($B195,'FY ACTUALS'!$A$1:$X$996,I$3,FALSE),"0")+0,IFERROR(($H195-SUMIF($I$1:$W$1,"ACTUAL",$I195:$W195))*(VLOOKUP($B195,'Distribution %'!$A$2:$Q$232,MATCH(I$2,'Distribution %'!$A$2:$Q$2,0),FALSE)/(SUMIF('Distribution %'!$C$1:$Q$1,"BUDGET",'Distribution %'!$C163:$Q163))),"0")+0)</f>
        <v>0</v>
      </c>
      <c r="J195" s="389">
        <f>IF(VLOOKUP("Net Income",'FY ACTUALS'!$A$1:$X$996,J$3,FALSE)&lt;&gt;0,IFERROR(VLOOKUP($B195,'FY ACTUALS'!$A$1:$X$996,J$3,FALSE),"0")+0,IFERROR(($H195-SUMIF($I$1:$W$1,"ACTUAL",$I195:$W195))*(VLOOKUP($B195,'Distribution %'!$A$2:$Q$232,MATCH(J$2,'Distribution %'!$A$2:$Q$2,0),FALSE)/(SUMIF('Distribution %'!$C$1:$Q$1,"BUDGET",'Distribution %'!$C163:$Q163))),"0")+0)</f>
        <v>0</v>
      </c>
      <c r="K195" s="389">
        <f>IF(VLOOKUP("Net Income",'FY ACTUALS'!$A$1:$X$996,K$3,FALSE)&lt;&gt;0,IFERROR(VLOOKUP($B195,'FY ACTUALS'!$A$1:$X$996,K$3,FALSE),"0")+0,IFERROR(($H195-SUMIF($I$1:$W$1,"ACTUAL",$I195:$W195))*(VLOOKUP($B195,'Distribution %'!$A$2:$Q$232,MATCH(K$2,'Distribution %'!$A$2:$Q$2,0),FALSE)/(SUMIF('Distribution %'!$C$1:$Q$1,"BUDGET",'Distribution %'!$C163:$Q163))),"0")+0)</f>
        <v>0</v>
      </c>
      <c r="L195" s="389">
        <f>IF(VLOOKUP("Net Income",'FY ACTUALS'!$A$1:$X$996,L$3,FALSE)&lt;&gt;0,IFERROR(VLOOKUP($B195,'FY ACTUALS'!$A$1:$X$996,L$3,FALSE),"0")+0,IFERROR(($H195-SUMIF($I$1:$W$1,"ACTUAL",$I195:$W195))*(VLOOKUP($B195,'Distribution %'!$A$2:$Q$232,MATCH(L$2,'Distribution %'!$A$2:$Q$2,0),FALSE)/(SUMIF('Distribution %'!$C$1:$Q$1,"BUDGET",'Distribution %'!$C163:$Q163))),"0")+0)</f>
        <v>0</v>
      </c>
      <c r="M195" s="389">
        <f>IF(VLOOKUP("Net Income",'FY ACTUALS'!$A$1:$X$996,M$3,FALSE)&lt;&gt;0,IFERROR(VLOOKUP($B195,'FY ACTUALS'!$A$1:$X$996,M$3,FALSE),"0")+0,IFERROR(($H195-SUMIF($I$1:$W$1,"ACTUAL",$I195:$W195))*(VLOOKUP($B195,'Distribution %'!$A$2:$Q$232,MATCH(M$2,'Distribution %'!$A$2:$Q$2,0),FALSE)/(SUMIF('Distribution %'!$C$1:$Q$1,"BUDGET",'Distribution %'!$C163:$Q163))),"0")+0)</f>
        <v>0</v>
      </c>
      <c r="N195" s="389">
        <f>IF(VLOOKUP("Net Income",'FY ACTUALS'!$A$1:$X$996,N$3,FALSE)&lt;&gt;0,IFERROR(VLOOKUP($B195,'FY ACTUALS'!$A$1:$X$996,N$3,FALSE),"0")+0,IFERROR(($H195-SUMIF($I$1:$W$1,"ACTUAL",$I195:$W195))*(VLOOKUP($B195,'Distribution %'!$A$2:$Q$232,MATCH(N$2,'Distribution %'!$A$2:$Q$2,0),FALSE)/(SUMIF('Distribution %'!$C$1:$Q$1,"BUDGET",'Distribution %'!$C163:$Q163))),"0")+0)</f>
        <v>0</v>
      </c>
      <c r="O195" s="389">
        <f>IF(VLOOKUP("Net Income",'FY ACTUALS'!$A$1:$X$996,O$3,FALSE)&lt;&gt;0,IFERROR(VLOOKUP($B195,'FY ACTUALS'!$A$1:$X$996,O$3,FALSE),"0")+0,IFERROR(($H195-SUMIF($I$1:$W$1,"ACTUAL",$I195:$W195))*(VLOOKUP($B195,'Distribution %'!$A$2:$Q$232,MATCH(O$2,'Distribution %'!$A$2:$Q$2,0),FALSE)/(SUMIF('Distribution %'!$C$1:$Q$1,"BUDGET",'Distribution %'!$C163:$Q163))),"0")+0)</f>
        <v>0</v>
      </c>
      <c r="P195" s="389">
        <f>IF(VLOOKUP("Net Income",'FY ACTUALS'!$A$1:$X$996,P$3,FALSE)&lt;&gt;0,IFERROR(VLOOKUP($B195,'FY ACTUALS'!$A$1:$X$996,P$3,FALSE),"0")+0,IFERROR(($H195-SUMIF($I$1:$W$1,"ACTUAL",$I195:$W195))*(VLOOKUP($B195,'Distribution %'!$A$2:$Q$232,MATCH(P$2,'Distribution %'!$A$2:$Q$2,0),FALSE)/(SUMIF('Distribution %'!$C$1:$Q$1,"BUDGET",'Distribution %'!$C163:$Q163))),"0")+0)</f>
        <v>0</v>
      </c>
      <c r="Q195" s="389">
        <f>IF(VLOOKUP("Net Income",'FY ACTUALS'!$A$1:$X$996,Q$3,FALSE)&lt;&gt;0,IFERROR(VLOOKUP($B195,'FY ACTUALS'!$A$1:$X$996,Q$3,FALSE),"0")+0,IFERROR(($H195-SUMIF($I$1:$W$1,"ACTUAL",$I195:$W195))*(VLOOKUP($B195,'Distribution %'!$A$2:$Q$232,MATCH(Q$2,'Distribution %'!$A$2:$Q$2,0),FALSE)/(SUMIF('Distribution %'!$C$1:$Q$1,"BUDGET",'Distribution %'!$C163:$Q163))),"0")+0)</f>
        <v>0</v>
      </c>
      <c r="R195" s="389">
        <f>IF(VLOOKUP("Net Income",'FY ACTUALS'!$A$1:$X$996,R$3,FALSE)&lt;&gt;0,IFERROR(VLOOKUP($B195,'FY ACTUALS'!$A$1:$X$996,R$3,FALSE),"0")+0,IFERROR(($H195-SUMIF($I$1:$W$1,"ACTUAL",$I195:$W195))*(VLOOKUP($B195,'Distribution %'!$A$2:$Q$232,MATCH(R$2,'Distribution %'!$A$2:$Q$2,0),FALSE)/(SUMIF('Distribution %'!$C$1:$Q$1,"BUDGET",'Distribution %'!$C163:$Q163))),"0")+0)</f>
        <v>0</v>
      </c>
      <c r="S195" s="389">
        <f>IF(VLOOKUP("Net Income",'FY ACTUALS'!$A$1:$X$996,S$3,FALSE)&lt;&gt;0,IFERROR(VLOOKUP($B195,'FY ACTUALS'!$A$1:$X$996,S$3,FALSE),"0")+0,IFERROR(($H195-SUMIF($I$1:$W$1,"ACTUAL",$I195:$W195))*(VLOOKUP($B195,'Distribution %'!$A$2:$Q$232,MATCH(S$2,'Distribution %'!$A$2:$Q$2,0),FALSE)/(SUMIF('Distribution %'!$C$1:$Q$1,"BUDGET",'Distribution %'!$C163:$Q163))),"0")+0)</f>
        <v>0</v>
      </c>
      <c r="T195" s="389">
        <f>IF(VLOOKUP("Net Income",'FY ACTUALS'!$A$1:$X$996,T$3,FALSE)&lt;&gt;0,IFERROR(VLOOKUP($B195,'FY ACTUALS'!$A$1:$X$996,T$3,FALSE),"0")+0,IFERROR(($H195-SUMIF($I$1:$W$1,"ACTUAL",$I195:$W195))*(VLOOKUP($B195,'Distribution %'!$A$2:$Q$232,MATCH(T$2,'Distribution %'!$A$2:$Q$2,0),FALSE)/(SUMIF('Distribution %'!$C$1:$Q$1,"BUDGET",'Distribution %'!$C163:$Q163))),"0")+0)</f>
        <v>0</v>
      </c>
      <c r="U195" s="389">
        <f>IF(VLOOKUP("Net Income",'FY ACTUALS'!$A$1:$X$996,U$3,FALSE)&lt;&gt;0,IFERROR(VLOOKUP($B195,'FY ACTUALS'!$A$1:$X$996,U$3,FALSE),"0")+0,IFERROR(($H195-SUMIF($I$1:$W$1,"ACTUAL",$I195:$W195))*(VLOOKUP($B195,'Distribution %'!$A$2:$Q$232,MATCH(U$2,'Distribution %'!$A$2:$Q$2,0),FALSE)/(SUMIF('Distribution %'!$C$1:$Q$1,"BUDGET",'Distribution %'!$C163:$Q163))),"0")+0)</f>
        <v>0</v>
      </c>
      <c r="V195" s="389">
        <f>IF(VLOOKUP("Net Income",'FY ACTUALS'!$A$1:$X$996,V$3,FALSE)&lt;&gt;0,IFERROR(VLOOKUP($B195,'FY ACTUALS'!$A$1:$X$996,V$3,FALSE),"0")+0,IFERROR(($H195-SUMIF($I$1:$W$1,"ACTUAL",$I195:$W195))*(VLOOKUP($B195,'Distribution %'!$A$2:$Q$232,MATCH(V$2,'Distribution %'!$A$2:$Q$2,0),FALSE)/(SUMIF('Distribution %'!$C$1:$Q$1,"BUDGET",'Distribution %'!$C163:$Q163))),"0")+0)</f>
        <v>0</v>
      </c>
      <c r="W195" s="431">
        <f>IF(VLOOKUP("Net Income",'FY ACTUALS'!$A$1:$X$996,W$3,FALSE)&lt;&gt;0,IFERROR(VLOOKUP($B195,'FY ACTUALS'!$A$1:$X$996,W$3,FALSE),"0")+0,IFERROR(($H195-SUMIF($I$1:$W$1,"ACTUAL",$I195:$W195))*(VLOOKUP($B195,'Distribution %'!$A$2:$Q$232,MATCH(W$2,'Distribution %'!$A$2:$Q$2,0),FALSE)/(SUMIF('Distribution %'!$C$1:$Q$1,"BUDGET",'Distribution %'!$C163:$Q163))),"0")+0)</f>
        <v>0</v>
      </c>
      <c r="X195" s="387">
        <f>+SUM(I195:W195)</f>
        <v>0</v>
      </c>
      <c r="Y195" s="387"/>
      <c r="Z195" s="387">
        <f>+H195-X195</f>
        <v>0</v>
      </c>
    </row>
    <row r="196" spans="2:26" x14ac:dyDescent="0.75">
      <c r="B196" s="403">
        <v>7438</v>
      </c>
      <c r="C196" s="379" t="s">
        <v>1450</v>
      </c>
      <c r="H196" s="430">
        <f>IFERROR(VLOOKUP(B196,'Expenses w MYP'!$A$8:$K$119,11,FALSE),"0")+0</f>
        <v>0</v>
      </c>
      <c r="I196" s="388">
        <f>IF(VLOOKUP("Net Income",'FY ACTUALS'!$A$1:$X$996,I$3,FALSE)&lt;&gt;0,IFERROR(VLOOKUP($B196,'FY ACTUALS'!$A$1:$X$996,I$3,FALSE),"0")+0,IFERROR(($H196-SUMIF($I$1:$W$1,"ACTUAL",$I196:$W196))*(VLOOKUP($B196,'Distribution %'!$A$2:$Q$232,MATCH(I$2,'Distribution %'!$A$2:$Q$2,0),FALSE)/(SUMIF('Distribution %'!$C$1:$Q$1,"BUDGET",'Distribution %'!$C164:$Q164))),"0")+0)</f>
        <v>0</v>
      </c>
      <c r="J196" s="389">
        <f>IF(VLOOKUP("Net Income",'FY ACTUALS'!$A$1:$X$996,J$3,FALSE)&lt;&gt;0,IFERROR(VLOOKUP($B196,'FY ACTUALS'!$A$1:$X$996,J$3,FALSE),"0")+0,IFERROR(($H196-SUMIF($I$1:$W$1,"ACTUAL",$I196:$W196))*(VLOOKUP($B196,'Distribution %'!$A$2:$Q$232,MATCH(J$2,'Distribution %'!$A$2:$Q$2,0),FALSE)/(SUMIF('Distribution %'!$C$1:$Q$1,"BUDGET",'Distribution %'!$C164:$Q164))),"0")+0)</f>
        <v>0</v>
      </c>
      <c r="K196" s="389">
        <f>IF(VLOOKUP("Net Income",'FY ACTUALS'!$A$1:$X$996,K$3,FALSE)&lt;&gt;0,IFERROR(VLOOKUP($B196,'FY ACTUALS'!$A$1:$X$996,K$3,FALSE),"0")+0,IFERROR(($H196-SUMIF($I$1:$W$1,"ACTUAL",$I196:$W196))*(VLOOKUP($B196,'Distribution %'!$A$2:$Q$232,MATCH(K$2,'Distribution %'!$A$2:$Q$2,0),FALSE)/(SUMIF('Distribution %'!$C$1:$Q$1,"BUDGET",'Distribution %'!$C164:$Q164))),"0")+0)</f>
        <v>0</v>
      </c>
      <c r="L196" s="389">
        <f>IF(VLOOKUP("Net Income",'FY ACTUALS'!$A$1:$X$996,L$3,FALSE)&lt;&gt;0,IFERROR(VLOOKUP($B196,'FY ACTUALS'!$A$1:$X$996,L$3,FALSE),"0")+0,IFERROR(($H196-SUMIF($I$1:$W$1,"ACTUAL",$I196:$W196))*(VLOOKUP($B196,'Distribution %'!$A$2:$Q$232,MATCH(L$2,'Distribution %'!$A$2:$Q$2,0),FALSE)/(SUMIF('Distribution %'!$C$1:$Q$1,"BUDGET",'Distribution %'!$C164:$Q164))),"0")+0)</f>
        <v>0</v>
      </c>
      <c r="M196" s="389">
        <f>IF(VLOOKUP("Net Income",'FY ACTUALS'!$A$1:$X$996,M$3,FALSE)&lt;&gt;0,IFERROR(VLOOKUP($B196,'FY ACTUALS'!$A$1:$X$996,M$3,FALSE),"0")+0,IFERROR(($H196-SUMIF($I$1:$W$1,"ACTUAL",$I196:$W196))*(VLOOKUP($B196,'Distribution %'!$A$2:$Q$232,MATCH(M$2,'Distribution %'!$A$2:$Q$2,0),FALSE)/(SUMIF('Distribution %'!$C$1:$Q$1,"BUDGET",'Distribution %'!$C164:$Q164))),"0")+0)</f>
        <v>0</v>
      </c>
      <c r="N196" s="389">
        <f>IF(VLOOKUP("Net Income",'FY ACTUALS'!$A$1:$X$996,N$3,FALSE)&lt;&gt;0,IFERROR(VLOOKUP($B196,'FY ACTUALS'!$A$1:$X$996,N$3,FALSE),"0")+0,IFERROR(($H196-SUMIF($I$1:$W$1,"ACTUAL",$I196:$W196))*(VLOOKUP($B196,'Distribution %'!$A$2:$Q$232,MATCH(N$2,'Distribution %'!$A$2:$Q$2,0),FALSE)/(SUMIF('Distribution %'!$C$1:$Q$1,"BUDGET",'Distribution %'!$C164:$Q164))),"0")+0)</f>
        <v>0</v>
      </c>
      <c r="O196" s="389">
        <f>IF(VLOOKUP("Net Income",'FY ACTUALS'!$A$1:$X$996,O$3,FALSE)&lt;&gt;0,IFERROR(VLOOKUP($B196,'FY ACTUALS'!$A$1:$X$996,O$3,FALSE),"0")+0,IFERROR(($H196-SUMIF($I$1:$W$1,"ACTUAL",$I196:$W196))*(VLOOKUP($B196,'Distribution %'!$A$2:$Q$232,MATCH(O$2,'Distribution %'!$A$2:$Q$2,0),FALSE)/(SUMIF('Distribution %'!$C$1:$Q$1,"BUDGET",'Distribution %'!$C164:$Q164))),"0")+0)</f>
        <v>0</v>
      </c>
      <c r="P196" s="389">
        <f>IF(VLOOKUP("Net Income",'FY ACTUALS'!$A$1:$X$996,P$3,FALSE)&lt;&gt;0,IFERROR(VLOOKUP($B196,'FY ACTUALS'!$A$1:$X$996,P$3,FALSE),"0")+0,IFERROR(($H196-SUMIF($I$1:$W$1,"ACTUAL",$I196:$W196))*(VLOOKUP($B196,'Distribution %'!$A$2:$Q$232,MATCH(P$2,'Distribution %'!$A$2:$Q$2,0),FALSE)/(SUMIF('Distribution %'!$C$1:$Q$1,"BUDGET",'Distribution %'!$C164:$Q164))),"0")+0)</f>
        <v>0</v>
      </c>
      <c r="Q196" s="389">
        <f>IF(VLOOKUP("Net Income",'FY ACTUALS'!$A$1:$X$996,Q$3,FALSE)&lt;&gt;0,IFERROR(VLOOKUP($B196,'FY ACTUALS'!$A$1:$X$996,Q$3,FALSE),"0")+0,IFERROR(($H196-SUMIF($I$1:$W$1,"ACTUAL",$I196:$W196))*(VLOOKUP($B196,'Distribution %'!$A$2:$Q$232,MATCH(Q$2,'Distribution %'!$A$2:$Q$2,0),FALSE)/(SUMIF('Distribution %'!$C$1:$Q$1,"BUDGET",'Distribution %'!$C164:$Q164))),"0")+0)</f>
        <v>0</v>
      </c>
      <c r="R196" s="389">
        <f>IF(VLOOKUP("Net Income",'FY ACTUALS'!$A$1:$X$996,R$3,FALSE)&lt;&gt;0,IFERROR(VLOOKUP($B196,'FY ACTUALS'!$A$1:$X$996,R$3,FALSE),"0")+0,IFERROR(($H196-SUMIF($I$1:$W$1,"ACTUAL",$I196:$W196))*(VLOOKUP($B196,'Distribution %'!$A$2:$Q$232,MATCH(R$2,'Distribution %'!$A$2:$Q$2,0),FALSE)/(SUMIF('Distribution %'!$C$1:$Q$1,"BUDGET",'Distribution %'!$C164:$Q164))),"0")+0)</f>
        <v>0</v>
      </c>
      <c r="S196" s="389">
        <f>IF(VLOOKUP("Net Income",'FY ACTUALS'!$A$1:$X$996,S$3,FALSE)&lt;&gt;0,IFERROR(VLOOKUP($B196,'FY ACTUALS'!$A$1:$X$996,S$3,FALSE),"0")+0,IFERROR(($H196-SUMIF($I$1:$W$1,"ACTUAL",$I196:$W196))*(VLOOKUP($B196,'Distribution %'!$A$2:$Q$232,MATCH(S$2,'Distribution %'!$A$2:$Q$2,0),FALSE)/(SUMIF('Distribution %'!$C$1:$Q$1,"BUDGET",'Distribution %'!$C164:$Q164))),"0")+0)</f>
        <v>0</v>
      </c>
      <c r="T196" s="389">
        <f>IF(VLOOKUP("Net Income",'FY ACTUALS'!$A$1:$X$996,T$3,FALSE)&lt;&gt;0,IFERROR(VLOOKUP($B196,'FY ACTUALS'!$A$1:$X$996,T$3,FALSE),"0")+0,IFERROR(($H196-SUMIF($I$1:$W$1,"ACTUAL",$I196:$W196))*(VLOOKUP($B196,'Distribution %'!$A$2:$Q$232,MATCH(T$2,'Distribution %'!$A$2:$Q$2,0),FALSE)/(SUMIF('Distribution %'!$C$1:$Q$1,"BUDGET",'Distribution %'!$C164:$Q164))),"0")+0)</f>
        <v>0</v>
      </c>
      <c r="U196" s="389">
        <f>IF(VLOOKUP("Net Income",'FY ACTUALS'!$A$1:$X$996,U$3,FALSE)&lt;&gt;0,IFERROR(VLOOKUP($B196,'FY ACTUALS'!$A$1:$X$996,U$3,FALSE),"0")+0,IFERROR(($H196-SUMIF($I$1:$W$1,"ACTUAL",$I196:$W196))*(VLOOKUP($B196,'Distribution %'!$A$2:$Q$232,MATCH(U$2,'Distribution %'!$A$2:$Q$2,0),FALSE)/(SUMIF('Distribution %'!$C$1:$Q$1,"BUDGET",'Distribution %'!$C164:$Q164))),"0")+0)</f>
        <v>0</v>
      </c>
      <c r="V196" s="389">
        <f>IF(VLOOKUP("Net Income",'FY ACTUALS'!$A$1:$X$996,V$3,FALSE)&lt;&gt;0,IFERROR(VLOOKUP($B196,'FY ACTUALS'!$A$1:$X$996,V$3,FALSE),"0")+0,IFERROR(($H196-SUMIF($I$1:$W$1,"ACTUAL",$I196:$W196))*(VLOOKUP($B196,'Distribution %'!$A$2:$Q$232,MATCH(V$2,'Distribution %'!$A$2:$Q$2,0),FALSE)/(SUMIF('Distribution %'!$C$1:$Q$1,"BUDGET",'Distribution %'!$C164:$Q164))),"0")+0)</f>
        <v>0</v>
      </c>
      <c r="W196" s="431">
        <f>IF(VLOOKUP("Net Income",'FY ACTUALS'!$A$1:$X$996,W$3,FALSE)&lt;&gt;0,IFERROR(VLOOKUP($B196,'FY ACTUALS'!$A$1:$X$996,W$3,FALSE),"0")+0,IFERROR(($H196-SUMIF($I$1:$W$1,"ACTUAL",$I196:$W196))*(VLOOKUP($B196,'Distribution %'!$A$2:$Q$232,MATCH(W$2,'Distribution %'!$A$2:$Q$2,0),FALSE)/(SUMIF('Distribution %'!$C$1:$Q$1,"BUDGET",'Distribution %'!$C164:$Q164))),"0")+0)</f>
        <v>0</v>
      </c>
      <c r="X196" s="387">
        <f t="shared" ref="X196:X197" si="65">+SUM(I196:W196)</f>
        <v>0</v>
      </c>
      <c r="Y196" s="387"/>
      <c r="Z196" s="387">
        <f t="shared" ref="Z196:Z197" si="66">+H196-X196</f>
        <v>0</v>
      </c>
    </row>
    <row r="197" spans="2:26" x14ac:dyDescent="0.75">
      <c r="B197" s="403" t="s">
        <v>1401</v>
      </c>
      <c r="C197" s="379">
        <v>0</v>
      </c>
      <c r="H197" s="430"/>
      <c r="I197" s="388"/>
      <c r="J197" s="389"/>
      <c r="K197" s="389"/>
      <c r="L197" s="389"/>
      <c r="M197" s="389"/>
      <c r="N197" s="389"/>
      <c r="O197" s="389"/>
      <c r="P197" s="389"/>
      <c r="Q197" s="389"/>
      <c r="R197" s="389"/>
      <c r="S197" s="389"/>
      <c r="T197" s="389"/>
      <c r="U197" s="389"/>
      <c r="V197" s="389"/>
      <c r="W197" s="431"/>
      <c r="X197" s="387">
        <f t="shared" si="65"/>
        <v>0</v>
      </c>
      <c r="Y197" s="387"/>
      <c r="Z197" s="387">
        <f t="shared" si="66"/>
        <v>0</v>
      </c>
    </row>
    <row r="198" spans="2:26" x14ac:dyDescent="0.75">
      <c r="B198" s="414"/>
      <c r="H198" s="430"/>
      <c r="I198" s="416"/>
      <c r="J198" s="400"/>
      <c r="K198" s="400"/>
      <c r="L198" s="400"/>
      <c r="M198" s="400"/>
      <c r="N198" s="400"/>
      <c r="O198" s="400"/>
      <c r="P198" s="400"/>
      <c r="Q198" s="400"/>
      <c r="R198" s="400"/>
      <c r="S198" s="400"/>
      <c r="T198" s="400"/>
      <c r="U198" s="400"/>
      <c r="V198" s="400"/>
      <c r="W198" s="433"/>
      <c r="X198" s="400">
        <f>+SUM(I198:W198)</f>
        <v>0</v>
      </c>
      <c r="Y198" s="400"/>
      <c r="Z198" s="400">
        <f>+H198-X198</f>
        <v>0</v>
      </c>
    </row>
    <row r="199" spans="2:26" x14ac:dyDescent="0.75">
      <c r="B199" s="379" t="s">
        <v>1394</v>
      </c>
      <c r="H199" s="441">
        <f t="shared" ref="H199:W199" si="67">+SUM(H195:H198)</f>
        <v>0</v>
      </c>
      <c r="I199" s="417">
        <f t="shared" si="67"/>
        <v>0</v>
      </c>
      <c r="J199" s="417">
        <f t="shared" si="67"/>
        <v>0</v>
      </c>
      <c r="K199" s="417">
        <f t="shared" si="67"/>
        <v>0</v>
      </c>
      <c r="L199" s="417">
        <f t="shared" si="67"/>
        <v>0</v>
      </c>
      <c r="M199" s="417">
        <f t="shared" si="67"/>
        <v>0</v>
      </c>
      <c r="N199" s="417">
        <f t="shared" si="67"/>
        <v>0</v>
      </c>
      <c r="O199" s="417">
        <f t="shared" si="67"/>
        <v>0</v>
      </c>
      <c r="P199" s="417">
        <f t="shared" si="67"/>
        <v>0</v>
      </c>
      <c r="Q199" s="417">
        <f t="shared" si="67"/>
        <v>0</v>
      </c>
      <c r="R199" s="417">
        <f t="shared" si="67"/>
        <v>0</v>
      </c>
      <c r="S199" s="418">
        <f t="shared" si="67"/>
        <v>0</v>
      </c>
      <c r="T199" s="418">
        <f t="shared" si="67"/>
        <v>0</v>
      </c>
      <c r="U199" s="418">
        <f t="shared" ref="U199:V199" si="68">+SUM(U195:U198)</f>
        <v>0</v>
      </c>
      <c r="V199" s="418">
        <f t="shared" si="68"/>
        <v>0</v>
      </c>
      <c r="W199" s="438">
        <f t="shared" si="67"/>
        <v>0</v>
      </c>
      <c r="X199" s="418">
        <f>+SUM(X194:X198)</f>
        <v>0</v>
      </c>
      <c r="Y199" s="418"/>
      <c r="Z199" s="418">
        <f>+SUM(Z194:Z198)</f>
        <v>0</v>
      </c>
    </row>
    <row r="200" spans="2:26" x14ac:dyDescent="0.75">
      <c r="H200" s="442"/>
      <c r="I200" s="420"/>
      <c r="J200" s="420"/>
      <c r="K200" s="420"/>
      <c r="L200" s="420"/>
      <c r="M200" s="420"/>
      <c r="N200" s="420"/>
      <c r="O200" s="420"/>
      <c r="P200" s="420"/>
      <c r="Q200" s="420"/>
      <c r="R200" s="420"/>
      <c r="U200" s="387"/>
      <c r="V200" s="387"/>
      <c r="W200" s="431"/>
      <c r="X200" s="387"/>
      <c r="Y200" s="387"/>
      <c r="Z200" s="387"/>
    </row>
    <row r="201" spans="2:26" x14ac:dyDescent="0.75">
      <c r="B201" s="365" t="s">
        <v>1395</v>
      </c>
      <c r="H201" s="443">
        <f ca="1">H199+H192+H186+H139+H113+H86+H76</f>
        <v>33820984.211451724</v>
      </c>
      <c r="I201" s="421">
        <f t="shared" ref="I201:U201" si="69">SUMPRODUCT((LEFT($B67:$B199,5)="Total")*(I67:I199))</f>
        <v>1662776.62</v>
      </c>
      <c r="J201" s="421">
        <f t="shared" si="69"/>
        <v>1833992.1500000001</v>
      </c>
      <c r="K201" s="421">
        <f t="shared" si="69"/>
        <v>2484349.7799999998</v>
      </c>
      <c r="L201" s="421">
        <f t="shared" si="69"/>
        <v>2824880.28</v>
      </c>
      <c r="M201" s="421">
        <f t="shared" si="69"/>
        <v>2444791.34</v>
      </c>
      <c r="N201" s="421">
        <f t="shared" si="69"/>
        <v>2391094.0499999998</v>
      </c>
      <c r="O201" s="421">
        <f t="shared" si="69"/>
        <v>2792183.21</v>
      </c>
      <c r="P201" s="421">
        <f t="shared" ca="1" si="69"/>
        <v>4189514.6859178948</v>
      </c>
      <c r="Q201" s="421">
        <f t="shared" ca="1" si="69"/>
        <v>4221115.5813834555</v>
      </c>
      <c r="R201" s="421">
        <f t="shared" ca="1" si="69"/>
        <v>3219284.2313834555</v>
      </c>
      <c r="S201" s="421">
        <f t="shared" ca="1" si="69"/>
        <v>2878501.1413834556</v>
      </c>
      <c r="T201" s="421">
        <f t="shared" ca="1" si="69"/>
        <v>2878501.1413834556</v>
      </c>
      <c r="U201" s="421">
        <f t="shared" ca="1" si="69"/>
        <v>0</v>
      </c>
      <c r="V201" s="421">
        <f t="shared" ref="V201:W201" ca="1" si="70">SUMPRODUCT((LEFT($B67:$B199,5)="Total")*(V67:V199))</f>
        <v>0</v>
      </c>
      <c r="W201" s="421">
        <f t="shared" ca="1" si="70"/>
        <v>0</v>
      </c>
      <c r="X201" s="444">
        <f ca="1">SUMPRODUCT((LEFT($B67:$B199,5)="Total")*(X67:X199))</f>
        <v>33820984.211451717</v>
      </c>
      <c r="Y201" s="445"/>
      <c r="Z201" s="445">
        <f ca="1">SUMPRODUCT((LEFT($B67:$B199,5)="Total")*(Z67:Z199))</f>
        <v>-1.1368683772161613E-13</v>
      </c>
    </row>
    <row r="202" spans="2:26" x14ac:dyDescent="0.75">
      <c r="H202" s="442"/>
      <c r="I202" s="420"/>
      <c r="J202" s="420"/>
      <c r="K202" s="420"/>
      <c r="L202" s="420"/>
      <c r="M202" s="420"/>
      <c r="N202" s="420"/>
      <c r="O202" s="420"/>
      <c r="P202" s="420"/>
      <c r="Q202" s="420"/>
      <c r="R202" s="420"/>
      <c r="U202" s="387"/>
      <c r="V202" s="387"/>
      <c r="W202" s="431"/>
      <c r="X202" s="387"/>
      <c r="Y202" s="387"/>
      <c r="Z202" s="387"/>
    </row>
    <row r="203" spans="2:26" x14ac:dyDescent="0.75">
      <c r="H203" s="442"/>
      <c r="I203" s="420"/>
      <c r="J203" s="420"/>
      <c r="K203" s="420"/>
      <c r="L203" s="420"/>
      <c r="M203" s="420"/>
      <c r="N203" s="420"/>
      <c r="O203" s="420"/>
      <c r="P203" s="420"/>
      <c r="Q203" s="420"/>
      <c r="R203" s="420"/>
      <c r="U203" s="387"/>
      <c r="V203" s="387"/>
      <c r="W203" s="387"/>
      <c r="X203" s="446"/>
      <c r="Y203" s="387"/>
      <c r="Z203" s="387"/>
    </row>
    <row r="204" spans="2:26" s="423" customFormat="1" x14ac:dyDescent="0.75">
      <c r="H204" s="447">
        <f ca="1">+H63-H201</f>
        <v>1194279.1078939587</v>
      </c>
      <c r="I204" s="424">
        <f>+I63-I201</f>
        <v>-946189.81</v>
      </c>
      <c r="J204" s="424">
        <f>+J63-J201</f>
        <v>-522995.15000000014</v>
      </c>
      <c r="K204" s="424">
        <f t="shared" ref="K204:X204" si="71">+K63-K201</f>
        <v>457867.42000000039</v>
      </c>
      <c r="L204" s="424">
        <f t="shared" si="71"/>
        <v>-430729.69999999972</v>
      </c>
      <c r="M204" s="424">
        <f t="shared" si="71"/>
        <v>-236910.88999999966</v>
      </c>
      <c r="N204" s="424">
        <f t="shared" si="71"/>
        <v>125139.49000000022</v>
      </c>
      <c r="O204" s="424">
        <f t="shared" si="71"/>
        <v>946530.00999999978</v>
      </c>
      <c r="P204" s="424">
        <f t="shared" ca="1" si="71"/>
        <v>-1283072.5637565302</v>
      </c>
      <c r="Q204" s="424">
        <f t="shared" ca="1" si="71"/>
        <v>-427596.18098591641</v>
      </c>
      <c r="R204" s="424">
        <f t="shared" ca="1" si="71"/>
        <v>438242.10954042897</v>
      </c>
      <c r="S204" s="424">
        <f t="shared" ca="1" si="71"/>
        <v>-74089.959532418288</v>
      </c>
      <c r="T204" s="424">
        <f t="shared" ca="1" si="71"/>
        <v>2004383.6712049753</v>
      </c>
      <c r="U204" s="448">
        <f t="shared" ca="1" si="71"/>
        <v>487503.80988540797</v>
      </c>
      <c r="V204" s="448">
        <f t="shared" ref="V204" ca="1" si="72">+V63-V201</f>
        <v>191806.27539122861</v>
      </c>
      <c r="W204" s="448">
        <f t="shared" ca="1" si="71"/>
        <v>543548.57614678959</v>
      </c>
      <c r="X204" s="449">
        <f t="shared" ca="1" si="71"/>
        <v>1273437.1078939587</v>
      </c>
      <c r="Y204" s="450"/>
      <c r="Z204" s="450">
        <f ca="1">+Z63-Z201</f>
        <v>-79157.475829758332</v>
      </c>
    </row>
    <row r="205" spans="2:26" ht="15.5" thickBot="1" x14ac:dyDescent="0.9">
      <c r="H205" s="419"/>
      <c r="I205" s="420"/>
      <c r="J205" s="420"/>
      <c r="K205" s="420"/>
      <c r="L205" s="420"/>
      <c r="M205" s="420"/>
      <c r="N205" s="420"/>
      <c r="O205" s="420"/>
      <c r="P205" s="420"/>
      <c r="Q205" s="420"/>
      <c r="R205" s="420"/>
      <c r="U205" s="386"/>
      <c r="V205" s="386"/>
      <c r="W205" s="386"/>
      <c r="X205" s="422"/>
      <c r="Y205" s="395"/>
    </row>
    <row r="206" spans="2:26" ht="15.5" thickBot="1" x14ac:dyDescent="0.9">
      <c r="G206" s="461"/>
      <c r="H206" s="462" t="s">
        <v>1487</v>
      </c>
      <c r="I206" s="463">
        <v>6468359</v>
      </c>
      <c r="J206" s="464"/>
      <c r="K206" s="465"/>
      <c r="L206" s="465"/>
      <c r="M206" s="465"/>
      <c r="N206" s="465"/>
      <c r="O206" s="465"/>
      <c r="P206" s="465"/>
      <c r="Q206" s="465"/>
      <c r="R206" s="465"/>
      <c r="S206" s="465"/>
      <c r="T206" s="465"/>
      <c r="U206" s="465"/>
      <c r="V206" s="465"/>
      <c r="W206" s="466"/>
      <c r="X206" s="422"/>
      <c r="Y206" s="395"/>
    </row>
    <row r="207" spans="2:26" x14ac:dyDescent="0.75">
      <c r="G207" s="467">
        <v>7526312</v>
      </c>
      <c r="H207" s="462" t="s">
        <v>1478</v>
      </c>
      <c r="I207" s="492">
        <f>6614406-G207</f>
        <v>-911906</v>
      </c>
      <c r="J207" s="493">
        <v>-3937344</v>
      </c>
      <c r="K207" s="493">
        <v>-2021357</v>
      </c>
      <c r="L207" s="493">
        <v>-131266</v>
      </c>
      <c r="M207" s="493">
        <v>-140122</v>
      </c>
      <c r="N207" s="493">
        <v>44</v>
      </c>
      <c r="O207" s="493">
        <v>-10472</v>
      </c>
      <c r="P207" s="493"/>
      <c r="Q207" s="493"/>
      <c r="R207" s="493"/>
      <c r="S207" s="493"/>
      <c r="T207" s="493"/>
      <c r="U207" s="493"/>
      <c r="V207" s="493"/>
      <c r="W207" s="494"/>
      <c r="X207" s="426"/>
    </row>
    <row r="208" spans="2:26" x14ac:dyDescent="0.75">
      <c r="G208" s="469">
        <f>461413+732+10220</f>
        <v>472365</v>
      </c>
      <c r="H208" s="468" t="s">
        <v>1488</v>
      </c>
      <c r="I208" s="495">
        <f>352396+10220-G208</f>
        <v>-109749</v>
      </c>
      <c r="J208" s="496">
        <f>377649+233+10220-I221</f>
        <v>25486</v>
      </c>
      <c r="K208" s="496">
        <f>370615+3628+10220-J221</f>
        <v>-3639</v>
      </c>
      <c r="L208" s="496">
        <f>347599+592+10220-K221</f>
        <v>-26052</v>
      </c>
      <c r="M208" s="496">
        <f>353564+1181+10220-L221</f>
        <v>6554</v>
      </c>
      <c r="N208" s="496">
        <f>374012+602+10220-M221</f>
        <v>19869</v>
      </c>
      <c r="O208" s="496">
        <f>366590+80+10220-N221</f>
        <v>-7944</v>
      </c>
      <c r="P208" s="496"/>
      <c r="Q208" s="496"/>
      <c r="R208" s="496"/>
      <c r="S208" s="496"/>
      <c r="T208" s="496"/>
      <c r="U208" s="496"/>
      <c r="V208" s="496"/>
      <c r="W208" s="497"/>
      <c r="X208" s="426"/>
    </row>
    <row r="209" spans="7:26" ht="15.5" thickBot="1" x14ac:dyDescent="0.9">
      <c r="G209" s="469">
        <v>0</v>
      </c>
      <c r="H209" s="468" t="s">
        <v>1479</v>
      </c>
      <c r="I209" s="495"/>
      <c r="J209" s="496"/>
      <c r="K209" s="496"/>
      <c r="L209" s="496"/>
      <c r="M209" s="496"/>
      <c r="N209" s="496"/>
      <c r="O209" s="496"/>
      <c r="P209" s="496"/>
      <c r="Q209" s="496"/>
      <c r="R209" s="496"/>
      <c r="S209" s="496"/>
      <c r="T209" s="496"/>
      <c r="U209" s="496"/>
      <c r="V209" s="496"/>
      <c r="W209" s="497"/>
      <c r="X209" s="426"/>
    </row>
    <row r="210" spans="7:26" x14ac:dyDescent="0.75">
      <c r="G210" s="469">
        <v>3730124</v>
      </c>
      <c r="H210" s="462" t="s">
        <v>1489</v>
      </c>
      <c r="I210" s="495">
        <f>3075294-G210</f>
        <v>-654830</v>
      </c>
      <c r="J210" s="496">
        <f>3282872-I225</f>
        <v>207578</v>
      </c>
      <c r="K210" s="496">
        <f>3195851-J225</f>
        <v>-87021</v>
      </c>
      <c r="L210" s="496">
        <f>3261005-K225</f>
        <v>65154</v>
      </c>
      <c r="M210" s="496">
        <f>2849230-L225</f>
        <v>-411775</v>
      </c>
      <c r="N210" s="496">
        <f>3162043-M225</f>
        <v>312813</v>
      </c>
      <c r="O210" s="496">
        <f>2896078-N225</f>
        <v>-265965</v>
      </c>
      <c r="P210" s="496"/>
      <c r="Q210" s="496"/>
      <c r="R210" s="496"/>
      <c r="S210" s="496"/>
      <c r="T210" s="496"/>
      <c r="U210" s="496"/>
      <c r="V210" s="496"/>
      <c r="W210" s="497"/>
      <c r="X210" s="426"/>
    </row>
    <row r="211" spans="7:26" x14ac:dyDescent="0.75">
      <c r="G211" s="469">
        <v>0</v>
      </c>
      <c r="H211" s="468" t="s">
        <v>1481</v>
      </c>
      <c r="I211" s="495"/>
      <c r="J211" s="496"/>
      <c r="K211" s="496"/>
      <c r="L211" s="496"/>
      <c r="M211" s="496"/>
      <c r="N211" s="496"/>
      <c r="O211" s="496"/>
      <c r="P211" s="496"/>
      <c r="Q211" s="496"/>
      <c r="R211" s="496"/>
      <c r="S211" s="496"/>
      <c r="T211" s="496"/>
      <c r="U211" s="496"/>
      <c r="V211" s="496"/>
      <c r="W211" s="497"/>
      <c r="X211" s="426"/>
    </row>
    <row r="212" spans="7:26" ht="15.5" thickBot="1" x14ac:dyDescent="0.9">
      <c r="G212" s="470"/>
      <c r="H212" s="468" t="s">
        <v>1475</v>
      </c>
      <c r="I212" s="498"/>
      <c r="J212" s="499"/>
      <c r="K212" s="499"/>
      <c r="L212" s="499"/>
      <c r="M212" s="499"/>
      <c r="N212" s="499"/>
      <c r="O212" s="499"/>
      <c r="P212" s="499"/>
      <c r="Q212" s="499"/>
      <c r="R212" s="499"/>
      <c r="S212" s="499"/>
      <c r="T212" s="499"/>
      <c r="U212" s="499"/>
      <c r="V212" s="499"/>
      <c r="W212" s="500"/>
      <c r="X212" s="426"/>
    </row>
    <row r="213" spans="7:26" ht="15.5" thickBot="1" x14ac:dyDescent="0.9">
      <c r="G213" s="461"/>
      <c r="H213" s="471"/>
      <c r="I213" s="472">
        <f>-I207-I208-I209+I210+I211-I212</f>
        <v>366825</v>
      </c>
      <c r="J213" s="473">
        <f t="shared" ref="J213:W213" si="73">-J207-J208-J209+J210+J211-J212</f>
        <v>4119436</v>
      </c>
      <c r="K213" s="473">
        <f t="shared" si="73"/>
        <v>1937975</v>
      </c>
      <c r="L213" s="473">
        <f t="shared" si="73"/>
        <v>222472</v>
      </c>
      <c r="M213" s="473">
        <f t="shared" si="73"/>
        <v>-278207</v>
      </c>
      <c r="N213" s="473">
        <f>-N207-N208-N209+N210+N211-N212</f>
        <v>292900</v>
      </c>
      <c r="O213" s="473">
        <f t="shared" si="73"/>
        <v>-247549</v>
      </c>
      <c r="P213" s="473">
        <f t="shared" si="73"/>
        <v>0</v>
      </c>
      <c r="Q213" s="473">
        <f t="shared" si="73"/>
        <v>0</v>
      </c>
      <c r="R213" s="473">
        <f t="shared" si="73"/>
        <v>0</v>
      </c>
      <c r="S213" s="473">
        <f t="shared" si="73"/>
        <v>0</v>
      </c>
      <c r="T213" s="473">
        <f t="shared" si="73"/>
        <v>0</v>
      </c>
      <c r="U213" s="473">
        <f t="shared" si="73"/>
        <v>0</v>
      </c>
      <c r="V213" s="473">
        <f t="shared" si="73"/>
        <v>0</v>
      </c>
      <c r="W213" s="474">
        <f t="shared" si="73"/>
        <v>0</v>
      </c>
      <c r="X213" s="426"/>
    </row>
    <row r="214" spans="7:26" ht="15.5" thickBot="1" x14ac:dyDescent="0.9">
      <c r="G214" s="461"/>
      <c r="H214" s="475"/>
      <c r="I214" s="461"/>
      <c r="J214" s="461"/>
      <c r="K214" s="461"/>
      <c r="L214" s="461"/>
      <c r="M214" s="461"/>
      <c r="N214" s="481"/>
      <c r="O214" s="461"/>
      <c r="P214" s="461"/>
      <c r="Q214" s="461"/>
      <c r="R214" s="461"/>
      <c r="S214" s="461"/>
      <c r="T214" s="461"/>
      <c r="U214" s="461"/>
      <c r="V214" s="461"/>
      <c r="W214" s="461"/>
      <c r="X214" s="426"/>
    </row>
    <row r="215" spans="7:26" ht="15.5" thickBot="1" x14ac:dyDescent="0.9">
      <c r="G215" s="461"/>
      <c r="H215" s="476" t="s">
        <v>1476</v>
      </c>
      <c r="I215" s="477">
        <f>I204+I206+I213</f>
        <v>5888994.1899999995</v>
      </c>
      <c r="J215" s="478">
        <f t="shared" ref="J215:W215" si="74">J204+J206+J213</f>
        <v>3596440.8499999996</v>
      </c>
      <c r="K215" s="478">
        <f t="shared" si="74"/>
        <v>2395842.4200000004</v>
      </c>
      <c r="L215" s="478">
        <f t="shared" si="74"/>
        <v>-208257.69999999972</v>
      </c>
      <c r="M215" s="478">
        <f t="shared" si="74"/>
        <v>-515117.88999999966</v>
      </c>
      <c r="N215" s="478">
        <f>N204+N206+N213</f>
        <v>418039.49000000022</v>
      </c>
      <c r="O215" s="478">
        <f t="shared" si="74"/>
        <v>698981.00999999978</v>
      </c>
      <c r="P215" s="478">
        <f t="shared" ca="1" si="74"/>
        <v>-1283072.5637565302</v>
      </c>
      <c r="Q215" s="478">
        <f t="shared" ca="1" si="74"/>
        <v>-427596.18098591641</v>
      </c>
      <c r="R215" s="478">
        <f t="shared" ca="1" si="74"/>
        <v>438242.10954042897</v>
      </c>
      <c r="S215" s="478">
        <f t="shared" ca="1" si="74"/>
        <v>-74089.959532418288</v>
      </c>
      <c r="T215" s="478">
        <f t="shared" ca="1" si="74"/>
        <v>2004383.6712049753</v>
      </c>
      <c r="U215" s="478">
        <f t="shared" ca="1" si="74"/>
        <v>487503.80988540797</v>
      </c>
      <c r="V215" s="478">
        <f t="shared" ca="1" si="74"/>
        <v>191806.27539122861</v>
      </c>
      <c r="W215" s="479">
        <f t="shared" ca="1" si="74"/>
        <v>543548.57614678959</v>
      </c>
      <c r="X215" s="426"/>
    </row>
    <row r="216" spans="7:26" ht="15.5" thickBot="1" x14ac:dyDescent="0.9">
      <c r="G216" s="461"/>
      <c r="H216" s="475"/>
      <c r="I216" s="461"/>
      <c r="J216" s="461"/>
      <c r="K216" s="461"/>
      <c r="L216" s="461"/>
      <c r="M216" s="461"/>
      <c r="N216" s="461"/>
      <c r="O216" s="461"/>
      <c r="P216" s="461"/>
      <c r="Q216" s="461"/>
      <c r="R216" s="461"/>
      <c r="S216" s="461"/>
      <c r="T216" s="461"/>
      <c r="U216" s="461"/>
      <c r="V216" s="461"/>
      <c r="W216" s="461"/>
      <c r="X216" s="426"/>
    </row>
    <row r="217" spans="7:26" ht="15.5" thickBot="1" x14ac:dyDescent="0.9">
      <c r="G217" s="461"/>
      <c r="H217" s="476" t="s">
        <v>1477</v>
      </c>
      <c r="I217" s="502">
        <f>I215</f>
        <v>5888994.1899999995</v>
      </c>
      <c r="J217" s="503">
        <f>I217+J215</f>
        <v>9485435.0399999991</v>
      </c>
      <c r="K217" s="503">
        <f t="shared" ref="K217:W217" si="75">J217+K215</f>
        <v>11881277.459999999</v>
      </c>
      <c r="L217" s="503">
        <f t="shared" si="75"/>
        <v>11673019.76</v>
      </c>
      <c r="M217" s="503">
        <f t="shared" si="75"/>
        <v>11157901.870000001</v>
      </c>
      <c r="N217" s="503">
        <f t="shared" si="75"/>
        <v>11575941.360000001</v>
      </c>
      <c r="O217" s="503">
        <f t="shared" si="75"/>
        <v>12274922.370000001</v>
      </c>
      <c r="P217" s="503">
        <f t="shared" ca="1" si="75"/>
        <v>10991849.806243472</v>
      </c>
      <c r="Q217" s="503">
        <f t="shared" ca="1" si="75"/>
        <v>10564253.625257555</v>
      </c>
      <c r="R217" s="503">
        <f t="shared" ca="1" si="75"/>
        <v>11002495.734797984</v>
      </c>
      <c r="S217" s="503">
        <f t="shared" ca="1" si="75"/>
        <v>10928405.775265567</v>
      </c>
      <c r="T217" s="503">
        <f t="shared" ca="1" si="75"/>
        <v>12932789.446470542</v>
      </c>
      <c r="U217" s="503">
        <f t="shared" ca="1" si="75"/>
        <v>13420293.256355951</v>
      </c>
      <c r="V217" s="503">
        <f t="shared" ca="1" si="75"/>
        <v>13612099.531747179</v>
      </c>
      <c r="W217" s="504">
        <f t="shared" ca="1" si="75"/>
        <v>14155648.107893968</v>
      </c>
      <c r="X217" s="426"/>
    </row>
    <row r="218" spans="7:26" x14ac:dyDescent="0.75">
      <c r="G218" s="461"/>
      <c r="H218" s="475"/>
      <c r="I218" s="461"/>
      <c r="J218" s="461"/>
      <c r="K218" s="461"/>
      <c r="L218" s="461"/>
      <c r="M218" s="461"/>
      <c r="N218" s="461"/>
      <c r="O218" s="461"/>
      <c r="P218" s="461"/>
      <c r="Q218" s="461"/>
      <c r="R218" s="461"/>
      <c r="S218" s="461"/>
      <c r="T218" s="461"/>
      <c r="U218" s="461"/>
      <c r="V218" s="461"/>
      <c r="W218" s="461"/>
      <c r="X218" s="426"/>
    </row>
    <row r="219" spans="7:26" ht="15.5" thickBot="1" x14ac:dyDescent="0.9">
      <c r="G219" s="461"/>
      <c r="H219" s="475"/>
      <c r="I219" s="461"/>
      <c r="J219" s="461"/>
      <c r="K219" s="461"/>
      <c r="L219" s="461"/>
      <c r="M219" s="461"/>
      <c r="N219" s="461"/>
      <c r="O219" s="461"/>
      <c r="P219" s="461"/>
      <c r="Q219" s="461"/>
      <c r="R219" s="461"/>
      <c r="S219" s="461"/>
      <c r="T219" s="461"/>
      <c r="U219" s="461"/>
      <c r="V219" s="461"/>
      <c r="W219" s="461"/>
      <c r="X219" s="426"/>
    </row>
    <row r="220" spans="7:26" ht="15.5" thickBot="1" x14ac:dyDescent="0.9">
      <c r="G220" s="461"/>
      <c r="H220" s="462" t="s">
        <v>1478</v>
      </c>
      <c r="I220" s="477">
        <f>G207+I207</f>
        <v>6614406</v>
      </c>
      <c r="J220" s="478">
        <f>I220+J207</f>
        <v>2677062</v>
      </c>
      <c r="K220" s="478">
        <f t="shared" ref="K220:W220" si="76">J220+K207</f>
        <v>655705</v>
      </c>
      <c r="L220" s="478">
        <f t="shared" si="76"/>
        <v>524439</v>
      </c>
      <c r="M220" s="478">
        <f t="shared" si="76"/>
        <v>384317</v>
      </c>
      <c r="N220" s="478">
        <f t="shared" si="76"/>
        <v>384361</v>
      </c>
      <c r="O220" s="478">
        <f t="shared" si="76"/>
        <v>373889</v>
      </c>
      <c r="P220" s="478">
        <f t="shared" si="76"/>
        <v>373889</v>
      </c>
      <c r="Q220" s="478">
        <f t="shared" si="76"/>
        <v>373889</v>
      </c>
      <c r="R220" s="478">
        <f t="shared" si="76"/>
        <v>373889</v>
      </c>
      <c r="S220" s="478">
        <f t="shared" si="76"/>
        <v>373889</v>
      </c>
      <c r="T220" s="478">
        <f t="shared" si="76"/>
        <v>373889</v>
      </c>
      <c r="U220" s="478">
        <f t="shared" si="76"/>
        <v>373889</v>
      </c>
      <c r="V220" s="478">
        <f t="shared" si="76"/>
        <v>373889</v>
      </c>
      <c r="W220" s="478">
        <f t="shared" si="76"/>
        <v>373889</v>
      </c>
      <c r="X220" s="426"/>
      <c r="Z220" s="379"/>
    </row>
    <row r="221" spans="7:26" ht="15.5" thickBot="1" x14ac:dyDescent="0.9">
      <c r="G221" s="461"/>
      <c r="H221" s="468" t="s">
        <v>1488</v>
      </c>
      <c r="I221" s="477">
        <f>G208+I208</f>
        <v>362616</v>
      </c>
      <c r="J221" s="478">
        <f>I221+J208</f>
        <v>388102</v>
      </c>
      <c r="K221" s="478">
        <f t="shared" ref="K221:W221" si="77">J221+K208</f>
        <v>384463</v>
      </c>
      <c r="L221" s="478">
        <f t="shared" si="77"/>
        <v>358411</v>
      </c>
      <c r="M221" s="478">
        <f t="shared" si="77"/>
        <v>364965</v>
      </c>
      <c r="N221" s="478">
        <f t="shared" si="77"/>
        <v>384834</v>
      </c>
      <c r="O221" s="478">
        <f t="shared" si="77"/>
        <v>376890</v>
      </c>
      <c r="P221" s="478">
        <f t="shared" si="77"/>
        <v>376890</v>
      </c>
      <c r="Q221" s="478">
        <f t="shared" si="77"/>
        <v>376890</v>
      </c>
      <c r="R221" s="478">
        <f t="shared" si="77"/>
        <v>376890</v>
      </c>
      <c r="S221" s="478">
        <f t="shared" si="77"/>
        <v>376890</v>
      </c>
      <c r="T221" s="478">
        <f t="shared" si="77"/>
        <v>376890</v>
      </c>
      <c r="U221" s="478">
        <f t="shared" si="77"/>
        <v>376890</v>
      </c>
      <c r="V221" s="478">
        <f t="shared" si="77"/>
        <v>376890</v>
      </c>
      <c r="W221" s="478">
        <f t="shared" si="77"/>
        <v>376890</v>
      </c>
      <c r="X221" s="426"/>
      <c r="Z221" s="379"/>
    </row>
    <row r="222" spans="7:26" ht="15.5" thickBot="1" x14ac:dyDescent="0.9">
      <c r="G222" s="461"/>
      <c r="H222" s="468" t="s">
        <v>1479</v>
      </c>
      <c r="I222" s="477">
        <f>G209+I209</f>
        <v>0</v>
      </c>
      <c r="J222" s="478">
        <f>I222+J209</f>
        <v>0</v>
      </c>
      <c r="K222" s="478">
        <f t="shared" ref="K222:W222" si="78">J222+K209</f>
        <v>0</v>
      </c>
      <c r="L222" s="478">
        <f t="shared" si="78"/>
        <v>0</v>
      </c>
      <c r="M222" s="478">
        <f t="shared" si="78"/>
        <v>0</v>
      </c>
      <c r="N222" s="478">
        <f t="shared" si="78"/>
        <v>0</v>
      </c>
      <c r="O222" s="478">
        <f t="shared" si="78"/>
        <v>0</v>
      </c>
      <c r="P222" s="478">
        <f t="shared" si="78"/>
        <v>0</v>
      </c>
      <c r="Q222" s="478">
        <f t="shared" si="78"/>
        <v>0</v>
      </c>
      <c r="R222" s="478">
        <f t="shared" si="78"/>
        <v>0</v>
      </c>
      <c r="S222" s="478">
        <f t="shared" si="78"/>
        <v>0</v>
      </c>
      <c r="T222" s="478">
        <f t="shared" si="78"/>
        <v>0</v>
      </c>
      <c r="U222" s="478">
        <f t="shared" si="78"/>
        <v>0</v>
      </c>
      <c r="V222" s="478">
        <f t="shared" si="78"/>
        <v>0</v>
      </c>
      <c r="W222" s="478">
        <f t="shared" si="78"/>
        <v>0</v>
      </c>
      <c r="X222" s="426"/>
      <c r="Z222" s="379"/>
    </row>
    <row r="223" spans="7:26" ht="15.5" thickBot="1" x14ac:dyDescent="0.9">
      <c r="G223" s="461"/>
      <c r="H223" s="471" t="s">
        <v>1480</v>
      </c>
      <c r="I223" s="477">
        <f>SUM(I220:I222)</f>
        <v>6977022</v>
      </c>
      <c r="J223" s="478">
        <f>SUM(J220:J222)</f>
        <v>3065164</v>
      </c>
      <c r="K223" s="478">
        <f t="shared" ref="K223:W223" si="79">SUM(K220:K222)</f>
        <v>1040168</v>
      </c>
      <c r="L223" s="478">
        <f t="shared" si="79"/>
        <v>882850</v>
      </c>
      <c r="M223" s="478">
        <f t="shared" si="79"/>
        <v>749282</v>
      </c>
      <c r="N223" s="478">
        <f t="shared" si="79"/>
        <v>769195</v>
      </c>
      <c r="O223" s="478">
        <f t="shared" si="79"/>
        <v>750779</v>
      </c>
      <c r="P223" s="478">
        <f t="shared" si="79"/>
        <v>750779</v>
      </c>
      <c r="Q223" s="478">
        <f t="shared" si="79"/>
        <v>750779</v>
      </c>
      <c r="R223" s="478">
        <f t="shared" si="79"/>
        <v>750779</v>
      </c>
      <c r="S223" s="478">
        <f t="shared" si="79"/>
        <v>750779</v>
      </c>
      <c r="T223" s="478">
        <f t="shared" si="79"/>
        <v>750779</v>
      </c>
      <c r="U223" s="478">
        <f t="shared" si="79"/>
        <v>750779</v>
      </c>
      <c r="V223" s="478">
        <f t="shared" si="79"/>
        <v>750779</v>
      </c>
      <c r="W223" s="478">
        <f t="shared" si="79"/>
        <v>750779</v>
      </c>
      <c r="X223" s="426"/>
      <c r="Z223" s="379"/>
    </row>
    <row r="224" spans="7:26" ht="15.5" thickBot="1" x14ac:dyDescent="0.9">
      <c r="G224" s="461"/>
      <c r="H224" s="475"/>
      <c r="I224" s="461"/>
      <c r="J224" s="461"/>
      <c r="K224" s="461"/>
      <c r="L224" s="461"/>
      <c r="M224" s="461"/>
      <c r="N224" s="461"/>
      <c r="O224" s="461"/>
      <c r="P224" s="461"/>
      <c r="Q224" s="461"/>
      <c r="R224" s="461"/>
      <c r="S224" s="461"/>
      <c r="T224" s="461"/>
      <c r="U224" s="461"/>
      <c r="V224" s="461"/>
      <c r="W224" s="461"/>
      <c r="X224" s="426"/>
      <c r="Z224" s="379"/>
    </row>
    <row r="225" spans="7:26" ht="15.5" thickBot="1" x14ac:dyDescent="0.9">
      <c r="G225" s="461"/>
      <c r="H225" s="462" t="s">
        <v>1489</v>
      </c>
      <c r="I225" s="477">
        <f>G210+I210</f>
        <v>3075294</v>
      </c>
      <c r="J225" s="478">
        <f>I225+J210</f>
        <v>3282872</v>
      </c>
      <c r="K225" s="478">
        <f t="shared" ref="K225:W225" si="80">J225+K210</f>
        <v>3195851</v>
      </c>
      <c r="L225" s="478">
        <f t="shared" si="80"/>
        <v>3261005</v>
      </c>
      <c r="M225" s="478">
        <f t="shared" si="80"/>
        <v>2849230</v>
      </c>
      <c r="N225" s="478">
        <f t="shared" si="80"/>
        <v>3162043</v>
      </c>
      <c r="O225" s="478">
        <f t="shared" si="80"/>
        <v>2896078</v>
      </c>
      <c r="P225" s="478">
        <f t="shared" si="80"/>
        <v>2896078</v>
      </c>
      <c r="Q225" s="478">
        <f t="shared" si="80"/>
        <v>2896078</v>
      </c>
      <c r="R225" s="478">
        <f t="shared" si="80"/>
        <v>2896078</v>
      </c>
      <c r="S225" s="478">
        <f t="shared" si="80"/>
        <v>2896078</v>
      </c>
      <c r="T225" s="478">
        <f t="shared" si="80"/>
        <v>2896078</v>
      </c>
      <c r="U225" s="478">
        <f t="shared" si="80"/>
        <v>2896078</v>
      </c>
      <c r="V225" s="478">
        <f t="shared" si="80"/>
        <v>2896078</v>
      </c>
      <c r="W225" s="478">
        <f t="shared" si="80"/>
        <v>2896078</v>
      </c>
      <c r="X225" s="426"/>
      <c r="Z225" s="379"/>
    </row>
    <row r="226" spans="7:26" ht="15.5" thickBot="1" x14ac:dyDescent="0.9">
      <c r="G226" s="461"/>
      <c r="H226" s="468" t="s">
        <v>1481</v>
      </c>
      <c r="I226" s="477">
        <f>G211+I211-G212-I212</f>
        <v>0</v>
      </c>
      <c r="J226" s="478">
        <f>I226+J211-J212</f>
        <v>0</v>
      </c>
      <c r="K226" s="478">
        <f t="shared" ref="K226:W226" si="81">J226+K211-K212</f>
        <v>0</v>
      </c>
      <c r="L226" s="478">
        <f t="shared" si="81"/>
        <v>0</v>
      </c>
      <c r="M226" s="478">
        <f t="shared" si="81"/>
        <v>0</v>
      </c>
      <c r="N226" s="478">
        <f t="shared" si="81"/>
        <v>0</v>
      </c>
      <c r="O226" s="478">
        <f t="shared" si="81"/>
        <v>0</v>
      </c>
      <c r="P226" s="478">
        <f t="shared" si="81"/>
        <v>0</v>
      </c>
      <c r="Q226" s="478">
        <f t="shared" si="81"/>
        <v>0</v>
      </c>
      <c r="R226" s="478">
        <f t="shared" si="81"/>
        <v>0</v>
      </c>
      <c r="S226" s="478">
        <f t="shared" si="81"/>
        <v>0</v>
      </c>
      <c r="T226" s="478">
        <f t="shared" si="81"/>
        <v>0</v>
      </c>
      <c r="U226" s="478">
        <f t="shared" si="81"/>
        <v>0</v>
      </c>
      <c r="V226" s="478">
        <f t="shared" si="81"/>
        <v>0</v>
      </c>
      <c r="W226" s="478">
        <f t="shared" si="81"/>
        <v>0</v>
      </c>
      <c r="X226" s="426"/>
      <c r="Z226" s="379"/>
    </row>
    <row r="227" spans="7:26" ht="15.5" thickBot="1" x14ac:dyDescent="0.9">
      <c r="G227" s="461"/>
      <c r="H227" s="471" t="s">
        <v>1480</v>
      </c>
      <c r="I227" s="477">
        <f>SUM(I225:I226)</f>
        <v>3075294</v>
      </c>
      <c r="J227" s="478">
        <f>SUM(J225:J226)</f>
        <v>3282872</v>
      </c>
      <c r="K227" s="478">
        <f t="shared" ref="K227:W227" si="82">SUM(K225:K226)</f>
        <v>3195851</v>
      </c>
      <c r="L227" s="478">
        <f t="shared" si="82"/>
        <v>3261005</v>
      </c>
      <c r="M227" s="478">
        <f t="shared" si="82"/>
        <v>2849230</v>
      </c>
      <c r="N227" s="478">
        <f t="shared" si="82"/>
        <v>3162043</v>
      </c>
      <c r="O227" s="478">
        <f t="shared" si="82"/>
        <v>2896078</v>
      </c>
      <c r="P227" s="478">
        <f t="shared" si="82"/>
        <v>2896078</v>
      </c>
      <c r="Q227" s="478">
        <f t="shared" si="82"/>
        <v>2896078</v>
      </c>
      <c r="R227" s="478">
        <f t="shared" si="82"/>
        <v>2896078</v>
      </c>
      <c r="S227" s="478">
        <f t="shared" si="82"/>
        <v>2896078</v>
      </c>
      <c r="T227" s="478">
        <f t="shared" si="82"/>
        <v>2896078</v>
      </c>
      <c r="U227" s="478">
        <f t="shared" si="82"/>
        <v>2896078</v>
      </c>
      <c r="V227" s="478">
        <f t="shared" si="82"/>
        <v>2896078</v>
      </c>
      <c r="W227" s="478">
        <f t="shared" si="82"/>
        <v>2896078</v>
      </c>
      <c r="X227" s="426"/>
      <c r="Z227" s="379"/>
    </row>
    <row r="228" spans="7:26" ht="15.5" thickBot="1" x14ac:dyDescent="0.9">
      <c r="G228" s="461"/>
      <c r="H228" s="475"/>
      <c r="I228" s="461"/>
      <c r="J228" s="461"/>
      <c r="K228" s="461"/>
      <c r="L228" s="461"/>
      <c r="M228" s="461"/>
      <c r="N228" s="461"/>
      <c r="O228" s="461"/>
      <c r="P228" s="461"/>
      <c r="Q228" s="461"/>
      <c r="R228" s="461"/>
      <c r="S228" s="461"/>
      <c r="T228" s="461"/>
      <c r="U228" s="461"/>
      <c r="V228" s="461"/>
      <c r="W228" s="461"/>
      <c r="X228" s="426"/>
      <c r="Z228" s="379"/>
    </row>
    <row r="229" spans="7:26" ht="15.5" thickBot="1" x14ac:dyDescent="0.9">
      <c r="G229" s="461"/>
      <c r="H229" s="462" t="s">
        <v>1482</v>
      </c>
      <c r="I229" s="477">
        <f>I204+I230</f>
        <v>9790721.1899999995</v>
      </c>
      <c r="J229" s="478">
        <f>I229+J204</f>
        <v>9267726.0399999991</v>
      </c>
      <c r="K229" s="478">
        <f t="shared" ref="K229:W229" si="83">J229+K204</f>
        <v>9725593.459999999</v>
      </c>
      <c r="L229" s="478">
        <f t="shared" si="83"/>
        <v>9294863.7599999998</v>
      </c>
      <c r="M229" s="478">
        <f t="shared" si="83"/>
        <v>9057952.870000001</v>
      </c>
      <c r="N229" s="478">
        <f t="shared" si="83"/>
        <v>9183092.3600000013</v>
      </c>
      <c r="O229" s="478">
        <f t="shared" si="83"/>
        <v>10129622.370000001</v>
      </c>
      <c r="P229" s="478">
        <f t="shared" ca="1" si="83"/>
        <v>8846549.8062434718</v>
      </c>
      <c r="Q229" s="478">
        <f t="shared" ca="1" si="83"/>
        <v>8418953.6252575554</v>
      </c>
      <c r="R229" s="478">
        <f t="shared" ca="1" si="83"/>
        <v>8857195.7347979844</v>
      </c>
      <c r="S229" s="478">
        <f t="shared" ca="1" si="83"/>
        <v>8783105.775265567</v>
      </c>
      <c r="T229" s="478">
        <f t="shared" ca="1" si="83"/>
        <v>10787489.446470542</v>
      </c>
      <c r="U229" s="478">
        <f t="shared" ca="1" si="83"/>
        <v>11274993.256355951</v>
      </c>
      <c r="V229" s="478">
        <f t="shared" ca="1" si="83"/>
        <v>11466799.531747179</v>
      </c>
      <c r="W229" s="478">
        <f t="shared" ca="1" si="83"/>
        <v>12010348.107893968</v>
      </c>
      <c r="X229" s="426"/>
      <c r="Z229" s="379"/>
    </row>
    <row r="230" spans="7:26" ht="15.5" thickBot="1" x14ac:dyDescent="0.9">
      <c r="G230" s="461"/>
      <c r="H230" s="471" t="s">
        <v>1483</v>
      </c>
      <c r="I230" s="463">
        <v>10736911</v>
      </c>
      <c r="J230" s="461"/>
      <c r="K230" s="461"/>
      <c r="L230" s="461"/>
      <c r="M230" s="461"/>
      <c r="N230" s="461"/>
      <c r="O230" s="461"/>
      <c r="P230" s="461"/>
      <c r="Q230" s="461"/>
      <c r="R230" s="461"/>
      <c r="S230" s="461"/>
      <c r="T230" s="461"/>
      <c r="U230" s="461"/>
      <c r="V230" s="461"/>
      <c r="W230" s="461"/>
      <c r="X230" s="426"/>
      <c r="Z230" s="379"/>
    </row>
    <row r="231" spans="7:26" x14ac:dyDescent="0.75">
      <c r="G231" s="461"/>
      <c r="H231" s="475"/>
      <c r="I231" s="461"/>
      <c r="J231" s="461"/>
      <c r="K231" s="461"/>
      <c r="L231" s="461"/>
      <c r="M231" s="461"/>
      <c r="N231" s="461"/>
      <c r="O231" s="461"/>
      <c r="P231" s="461"/>
      <c r="Q231" s="461"/>
      <c r="R231" s="461"/>
      <c r="S231" s="461"/>
      <c r="T231" s="461"/>
      <c r="U231" s="461"/>
      <c r="V231" s="461"/>
      <c r="W231" s="461"/>
      <c r="X231" s="426"/>
      <c r="Z231" s="379"/>
    </row>
    <row r="232" spans="7:26" x14ac:dyDescent="0.75">
      <c r="G232" s="461"/>
      <c r="H232" s="480" t="s">
        <v>1484</v>
      </c>
      <c r="I232" s="481">
        <f>I217+I223</f>
        <v>12866016.189999999</v>
      </c>
      <c r="J232" s="481">
        <f t="shared" ref="J232:W232" si="84">J217+J223</f>
        <v>12550599.039999999</v>
      </c>
      <c r="K232" s="481">
        <f t="shared" si="84"/>
        <v>12921445.459999999</v>
      </c>
      <c r="L232" s="481">
        <f t="shared" si="84"/>
        <v>12555869.76</v>
      </c>
      <c r="M232" s="481">
        <f t="shared" si="84"/>
        <v>11907183.870000001</v>
      </c>
      <c r="N232" s="481">
        <f t="shared" si="84"/>
        <v>12345136.360000001</v>
      </c>
      <c r="O232" s="481">
        <f t="shared" si="84"/>
        <v>13025701.370000001</v>
      </c>
      <c r="P232" s="481">
        <f t="shared" ca="1" si="84"/>
        <v>11742628.806243472</v>
      </c>
      <c r="Q232" s="481">
        <f t="shared" ca="1" si="84"/>
        <v>11315032.625257555</v>
      </c>
      <c r="R232" s="481">
        <f t="shared" ca="1" si="84"/>
        <v>11753274.734797984</v>
      </c>
      <c r="S232" s="481">
        <f t="shared" ca="1" si="84"/>
        <v>11679184.775265567</v>
      </c>
      <c r="T232" s="481">
        <f t="shared" ca="1" si="84"/>
        <v>13683568.446470542</v>
      </c>
      <c r="U232" s="481">
        <f t="shared" ca="1" si="84"/>
        <v>14171072.256355951</v>
      </c>
      <c r="V232" s="481">
        <f t="shared" ca="1" si="84"/>
        <v>14362878.531747179</v>
      </c>
      <c r="W232" s="481">
        <f t="shared" ca="1" si="84"/>
        <v>14906427.107893968</v>
      </c>
      <c r="X232" s="426"/>
      <c r="Z232" s="379"/>
    </row>
    <row r="233" spans="7:26" x14ac:dyDescent="0.75">
      <c r="G233" s="461"/>
      <c r="H233" s="480" t="s">
        <v>1485</v>
      </c>
      <c r="I233" s="481">
        <f>I227+I229</f>
        <v>12866015.189999999</v>
      </c>
      <c r="J233" s="481">
        <f t="shared" ref="J233:W233" si="85">J227+J229</f>
        <v>12550598.039999999</v>
      </c>
      <c r="K233" s="481">
        <f t="shared" si="85"/>
        <v>12921444.459999999</v>
      </c>
      <c r="L233" s="481">
        <f t="shared" si="85"/>
        <v>12555868.76</v>
      </c>
      <c r="M233" s="481">
        <f t="shared" si="85"/>
        <v>11907182.870000001</v>
      </c>
      <c r="N233" s="481">
        <f t="shared" si="85"/>
        <v>12345135.360000001</v>
      </c>
      <c r="O233" s="481">
        <f t="shared" si="85"/>
        <v>13025700.370000001</v>
      </c>
      <c r="P233" s="481">
        <f t="shared" ca="1" si="85"/>
        <v>11742627.806243472</v>
      </c>
      <c r="Q233" s="481">
        <f t="shared" ca="1" si="85"/>
        <v>11315031.625257555</v>
      </c>
      <c r="R233" s="481">
        <f t="shared" ca="1" si="85"/>
        <v>11753273.734797984</v>
      </c>
      <c r="S233" s="481">
        <f t="shared" ca="1" si="85"/>
        <v>11679183.775265567</v>
      </c>
      <c r="T233" s="481">
        <f t="shared" ca="1" si="85"/>
        <v>13683567.446470542</v>
      </c>
      <c r="U233" s="481">
        <f t="shared" ca="1" si="85"/>
        <v>14171071.256355951</v>
      </c>
      <c r="V233" s="481">
        <f t="shared" ca="1" si="85"/>
        <v>14362877.531747179</v>
      </c>
      <c r="W233" s="481">
        <f t="shared" ca="1" si="85"/>
        <v>14906426.107893968</v>
      </c>
      <c r="X233" s="426"/>
      <c r="Z233" s="379"/>
    </row>
    <row r="234" spans="7:26" x14ac:dyDescent="0.75">
      <c r="G234" s="461"/>
      <c r="H234" s="480" t="s">
        <v>1486</v>
      </c>
      <c r="I234" s="482">
        <f>I232-I233</f>
        <v>1</v>
      </c>
      <c r="J234" s="482">
        <f t="shared" ref="J234:W234" si="86">J232-J233</f>
        <v>1</v>
      </c>
      <c r="K234" s="482">
        <f t="shared" si="86"/>
        <v>1</v>
      </c>
      <c r="L234" s="482">
        <f t="shared" si="86"/>
        <v>1</v>
      </c>
      <c r="M234" s="482">
        <f t="shared" si="86"/>
        <v>1</v>
      </c>
      <c r="N234" s="482">
        <f t="shared" si="86"/>
        <v>1</v>
      </c>
      <c r="O234" s="482">
        <f t="shared" si="86"/>
        <v>1</v>
      </c>
      <c r="P234" s="482">
        <f t="shared" ca="1" si="86"/>
        <v>1</v>
      </c>
      <c r="Q234" s="482">
        <f t="shared" ca="1" si="86"/>
        <v>1</v>
      </c>
      <c r="R234" s="482">
        <f t="shared" ca="1" si="86"/>
        <v>1</v>
      </c>
      <c r="S234" s="482">
        <f t="shared" ca="1" si="86"/>
        <v>1</v>
      </c>
      <c r="T234" s="482">
        <f t="shared" ca="1" si="86"/>
        <v>1</v>
      </c>
      <c r="U234" s="482">
        <f t="shared" ca="1" si="86"/>
        <v>1</v>
      </c>
      <c r="V234" s="482">
        <f t="shared" ca="1" si="86"/>
        <v>1</v>
      </c>
      <c r="W234" s="482">
        <f t="shared" ca="1" si="86"/>
        <v>1</v>
      </c>
      <c r="X234" s="426"/>
      <c r="Z234" s="379"/>
    </row>
    <row r="235" spans="7:26" x14ac:dyDescent="0.75">
      <c r="H235" s="425"/>
      <c r="X235" s="426"/>
      <c r="Z235" s="379"/>
    </row>
    <row r="236" spans="7:26" x14ac:dyDescent="0.75">
      <c r="H236" s="425"/>
      <c r="X236" s="426"/>
      <c r="Z236" s="379"/>
    </row>
    <row r="237" spans="7:26" x14ac:dyDescent="0.75">
      <c r="H237" s="425"/>
      <c r="X237" s="426"/>
      <c r="Z237" s="379"/>
    </row>
    <row r="238" spans="7:26" x14ac:dyDescent="0.75">
      <c r="H238" s="425"/>
      <c r="X238" s="426"/>
      <c r="Z238" s="379"/>
    </row>
    <row r="239" spans="7:26" x14ac:dyDescent="0.75">
      <c r="H239" s="425"/>
      <c r="X239" s="426"/>
      <c r="Z239" s="379"/>
    </row>
    <row r="240" spans="7:26" x14ac:dyDescent="0.75">
      <c r="H240" s="425"/>
      <c r="X240" s="426"/>
      <c r="Z240" s="379"/>
    </row>
    <row r="241" spans="8:26" x14ac:dyDescent="0.75">
      <c r="H241" s="425"/>
      <c r="X241" s="426"/>
      <c r="Z241" s="379"/>
    </row>
    <row r="242" spans="8:26" x14ac:dyDescent="0.75">
      <c r="H242" s="425"/>
      <c r="X242" s="426"/>
      <c r="Z242" s="379"/>
    </row>
    <row r="243" spans="8:26" x14ac:dyDescent="0.75">
      <c r="H243" s="425"/>
      <c r="X243" s="426"/>
      <c r="Z243" s="379"/>
    </row>
    <row r="244" spans="8:26" x14ac:dyDescent="0.75">
      <c r="H244" s="425"/>
      <c r="X244" s="426"/>
      <c r="Z244" s="379"/>
    </row>
    <row r="245" spans="8:26" x14ac:dyDescent="0.75">
      <c r="H245" s="425"/>
      <c r="X245" s="426"/>
      <c r="Z245" s="379"/>
    </row>
    <row r="246" spans="8:26" x14ac:dyDescent="0.75">
      <c r="H246" s="425"/>
      <c r="X246" s="426"/>
      <c r="Z246" s="379"/>
    </row>
    <row r="247" spans="8:26" x14ac:dyDescent="0.75">
      <c r="H247" s="425"/>
      <c r="X247" s="426"/>
      <c r="Z247" s="379"/>
    </row>
    <row r="248" spans="8:26" x14ac:dyDescent="0.75">
      <c r="H248" s="425"/>
      <c r="X248" s="426"/>
      <c r="Z248" s="379"/>
    </row>
    <row r="249" spans="8:26" x14ac:dyDescent="0.75">
      <c r="H249" s="425"/>
      <c r="X249" s="426"/>
      <c r="Z249" s="379"/>
    </row>
    <row r="250" spans="8:26" x14ac:dyDescent="0.75">
      <c r="H250" s="425"/>
      <c r="X250" s="426"/>
      <c r="Z250" s="379"/>
    </row>
    <row r="251" spans="8:26" x14ac:dyDescent="0.75">
      <c r="H251" s="425"/>
      <c r="X251" s="426"/>
      <c r="Z251" s="379"/>
    </row>
    <row r="252" spans="8:26" x14ac:dyDescent="0.75">
      <c r="H252" s="425"/>
      <c r="X252" s="426"/>
      <c r="Z252" s="379"/>
    </row>
    <row r="253" spans="8:26" x14ac:dyDescent="0.75">
      <c r="H253" s="425"/>
      <c r="X253" s="426"/>
      <c r="Z253" s="379"/>
    </row>
    <row r="254" spans="8:26" x14ac:dyDescent="0.75">
      <c r="H254" s="425"/>
      <c r="X254" s="426"/>
      <c r="Z254" s="379"/>
    </row>
    <row r="255" spans="8:26" x14ac:dyDescent="0.75">
      <c r="H255" s="425"/>
      <c r="X255" s="426"/>
      <c r="Z255" s="379"/>
    </row>
    <row r="256" spans="8:26" x14ac:dyDescent="0.75">
      <c r="H256" s="425"/>
      <c r="X256" s="426"/>
      <c r="Z256" s="379"/>
    </row>
    <row r="257" spans="8:26" x14ac:dyDescent="0.75">
      <c r="H257" s="425"/>
      <c r="X257" s="426"/>
      <c r="Z257" s="379"/>
    </row>
    <row r="258" spans="8:26" x14ac:dyDescent="0.75">
      <c r="H258" s="425"/>
      <c r="X258" s="426"/>
      <c r="Z258" s="379"/>
    </row>
    <row r="259" spans="8:26" x14ac:dyDescent="0.75">
      <c r="H259" s="425"/>
      <c r="X259" s="426"/>
      <c r="Z259" s="379"/>
    </row>
    <row r="260" spans="8:26" x14ac:dyDescent="0.75">
      <c r="H260" s="425"/>
      <c r="X260" s="426"/>
      <c r="Z260" s="379"/>
    </row>
    <row r="261" spans="8:26" x14ac:dyDescent="0.75">
      <c r="H261" s="425"/>
      <c r="X261" s="426"/>
      <c r="Z261" s="379"/>
    </row>
    <row r="262" spans="8:26" x14ac:dyDescent="0.75">
      <c r="H262" s="425"/>
      <c r="X262" s="426"/>
      <c r="Z262" s="379"/>
    </row>
    <row r="263" spans="8:26" x14ac:dyDescent="0.75">
      <c r="H263" s="425"/>
      <c r="X263" s="426"/>
      <c r="Z263" s="379"/>
    </row>
    <row r="264" spans="8:26" x14ac:dyDescent="0.75">
      <c r="H264" s="425"/>
      <c r="X264" s="426"/>
      <c r="Z264" s="379"/>
    </row>
    <row r="265" spans="8:26" x14ac:dyDescent="0.75">
      <c r="H265" s="425"/>
      <c r="X265" s="426"/>
      <c r="Z265" s="379"/>
    </row>
    <row r="266" spans="8:26" x14ac:dyDescent="0.75">
      <c r="H266" s="425"/>
      <c r="X266" s="426"/>
      <c r="Z266" s="379"/>
    </row>
    <row r="267" spans="8:26" x14ac:dyDescent="0.75">
      <c r="H267" s="425"/>
      <c r="X267" s="426"/>
      <c r="Z267" s="379"/>
    </row>
    <row r="268" spans="8:26" x14ac:dyDescent="0.75">
      <c r="H268" s="425"/>
      <c r="X268" s="426"/>
      <c r="Z268" s="379"/>
    </row>
    <row r="269" spans="8:26" x14ac:dyDescent="0.75">
      <c r="H269" s="425"/>
      <c r="X269" s="426"/>
      <c r="Z269" s="379"/>
    </row>
    <row r="270" spans="8:26" x14ac:dyDescent="0.75">
      <c r="H270" s="425"/>
      <c r="X270" s="426"/>
      <c r="Z270" s="379"/>
    </row>
    <row r="271" spans="8:26" x14ac:dyDescent="0.75">
      <c r="H271" s="425"/>
      <c r="X271" s="426"/>
      <c r="Z271" s="379"/>
    </row>
    <row r="272" spans="8:26" x14ac:dyDescent="0.75">
      <c r="H272" s="425"/>
      <c r="X272" s="426"/>
      <c r="Z272" s="379"/>
    </row>
    <row r="273" spans="8:26" x14ac:dyDescent="0.75">
      <c r="H273" s="425"/>
      <c r="X273" s="426"/>
      <c r="Z273" s="379"/>
    </row>
    <row r="274" spans="8:26" x14ac:dyDescent="0.75">
      <c r="H274" s="425"/>
      <c r="X274" s="426"/>
      <c r="Z274" s="379"/>
    </row>
    <row r="275" spans="8:26" x14ac:dyDescent="0.75">
      <c r="H275" s="425"/>
      <c r="X275" s="426"/>
      <c r="Z275" s="379"/>
    </row>
    <row r="276" spans="8:26" x14ac:dyDescent="0.75">
      <c r="H276" s="425"/>
      <c r="X276" s="426"/>
      <c r="Z276" s="379"/>
    </row>
    <row r="277" spans="8:26" x14ac:dyDescent="0.75">
      <c r="H277" s="425"/>
      <c r="X277" s="426"/>
      <c r="Z277" s="379"/>
    </row>
    <row r="278" spans="8:26" x14ac:dyDescent="0.75">
      <c r="H278" s="425"/>
      <c r="X278" s="426"/>
      <c r="Z278" s="379"/>
    </row>
    <row r="279" spans="8:26" x14ac:dyDescent="0.75">
      <c r="H279" s="425"/>
      <c r="X279" s="426"/>
      <c r="Z279" s="379"/>
    </row>
    <row r="280" spans="8:26" x14ac:dyDescent="0.75">
      <c r="H280" s="425"/>
      <c r="X280" s="426"/>
      <c r="Z280" s="379"/>
    </row>
    <row r="281" spans="8:26" x14ac:dyDescent="0.75">
      <c r="H281" s="425"/>
      <c r="X281" s="426"/>
      <c r="Z281" s="379"/>
    </row>
    <row r="282" spans="8:26" x14ac:dyDescent="0.75">
      <c r="H282" s="425"/>
      <c r="X282" s="426"/>
      <c r="Z282" s="379"/>
    </row>
    <row r="283" spans="8:26" x14ac:dyDescent="0.75">
      <c r="H283" s="425"/>
      <c r="X283" s="426"/>
      <c r="Z283" s="379"/>
    </row>
    <row r="284" spans="8:26" x14ac:dyDescent="0.75">
      <c r="H284" s="425"/>
      <c r="X284" s="426"/>
      <c r="Z284" s="379"/>
    </row>
    <row r="285" spans="8:26" x14ac:dyDescent="0.75">
      <c r="H285" s="425"/>
      <c r="X285" s="426"/>
      <c r="Z285" s="379"/>
    </row>
    <row r="286" spans="8:26" x14ac:dyDescent="0.75">
      <c r="H286" s="425"/>
      <c r="X286" s="426"/>
      <c r="Z286" s="379"/>
    </row>
    <row r="287" spans="8:26" x14ac:dyDescent="0.75">
      <c r="H287" s="425"/>
      <c r="X287" s="426"/>
      <c r="Z287" s="379"/>
    </row>
    <row r="288" spans="8:26" x14ac:dyDescent="0.75">
      <c r="H288" s="425"/>
      <c r="X288" s="426"/>
      <c r="Z288" s="379"/>
    </row>
    <row r="289" spans="8:26" x14ac:dyDescent="0.75">
      <c r="H289" s="425"/>
      <c r="X289" s="426"/>
      <c r="Z289" s="379"/>
    </row>
    <row r="290" spans="8:26" x14ac:dyDescent="0.75">
      <c r="H290" s="425"/>
      <c r="X290" s="426"/>
      <c r="Z290" s="379"/>
    </row>
    <row r="291" spans="8:26" x14ac:dyDescent="0.75">
      <c r="H291" s="425"/>
      <c r="X291" s="426"/>
      <c r="Z291" s="379"/>
    </row>
    <row r="292" spans="8:26" x14ac:dyDescent="0.75">
      <c r="H292" s="425"/>
      <c r="X292" s="426"/>
      <c r="Z292" s="379"/>
    </row>
    <row r="293" spans="8:26" x14ac:dyDescent="0.75">
      <c r="H293" s="425"/>
      <c r="X293" s="426"/>
      <c r="Z293" s="379"/>
    </row>
    <row r="294" spans="8:26" x14ac:dyDescent="0.75">
      <c r="H294" s="425"/>
      <c r="X294" s="426"/>
      <c r="Z294" s="379"/>
    </row>
    <row r="295" spans="8:26" x14ac:dyDescent="0.75">
      <c r="H295" s="425"/>
      <c r="X295" s="426"/>
      <c r="Z295" s="379"/>
    </row>
    <row r="296" spans="8:26" x14ac:dyDescent="0.75">
      <c r="H296" s="425"/>
      <c r="X296" s="426"/>
      <c r="Z296" s="379"/>
    </row>
    <row r="297" spans="8:26" x14ac:dyDescent="0.75">
      <c r="H297" s="425"/>
      <c r="X297" s="426"/>
      <c r="Z297" s="379"/>
    </row>
    <row r="298" spans="8:26" x14ac:dyDescent="0.75">
      <c r="H298" s="425"/>
      <c r="X298" s="426"/>
      <c r="Z298" s="379"/>
    </row>
    <row r="299" spans="8:26" x14ac:dyDescent="0.75">
      <c r="H299" s="425"/>
      <c r="X299" s="426"/>
      <c r="Z299" s="379"/>
    </row>
    <row r="300" spans="8:26" x14ac:dyDescent="0.75">
      <c r="H300" s="425"/>
      <c r="X300" s="426"/>
      <c r="Z300" s="379"/>
    </row>
    <row r="301" spans="8:26" x14ac:dyDescent="0.75">
      <c r="H301" s="425"/>
      <c r="X301" s="426"/>
      <c r="Z301" s="379"/>
    </row>
    <row r="302" spans="8:26" x14ac:dyDescent="0.75">
      <c r="H302" s="425"/>
      <c r="X302" s="426"/>
      <c r="Z302" s="379"/>
    </row>
    <row r="303" spans="8:26" x14ac:dyDescent="0.75">
      <c r="H303" s="425"/>
      <c r="X303" s="426"/>
      <c r="Z303" s="379"/>
    </row>
    <row r="304" spans="8:26" x14ac:dyDescent="0.75">
      <c r="H304" s="425"/>
      <c r="X304" s="426"/>
      <c r="Z304" s="379"/>
    </row>
    <row r="305" spans="8:26" x14ac:dyDescent="0.75">
      <c r="H305" s="425"/>
      <c r="X305" s="426"/>
      <c r="Z305" s="379"/>
    </row>
    <row r="306" spans="8:26" x14ac:dyDescent="0.75">
      <c r="H306" s="425"/>
      <c r="X306" s="426"/>
      <c r="Z306" s="379"/>
    </row>
    <row r="307" spans="8:26" x14ac:dyDescent="0.75">
      <c r="H307" s="425"/>
      <c r="X307" s="426"/>
      <c r="Z307" s="379"/>
    </row>
    <row r="308" spans="8:26" x14ac:dyDescent="0.75">
      <c r="H308" s="425"/>
      <c r="X308" s="426"/>
      <c r="Z308" s="379"/>
    </row>
    <row r="309" spans="8:26" x14ac:dyDescent="0.75">
      <c r="H309" s="425"/>
      <c r="X309" s="426"/>
      <c r="Z309" s="379"/>
    </row>
    <row r="310" spans="8:26" x14ac:dyDescent="0.75">
      <c r="H310" s="425"/>
      <c r="X310" s="426"/>
      <c r="Z310" s="379"/>
    </row>
    <row r="311" spans="8:26" x14ac:dyDescent="0.75">
      <c r="H311" s="425"/>
      <c r="X311" s="426"/>
      <c r="Z311" s="379"/>
    </row>
    <row r="312" spans="8:26" x14ac:dyDescent="0.75">
      <c r="H312" s="425"/>
      <c r="X312" s="426"/>
      <c r="Z312" s="379"/>
    </row>
    <row r="313" spans="8:26" x14ac:dyDescent="0.75">
      <c r="H313" s="425"/>
      <c r="X313" s="426"/>
      <c r="Z313" s="379"/>
    </row>
    <row r="314" spans="8:26" x14ac:dyDescent="0.75">
      <c r="H314" s="425"/>
      <c r="X314" s="426"/>
      <c r="Z314" s="379"/>
    </row>
    <row r="315" spans="8:26" x14ac:dyDescent="0.75">
      <c r="H315" s="425"/>
      <c r="X315" s="426"/>
      <c r="Z315" s="379"/>
    </row>
    <row r="316" spans="8:26" x14ac:dyDescent="0.75">
      <c r="H316" s="425"/>
      <c r="X316" s="426"/>
      <c r="Z316" s="379"/>
    </row>
    <row r="317" spans="8:26" x14ac:dyDescent="0.75">
      <c r="H317" s="425"/>
      <c r="X317" s="426"/>
      <c r="Z317" s="379"/>
    </row>
    <row r="318" spans="8:26" x14ac:dyDescent="0.75">
      <c r="H318" s="425"/>
      <c r="X318" s="426"/>
      <c r="Z318" s="379"/>
    </row>
    <row r="319" spans="8:26" x14ac:dyDescent="0.75">
      <c r="H319" s="425"/>
      <c r="X319" s="426"/>
      <c r="Z319" s="379"/>
    </row>
    <row r="320" spans="8:26" x14ac:dyDescent="0.75">
      <c r="H320" s="425"/>
      <c r="X320" s="426"/>
      <c r="Z320" s="379"/>
    </row>
    <row r="321" spans="8:26" x14ac:dyDescent="0.75">
      <c r="H321" s="425"/>
      <c r="X321" s="426"/>
      <c r="Z321" s="379"/>
    </row>
    <row r="322" spans="8:26" x14ac:dyDescent="0.75">
      <c r="H322" s="425"/>
      <c r="X322" s="426"/>
      <c r="Z322" s="379"/>
    </row>
    <row r="323" spans="8:26" x14ac:dyDescent="0.75">
      <c r="H323" s="425"/>
      <c r="X323" s="426"/>
      <c r="Z323" s="379"/>
    </row>
    <row r="324" spans="8:26" x14ac:dyDescent="0.75">
      <c r="H324" s="425"/>
      <c r="X324" s="426"/>
      <c r="Z324" s="379"/>
    </row>
    <row r="325" spans="8:26" x14ac:dyDescent="0.75">
      <c r="H325" s="425"/>
      <c r="X325" s="426"/>
      <c r="Z325" s="379"/>
    </row>
    <row r="326" spans="8:26" x14ac:dyDescent="0.75">
      <c r="H326" s="425"/>
      <c r="X326" s="426"/>
      <c r="Z326" s="379"/>
    </row>
    <row r="327" spans="8:26" x14ac:dyDescent="0.75">
      <c r="H327" s="425"/>
      <c r="X327" s="426"/>
      <c r="Z327" s="379"/>
    </row>
    <row r="328" spans="8:26" x14ac:dyDescent="0.75">
      <c r="H328" s="425"/>
      <c r="X328" s="426"/>
      <c r="Z328" s="379"/>
    </row>
    <row r="329" spans="8:26" x14ac:dyDescent="0.75">
      <c r="H329" s="425"/>
      <c r="X329" s="426"/>
      <c r="Z329" s="379"/>
    </row>
    <row r="330" spans="8:26" x14ac:dyDescent="0.75">
      <c r="H330" s="425"/>
      <c r="X330" s="426"/>
      <c r="Z330" s="379"/>
    </row>
    <row r="331" spans="8:26" x14ac:dyDescent="0.75">
      <c r="H331" s="425"/>
      <c r="X331" s="426"/>
      <c r="Z331" s="379"/>
    </row>
    <row r="332" spans="8:26" x14ac:dyDescent="0.75">
      <c r="H332" s="425"/>
      <c r="X332" s="426"/>
      <c r="Z332" s="379"/>
    </row>
    <row r="333" spans="8:26" x14ac:dyDescent="0.75">
      <c r="H333" s="425"/>
      <c r="X333" s="426"/>
      <c r="Z333" s="379"/>
    </row>
    <row r="334" spans="8:26" x14ac:dyDescent="0.75">
      <c r="H334" s="425"/>
      <c r="X334" s="426"/>
      <c r="Z334" s="379"/>
    </row>
    <row r="335" spans="8:26" x14ac:dyDescent="0.75">
      <c r="H335" s="425"/>
      <c r="X335" s="426"/>
      <c r="Z335" s="379"/>
    </row>
    <row r="336" spans="8:26" x14ac:dyDescent="0.75">
      <c r="H336" s="425"/>
      <c r="X336" s="426"/>
      <c r="Z336" s="379"/>
    </row>
    <row r="337" spans="8:26" x14ac:dyDescent="0.75">
      <c r="H337" s="425"/>
      <c r="X337" s="426"/>
      <c r="Z337" s="379"/>
    </row>
    <row r="338" spans="8:26" x14ac:dyDescent="0.75">
      <c r="H338" s="425"/>
      <c r="X338" s="426"/>
      <c r="Z338" s="379"/>
    </row>
    <row r="339" spans="8:26" x14ac:dyDescent="0.75">
      <c r="H339" s="425"/>
      <c r="X339" s="426"/>
      <c r="Z339" s="379"/>
    </row>
    <row r="340" spans="8:26" x14ac:dyDescent="0.75">
      <c r="H340" s="425"/>
      <c r="X340" s="426"/>
      <c r="Z340" s="379"/>
    </row>
    <row r="341" spans="8:26" x14ac:dyDescent="0.75">
      <c r="H341" s="425"/>
      <c r="X341" s="426"/>
      <c r="Z341" s="379"/>
    </row>
    <row r="342" spans="8:26" x14ac:dyDescent="0.75">
      <c r="H342" s="425"/>
      <c r="X342" s="426"/>
      <c r="Z342" s="379"/>
    </row>
    <row r="343" spans="8:26" x14ac:dyDescent="0.75">
      <c r="H343" s="425"/>
      <c r="X343" s="426"/>
      <c r="Z343" s="379"/>
    </row>
    <row r="344" spans="8:26" x14ac:dyDescent="0.75">
      <c r="H344" s="425"/>
      <c r="X344" s="426"/>
      <c r="Z344" s="379"/>
    </row>
    <row r="345" spans="8:26" x14ac:dyDescent="0.75">
      <c r="H345" s="425"/>
      <c r="X345" s="426"/>
      <c r="Z345" s="379"/>
    </row>
    <row r="346" spans="8:26" x14ac:dyDescent="0.75">
      <c r="H346" s="425"/>
      <c r="X346" s="426"/>
      <c r="Z346" s="379"/>
    </row>
    <row r="347" spans="8:26" x14ac:dyDescent="0.75">
      <c r="H347" s="425"/>
      <c r="X347" s="426"/>
      <c r="Z347" s="379"/>
    </row>
    <row r="348" spans="8:26" x14ac:dyDescent="0.75">
      <c r="H348" s="425"/>
      <c r="X348" s="426"/>
      <c r="Z348" s="379"/>
    </row>
    <row r="349" spans="8:26" x14ac:dyDescent="0.75">
      <c r="H349" s="425"/>
      <c r="X349" s="426"/>
      <c r="Z349" s="379"/>
    </row>
    <row r="350" spans="8:26" x14ac:dyDescent="0.75">
      <c r="H350" s="425"/>
      <c r="X350" s="426"/>
      <c r="Z350" s="379"/>
    </row>
    <row r="351" spans="8:26" x14ac:dyDescent="0.75">
      <c r="H351" s="425"/>
      <c r="X351" s="426"/>
      <c r="Z351" s="379"/>
    </row>
    <row r="352" spans="8:26" x14ac:dyDescent="0.75">
      <c r="H352" s="425"/>
      <c r="X352" s="426"/>
      <c r="Z352" s="379"/>
    </row>
    <row r="353" spans="8:26" x14ac:dyDescent="0.75">
      <c r="H353" s="425"/>
      <c r="X353" s="426"/>
      <c r="Z353" s="379"/>
    </row>
    <row r="354" spans="8:26" x14ac:dyDescent="0.75">
      <c r="H354" s="425"/>
      <c r="X354" s="426"/>
      <c r="Z354" s="379"/>
    </row>
    <row r="355" spans="8:26" x14ac:dyDescent="0.75">
      <c r="H355" s="425"/>
      <c r="X355" s="426"/>
      <c r="Z355" s="379"/>
    </row>
    <row r="356" spans="8:26" x14ac:dyDescent="0.75">
      <c r="H356" s="425"/>
      <c r="X356" s="426"/>
      <c r="Z356" s="379"/>
    </row>
    <row r="357" spans="8:26" x14ac:dyDescent="0.75">
      <c r="H357" s="425"/>
      <c r="X357" s="426"/>
      <c r="Z357" s="379"/>
    </row>
    <row r="358" spans="8:26" x14ac:dyDescent="0.75">
      <c r="H358" s="425"/>
      <c r="X358" s="426"/>
      <c r="Z358" s="379"/>
    </row>
    <row r="359" spans="8:26" x14ac:dyDescent="0.75">
      <c r="H359" s="425"/>
      <c r="X359" s="426"/>
      <c r="Z359" s="379"/>
    </row>
    <row r="360" spans="8:26" x14ac:dyDescent="0.75">
      <c r="X360" s="426"/>
      <c r="Z360" s="379"/>
    </row>
    <row r="361" spans="8:26" x14ac:dyDescent="0.75">
      <c r="X361" s="426"/>
      <c r="Z361" s="379"/>
    </row>
    <row r="362" spans="8:26" x14ac:dyDescent="0.75">
      <c r="X362" s="426"/>
      <c r="Z362" s="379"/>
    </row>
    <row r="363" spans="8:26" x14ac:dyDescent="0.75">
      <c r="X363" s="426"/>
      <c r="Z363" s="379"/>
    </row>
    <row r="364" spans="8:26" x14ac:dyDescent="0.75">
      <c r="X364" s="426"/>
      <c r="Z364" s="379"/>
    </row>
    <row r="365" spans="8:26" x14ac:dyDescent="0.75">
      <c r="X365" s="426"/>
      <c r="Z365" s="379"/>
    </row>
    <row r="366" spans="8:26" x14ac:dyDescent="0.75">
      <c r="X366" s="426"/>
      <c r="Z366" s="379"/>
    </row>
    <row r="367" spans="8:26" x14ac:dyDescent="0.75">
      <c r="X367" s="426"/>
      <c r="Z367" s="379"/>
    </row>
    <row r="368" spans="8:26" x14ac:dyDescent="0.75">
      <c r="X368" s="426"/>
      <c r="Z368" s="379"/>
    </row>
    <row r="369" spans="24:26" x14ac:dyDescent="0.75">
      <c r="X369" s="426"/>
      <c r="Z369" s="379"/>
    </row>
    <row r="370" spans="24:26" x14ac:dyDescent="0.75">
      <c r="X370" s="426"/>
      <c r="Z370" s="379"/>
    </row>
    <row r="371" spans="24:26" x14ac:dyDescent="0.75">
      <c r="X371" s="426"/>
      <c r="Z371" s="379"/>
    </row>
    <row r="372" spans="24:26" x14ac:dyDescent="0.75">
      <c r="X372" s="426"/>
      <c r="Z372" s="379"/>
    </row>
    <row r="373" spans="24:26" x14ac:dyDescent="0.75">
      <c r="X373" s="426"/>
      <c r="Z373" s="379"/>
    </row>
    <row r="374" spans="24:26" x14ac:dyDescent="0.75">
      <c r="X374" s="426"/>
      <c r="Z374" s="379"/>
    </row>
    <row r="375" spans="24:26" x14ac:dyDescent="0.75">
      <c r="X375" s="426"/>
      <c r="Z375" s="379"/>
    </row>
    <row r="376" spans="24:26" x14ac:dyDescent="0.75">
      <c r="X376" s="426"/>
      <c r="Z376" s="379"/>
    </row>
    <row r="377" spans="24:26" x14ac:dyDescent="0.75">
      <c r="X377" s="426"/>
      <c r="Z377" s="379"/>
    </row>
    <row r="378" spans="24:26" x14ac:dyDescent="0.75">
      <c r="X378" s="426"/>
      <c r="Z378" s="379"/>
    </row>
    <row r="379" spans="24:26" x14ac:dyDescent="0.75">
      <c r="X379" s="426"/>
      <c r="Z379" s="379"/>
    </row>
    <row r="380" spans="24:26" x14ac:dyDescent="0.75">
      <c r="X380" s="426"/>
      <c r="Z380" s="379"/>
    </row>
    <row r="381" spans="24:26" x14ac:dyDescent="0.75">
      <c r="X381" s="426"/>
      <c r="Z381" s="379"/>
    </row>
    <row r="382" spans="24:26" x14ac:dyDescent="0.75">
      <c r="X382" s="426"/>
      <c r="Z382" s="379"/>
    </row>
    <row r="383" spans="24:26" x14ac:dyDescent="0.75">
      <c r="X383" s="426"/>
      <c r="Z383" s="379"/>
    </row>
    <row r="384" spans="24:26" x14ac:dyDescent="0.75">
      <c r="X384" s="426"/>
      <c r="Z384" s="379"/>
    </row>
    <row r="385" spans="24:26" x14ac:dyDescent="0.75">
      <c r="X385" s="426"/>
      <c r="Z385" s="379"/>
    </row>
    <row r="386" spans="24:26" x14ac:dyDescent="0.75">
      <c r="X386" s="426"/>
      <c r="Z386" s="379"/>
    </row>
    <row r="387" spans="24:26" x14ac:dyDescent="0.75">
      <c r="X387" s="426"/>
      <c r="Z387" s="379"/>
    </row>
    <row r="388" spans="24:26" x14ac:dyDescent="0.75">
      <c r="X388" s="426"/>
      <c r="Z388" s="379"/>
    </row>
    <row r="389" spans="24:26" x14ac:dyDescent="0.75">
      <c r="X389" s="426"/>
      <c r="Z389" s="379"/>
    </row>
    <row r="390" spans="24:26" x14ac:dyDescent="0.75">
      <c r="X390" s="426"/>
      <c r="Z390" s="379"/>
    </row>
    <row r="391" spans="24:26" x14ac:dyDescent="0.75">
      <c r="X391" s="426"/>
      <c r="Z391" s="379"/>
    </row>
    <row r="392" spans="24:26" x14ac:dyDescent="0.75">
      <c r="X392" s="426"/>
      <c r="Z392" s="379"/>
    </row>
    <row r="393" spans="24:26" x14ac:dyDescent="0.75">
      <c r="X393" s="426"/>
      <c r="Z393" s="379"/>
    </row>
    <row r="394" spans="24:26" x14ac:dyDescent="0.75">
      <c r="X394" s="426"/>
      <c r="Z394" s="379"/>
    </row>
    <row r="395" spans="24:26" x14ac:dyDescent="0.75">
      <c r="X395" s="426"/>
      <c r="Z395" s="379"/>
    </row>
    <row r="396" spans="24:26" x14ac:dyDescent="0.75">
      <c r="X396" s="426"/>
      <c r="Z396" s="379"/>
    </row>
    <row r="397" spans="24:26" x14ac:dyDescent="0.75">
      <c r="X397" s="426"/>
      <c r="Z397" s="379"/>
    </row>
    <row r="398" spans="24:26" x14ac:dyDescent="0.75">
      <c r="X398" s="426"/>
      <c r="Z398" s="379"/>
    </row>
    <row r="399" spans="24:26" x14ac:dyDescent="0.75">
      <c r="X399" s="426"/>
      <c r="Z399" s="379"/>
    </row>
    <row r="400" spans="24:26" x14ac:dyDescent="0.75">
      <c r="X400" s="426"/>
      <c r="Z400" s="379"/>
    </row>
    <row r="401" spans="24:26" x14ac:dyDescent="0.75">
      <c r="X401" s="426"/>
      <c r="Z401" s="379"/>
    </row>
    <row r="402" spans="24:26" x14ac:dyDescent="0.75">
      <c r="X402" s="426"/>
      <c r="Z402" s="379"/>
    </row>
    <row r="403" spans="24:26" x14ac:dyDescent="0.75">
      <c r="X403" s="426"/>
      <c r="Z403" s="379"/>
    </row>
    <row r="404" spans="24:26" x14ac:dyDescent="0.75">
      <c r="X404" s="426"/>
      <c r="Z404" s="379"/>
    </row>
    <row r="405" spans="24:26" x14ac:dyDescent="0.75">
      <c r="X405" s="426"/>
      <c r="Z405" s="379"/>
    </row>
    <row r="406" spans="24:26" x14ac:dyDescent="0.75">
      <c r="X406" s="426"/>
      <c r="Z406" s="379"/>
    </row>
    <row r="407" spans="24:26" x14ac:dyDescent="0.75">
      <c r="X407" s="426"/>
      <c r="Z407" s="379"/>
    </row>
    <row r="408" spans="24:26" x14ac:dyDescent="0.75">
      <c r="X408" s="426"/>
      <c r="Z408" s="379"/>
    </row>
    <row r="409" spans="24:26" x14ac:dyDescent="0.75">
      <c r="X409" s="426"/>
      <c r="Z409" s="379"/>
    </row>
    <row r="410" spans="24:26" x14ac:dyDescent="0.75">
      <c r="X410" s="426"/>
      <c r="Z410" s="379"/>
    </row>
    <row r="411" spans="24:26" x14ac:dyDescent="0.75">
      <c r="X411" s="426"/>
      <c r="Z411" s="379"/>
    </row>
    <row r="412" spans="24:26" x14ac:dyDescent="0.75">
      <c r="X412" s="426"/>
      <c r="Z412" s="379"/>
    </row>
    <row r="413" spans="24:26" x14ac:dyDescent="0.75">
      <c r="X413" s="426"/>
      <c r="Z413" s="379"/>
    </row>
    <row r="414" spans="24:26" x14ac:dyDescent="0.75">
      <c r="X414" s="426"/>
      <c r="Z414" s="379"/>
    </row>
    <row r="415" spans="24:26" x14ac:dyDescent="0.75">
      <c r="X415" s="426"/>
      <c r="Z415" s="379"/>
    </row>
    <row r="416" spans="24:26" x14ac:dyDescent="0.75">
      <c r="X416" s="426"/>
      <c r="Z416" s="379"/>
    </row>
    <row r="417" spans="24:26" x14ac:dyDescent="0.75">
      <c r="X417" s="426"/>
      <c r="Z417" s="379"/>
    </row>
    <row r="418" spans="24:26" x14ac:dyDescent="0.75">
      <c r="X418" s="426"/>
      <c r="Z418" s="379"/>
    </row>
    <row r="419" spans="24:26" x14ac:dyDescent="0.75">
      <c r="X419" s="426"/>
      <c r="Z419" s="379"/>
    </row>
    <row r="420" spans="24:26" x14ac:dyDescent="0.75">
      <c r="X420" s="426"/>
      <c r="Z420" s="379"/>
    </row>
    <row r="421" spans="24:26" x14ac:dyDescent="0.75">
      <c r="X421" s="426"/>
      <c r="Z421" s="379"/>
    </row>
    <row r="422" spans="24:26" x14ac:dyDescent="0.75">
      <c r="X422" s="426"/>
      <c r="Z422" s="379"/>
    </row>
    <row r="423" spans="24:26" x14ac:dyDescent="0.75">
      <c r="X423" s="426"/>
      <c r="Z423" s="379"/>
    </row>
    <row r="424" spans="24:26" x14ac:dyDescent="0.75">
      <c r="X424" s="426"/>
      <c r="Z424" s="379"/>
    </row>
    <row r="425" spans="24:26" x14ac:dyDescent="0.75">
      <c r="X425" s="426"/>
      <c r="Z425" s="379"/>
    </row>
    <row r="426" spans="24:26" x14ac:dyDescent="0.75">
      <c r="X426" s="426"/>
      <c r="Z426" s="379"/>
    </row>
    <row r="427" spans="24:26" x14ac:dyDescent="0.75">
      <c r="X427" s="426"/>
      <c r="Z427" s="379"/>
    </row>
    <row r="428" spans="24:26" x14ac:dyDescent="0.75">
      <c r="X428" s="426"/>
      <c r="Z428" s="379"/>
    </row>
    <row r="429" spans="24:26" x14ac:dyDescent="0.75">
      <c r="X429" s="426"/>
      <c r="Z429" s="379"/>
    </row>
    <row r="430" spans="24:26" x14ac:dyDescent="0.75">
      <c r="X430" s="426"/>
      <c r="Z430" s="379"/>
    </row>
    <row r="431" spans="24:26" x14ac:dyDescent="0.75">
      <c r="X431" s="426"/>
      <c r="Z431" s="379"/>
    </row>
    <row r="432" spans="24:26" x14ac:dyDescent="0.75">
      <c r="X432" s="426"/>
      <c r="Z432" s="379"/>
    </row>
    <row r="433" spans="24:26" x14ac:dyDescent="0.75">
      <c r="X433" s="426"/>
      <c r="Z433" s="379"/>
    </row>
    <row r="434" spans="24:26" x14ac:dyDescent="0.75">
      <c r="X434" s="426"/>
      <c r="Z434" s="379"/>
    </row>
    <row r="435" spans="24:26" x14ac:dyDescent="0.75">
      <c r="X435" s="426"/>
      <c r="Z435" s="379"/>
    </row>
    <row r="436" spans="24:26" x14ac:dyDescent="0.75">
      <c r="X436" s="426"/>
      <c r="Z436" s="379"/>
    </row>
    <row r="437" spans="24:26" x14ac:dyDescent="0.75">
      <c r="X437" s="426"/>
      <c r="Z437" s="379"/>
    </row>
    <row r="438" spans="24:26" x14ac:dyDescent="0.75">
      <c r="X438" s="426"/>
      <c r="Z438" s="379"/>
    </row>
    <row r="439" spans="24:26" x14ac:dyDescent="0.75">
      <c r="X439" s="426"/>
      <c r="Z439" s="379"/>
    </row>
    <row r="440" spans="24:26" x14ac:dyDescent="0.75">
      <c r="X440" s="426"/>
      <c r="Z440" s="379"/>
    </row>
    <row r="441" spans="24:26" x14ac:dyDescent="0.75">
      <c r="X441" s="426"/>
      <c r="Z441" s="379"/>
    </row>
    <row r="442" spans="24:26" x14ac:dyDescent="0.75">
      <c r="X442" s="426"/>
      <c r="Z442" s="379"/>
    </row>
    <row r="443" spans="24:26" x14ac:dyDescent="0.75">
      <c r="X443" s="426"/>
      <c r="Z443" s="379"/>
    </row>
    <row r="444" spans="24:26" x14ac:dyDescent="0.75">
      <c r="X444" s="426"/>
      <c r="Z444" s="379"/>
    </row>
    <row r="445" spans="24:26" x14ac:dyDescent="0.75">
      <c r="X445" s="426"/>
      <c r="Z445" s="379"/>
    </row>
    <row r="446" spans="24:26" x14ac:dyDescent="0.75">
      <c r="X446" s="426"/>
      <c r="Z446" s="379"/>
    </row>
    <row r="447" spans="24:26" x14ac:dyDescent="0.75">
      <c r="X447" s="426"/>
      <c r="Z447" s="379"/>
    </row>
    <row r="448" spans="24:26" x14ac:dyDescent="0.75">
      <c r="X448" s="426"/>
      <c r="Z448" s="379"/>
    </row>
    <row r="449" spans="24:26" x14ac:dyDescent="0.75">
      <c r="X449" s="426"/>
      <c r="Z449" s="379"/>
    </row>
    <row r="450" spans="24:26" x14ac:dyDescent="0.75">
      <c r="X450" s="426"/>
      <c r="Z450" s="379"/>
    </row>
    <row r="451" spans="24:26" x14ac:dyDescent="0.75">
      <c r="X451" s="426"/>
      <c r="Z451" s="379"/>
    </row>
    <row r="452" spans="24:26" x14ac:dyDescent="0.75">
      <c r="X452" s="426"/>
      <c r="Z452" s="379"/>
    </row>
    <row r="453" spans="24:26" x14ac:dyDescent="0.75">
      <c r="X453" s="426"/>
      <c r="Z453" s="379"/>
    </row>
    <row r="454" spans="24:26" x14ac:dyDescent="0.75">
      <c r="X454" s="426"/>
      <c r="Z454" s="379"/>
    </row>
    <row r="455" spans="24:26" x14ac:dyDescent="0.75">
      <c r="X455" s="426"/>
      <c r="Z455" s="379"/>
    </row>
    <row r="456" spans="24:26" x14ac:dyDescent="0.75">
      <c r="X456" s="426"/>
      <c r="Z456" s="379"/>
    </row>
    <row r="457" spans="24:26" x14ac:dyDescent="0.75">
      <c r="X457" s="426"/>
      <c r="Z457" s="379"/>
    </row>
    <row r="458" spans="24:26" x14ac:dyDescent="0.75">
      <c r="X458" s="426"/>
      <c r="Z458" s="379"/>
    </row>
    <row r="459" spans="24:26" x14ac:dyDescent="0.75">
      <c r="X459" s="426"/>
      <c r="Z459" s="379"/>
    </row>
    <row r="460" spans="24:26" x14ac:dyDescent="0.75">
      <c r="X460" s="426"/>
      <c r="Z460" s="379"/>
    </row>
    <row r="461" spans="24:26" x14ac:dyDescent="0.75">
      <c r="X461" s="426"/>
      <c r="Z461" s="379"/>
    </row>
    <row r="462" spans="24:26" x14ac:dyDescent="0.75">
      <c r="X462" s="426"/>
      <c r="Z462" s="379"/>
    </row>
    <row r="463" spans="24:26" x14ac:dyDescent="0.75">
      <c r="X463" s="426"/>
      <c r="Z463" s="379"/>
    </row>
    <row r="464" spans="24:26" x14ac:dyDescent="0.75">
      <c r="X464" s="426"/>
      <c r="Z464" s="379"/>
    </row>
    <row r="465" spans="24:26" x14ac:dyDescent="0.75">
      <c r="X465" s="426"/>
      <c r="Z465" s="379"/>
    </row>
    <row r="466" spans="24:26" x14ac:dyDescent="0.75">
      <c r="X466" s="426"/>
      <c r="Z466" s="379"/>
    </row>
    <row r="467" spans="24:26" x14ac:dyDescent="0.75">
      <c r="X467" s="426"/>
      <c r="Z467" s="379"/>
    </row>
    <row r="468" spans="24:26" x14ac:dyDescent="0.75">
      <c r="X468" s="426"/>
      <c r="Z468" s="379"/>
    </row>
    <row r="469" spans="24:26" x14ac:dyDescent="0.75">
      <c r="X469" s="426"/>
      <c r="Z469" s="379"/>
    </row>
    <row r="470" spans="24:26" x14ac:dyDescent="0.75">
      <c r="X470" s="426"/>
      <c r="Z470" s="379"/>
    </row>
    <row r="471" spans="24:26" x14ac:dyDescent="0.75">
      <c r="X471" s="426"/>
      <c r="Z471" s="379"/>
    </row>
    <row r="472" spans="24:26" x14ac:dyDescent="0.75">
      <c r="X472" s="426"/>
      <c r="Z472" s="379"/>
    </row>
    <row r="473" spans="24:26" x14ac:dyDescent="0.75">
      <c r="X473" s="426"/>
      <c r="Z473" s="379"/>
    </row>
    <row r="474" spans="24:26" x14ac:dyDescent="0.75">
      <c r="X474" s="426"/>
      <c r="Z474" s="379"/>
    </row>
    <row r="475" spans="24:26" x14ac:dyDescent="0.75">
      <c r="X475" s="426"/>
      <c r="Z475" s="379"/>
    </row>
    <row r="476" spans="24:26" x14ac:dyDescent="0.75">
      <c r="X476" s="426"/>
      <c r="Z476" s="379"/>
    </row>
    <row r="477" spans="24:26" x14ac:dyDescent="0.75">
      <c r="X477" s="426"/>
      <c r="Z477" s="379"/>
    </row>
    <row r="478" spans="24:26" x14ac:dyDescent="0.75">
      <c r="X478" s="426"/>
      <c r="Z478" s="379"/>
    </row>
    <row r="479" spans="24:26" x14ac:dyDescent="0.75">
      <c r="X479" s="426"/>
      <c r="Z479" s="379"/>
    </row>
    <row r="480" spans="24:26" x14ac:dyDescent="0.75">
      <c r="X480" s="426"/>
      <c r="Z480" s="379"/>
    </row>
    <row r="481" spans="24:26" x14ac:dyDescent="0.75">
      <c r="X481" s="426"/>
      <c r="Z481" s="379"/>
    </row>
    <row r="482" spans="24:26" x14ac:dyDescent="0.75">
      <c r="X482" s="426"/>
      <c r="Z482" s="379"/>
    </row>
    <row r="483" spans="24:26" x14ac:dyDescent="0.75">
      <c r="X483" s="426"/>
      <c r="Z483" s="379"/>
    </row>
    <row r="484" spans="24:26" x14ac:dyDescent="0.75">
      <c r="X484" s="426"/>
      <c r="Z484" s="379"/>
    </row>
    <row r="485" spans="24:26" x14ac:dyDescent="0.75">
      <c r="X485" s="426"/>
      <c r="Z485" s="379"/>
    </row>
    <row r="486" spans="24:26" x14ac:dyDescent="0.75">
      <c r="X486" s="426"/>
      <c r="Z486" s="379"/>
    </row>
    <row r="487" spans="24:26" x14ac:dyDescent="0.75">
      <c r="X487" s="426"/>
      <c r="Z487" s="379"/>
    </row>
    <row r="488" spans="24:26" x14ac:dyDescent="0.75">
      <c r="X488" s="426"/>
      <c r="Z488" s="379"/>
    </row>
    <row r="489" spans="24:26" x14ac:dyDescent="0.75">
      <c r="X489" s="426"/>
      <c r="Z489" s="379"/>
    </row>
    <row r="490" spans="24:26" x14ac:dyDescent="0.75">
      <c r="X490" s="426"/>
      <c r="Z490" s="379"/>
    </row>
    <row r="491" spans="24:26" x14ac:dyDescent="0.75">
      <c r="X491" s="426"/>
      <c r="Z491" s="379"/>
    </row>
    <row r="492" spans="24:26" x14ac:dyDescent="0.75">
      <c r="X492" s="426"/>
      <c r="Z492" s="379"/>
    </row>
    <row r="493" spans="24:26" x14ac:dyDescent="0.75">
      <c r="X493" s="426"/>
      <c r="Z493" s="379"/>
    </row>
    <row r="494" spans="24:26" x14ac:dyDescent="0.75">
      <c r="X494" s="426"/>
      <c r="Z494" s="379"/>
    </row>
    <row r="495" spans="24:26" x14ac:dyDescent="0.75">
      <c r="X495" s="426"/>
      <c r="Z495" s="379"/>
    </row>
    <row r="496" spans="24:26" x14ac:dyDescent="0.75">
      <c r="X496" s="426"/>
      <c r="Z496" s="379"/>
    </row>
    <row r="497" spans="24:26" x14ac:dyDescent="0.75">
      <c r="X497" s="426"/>
      <c r="Z497" s="379"/>
    </row>
    <row r="498" spans="24:26" x14ac:dyDescent="0.75">
      <c r="X498" s="426"/>
      <c r="Z498" s="379"/>
    </row>
    <row r="499" spans="24:26" x14ac:dyDescent="0.75">
      <c r="X499" s="426"/>
      <c r="Z499" s="379"/>
    </row>
    <row r="500" spans="24:26" x14ac:dyDescent="0.75">
      <c r="X500" s="426"/>
      <c r="Z500" s="379"/>
    </row>
    <row r="501" spans="24:26" x14ac:dyDescent="0.75">
      <c r="X501" s="426"/>
      <c r="Z501" s="379"/>
    </row>
    <row r="502" spans="24:26" x14ac:dyDescent="0.75">
      <c r="X502" s="426"/>
      <c r="Z502" s="379"/>
    </row>
    <row r="503" spans="24:26" x14ac:dyDescent="0.75">
      <c r="X503" s="426"/>
      <c r="Z503" s="379"/>
    </row>
    <row r="504" spans="24:26" x14ac:dyDescent="0.75">
      <c r="X504" s="426"/>
      <c r="Z504" s="379"/>
    </row>
    <row r="505" spans="24:26" x14ac:dyDescent="0.75">
      <c r="X505" s="426"/>
      <c r="Z505" s="379"/>
    </row>
    <row r="506" spans="24:26" x14ac:dyDescent="0.75">
      <c r="X506" s="426"/>
      <c r="Z506" s="379"/>
    </row>
    <row r="507" spans="24:26" x14ac:dyDescent="0.75">
      <c r="X507" s="426"/>
      <c r="Z507" s="379"/>
    </row>
    <row r="508" spans="24:26" x14ac:dyDescent="0.75">
      <c r="X508" s="426"/>
      <c r="Z508" s="379"/>
    </row>
    <row r="509" spans="24:26" x14ac:dyDescent="0.75">
      <c r="X509" s="426"/>
      <c r="Z509" s="379"/>
    </row>
    <row r="510" spans="24:26" x14ac:dyDescent="0.75">
      <c r="X510" s="426"/>
      <c r="Z510" s="379"/>
    </row>
    <row r="511" spans="24:26" x14ac:dyDescent="0.75">
      <c r="X511" s="426"/>
      <c r="Z511" s="379"/>
    </row>
    <row r="512" spans="24:26" x14ac:dyDescent="0.75">
      <c r="X512" s="426"/>
      <c r="Z512" s="379"/>
    </row>
    <row r="513" spans="24:26" x14ac:dyDescent="0.75">
      <c r="X513" s="426"/>
      <c r="Z513" s="379"/>
    </row>
    <row r="514" spans="24:26" x14ac:dyDescent="0.75">
      <c r="X514" s="426"/>
      <c r="Z514" s="379"/>
    </row>
    <row r="515" spans="24:26" x14ac:dyDescent="0.75">
      <c r="X515" s="426"/>
      <c r="Z515" s="379"/>
    </row>
    <row r="516" spans="24:26" x14ac:dyDescent="0.75">
      <c r="X516" s="426"/>
      <c r="Z516" s="379"/>
    </row>
    <row r="517" spans="24:26" x14ac:dyDescent="0.75">
      <c r="X517" s="426"/>
      <c r="Z517" s="379"/>
    </row>
    <row r="518" spans="24:26" x14ac:dyDescent="0.75">
      <c r="X518" s="426"/>
      <c r="Z518" s="379"/>
    </row>
    <row r="519" spans="24:26" x14ac:dyDescent="0.75">
      <c r="X519" s="426"/>
      <c r="Z519" s="379"/>
    </row>
    <row r="520" spans="24:26" x14ac:dyDescent="0.75">
      <c r="X520" s="426"/>
      <c r="Z520" s="379"/>
    </row>
    <row r="521" spans="24:26" x14ac:dyDescent="0.75">
      <c r="X521" s="426"/>
      <c r="Z521" s="379"/>
    </row>
    <row r="522" spans="24:26" x14ac:dyDescent="0.75">
      <c r="X522" s="426"/>
      <c r="Z522" s="379"/>
    </row>
    <row r="523" spans="24:26" x14ac:dyDescent="0.75">
      <c r="X523" s="426"/>
      <c r="Z523" s="379"/>
    </row>
    <row r="524" spans="24:26" x14ac:dyDescent="0.75">
      <c r="X524" s="426"/>
      <c r="Z524" s="379"/>
    </row>
    <row r="525" spans="24:26" x14ac:dyDescent="0.75">
      <c r="X525" s="426"/>
      <c r="Z525" s="379"/>
    </row>
    <row r="526" spans="24:26" x14ac:dyDescent="0.75">
      <c r="X526" s="426"/>
      <c r="Z526" s="379"/>
    </row>
    <row r="527" spans="24:26" x14ac:dyDescent="0.75">
      <c r="X527" s="426"/>
      <c r="Z527" s="379"/>
    </row>
    <row r="528" spans="24:26" x14ac:dyDescent="0.75">
      <c r="X528" s="426"/>
      <c r="Z528" s="379"/>
    </row>
    <row r="529" spans="24:26" x14ac:dyDescent="0.75">
      <c r="X529" s="426"/>
      <c r="Z529" s="379"/>
    </row>
    <row r="530" spans="24:26" x14ac:dyDescent="0.75">
      <c r="X530" s="426"/>
      <c r="Z530" s="379"/>
    </row>
    <row r="531" spans="24:26" x14ac:dyDescent="0.75">
      <c r="X531" s="426"/>
      <c r="Z531" s="379"/>
    </row>
    <row r="532" spans="24:26" x14ac:dyDescent="0.75">
      <c r="X532" s="426"/>
      <c r="Z532" s="379"/>
    </row>
    <row r="533" spans="24:26" x14ac:dyDescent="0.75">
      <c r="X533" s="426"/>
      <c r="Z533" s="379"/>
    </row>
    <row r="534" spans="24:26" x14ac:dyDescent="0.75">
      <c r="X534" s="426"/>
      <c r="Z534" s="379"/>
    </row>
    <row r="535" spans="24:26" x14ac:dyDescent="0.75">
      <c r="X535" s="426"/>
      <c r="Z535" s="379"/>
    </row>
    <row r="536" spans="24:26" x14ac:dyDescent="0.75">
      <c r="X536" s="426"/>
      <c r="Z536" s="379"/>
    </row>
    <row r="537" spans="24:26" x14ac:dyDescent="0.75">
      <c r="X537" s="426"/>
      <c r="Z537" s="379"/>
    </row>
    <row r="538" spans="24:26" x14ac:dyDescent="0.75">
      <c r="X538" s="426"/>
      <c r="Z538" s="379"/>
    </row>
    <row r="539" spans="24:26" x14ac:dyDescent="0.75">
      <c r="X539" s="426"/>
      <c r="Z539" s="379"/>
    </row>
    <row r="540" spans="24:26" x14ac:dyDescent="0.75">
      <c r="X540" s="426"/>
      <c r="Z540" s="379"/>
    </row>
    <row r="541" spans="24:26" x14ac:dyDescent="0.75">
      <c r="X541" s="426"/>
      <c r="Z541" s="379"/>
    </row>
    <row r="542" spans="24:26" x14ac:dyDescent="0.75">
      <c r="X542" s="426"/>
      <c r="Z542" s="379"/>
    </row>
    <row r="543" spans="24:26" x14ac:dyDescent="0.75">
      <c r="X543" s="426"/>
      <c r="Z543" s="379"/>
    </row>
    <row r="544" spans="24:26" x14ac:dyDescent="0.75">
      <c r="X544" s="426"/>
      <c r="Z544" s="379"/>
    </row>
    <row r="545" spans="24:26" x14ac:dyDescent="0.75">
      <c r="X545" s="426"/>
      <c r="Z545" s="379"/>
    </row>
    <row r="546" spans="24:26" x14ac:dyDescent="0.75">
      <c r="X546" s="426"/>
      <c r="Z546" s="379"/>
    </row>
    <row r="547" spans="24:26" x14ac:dyDescent="0.75">
      <c r="X547" s="426"/>
      <c r="Z547" s="379"/>
    </row>
    <row r="548" spans="24:26" x14ac:dyDescent="0.75">
      <c r="X548" s="426"/>
      <c r="Z548" s="379"/>
    </row>
    <row r="549" spans="24:26" x14ac:dyDescent="0.75">
      <c r="X549" s="426"/>
      <c r="Z549" s="379"/>
    </row>
    <row r="550" spans="24:26" x14ac:dyDescent="0.75">
      <c r="X550" s="426"/>
      <c r="Z550" s="379"/>
    </row>
    <row r="551" spans="24:26" x14ac:dyDescent="0.75">
      <c r="X551" s="426"/>
      <c r="Z551" s="379"/>
    </row>
    <row r="552" spans="24:26" x14ac:dyDescent="0.75">
      <c r="X552" s="426"/>
      <c r="Z552" s="379"/>
    </row>
    <row r="553" spans="24:26" x14ac:dyDescent="0.75">
      <c r="X553" s="426"/>
      <c r="Z553" s="379"/>
    </row>
    <row r="554" spans="24:26" x14ac:dyDescent="0.75">
      <c r="X554" s="426"/>
      <c r="Z554" s="379"/>
    </row>
    <row r="555" spans="24:26" x14ac:dyDescent="0.75">
      <c r="X555" s="426"/>
      <c r="Z555" s="379"/>
    </row>
    <row r="556" spans="24:26" x14ac:dyDescent="0.75">
      <c r="X556" s="426"/>
      <c r="Z556" s="379"/>
    </row>
    <row r="557" spans="24:26" x14ac:dyDescent="0.75">
      <c r="X557" s="426"/>
      <c r="Z557" s="379"/>
    </row>
    <row r="558" spans="24:26" x14ac:dyDescent="0.75">
      <c r="X558" s="426"/>
      <c r="Z558" s="379"/>
    </row>
    <row r="559" spans="24:26" x14ac:dyDescent="0.75">
      <c r="X559" s="426"/>
      <c r="Z559" s="379"/>
    </row>
    <row r="560" spans="24:26" x14ac:dyDescent="0.75">
      <c r="X560" s="426"/>
      <c r="Z560" s="379"/>
    </row>
    <row r="561" spans="24:26" x14ac:dyDescent="0.75">
      <c r="X561" s="426"/>
      <c r="Z561" s="379"/>
    </row>
    <row r="562" spans="24:26" x14ac:dyDescent="0.75">
      <c r="X562" s="426"/>
      <c r="Z562" s="379"/>
    </row>
    <row r="563" spans="24:26" x14ac:dyDescent="0.75">
      <c r="X563" s="426"/>
      <c r="Z563" s="379"/>
    </row>
    <row r="564" spans="24:26" x14ac:dyDescent="0.75">
      <c r="X564" s="426"/>
      <c r="Z564" s="379"/>
    </row>
    <row r="565" spans="24:26" x14ac:dyDescent="0.75">
      <c r="X565" s="426"/>
      <c r="Z565" s="379"/>
    </row>
    <row r="566" spans="24:26" x14ac:dyDescent="0.75">
      <c r="X566" s="426"/>
      <c r="Z566" s="379"/>
    </row>
    <row r="567" spans="24:26" x14ac:dyDescent="0.75">
      <c r="X567" s="426"/>
      <c r="Z567" s="379"/>
    </row>
    <row r="568" spans="24:26" x14ac:dyDescent="0.75">
      <c r="X568" s="426"/>
      <c r="Z568" s="379"/>
    </row>
    <row r="569" spans="24:26" x14ac:dyDescent="0.75">
      <c r="X569" s="426"/>
      <c r="Z569" s="379"/>
    </row>
    <row r="570" spans="24:26" x14ac:dyDescent="0.75">
      <c r="X570" s="426"/>
      <c r="Z570" s="379"/>
    </row>
    <row r="571" spans="24:26" x14ac:dyDescent="0.75">
      <c r="X571" s="426"/>
      <c r="Z571" s="379"/>
    </row>
    <row r="572" spans="24:26" x14ac:dyDescent="0.75">
      <c r="X572" s="426"/>
      <c r="Z572" s="379"/>
    </row>
    <row r="573" spans="24:26" x14ac:dyDescent="0.75">
      <c r="X573" s="426"/>
      <c r="Z573" s="379"/>
    </row>
    <row r="574" spans="24:26" x14ac:dyDescent="0.75">
      <c r="X574" s="426"/>
      <c r="Z574" s="379"/>
    </row>
    <row r="575" spans="24:26" x14ac:dyDescent="0.75">
      <c r="X575" s="426"/>
      <c r="Z575" s="379"/>
    </row>
    <row r="576" spans="24:26" x14ac:dyDescent="0.75">
      <c r="X576" s="426"/>
      <c r="Z576" s="379"/>
    </row>
    <row r="577" spans="24:26" x14ac:dyDescent="0.75">
      <c r="X577" s="426"/>
      <c r="Z577" s="379"/>
    </row>
    <row r="578" spans="24:26" x14ac:dyDescent="0.75">
      <c r="X578" s="426"/>
      <c r="Z578" s="379"/>
    </row>
    <row r="579" spans="24:26" x14ac:dyDescent="0.75">
      <c r="X579" s="426"/>
      <c r="Z579" s="379"/>
    </row>
    <row r="580" spans="24:26" x14ac:dyDescent="0.75">
      <c r="X580" s="426"/>
      <c r="Z580" s="379"/>
    </row>
    <row r="581" spans="24:26" x14ac:dyDescent="0.75">
      <c r="X581" s="426"/>
      <c r="Z581" s="379"/>
    </row>
    <row r="582" spans="24:26" x14ac:dyDescent="0.75">
      <c r="X582" s="426"/>
      <c r="Z582" s="379"/>
    </row>
    <row r="583" spans="24:26" x14ac:dyDescent="0.75">
      <c r="X583" s="426"/>
      <c r="Z583" s="379"/>
    </row>
    <row r="584" spans="24:26" x14ac:dyDescent="0.75">
      <c r="X584" s="426"/>
      <c r="Z584" s="379"/>
    </row>
    <row r="585" spans="24:26" x14ac:dyDescent="0.75">
      <c r="X585" s="426"/>
      <c r="Z585" s="379"/>
    </row>
    <row r="586" spans="24:26" x14ac:dyDescent="0.75">
      <c r="X586" s="426"/>
      <c r="Z586" s="379"/>
    </row>
    <row r="587" spans="24:26" x14ac:dyDescent="0.75">
      <c r="X587" s="426"/>
      <c r="Z587" s="379"/>
    </row>
    <row r="588" spans="24:26" x14ac:dyDescent="0.75">
      <c r="X588" s="426"/>
      <c r="Z588" s="379"/>
    </row>
    <row r="589" spans="24:26" x14ac:dyDescent="0.75">
      <c r="X589" s="426"/>
      <c r="Z589" s="379"/>
    </row>
    <row r="590" spans="24:26" x14ac:dyDescent="0.75">
      <c r="X590" s="426"/>
      <c r="Z590" s="379"/>
    </row>
    <row r="591" spans="24:26" x14ac:dyDescent="0.75">
      <c r="X591" s="426"/>
      <c r="Z591" s="379"/>
    </row>
    <row r="592" spans="24:26" x14ac:dyDescent="0.75">
      <c r="X592" s="426"/>
      <c r="Z592" s="379"/>
    </row>
    <row r="593" spans="24:26" x14ac:dyDescent="0.75">
      <c r="X593" s="426"/>
      <c r="Z593" s="379"/>
    </row>
    <row r="594" spans="24:26" x14ac:dyDescent="0.75">
      <c r="X594" s="426"/>
      <c r="Z594" s="379"/>
    </row>
    <row r="595" spans="24:26" x14ac:dyDescent="0.75">
      <c r="X595" s="426"/>
      <c r="Z595" s="379"/>
    </row>
    <row r="596" spans="24:26" x14ac:dyDescent="0.75">
      <c r="X596" s="426"/>
      <c r="Z596" s="379"/>
    </row>
    <row r="597" spans="24:26" x14ac:dyDescent="0.75">
      <c r="X597" s="426"/>
      <c r="Z597" s="379"/>
    </row>
    <row r="598" spans="24:26" x14ac:dyDescent="0.75">
      <c r="X598" s="426"/>
      <c r="Z598" s="379"/>
    </row>
    <row r="599" spans="24:26" x14ac:dyDescent="0.75">
      <c r="X599" s="426"/>
      <c r="Z599" s="379"/>
    </row>
    <row r="600" spans="24:26" x14ac:dyDescent="0.75">
      <c r="X600" s="426"/>
      <c r="Z600" s="379"/>
    </row>
    <row r="601" spans="24:26" x14ac:dyDescent="0.75">
      <c r="X601" s="426"/>
      <c r="Z601" s="379"/>
    </row>
    <row r="602" spans="24:26" x14ac:dyDescent="0.75">
      <c r="X602" s="426"/>
      <c r="Z602" s="379"/>
    </row>
    <row r="603" spans="24:26" x14ac:dyDescent="0.75">
      <c r="X603" s="426"/>
      <c r="Z603" s="379"/>
    </row>
    <row r="604" spans="24:26" x14ac:dyDescent="0.75">
      <c r="X604" s="426"/>
      <c r="Z604" s="379"/>
    </row>
    <row r="605" spans="24:26" x14ac:dyDescent="0.75">
      <c r="X605" s="426"/>
      <c r="Z605" s="379"/>
    </row>
    <row r="606" spans="24:26" x14ac:dyDescent="0.75">
      <c r="X606" s="426"/>
      <c r="Z606" s="379"/>
    </row>
    <row r="607" spans="24:26" x14ac:dyDescent="0.75">
      <c r="X607" s="426"/>
      <c r="Z607" s="379"/>
    </row>
    <row r="608" spans="24:26" x14ac:dyDescent="0.75">
      <c r="X608" s="426"/>
      <c r="Z608" s="379"/>
    </row>
    <row r="609" spans="24:26" x14ac:dyDescent="0.75">
      <c r="X609" s="426"/>
      <c r="Z609" s="379"/>
    </row>
    <row r="610" spans="24:26" x14ac:dyDescent="0.75">
      <c r="X610" s="426"/>
      <c r="Z610" s="379"/>
    </row>
    <row r="611" spans="24:26" x14ac:dyDescent="0.75">
      <c r="X611" s="426"/>
      <c r="Z611" s="379"/>
    </row>
    <row r="612" spans="24:26" x14ac:dyDescent="0.75">
      <c r="X612" s="426"/>
      <c r="Z612" s="379"/>
    </row>
    <row r="613" spans="24:26" x14ac:dyDescent="0.75">
      <c r="X613" s="426"/>
      <c r="Z613" s="379"/>
    </row>
    <row r="614" spans="24:26" x14ac:dyDescent="0.75">
      <c r="X614" s="426"/>
      <c r="Z614" s="379"/>
    </row>
    <row r="615" spans="24:26" x14ac:dyDescent="0.75">
      <c r="X615" s="426"/>
      <c r="Z615" s="379"/>
    </row>
    <row r="616" spans="24:26" x14ac:dyDescent="0.75">
      <c r="X616" s="426"/>
      <c r="Z616" s="379"/>
    </row>
    <row r="617" spans="24:26" x14ac:dyDescent="0.75">
      <c r="X617" s="426"/>
      <c r="Z617" s="379"/>
    </row>
    <row r="618" spans="24:26" x14ac:dyDescent="0.75">
      <c r="X618" s="426"/>
      <c r="Z618" s="379"/>
    </row>
    <row r="619" spans="24:26" x14ac:dyDescent="0.75">
      <c r="X619" s="426"/>
      <c r="Z619" s="379"/>
    </row>
    <row r="620" spans="24:26" x14ac:dyDescent="0.75">
      <c r="X620" s="426"/>
      <c r="Z620" s="379"/>
    </row>
    <row r="621" spans="24:26" x14ac:dyDescent="0.75">
      <c r="X621" s="426"/>
      <c r="Z621" s="379"/>
    </row>
    <row r="622" spans="24:26" x14ac:dyDescent="0.75">
      <c r="X622" s="426"/>
      <c r="Z622" s="379"/>
    </row>
    <row r="623" spans="24:26" x14ac:dyDescent="0.75">
      <c r="X623" s="426"/>
      <c r="Z623" s="379"/>
    </row>
    <row r="624" spans="24:26" x14ac:dyDescent="0.75">
      <c r="X624" s="426"/>
      <c r="Z624" s="379"/>
    </row>
    <row r="625" spans="24:26" x14ac:dyDescent="0.75">
      <c r="X625" s="426"/>
      <c r="Z625" s="379"/>
    </row>
    <row r="626" spans="24:26" x14ac:dyDescent="0.75">
      <c r="X626" s="426"/>
      <c r="Z626" s="379"/>
    </row>
    <row r="627" spans="24:26" x14ac:dyDescent="0.75">
      <c r="X627" s="426"/>
      <c r="Z627" s="379"/>
    </row>
    <row r="628" spans="24:26" x14ac:dyDescent="0.75">
      <c r="X628" s="426"/>
      <c r="Z628" s="379"/>
    </row>
    <row r="629" spans="24:26" x14ac:dyDescent="0.75">
      <c r="X629" s="426"/>
      <c r="Z629" s="379"/>
    </row>
    <row r="630" spans="24:26" x14ac:dyDescent="0.75">
      <c r="X630" s="426"/>
      <c r="Z630" s="379"/>
    </row>
    <row r="631" spans="24:26" x14ac:dyDescent="0.75">
      <c r="X631" s="426"/>
      <c r="Z631" s="379"/>
    </row>
    <row r="632" spans="24:26" x14ac:dyDescent="0.75">
      <c r="X632" s="426"/>
      <c r="Z632" s="379"/>
    </row>
    <row r="633" spans="24:26" x14ac:dyDescent="0.75">
      <c r="X633" s="426"/>
      <c r="Z633" s="379"/>
    </row>
    <row r="634" spans="24:26" x14ac:dyDescent="0.75">
      <c r="X634" s="426"/>
      <c r="Z634" s="379"/>
    </row>
    <row r="635" spans="24:26" x14ac:dyDescent="0.75">
      <c r="X635" s="426"/>
      <c r="Z635" s="379"/>
    </row>
    <row r="636" spans="24:26" x14ac:dyDescent="0.75">
      <c r="X636" s="426"/>
      <c r="Z636" s="379"/>
    </row>
    <row r="637" spans="24:26" x14ac:dyDescent="0.75">
      <c r="X637" s="426"/>
      <c r="Z637" s="379"/>
    </row>
    <row r="638" spans="24:26" x14ac:dyDescent="0.75">
      <c r="X638" s="426"/>
      <c r="Z638" s="379"/>
    </row>
    <row r="639" spans="24:26" x14ac:dyDescent="0.75">
      <c r="X639" s="426"/>
      <c r="Z639" s="379"/>
    </row>
    <row r="640" spans="24:26" x14ac:dyDescent="0.75">
      <c r="X640" s="426"/>
      <c r="Z640" s="379"/>
    </row>
    <row r="641" spans="24:26" x14ac:dyDescent="0.75">
      <c r="X641" s="426"/>
      <c r="Z641" s="379"/>
    </row>
    <row r="642" spans="24:26" x14ac:dyDescent="0.75">
      <c r="X642" s="426"/>
      <c r="Z642" s="379"/>
    </row>
    <row r="643" spans="24:26" x14ac:dyDescent="0.75">
      <c r="X643" s="426"/>
      <c r="Z643" s="379"/>
    </row>
    <row r="644" spans="24:26" x14ac:dyDescent="0.75">
      <c r="X644" s="426"/>
      <c r="Z644" s="379"/>
    </row>
    <row r="645" spans="24:26" x14ac:dyDescent="0.75">
      <c r="X645" s="426"/>
      <c r="Z645" s="379"/>
    </row>
    <row r="646" spans="24:26" x14ac:dyDescent="0.75">
      <c r="X646" s="426"/>
      <c r="Z646" s="379"/>
    </row>
    <row r="647" spans="24:26" x14ac:dyDescent="0.75">
      <c r="X647" s="426"/>
      <c r="Z647" s="379"/>
    </row>
    <row r="648" spans="24:26" x14ac:dyDescent="0.75">
      <c r="X648" s="426"/>
      <c r="Z648" s="379"/>
    </row>
    <row r="649" spans="24:26" x14ac:dyDescent="0.75">
      <c r="X649" s="426"/>
      <c r="Z649" s="379"/>
    </row>
    <row r="650" spans="24:26" x14ac:dyDescent="0.75">
      <c r="X650" s="426"/>
      <c r="Z650" s="379"/>
    </row>
    <row r="651" spans="24:26" x14ac:dyDescent="0.75">
      <c r="X651" s="426"/>
      <c r="Z651" s="379"/>
    </row>
    <row r="652" spans="24:26" x14ac:dyDescent="0.75">
      <c r="X652" s="426"/>
      <c r="Z652" s="379"/>
    </row>
    <row r="653" spans="24:26" x14ac:dyDescent="0.75">
      <c r="X653" s="426"/>
      <c r="Z653" s="379"/>
    </row>
    <row r="654" spans="24:26" x14ac:dyDescent="0.75">
      <c r="X654" s="426"/>
      <c r="Z654" s="379"/>
    </row>
    <row r="655" spans="24:26" x14ac:dyDescent="0.75">
      <c r="X655" s="426"/>
      <c r="Z655" s="379"/>
    </row>
    <row r="656" spans="24:26" x14ac:dyDescent="0.75">
      <c r="X656" s="426"/>
      <c r="Z656" s="379"/>
    </row>
    <row r="657" spans="24:26" x14ac:dyDescent="0.75">
      <c r="X657" s="426"/>
      <c r="Z657" s="379"/>
    </row>
    <row r="658" spans="24:26" x14ac:dyDescent="0.75">
      <c r="X658" s="426"/>
      <c r="Z658" s="379"/>
    </row>
    <row r="659" spans="24:26" x14ac:dyDescent="0.75">
      <c r="X659" s="426"/>
      <c r="Z659" s="379"/>
    </row>
    <row r="660" spans="24:26" x14ac:dyDescent="0.75">
      <c r="X660" s="426"/>
      <c r="Z660" s="379"/>
    </row>
    <row r="661" spans="24:26" x14ac:dyDescent="0.75">
      <c r="X661" s="426"/>
      <c r="Z661" s="379"/>
    </row>
    <row r="662" spans="24:26" x14ac:dyDescent="0.75">
      <c r="X662" s="426"/>
      <c r="Z662" s="379"/>
    </row>
    <row r="663" spans="24:26" x14ac:dyDescent="0.75">
      <c r="X663" s="426"/>
      <c r="Z663" s="379"/>
    </row>
    <row r="664" spans="24:26" x14ac:dyDescent="0.75">
      <c r="X664" s="426"/>
      <c r="Z664" s="379"/>
    </row>
    <row r="665" spans="24:26" x14ac:dyDescent="0.75">
      <c r="X665" s="426"/>
      <c r="Z665" s="379"/>
    </row>
    <row r="666" spans="24:26" x14ac:dyDescent="0.75">
      <c r="X666" s="426"/>
      <c r="Z666" s="379"/>
    </row>
    <row r="667" spans="24:26" x14ac:dyDescent="0.75">
      <c r="X667" s="426"/>
      <c r="Z667" s="379"/>
    </row>
    <row r="668" spans="24:26" x14ac:dyDescent="0.75">
      <c r="X668" s="426"/>
      <c r="Z668" s="379"/>
    </row>
    <row r="669" spans="24:26" x14ac:dyDescent="0.75">
      <c r="X669" s="426"/>
      <c r="Z669" s="379"/>
    </row>
    <row r="670" spans="24:26" x14ac:dyDescent="0.75">
      <c r="X670" s="426"/>
      <c r="Z670" s="379"/>
    </row>
    <row r="671" spans="24:26" x14ac:dyDescent="0.75">
      <c r="X671" s="426"/>
      <c r="Z671" s="379"/>
    </row>
    <row r="672" spans="24:26" x14ac:dyDescent="0.75">
      <c r="X672" s="426"/>
      <c r="Z672" s="379"/>
    </row>
    <row r="673" spans="24:26" x14ac:dyDescent="0.75">
      <c r="X673" s="426"/>
      <c r="Z673" s="379"/>
    </row>
    <row r="674" spans="24:26" x14ac:dyDescent="0.75">
      <c r="X674" s="426"/>
      <c r="Z674" s="379"/>
    </row>
    <row r="675" spans="24:26" x14ac:dyDescent="0.75">
      <c r="X675" s="426"/>
      <c r="Z675" s="379"/>
    </row>
    <row r="676" spans="24:26" x14ac:dyDescent="0.75">
      <c r="X676" s="426"/>
      <c r="Z676" s="379"/>
    </row>
    <row r="677" spans="24:26" x14ac:dyDescent="0.75">
      <c r="X677" s="426"/>
      <c r="Z677" s="379"/>
    </row>
    <row r="678" spans="24:26" x14ac:dyDescent="0.75">
      <c r="X678" s="426"/>
      <c r="Z678" s="379"/>
    </row>
    <row r="679" spans="24:26" x14ac:dyDescent="0.75">
      <c r="X679" s="426"/>
      <c r="Z679" s="379"/>
    </row>
    <row r="680" spans="24:26" x14ac:dyDescent="0.75">
      <c r="X680" s="426"/>
      <c r="Z680" s="379"/>
    </row>
    <row r="681" spans="24:26" x14ac:dyDescent="0.75">
      <c r="X681" s="426"/>
      <c r="Z681" s="379"/>
    </row>
    <row r="682" spans="24:26" x14ac:dyDescent="0.75">
      <c r="X682" s="426"/>
      <c r="Z682" s="379"/>
    </row>
    <row r="683" spans="24:26" x14ac:dyDescent="0.75">
      <c r="X683" s="426"/>
      <c r="Z683" s="379"/>
    </row>
    <row r="684" spans="24:26" x14ac:dyDescent="0.75">
      <c r="X684" s="426"/>
      <c r="Z684" s="379"/>
    </row>
    <row r="685" spans="24:26" x14ac:dyDescent="0.75">
      <c r="X685" s="426"/>
      <c r="Z685" s="379"/>
    </row>
    <row r="686" spans="24:26" x14ac:dyDescent="0.75">
      <c r="X686" s="426"/>
      <c r="Z686" s="379"/>
    </row>
    <row r="687" spans="24:26" x14ac:dyDescent="0.75">
      <c r="X687" s="426"/>
      <c r="Z687" s="379"/>
    </row>
    <row r="688" spans="24:26" x14ac:dyDescent="0.75">
      <c r="X688" s="426"/>
      <c r="Z688" s="379"/>
    </row>
    <row r="689" spans="24:26" x14ac:dyDescent="0.75">
      <c r="X689" s="426"/>
      <c r="Z689" s="379"/>
    </row>
    <row r="690" spans="24:26" x14ac:dyDescent="0.75">
      <c r="X690" s="426"/>
      <c r="Z690" s="379"/>
    </row>
    <row r="691" spans="24:26" x14ac:dyDescent="0.75">
      <c r="X691" s="426"/>
      <c r="Z691" s="379"/>
    </row>
    <row r="692" spans="24:26" x14ac:dyDescent="0.75">
      <c r="X692" s="426"/>
      <c r="Z692" s="379"/>
    </row>
    <row r="693" spans="24:26" x14ac:dyDescent="0.75">
      <c r="X693" s="426"/>
      <c r="Z693" s="379"/>
    </row>
    <row r="694" spans="24:26" x14ac:dyDescent="0.75">
      <c r="X694" s="426"/>
      <c r="Z694" s="379"/>
    </row>
    <row r="695" spans="24:26" x14ac:dyDescent="0.75">
      <c r="X695" s="426"/>
      <c r="Z695" s="379"/>
    </row>
    <row r="696" spans="24:26" x14ac:dyDescent="0.75">
      <c r="X696" s="426"/>
      <c r="Z696" s="379"/>
    </row>
    <row r="697" spans="24:26" x14ac:dyDescent="0.75">
      <c r="X697" s="426"/>
      <c r="Z697" s="379"/>
    </row>
    <row r="698" spans="24:26" x14ac:dyDescent="0.75">
      <c r="X698" s="426"/>
      <c r="Z698" s="379"/>
    </row>
    <row r="699" spans="24:26" x14ac:dyDescent="0.75">
      <c r="X699" s="426"/>
      <c r="Z699" s="379"/>
    </row>
    <row r="700" spans="24:26" x14ac:dyDescent="0.75">
      <c r="X700" s="426"/>
      <c r="Z700" s="379"/>
    </row>
    <row r="701" spans="24:26" x14ac:dyDescent="0.75">
      <c r="X701" s="426"/>
      <c r="Z701" s="379"/>
    </row>
    <row r="702" spans="24:26" x14ac:dyDescent="0.75">
      <c r="X702" s="426"/>
      <c r="Z702" s="379"/>
    </row>
    <row r="703" spans="24:26" x14ac:dyDescent="0.75">
      <c r="X703" s="426"/>
      <c r="Z703" s="379"/>
    </row>
    <row r="704" spans="24:26" x14ac:dyDescent="0.75">
      <c r="X704" s="426"/>
      <c r="Z704" s="379"/>
    </row>
    <row r="705" spans="24:26" x14ac:dyDescent="0.75">
      <c r="X705" s="426"/>
      <c r="Z705" s="379"/>
    </row>
    <row r="706" spans="24:26" x14ac:dyDescent="0.75">
      <c r="X706" s="426"/>
      <c r="Z706" s="379"/>
    </row>
    <row r="707" spans="24:26" x14ac:dyDescent="0.75">
      <c r="X707" s="426"/>
      <c r="Z707" s="379"/>
    </row>
    <row r="708" spans="24:26" x14ac:dyDescent="0.75">
      <c r="X708" s="426"/>
      <c r="Z708" s="379"/>
    </row>
    <row r="709" spans="24:26" x14ac:dyDescent="0.75">
      <c r="X709" s="426"/>
      <c r="Z709" s="379"/>
    </row>
    <row r="710" spans="24:26" x14ac:dyDescent="0.75">
      <c r="X710" s="426"/>
      <c r="Z710" s="379"/>
    </row>
    <row r="711" spans="24:26" x14ac:dyDescent="0.75">
      <c r="X711" s="426"/>
      <c r="Z711" s="379"/>
    </row>
    <row r="712" spans="24:26" x14ac:dyDescent="0.75">
      <c r="X712" s="426"/>
      <c r="Z712" s="379"/>
    </row>
    <row r="713" spans="24:26" x14ac:dyDescent="0.75">
      <c r="X713" s="426"/>
      <c r="Z713" s="379"/>
    </row>
    <row r="714" spans="24:26" x14ac:dyDescent="0.75">
      <c r="X714" s="426"/>
      <c r="Z714" s="379"/>
    </row>
    <row r="715" spans="24:26" x14ac:dyDescent="0.75">
      <c r="X715" s="426"/>
      <c r="Z715" s="379"/>
    </row>
    <row r="716" spans="24:26" x14ac:dyDescent="0.75">
      <c r="X716" s="426"/>
      <c r="Z716" s="379"/>
    </row>
    <row r="717" spans="24:26" x14ac:dyDescent="0.75">
      <c r="X717" s="426"/>
      <c r="Z717" s="379"/>
    </row>
    <row r="718" spans="24:26" x14ac:dyDescent="0.75">
      <c r="X718" s="426"/>
      <c r="Z718" s="379"/>
    </row>
    <row r="719" spans="24:26" x14ac:dyDescent="0.75">
      <c r="X719" s="426"/>
      <c r="Z719" s="379"/>
    </row>
    <row r="720" spans="24:26" x14ac:dyDescent="0.75">
      <c r="X720" s="426"/>
      <c r="Z720" s="379"/>
    </row>
    <row r="721" spans="24:26" x14ac:dyDescent="0.75">
      <c r="X721" s="426"/>
      <c r="Z721" s="379"/>
    </row>
    <row r="722" spans="24:26" x14ac:dyDescent="0.75">
      <c r="X722" s="426"/>
      <c r="Z722" s="379"/>
    </row>
    <row r="723" spans="24:26" x14ac:dyDescent="0.75">
      <c r="X723" s="426"/>
      <c r="Z723" s="379"/>
    </row>
    <row r="724" spans="24:26" x14ac:dyDescent="0.75">
      <c r="X724" s="426"/>
      <c r="Z724" s="379"/>
    </row>
    <row r="725" spans="24:26" x14ac:dyDescent="0.75">
      <c r="X725" s="426"/>
      <c r="Z725" s="379"/>
    </row>
    <row r="726" spans="24:26" x14ac:dyDescent="0.75">
      <c r="X726" s="426"/>
      <c r="Z726" s="379"/>
    </row>
    <row r="727" spans="24:26" x14ac:dyDescent="0.75">
      <c r="X727" s="426"/>
      <c r="Z727" s="379"/>
    </row>
    <row r="728" spans="24:26" x14ac:dyDescent="0.75">
      <c r="X728" s="426"/>
      <c r="Z728" s="379"/>
    </row>
    <row r="729" spans="24:26" x14ac:dyDescent="0.75">
      <c r="X729" s="426"/>
      <c r="Z729" s="379"/>
    </row>
    <row r="730" spans="24:26" x14ac:dyDescent="0.75">
      <c r="X730" s="426"/>
      <c r="Z730" s="379"/>
    </row>
    <row r="731" spans="24:26" x14ac:dyDescent="0.75">
      <c r="X731" s="426"/>
      <c r="Z731" s="379"/>
    </row>
    <row r="732" spans="24:26" x14ac:dyDescent="0.75">
      <c r="X732" s="426"/>
      <c r="Z732" s="379"/>
    </row>
    <row r="733" spans="24:26" x14ac:dyDescent="0.75">
      <c r="X733" s="426"/>
      <c r="Z733" s="379"/>
    </row>
    <row r="734" spans="24:26" x14ac:dyDescent="0.75">
      <c r="X734" s="426"/>
      <c r="Z734" s="379"/>
    </row>
    <row r="735" spans="24:26" x14ac:dyDescent="0.75">
      <c r="X735" s="426"/>
      <c r="Z735" s="379"/>
    </row>
    <row r="736" spans="24:26" x14ac:dyDescent="0.75">
      <c r="X736" s="426"/>
      <c r="Z736" s="379"/>
    </row>
    <row r="737" spans="24:26" x14ac:dyDescent="0.75">
      <c r="X737" s="426"/>
      <c r="Z737" s="379"/>
    </row>
    <row r="738" spans="24:26" x14ac:dyDescent="0.75">
      <c r="X738" s="426"/>
      <c r="Z738" s="379"/>
    </row>
    <row r="739" spans="24:26" x14ac:dyDescent="0.75">
      <c r="X739" s="426"/>
      <c r="Z739" s="379"/>
    </row>
    <row r="740" spans="24:26" x14ac:dyDescent="0.75">
      <c r="X740" s="426"/>
      <c r="Z740" s="379"/>
    </row>
    <row r="741" spans="24:26" x14ac:dyDescent="0.75">
      <c r="X741" s="426"/>
      <c r="Z741" s="379"/>
    </row>
    <row r="742" spans="24:26" x14ac:dyDescent="0.75">
      <c r="X742" s="426"/>
      <c r="Z742" s="379"/>
    </row>
    <row r="743" spans="24:26" x14ac:dyDescent="0.75">
      <c r="X743" s="426"/>
      <c r="Z743" s="379"/>
    </row>
    <row r="744" spans="24:26" x14ac:dyDescent="0.75">
      <c r="X744" s="426"/>
      <c r="Z744" s="379"/>
    </row>
    <row r="745" spans="24:26" x14ac:dyDescent="0.75">
      <c r="X745" s="426"/>
      <c r="Z745" s="379"/>
    </row>
    <row r="746" spans="24:26" x14ac:dyDescent="0.75">
      <c r="X746" s="426"/>
      <c r="Z746" s="379"/>
    </row>
    <row r="747" spans="24:26" x14ac:dyDescent="0.75">
      <c r="X747" s="426"/>
      <c r="Z747" s="379"/>
    </row>
    <row r="748" spans="24:26" x14ac:dyDescent="0.75">
      <c r="X748" s="426"/>
      <c r="Z748" s="379"/>
    </row>
    <row r="749" spans="24:26" x14ac:dyDescent="0.75">
      <c r="X749" s="426"/>
      <c r="Z749" s="379"/>
    </row>
    <row r="750" spans="24:26" x14ac:dyDescent="0.75">
      <c r="X750" s="426"/>
      <c r="Z750" s="379"/>
    </row>
    <row r="751" spans="24:26" x14ac:dyDescent="0.75">
      <c r="X751" s="426"/>
      <c r="Z751" s="379"/>
    </row>
    <row r="752" spans="24:26" x14ac:dyDescent="0.75">
      <c r="X752" s="426"/>
      <c r="Z752" s="379"/>
    </row>
    <row r="753" spans="24:26" x14ac:dyDescent="0.75">
      <c r="X753" s="426"/>
      <c r="Z753" s="379"/>
    </row>
    <row r="754" spans="24:26" x14ac:dyDescent="0.75">
      <c r="X754" s="426"/>
      <c r="Z754" s="379"/>
    </row>
    <row r="755" spans="24:26" x14ac:dyDescent="0.75">
      <c r="X755" s="426"/>
      <c r="Z755" s="379"/>
    </row>
    <row r="756" spans="24:26" x14ac:dyDescent="0.75">
      <c r="X756" s="426"/>
      <c r="Z756" s="379"/>
    </row>
    <row r="757" spans="24:26" x14ac:dyDescent="0.75">
      <c r="X757" s="426"/>
      <c r="Z757" s="379"/>
    </row>
    <row r="758" spans="24:26" x14ac:dyDescent="0.75">
      <c r="X758" s="426"/>
      <c r="Z758" s="379"/>
    </row>
    <row r="759" spans="24:26" x14ac:dyDescent="0.75">
      <c r="X759" s="426"/>
      <c r="Z759" s="379"/>
    </row>
    <row r="760" spans="24:26" x14ac:dyDescent="0.75">
      <c r="X760" s="426"/>
      <c r="Z760" s="379"/>
    </row>
    <row r="761" spans="24:26" x14ac:dyDescent="0.75">
      <c r="X761" s="426"/>
      <c r="Z761" s="379"/>
    </row>
    <row r="762" spans="24:26" x14ac:dyDescent="0.75">
      <c r="X762" s="426"/>
      <c r="Z762" s="379"/>
    </row>
    <row r="763" spans="24:26" x14ac:dyDescent="0.75">
      <c r="X763" s="426"/>
      <c r="Z763" s="379"/>
    </row>
    <row r="764" spans="24:26" x14ac:dyDescent="0.75">
      <c r="X764" s="426"/>
      <c r="Z764" s="379"/>
    </row>
    <row r="765" spans="24:26" x14ac:dyDescent="0.75">
      <c r="X765" s="426"/>
      <c r="Z765" s="379"/>
    </row>
    <row r="766" spans="24:26" x14ac:dyDescent="0.75">
      <c r="X766" s="426"/>
      <c r="Z766" s="379"/>
    </row>
    <row r="767" spans="24:26" x14ac:dyDescent="0.75">
      <c r="X767" s="426"/>
      <c r="Z767" s="379"/>
    </row>
    <row r="768" spans="24:26" x14ac:dyDescent="0.75">
      <c r="X768" s="426"/>
      <c r="Z768" s="379"/>
    </row>
    <row r="769" spans="24:26" x14ac:dyDescent="0.75">
      <c r="X769" s="426"/>
      <c r="Z769" s="379"/>
    </row>
    <row r="770" spans="24:26" x14ac:dyDescent="0.75">
      <c r="X770" s="426"/>
      <c r="Z770" s="379"/>
    </row>
    <row r="771" spans="24:26" x14ac:dyDescent="0.75">
      <c r="X771" s="426"/>
      <c r="Z771" s="379"/>
    </row>
    <row r="772" spans="24:26" x14ac:dyDescent="0.75">
      <c r="X772" s="426"/>
      <c r="Z772" s="379"/>
    </row>
    <row r="773" spans="24:26" x14ac:dyDescent="0.75">
      <c r="X773" s="426"/>
      <c r="Z773" s="379"/>
    </row>
    <row r="774" spans="24:26" x14ac:dyDescent="0.75">
      <c r="X774" s="426"/>
      <c r="Z774" s="379"/>
    </row>
    <row r="775" spans="24:26" x14ac:dyDescent="0.75">
      <c r="X775" s="426"/>
      <c r="Z775" s="379"/>
    </row>
    <row r="776" spans="24:26" x14ac:dyDescent="0.75">
      <c r="X776" s="426"/>
      <c r="Z776" s="379"/>
    </row>
    <row r="777" spans="24:26" x14ac:dyDescent="0.75">
      <c r="X777" s="426"/>
      <c r="Z777" s="379"/>
    </row>
    <row r="778" spans="24:26" x14ac:dyDescent="0.75">
      <c r="X778" s="426"/>
      <c r="Z778" s="379"/>
    </row>
    <row r="779" spans="24:26" x14ac:dyDescent="0.75">
      <c r="X779" s="426"/>
      <c r="Z779" s="379"/>
    </row>
    <row r="780" spans="24:26" x14ac:dyDescent="0.75">
      <c r="X780" s="426"/>
      <c r="Z780" s="379"/>
    </row>
    <row r="781" spans="24:26" x14ac:dyDescent="0.75">
      <c r="X781" s="426"/>
      <c r="Z781" s="379"/>
    </row>
    <row r="782" spans="24:26" x14ac:dyDescent="0.75">
      <c r="X782" s="426"/>
      <c r="Z782" s="379"/>
    </row>
    <row r="783" spans="24:26" x14ac:dyDescent="0.75">
      <c r="X783" s="426"/>
      <c r="Z783" s="379"/>
    </row>
    <row r="784" spans="24:26" x14ac:dyDescent="0.75">
      <c r="X784" s="426"/>
      <c r="Z784" s="379"/>
    </row>
    <row r="785" spans="24:26" x14ac:dyDescent="0.75">
      <c r="X785" s="426"/>
      <c r="Z785" s="379"/>
    </row>
    <row r="786" spans="24:26" x14ac:dyDescent="0.75">
      <c r="X786" s="426"/>
      <c r="Z786" s="379"/>
    </row>
    <row r="787" spans="24:26" x14ac:dyDescent="0.75">
      <c r="X787" s="426"/>
      <c r="Z787" s="379"/>
    </row>
    <row r="788" spans="24:26" x14ac:dyDescent="0.75">
      <c r="X788" s="426"/>
      <c r="Z788" s="379"/>
    </row>
    <row r="789" spans="24:26" x14ac:dyDescent="0.75">
      <c r="X789" s="426"/>
      <c r="Z789" s="379"/>
    </row>
    <row r="790" spans="24:26" x14ac:dyDescent="0.75">
      <c r="X790" s="426"/>
      <c r="Z790" s="379"/>
    </row>
    <row r="791" spans="24:26" x14ac:dyDescent="0.75">
      <c r="X791" s="426"/>
      <c r="Z791" s="379"/>
    </row>
    <row r="792" spans="24:26" x14ac:dyDescent="0.75">
      <c r="X792" s="426"/>
      <c r="Z792" s="379"/>
    </row>
    <row r="793" spans="24:26" x14ac:dyDescent="0.75">
      <c r="X793" s="426"/>
      <c r="Z793" s="379"/>
    </row>
    <row r="794" spans="24:26" x14ac:dyDescent="0.75">
      <c r="X794" s="426"/>
      <c r="Z794" s="379"/>
    </row>
    <row r="795" spans="24:26" x14ac:dyDescent="0.75">
      <c r="X795" s="426"/>
      <c r="Z795" s="379"/>
    </row>
    <row r="796" spans="24:26" x14ac:dyDescent="0.75">
      <c r="X796" s="426"/>
      <c r="Z796" s="379"/>
    </row>
    <row r="797" spans="24:26" x14ac:dyDescent="0.75">
      <c r="X797" s="426"/>
      <c r="Z797" s="379"/>
    </row>
    <row r="798" spans="24:26" x14ac:dyDescent="0.75">
      <c r="X798" s="426"/>
      <c r="Z798" s="379"/>
    </row>
    <row r="799" spans="24:26" x14ac:dyDescent="0.75">
      <c r="X799" s="426"/>
      <c r="Z799" s="379"/>
    </row>
    <row r="800" spans="24:26" x14ac:dyDescent="0.75">
      <c r="X800" s="426"/>
      <c r="Z800" s="379"/>
    </row>
    <row r="801" spans="24:26" x14ac:dyDescent="0.75">
      <c r="X801" s="426"/>
      <c r="Z801" s="379"/>
    </row>
    <row r="802" spans="24:26" x14ac:dyDescent="0.75">
      <c r="X802" s="426"/>
      <c r="Z802" s="379"/>
    </row>
    <row r="803" spans="24:26" x14ac:dyDescent="0.75">
      <c r="X803" s="426"/>
      <c r="Z803" s="379"/>
    </row>
    <row r="804" spans="24:26" x14ac:dyDescent="0.75">
      <c r="X804" s="426"/>
      <c r="Z804" s="379"/>
    </row>
    <row r="805" spans="24:26" x14ac:dyDescent="0.75">
      <c r="X805" s="426"/>
      <c r="Z805" s="379"/>
    </row>
    <row r="806" spans="24:26" x14ac:dyDescent="0.75">
      <c r="X806" s="426"/>
      <c r="Z806" s="379"/>
    </row>
    <row r="807" spans="24:26" x14ac:dyDescent="0.75">
      <c r="X807" s="426"/>
      <c r="Z807" s="379"/>
    </row>
    <row r="808" spans="24:26" x14ac:dyDescent="0.75">
      <c r="X808" s="426"/>
      <c r="Z808" s="379"/>
    </row>
    <row r="809" spans="24:26" x14ac:dyDescent="0.75">
      <c r="X809" s="426"/>
      <c r="Z809" s="379"/>
    </row>
    <row r="810" spans="24:26" x14ac:dyDescent="0.75">
      <c r="X810" s="426"/>
      <c r="Z810" s="379"/>
    </row>
    <row r="811" spans="24:26" x14ac:dyDescent="0.75">
      <c r="X811" s="426"/>
      <c r="Z811" s="379"/>
    </row>
    <row r="812" spans="24:26" x14ac:dyDescent="0.75">
      <c r="X812" s="426"/>
      <c r="Z812" s="379"/>
    </row>
    <row r="813" spans="24:26" x14ac:dyDescent="0.75">
      <c r="X813" s="426"/>
      <c r="Z813" s="379"/>
    </row>
    <row r="814" spans="24:26" x14ac:dyDescent="0.75">
      <c r="X814" s="426"/>
      <c r="Z814" s="379"/>
    </row>
    <row r="815" spans="24:26" x14ac:dyDescent="0.75">
      <c r="X815" s="426"/>
      <c r="Z815" s="379"/>
    </row>
    <row r="816" spans="24:26" x14ac:dyDescent="0.75">
      <c r="X816" s="426"/>
      <c r="Z816" s="379"/>
    </row>
    <row r="817" spans="24:26" x14ac:dyDescent="0.75">
      <c r="X817" s="426"/>
      <c r="Z817" s="379"/>
    </row>
    <row r="818" spans="24:26" x14ac:dyDescent="0.75">
      <c r="X818" s="426"/>
      <c r="Z818" s="379"/>
    </row>
    <row r="819" spans="24:26" x14ac:dyDescent="0.75">
      <c r="X819" s="426"/>
      <c r="Z819" s="379"/>
    </row>
    <row r="820" spans="24:26" x14ac:dyDescent="0.75">
      <c r="X820" s="426"/>
      <c r="Z820" s="379"/>
    </row>
    <row r="821" spans="24:26" x14ac:dyDescent="0.75">
      <c r="X821" s="426"/>
      <c r="Z821" s="379"/>
    </row>
    <row r="822" spans="24:26" x14ac:dyDescent="0.75">
      <c r="X822" s="426"/>
      <c r="Z822" s="379"/>
    </row>
    <row r="823" spans="24:26" x14ac:dyDescent="0.75">
      <c r="X823" s="426"/>
      <c r="Z823" s="379"/>
    </row>
    <row r="824" spans="24:26" x14ac:dyDescent="0.75">
      <c r="X824" s="426"/>
      <c r="Z824" s="379"/>
    </row>
    <row r="825" spans="24:26" x14ac:dyDescent="0.75">
      <c r="X825" s="426"/>
      <c r="Z825" s="379"/>
    </row>
    <row r="826" spans="24:26" x14ac:dyDescent="0.75">
      <c r="X826" s="426"/>
      <c r="Z826" s="379"/>
    </row>
    <row r="827" spans="24:26" x14ac:dyDescent="0.75">
      <c r="X827" s="426"/>
      <c r="Z827" s="379"/>
    </row>
    <row r="828" spans="24:26" x14ac:dyDescent="0.75">
      <c r="X828" s="426"/>
      <c r="Z828" s="379"/>
    </row>
    <row r="829" spans="24:26" x14ac:dyDescent="0.75">
      <c r="X829" s="426"/>
      <c r="Z829" s="379"/>
    </row>
    <row r="830" spans="24:26" x14ac:dyDescent="0.75">
      <c r="X830" s="426"/>
      <c r="Z830" s="379"/>
    </row>
    <row r="831" spans="24:26" x14ac:dyDescent="0.75">
      <c r="X831" s="426"/>
      <c r="Z831" s="379"/>
    </row>
    <row r="832" spans="24:26" x14ac:dyDescent="0.75">
      <c r="X832" s="426"/>
      <c r="Z832" s="379"/>
    </row>
    <row r="833" spans="24:26" x14ac:dyDescent="0.75">
      <c r="X833" s="426"/>
      <c r="Z833" s="379"/>
    </row>
    <row r="834" spans="24:26" x14ac:dyDescent="0.75">
      <c r="X834" s="426"/>
      <c r="Z834" s="379"/>
    </row>
    <row r="835" spans="24:26" x14ac:dyDescent="0.75">
      <c r="X835" s="426"/>
      <c r="Z835" s="379"/>
    </row>
    <row r="836" spans="24:26" x14ac:dyDescent="0.75">
      <c r="X836" s="426"/>
      <c r="Z836" s="379"/>
    </row>
    <row r="837" spans="24:26" x14ac:dyDescent="0.75">
      <c r="X837" s="426"/>
      <c r="Z837" s="379"/>
    </row>
    <row r="838" spans="24:26" x14ac:dyDescent="0.75">
      <c r="X838" s="426"/>
      <c r="Z838" s="379"/>
    </row>
    <row r="839" spans="24:26" x14ac:dyDescent="0.75">
      <c r="X839" s="426"/>
      <c r="Z839" s="379"/>
    </row>
    <row r="840" spans="24:26" x14ac:dyDescent="0.75">
      <c r="X840" s="426"/>
      <c r="Z840" s="379"/>
    </row>
    <row r="841" spans="24:26" x14ac:dyDescent="0.75">
      <c r="X841" s="426"/>
      <c r="Z841" s="379"/>
    </row>
    <row r="842" spans="24:26" x14ac:dyDescent="0.75">
      <c r="X842" s="426"/>
      <c r="Z842" s="379"/>
    </row>
    <row r="843" spans="24:26" x14ac:dyDescent="0.75">
      <c r="X843" s="426"/>
      <c r="Z843" s="379"/>
    </row>
    <row r="844" spans="24:26" x14ac:dyDescent="0.75">
      <c r="X844" s="426"/>
      <c r="Z844" s="379"/>
    </row>
    <row r="845" spans="24:26" x14ac:dyDescent="0.75">
      <c r="X845" s="426"/>
      <c r="Z845" s="379"/>
    </row>
    <row r="846" spans="24:26" x14ac:dyDescent="0.75">
      <c r="X846" s="426"/>
      <c r="Z846" s="379"/>
    </row>
    <row r="847" spans="24:26" x14ac:dyDescent="0.75">
      <c r="X847" s="426"/>
      <c r="Z847" s="379"/>
    </row>
    <row r="848" spans="24:26" x14ac:dyDescent="0.75">
      <c r="X848" s="426"/>
      <c r="Z848" s="379"/>
    </row>
    <row r="849" spans="24:26" x14ac:dyDescent="0.75">
      <c r="X849" s="426"/>
      <c r="Z849" s="379"/>
    </row>
    <row r="850" spans="24:26" x14ac:dyDescent="0.75">
      <c r="X850" s="426"/>
      <c r="Z850" s="379"/>
    </row>
    <row r="851" spans="24:26" x14ac:dyDescent="0.75">
      <c r="X851" s="426"/>
      <c r="Z851" s="379"/>
    </row>
    <row r="852" spans="24:26" x14ac:dyDescent="0.75">
      <c r="X852" s="426"/>
      <c r="Z852" s="379"/>
    </row>
    <row r="853" spans="24:26" x14ac:dyDescent="0.75">
      <c r="X853" s="426"/>
      <c r="Z853" s="379"/>
    </row>
    <row r="854" spans="24:26" x14ac:dyDescent="0.75">
      <c r="X854" s="426"/>
      <c r="Z854" s="379"/>
    </row>
    <row r="855" spans="24:26" x14ac:dyDescent="0.75">
      <c r="X855" s="426"/>
      <c r="Z855" s="379"/>
    </row>
    <row r="856" spans="24:26" x14ac:dyDescent="0.75">
      <c r="X856" s="426"/>
      <c r="Z856" s="379"/>
    </row>
    <row r="857" spans="24:26" x14ac:dyDescent="0.75">
      <c r="X857" s="426"/>
      <c r="Z857" s="379"/>
    </row>
    <row r="858" spans="24:26" x14ac:dyDescent="0.75">
      <c r="X858" s="426"/>
      <c r="Z858" s="379"/>
    </row>
    <row r="859" spans="24:26" x14ac:dyDescent="0.75">
      <c r="X859" s="426"/>
      <c r="Z859" s="379"/>
    </row>
    <row r="860" spans="24:26" x14ac:dyDescent="0.75">
      <c r="X860" s="426"/>
      <c r="Z860" s="379"/>
    </row>
    <row r="861" spans="24:26" x14ac:dyDescent="0.75">
      <c r="X861" s="426"/>
      <c r="Z861" s="379"/>
    </row>
    <row r="862" spans="24:26" x14ac:dyDescent="0.75">
      <c r="X862" s="426"/>
      <c r="Z862" s="379"/>
    </row>
    <row r="863" spans="24:26" x14ac:dyDescent="0.75">
      <c r="X863" s="426"/>
      <c r="Z863" s="379"/>
    </row>
    <row r="864" spans="24:26" x14ac:dyDescent="0.75">
      <c r="X864" s="426"/>
      <c r="Z864" s="379"/>
    </row>
    <row r="865" spans="24:26" x14ac:dyDescent="0.75">
      <c r="X865" s="426"/>
      <c r="Z865" s="379"/>
    </row>
    <row r="866" spans="24:26" x14ac:dyDescent="0.75">
      <c r="X866" s="426"/>
      <c r="Z866" s="379"/>
    </row>
    <row r="867" spans="24:26" x14ac:dyDescent="0.75">
      <c r="X867" s="426"/>
      <c r="Z867" s="379"/>
    </row>
    <row r="868" spans="24:26" x14ac:dyDescent="0.75">
      <c r="X868" s="426"/>
      <c r="Z868" s="379"/>
    </row>
    <row r="869" spans="24:26" x14ac:dyDescent="0.75">
      <c r="X869" s="426"/>
      <c r="Z869" s="379"/>
    </row>
    <row r="870" spans="24:26" x14ac:dyDescent="0.75">
      <c r="X870" s="426"/>
      <c r="Z870" s="379"/>
    </row>
    <row r="871" spans="24:26" x14ac:dyDescent="0.75">
      <c r="X871" s="426"/>
      <c r="Z871" s="379"/>
    </row>
    <row r="872" spans="24:26" x14ac:dyDescent="0.75">
      <c r="X872" s="426"/>
      <c r="Z872" s="379"/>
    </row>
    <row r="873" spans="24:26" x14ac:dyDescent="0.75">
      <c r="X873" s="426"/>
      <c r="Z873" s="379"/>
    </row>
    <row r="874" spans="24:26" x14ac:dyDescent="0.75">
      <c r="X874" s="426"/>
      <c r="Z874" s="379"/>
    </row>
    <row r="875" spans="24:26" x14ac:dyDescent="0.75">
      <c r="X875" s="426"/>
      <c r="Z875" s="379"/>
    </row>
    <row r="876" spans="24:26" x14ac:dyDescent="0.75">
      <c r="X876" s="426"/>
      <c r="Z876" s="379"/>
    </row>
    <row r="877" spans="24:26" x14ac:dyDescent="0.75">
      <c r="X877" s="426"/>
      <c r="Z877" s="379"/>
    </row>
    <row r="878" spans="24:26" x14ac:dyDescent="0.75">
      <c r="X878" s="426"/>
      <c r="Z878" s="379"/>
    </row>
    <row r="879" spans="24:26" x14ac:dyDescent="0.75">
      <c r="X879" s="426"/>
      <c r="Z879" s="379"/>
    </row>
    <row r="880" spans="24:26" x14ac:dyDescent="0.75">
      <c r="X880" s="426"/>
      <c r="Z880" s="379"/>
    </row>
    <row r="881" spans="24:26" x14ac:dyDescent="0.75">
      <c r="X881" s="426"/>
      <c r="Z881" s="379"/>
    </row>
    <row r="882" spans="24:26" x14ac:dyDescent="0.75">
      <c r="X882" s="426"/>
      <c r="Z882" s="379"/>
    </row>
    <row r="883" spans="24:26" x14ac:dyDescent="0.75">
      <c r="X883" s="426"/>
      <c r="Z883" s="379"/>
    </row>
    <row r="884" spans="24:26" x14ac:dyDescent="0.75">
      <c r="X884" s="426"/>
      <c r="Z884" s="379"/>
    </row>
    <row r="885" spans="24:26" x14ac:dyDescent="0.75">
      <c r="X885" s="426"/>
      <c r="Z885" s="379"/>
    </row>
    <row r="886" spans="24:26" x14ac:dyDescent="0.75">
      <c r="X886" s="426"/>
      <c r="Z886" s="379"/>
    </row>
    <row r="887" spans="24:26" x14ac:dyDescent="0.75">
      <c r="X887" s="426"/>
      <c r="Z887" s="379"/>
    </row>
    <row r="888" spans="24:26" x14ac:dyDescent="0.75">
      <c r="X888" s="426"/>
      <c r="Z888" s="379"/>
    </row>
    <row r="889" spans="24:26" x14ac:dyDescent="0.75">
      <c r="X889" s="426"/>
      <c r="Z889" s="379"/>
    </row>
    <row r="890" spans="24:26" x14ac:dyDescent="0.75">
      <c r="X890" s="426"/>
      <c r="Z890" s="379"/>
    </row>
    <row r="891" spans="24:26" x14ac:dyDescent="0.75">
      <c r="X891" s="426"/>
      <c r="Z891" s="379"/>
    </row>
    <row r="892" spans="24:26" x14ac:dyDescent="0.75">
      <c r="X892" s="426"/>
      <c r="Z892" s="379"/>
    </row>
    <row r="893" spans="24:26" x14ac:dyDescent="0.75">
      <c r="X893" s="426"/>
      <c r="Z893" s="379"/>
    </row>
    <row r="894" spans="24:26" x14ac:dyDescent="0.75">
      <c r="X894" s="426"/>
      <c r="Z894" s="379"/>
    </row>
    <row r="895" spans="24:26" x14ac:dyDescent="0.75">
      <c r="X895" s="426"/>
      <c r="Z895" s="379"/>
    </row>
    <row r="896" spans="24:26" x14ac:dyDescent="0.75">
      <c r="X896" s="426"/>
      <c r="Z896" s="379"/>
    </row>
    <row r="897" spans="24:26" x14ac:dyDescent="0.75">
      <c r="X897" s="426"/>
      <c r="Z897" s="379"/>
    </row>
    <row r="898" spans="24:26" x14ac:dyDescent="0.75">
      <c r="X898" s="426"/>
      <c r="Z898" s="379"/>
    </row>
    <row r="899" spans="24:26" x14ac:dyDescent="0.75">
      <c r="X899" s="426"/>
      <c r="Z899" s="379"/>
    </row>
    <row r="900" spans="24:26" x14ac:dyDescent="0.75">
      <c r="X900" s="426"/>
      <c r="Z900" s="379"/>
    </row>
    <row r="901" spans="24:26" x14ac:dyDescent="0.75">
      <c r="X901" s="426"/>
      <c r="Z901" s="379"/>
    </row>
    <row r="902" spans="24:26" x14ac:dyDescent="0.75">
      <c r="X902" s="426"/>
      <c r="Z902" s="379"/>
    </row>
    <row r="903" spans="24:26" x14ac:dyDescent="0.75">
      <c r="X903" s="426"/>
      <c r="Z903" s="379"/>
    </row>
    <row r="904" spans="24:26" x14ac:dyDescent="0.75">
      <c r="X904" s="426"/>
      <c r="Z904" s="379"/>
    </row>
    <row r="905" spans="24:26" x14ac:dyDescent="0.75">
      <c r="X905" s="426"/>
      <c r="Z905" s="379"/>
    </row>
    <row r="906" spans="24:26" x14ac:dyDescent="0.75">
      <c r="X906" s="426"/>
      <c r="Z906" s="379"/>
    </row>
    <row r="907" spans="24:26" x14ac:dyDescent="0.75">
      <c r="X907" s="426"/>
      <c r="Z907" s="379"/>
    </row>
    <row r="908" spans="24:26" x14ac:dyDescent="0.75">
      <c r="X908" s="426"/>
      <c r="Z908" s="379"/>
    </row>
    <row r="909" spans="24:26" x14ac:dyDescent="0.75">
      <c r="X909" s="426"/>
      <c r="Z909" s="379"/>
    </row>
    <row r="910" spans="24:26" x14ac:dyDescent="0.75">
      <c r="X910" s="426"/>
      <c r="Z910" s="379"/>
    </row>
    <row r="911" spans="24:26" x14ac:dyDescent="0.75">
      <c r="X911" s="426"/>
      <c r="Z911" s="379"/>
    </row>
    <row r="912" spans="24:26" x14ac:dyDescent="0.75">
      <c r="X912" s="426"/>
      <c r="Z912" s="379"/>
    </row>
    <row r="913" spans="24:26" x14ac:dyDescent="0.75">
      <c r="X913" s="426"/>
      <c r="Z913" s="379"/>
    </row>
    <row r="914" spans="24:26" x14ac:dyDescent="0.75">
      <c r="X914" s="426"/>
      <c r="Z914" s="379"/>
    </row>
    <row r="915" spans="24:26" x14ac:dyDescent="0.75">
      <c r="X915" s="426"/>
      <c r="Z915" s="379"/>
    </row>
    <row r="916" spans="24:26" x14ac:dyDescent="0.75">
      <c r="X916" s="426"/>
      <c r="Z916" s="379"/>
    </row>
    <row r="917" spans="24:26" x14ac:dyDescent="0.75">
      <c r="X917" s="426"/>
      <c r="Z917" s="379"/>
    </row>
    <row r="918" spans="24:26" x14ac:dyDescent="0.75">
      <c r="X918" s="426"/>
      <c r="Z918" s="379"/>
    </row>
    <row r="919" spans="24:26" x14ac:dyDescent="0.75">
      <c r="X919" s="426"/>
      <c r="Z919" s="379"/>
    </row>
    <row r="920" spans="24:26" x14ac:dyDescent="0.75">
      <c r="X920" s="426"/>
      <c r="Z920" s="379"/>
    </row>
    <row r="921" spans="24:26" x14ac:dyDescent="0.75">
      <c r="X921" s="426"/>
      <c r="Z921" s="379"/>
    </row>
    <row r="922" spans="24:26" x14ac:dyDescent="0.75">
      <c r="X922" s="426"/>
      <c r="Z922" s="379"/>
    </row>
    <row r="923" spans="24:26" x14ac:dyDescent="0.75">
      <c r="X923" s="426"/>
      <c r="Z923" s="379"/>
    </row>
    <row r="924" spans="24:26" x14ac:dyDescent="0.75">
      <c r="X924" s="426"/>
      <c r="Z924" s="379"/>
    </row>
    <row r="925" spans="24:26" x14ac:dyDescent="0.75">
      <c r="X925" s="426"/>
      <c r="Z925" s="379"/>
    </row>
    <row r="926" spans="24:26" x14ac:dyDescent="0.75">
      <c r="X926" s="426"/>
      <c r="Z926" s="379"/>
    </row>
    <row r="927" spans="24:26" x14ac:dyDescent="0.75">
      <c r="X927" s="426"/>
      <c r="Z927" s="379"/>
    </row>
    <row r="928" spans="24:26" x14ac:dyDescent="0.75">
      <c r="X928" s="426"/>
      <c r="Z928" s="379"/>
    </row>
    <row r="929" spans="24:26" x14ac:dyDescent="0.75">
      <c r="X929" s="426"/>
      <c r="Z929" s="379"/>
    </row>
    <row r="930" spans="24:26" x14ac:dyDescent="0.75">
      <c r="X930" s="426"/>
      <c r="Z930" s="379"/>
    </row>
    <row r="931" spans="24:26" x14ac:dyDescent="0.75">
      <c r="X931" s="426"/>
      <c r="Z931" s="379"/>
    </row>
    <row r="932" spans="24:26" x14ac:dyDescent="0.75">
      <c r="X932" s="426"/>
      <c r="Z932" s="379"/>
    </row>
    <row r="933" spans="24:26" x14ac:dyDescent="0.75">
      <c r="X933" s="426"/>
      <c r="Z933" s="379"/>
    </row>
    <row r="934" spans="24:26" x14ac:dyDescent="0.75">
      <c r="X934" s="426"/>
      <c r="Z934" s="379"/>
    </row>
    <row r="935" spans="24:26" x14ac:dyDescent="0.75">
      <c r="X935" s="426"/>
      <c r="Z935" s="379"/>
    </row>
    <row r="936" spans="24:26" x14ac:dyDescent="0.75">
      <c r="X936" s="426"/>
      <c r="Z936" s="379"/>
    </row>
    <row r="937" spans="24:26" x14ac:dyDescent="0.75">
      <c r="X937" s="426"/>
      <c r="Z937" s="379"/>
    </row>
    <row r="938" spans="24:26" x14ac:dyDescent="0.75">
      <c r="X938" s="426"/>
      <c r="Z938" s="379"/>
    </row>
    <row r="939" spans="24:26" x14ac:dyDescent="0.75">
      <c r="X939" s="426"/>
      <c r="Z939" s="379"/>
    </row>
    <row r="940" spans="24:26" x14ac:dyDescent="0.75">
      <c r="X940" s="426"/>
      <c r="Z940" s="379"/>
    </row>
    <row r="941" spans="24:26" x14ac:dyDescent="0.75">
      <c r="X941" s="426"/>
      <c r="Z941" s="379"/>
    </row>
    <row r="942" spans="24:26" x14ac:dyDescent="0.75">
      <c r="X942" s="426"/>
      <c r="Z942" s="379"/>
    </row>
    <row r="943" spans="24:26" x14ac:dyDescent="0.75">
      <c r="X943" s="426"/>
      <c r="Z943" s="379"/>
    </row>
    <row r="944" spans="24:26" x14ac:dyDescent="0.75">
      <c r="X944" s="426"/>
      <c r="Z944" s="379"/>
    </row>
    <row r="945" spans="24:26" x14ac:dyDescent="0.75">
      <c r="X945" s="426"/>
      <c r="Z945" s="379"/>
    </row>
    <row r="946" spans="24:26" x14ac:dyDescent="0.75">
      <c r="X946" s="426"/>
      <c r="Z946" s="379"/>
    </row>
    <row r="947" spans="24:26" x14ac:dyDescent="0.75">
      <c r="X947" s="426"/>
      <c r="Z947" s="379"/>
    </row>
    <row r="948" spans="24:26" x14ac:dyDescent="0.75">
      <c r="X948" s="426"/>
      <c r="Z948" s="379"/>
    </row>
    <row r="949" spans="24:26" x14ac:dyDescent="0.75">
      <c r="X949" s="426"/>
      <c r="Z949" s="379"/>
    </row>
    <row r="950" spans="24:26" x14ac:dyDescent="0.75">
      <c r="X950" s="426"/>
      <c r="Z950" s="379"/>
    </row>
    <row r="951" spans="24:26" x14ac:dyDescent="0.75">
      <c r="X951" s="426"/>
      <c r="Z951" s="379"/>
    </row>
    <row r="952" spans="24:26" x14ac:dyDescent="0.75">
      <c r="X952" s="426"/>
      <c r="Z952" s="379"/>
    </row>
    <row r="953" spans="24:26" x14ac:dyDescent="0.75">
      <c r="X953" s="426"/>
      <c r="Z953" s="379"/>
    </row>
    <row r="954" spans="24:26" x14ac:dyDescent="0.75">
      <c r="X954" s="426"/>
      <c r="Z954" s="379"/>
    </row>
    <row r="955" spans="24:26" x14ac:dyDescent="0.75">
      <c r="X955" s="426"/>
      <c r="Z955" s="379"/>
    </row>
    <row r="956" spans="24:26" x14ac:dyDescent="0.75">
      <c r="X956" s="426"/>
      <c r="Z956" s="379"/>
    </row>
    <row r="957" spans="24:26" x14ac:dyDescent="0.75">
      <c r="X957" s="426"/>
      <c r="Z957" s="379"/>
    </row>
    <row r="958" spans="24:26" x14ac:dyDescent="0.75">
      <c r="X958" s="426"/>
      <c r="Z958" s="379"/>
    </row>
    <row r="959" spans="24:26" x14ac:dyDescent="0.75">
      <c r="X959" s="426"/>
      <c r="Z959" s="379"/>
    </row>
    <row r="960" spans="24:26" x14ac:dyDescent="0.75">
      <c r="X960" s="426"/>
      <c r="Z960" s="379"/>
    </row>
    <row r="961" spans="24:26" x14ac:dyDescent="0.75">
      <c r="X961" s="426"/>
      <c r="Z961" s="379"/>
    </row>
    <row r="962" spans="24:26" x14ac:dyDescent="0.75">
      <c r="X962" s="426"/>
      <c r="Z962" s="379"/>
    </row>
    <row r="963" spans="24:26" x14ac:dyDescent="0.75">
      <c r="X963" s="426"/>
      <c r="Z963" s="379"/>
    </row>
    <row r="964" spans="24:26" x14ac:dyDescent="0.75">
      <c r="X964" s="426"/>
      <c r="Z964" s="379"/>
    </row>
    <row r="965" spans="24:26" x14ac:dyDescent="0.75">
      <c r="X965" s="426"/>
      <c r="Z965" s="379"/>
    </row>
    <row r="966" spans="24:26" x14ac:dyDescent="0.75">
      <c r="X966" s="426"/>
      <c r="Z966" s="379"/>
    </row>
    <row r="967" spans="24:26" x14ac:dyDescent="0.75">
      <c r="X967" s="426"/>
      <c r="Z967" s="379"/>
    </row>
    <row r="968" spans="24:26" x14ac:dyDescent="0.75">
      <c r="X968" s="426"/>
      <c r="Z968" s="379"/>
    </row>
    <row r="969" spans="24:26" x14ac:dyDescent="0.75">
      <c r="X969" s="426"/>
      <c r="Z969" s="379"/>
    </row>
    <row r="970" spans="24:26" x14ac:dyDescent="0.75">
      <c r="X970" s="426"/>
      <c r="Z970" s="379"/>
    </row>
    <row r="971" spans="24:26" x14ac:dyDescent="0.75">
      <c r="X971" s="426"/>
      <c r="Z971" s="379"/>
    </row>
    <row r="972" spans="24:26" x14ac:dyDescent="0.75">
      <c r="X972" s="426"/>
      <c r="Z972" s="379"/>
    </row>
    <row r="973" spans="24:26" x14ac:dyDescent="0.75">
      <c r="X973" s="426"/>
      <c r="Z973" s="379"/>
    </row>
    <row r="974" spans="24:26" x14ac:dyDescent="0.75">
      <c r="X974" s="426"/>
      <c r="Z974" s="379"/>
    </row>
    <row r="975" spans="24:26" x14ac:dyDescent="0.75">
      <c r="X975" s="426"/>
      <c r="Z975" s="379"/>
    </row>
    <row r="976" spans="24:26" x14ac:dyDescent="0.75">
      <c r="X976" s="426"/>
      <c r="Z976" s="379"/>
    </row>
    <row r="977" spans="24:26" x14ac:dyDescent="0.75">
      <c r="X977" s="426"/>
      <c r="Z977" s="379"/>
    </row>
    <row r="978" spans="24:26" x14ac:dyDescent="0.75">
      <c r="X978" s="426"/>
      <c r="Z978" s="379"/>
    </row>
    <row r="979" spans="24:26" x14ac:dyDescent="0.75">
      <c r="X979" s="426"/>
      <c r="Z979" s="379"/>
    </row>
    <row r="980" spans="24:26" x14ac:dyDescent="0.75">
      <c r="X980" s="426"/>
      <c r="Z980" s="379"/>
    </row>
    <row r="981" spans="24:26" x14ac:dyDescent="0.75">
      <c r="X981" s="426"/>
      <c r="Z981" s="379"/>
    </row>
    <row r="982" spans="24:26" x14ac:dyDescent="0.75">
      <c r="X982" s="426"/>
      <c r="Z982" s="379"/>
    </row>
    <row r="983" spans="24:26" x14ac:dyDescent="0.75">
      <c r="X983" s="426"/>
      <c r="Z983" s="379"/>
    </row>
    <row r="984" spans="24:26" x14ac:dyDescent="0.75">
      <c r="X984" s="426"/>
      <c r="Z984" s="379"/>
    </row>
    <row r="985" spans="24:26" x14ac:dyDescent="0.75">
      <c r="X985" s="426"/>
      <c r="Z985" s="379"/>
    </row>
    <row r="986" spans="24:26" x14ac:dyDescent="0.75">
      <c r="X986" s="426"/>
      <c r="Z986" s="379"/>
    </row>
    <row r="987" spans="24:26" x14ac:dyDescent="0.75">
      <c r="X987" s="426"/>
      <c r="Z987" s="379"/>
    </row>
    <row r="988" spans="24:26" x14ac:dyDescent="0.75">
      <c r="X988" s="426"/>
      <c r="Z988" s="379"/>
    </row>
    <row r="989" spans="24:26" x14ac:dyDescent="0.75">
      <c r="X989" s="426"/>
      <c r="Z989" s="379"/>
    </row>
    <row r="990" spans="24:26" x14ac:dyDescent="0.75">
      <c r="X990" s="426"/>
      <c r="Z990" s="379"/>
    </row>
    <row r="991" spans="24:26" x14ac:dyDescent="0.75">
      <c r="X991" s="426"/>
      <c r="Z991" s="379"/>
    </row>
    <row r="992" spans="24:26" x14ac:dyDescent="0.75">
      <c r="X992" s="426"/>
      <c r="Z992" s="379"/>
    </row>
    <row r="993" spans="24:26" x14ac:dyDescent="0.75">
      <c r="X993" s="426"/>
      <c r="Z993" s="379"/>
    </row>
    <row r="994" spans="24:26" x14ac:dyDescent="0.75">
      <c r="X994" s="426"/>
      <c r="Z994" s="379"/>
    </row>
    <row r="995" spans="24:26" x14ac:dyDescent="0.75">
      <c r="X995" s="426"/>
      <c r="Z995" s="379"/>
    </row>
    <row r="996" spans="24:26" x14ac:dyDescent="0.75">
      <c r="X996" s="426"/>
      <c r="Z996" s="379"/>
    </row>
    <row r="997" spans="24:26" x14ac:dyDescent="0.75">
      <c r="X997" s="426"/>
      <c r="Z997" s="379"/>
    </row>
    <row r="998" spans="24:26" x14ac:dyDescent="0.75">
      <c r="X998" s="426"/>
      <c r="Z998" s="379"/>
    </row>
    <row r="999" spans="24:26" x14ac:dyDescent="0.75">
      <c r="X999" s="426"/>
      <c r="Z999" s="379"/>
    </row>
    <row r="1000" spans="24:26" x14ac:dyDescent="0.75">
      <c r="X1000" s="426"/>
      <c r="Z1000" s="379"/>
    </row>
    <row r="1001" spans="24:26" x14ac:dyDescent="0.75">
      <c r="X1001" s="426"/>
      <c r="Z1001" s="379"/>
    </row>
    <row r="1002" spans="24:26" x14ac:dyDescent="0.75">
      <c r="X1002" s="426"/>
      <c r="Z1002" s="379"/>
    </row>
    <row r="1003" spans="24:26" x14ac:dyDescent="0.75">
      <c r="X1003" s="426"/>
      <c r="Z1003" s="379"/>
    </row>
    <row r="1004" spans="24:26" x14ac:dyDescent="0.75">
      <c r="X1004" s="426"/>
      <c r="Z1004" s="379"/>
    </row>
    <row r="1005" spans="24:26" x14ac:dyDescent="0.75">
      <c r="X1005" s="426"/>
      <c r="Z1005" s="379"/>
    </row>
    <row r="1006" spans="24:26" x14ac:dyDescent="0.75">
      <c r="X1006" s="426"/>
      <c r="Z1006" s="379"/>
    </row>
    <row r="1007" spans="24:26" x14ac:dyDescent="0.75">
      <c r="X1007" s="426"/>
      <c r="Z1007" s="379"/>
    </row>
    <row r="1008" spans="24:26" x14ac:dyDescent="0.75">
      <c r="X1008" s="426"/>
      <c r="Z1008" s="379"/>
    </row>
    <row r="1009" spans="24:26" x14ac:dyDescent="0.75">
      <c r="X1009" s="426"/>
      <c r="Z1009" s="379"/>
    </row>
    <row r="1010" spans="24:26" x14ac:dyDescent="0.75">
      <c r="X1010" s="426"/>
      <c r="Z1010" s="379"/>
    </row>
    <row r="1011" spans="24:26" x14ac:dyDescent="0.75">
      <c r="X1011" s="426"/>
      <c r="Z1011" s="379"/>
    </row>
    <row r="1012" spans="24:26" x14ac:dyDescent="0.75">
      <c r="X1012" s="426"/>
      <c r="Z1012" s="379"/>
    </row>
    <row r="1013" spans="24:26" x14ac:dyDescent="0.75">
      <c r="X1013" s="426"/>
      <c r="Z1013" s="379"/>
    </row>
    <row r="1014" spans="24:26" x14ac:dyDescent="0.75">
      <c r="X1014" s="426"/>
      <c r="Z1014" s="379"/>
    </row>
    <row r="1015" spans="24:26" x14ac:dyDescent="0.75">
      <c r="X1015" s="426"/>
      <c r="Z1015" s="379"/>
    </row>
    <row r="1016" spans="24:26" x14ac:dyDescent="0.75">
      <c r="X1016" s="426"/>
      <c r="Z1016" s="379"/>
    </row>
    <row r="1017" spans="24:26" x14ac:dyDescent="0.75">
      <c r="X1017" s="426"/>
      <c r="Z1017" s="379"/>
    </row>
    <row r="1018" spans="24:26" x14ac:dyDescent="0.75">
      <c r="X1018" s="426"/>
      <c r="Z1018" s="379"/>
    </row>
    <row r="1019" spans="24:26" x14ac:dyDescent="0.75">
      <c r="X1019" s="426"/>
      <c r="Z1019" s="379"/>
    </row>
    <row r="1020" spans="24:26" x14ac:dyDescent="0.75">
      <c r="X1020" s="426"/>
      <c r="Z1020" s="379"/>
    </row>
    <row r="1021" spans="24:26" x14ac:dyDescent="0.75">
      <c r="X1021" s="426"/>
      <c r="Z1021" s="379"/>
    </row>
    <row r="1022" spans="24:26" x14ac:dyDescent="0.75">
      <c r="X1022" s="426"/>
      <c r="Z1022" s="379"/>
    </row>
    <row r="1023" spans="24:26" x14ac:dyDescent="0.75">
      <c r="X1023" s="426"/>
      <c r="Z1023" s="379"/>
    </row>
    <row r="1024" spans="24:26" x14ac:dyDescent="0.75">
      <c r="X1024" s="426"/>
      <c r="Z1024" s="379"/>
    </row>
    <row r="1025" spans="8:26" x14ac:dyDescent="0.75">
      <c r="X1025" s="426"/>
      <c r="Z1025" s="379"/>
    </row>
    <row r="1026" spans="8:26" x14ac:dyDescent="0.75">
      <c r="X1026" s="426"/>
      <c r="Z1026" s="379"/>
    </row>
    <row r="1027" spans="8:26" x14ac:dyDescent="0.75">
      <c r="X1027" s="426"/>
      <c r="Z1027" s="379"/>
    </row>
    <row r="1028" spans="8:26" x14ac:dyDescent="0.75">
      <c r="X1028" s="426"/>
      <c r="Z1028" s="379"/>
    </row>
    <row r="1029" spans="8:26" x14ac:dyDescent="0.75">
      <c r="X1029" s="426"/>
      <c r="Z1029" s="379"/>
    </row>
    <row r="1030" spans="8:26" x14ac:dyDescent="0.75">
      <c r="X1030" s="426"/>
      <c r="Z1030" s="379"/>
    </row>
    <row r="1031" spans="8:26" x14ac:dyDescent="0.75">
      <c r="X1031" s="426"/>
      <c r="Z1031" s="379"/>
    </row>
    <row r="1032" spans="8:26" x14ac:dyDescent="0.75">
      <c r="X1032" s="426"/>
      <c r="Z1032" s="379"/>
    </row>
    <row r="1033" spans="8:26" x14ac:dyDescent="0.75">
      <c r="X1033" s="426"/>
      <c r="Z1033" s="379"/>
    </row>
    <row r="1034" spans="8:26" x14ac:dyDescent="0.75">
      <c r="X1034" s="426"/>
      <c r="Z1034" s="379"/>
    </row>
    <row r="1035" spans="8:26" x14ac:dyDescent="0.75">
      <c r="X1035" s="426"/>
      <c r="Z1035" s="379"/>
    </row>
    <row r="1036" spans="8:26" x14ac:dyDescent="0.75">
      <c r="H1036" s="379"/>
      <c r="X1036" s="426"/>
      <c r="Z1036" s="379"/>
    </row>
    <row r="1037" spans="8:26" x14ac:dyDescent="0.75">
      <c r="H1037" s="379"/>
      <c r="X1037" s="426"/>
      <c r="Z1037" s="379"/>
    </row>
    <row r="1038" spans="8:26" x14ac:dyDescent="0.75">
      <c r="H1038" s="379"/>
      <c r="X1038" s="426"/>
      <c r="Z1038" s="379"/>
    </row>
    <row r="1039" spans="8:26" x14ac:dyDescent="0.75">
      <c r="H1039" s="379"/>
      <c r="X1039" s="426"/>
      <c r="Z1039" s="379"/>
    </row>
    <row r="1040" spans="8:26" x14ac:dyDescent="0.75">
      <c r="H1040" s="379"/>
      <c r="X1040" s="426"/>
      <c r="Z1040" s="379"/>
    </row>
    <row r="1041" spans="8:26" x14ac:dyDescent="0.75">
      <c r="H1041" s="379"/>
      <c r="X1041" s="426"/>
      <c r="Z1041" s="379"/>
    </row>
    <row r="1042" spans="8:26" x14ac:dyDescent="0.75">
      <c r="H1042" s="379"/>
      <c r="X1042" s="426"/>
      <c r="Z1042" s="379"/>
    </row>
    <row r="1043" spans="8:26" x14ac:dyDescent="0.75">
      <c r="H1043" s="379"/>
      <c r="X1043" s="426"/>
      <c r="Z1043" s="379"/>
    </row>
    <row r="1044" spans="8:26" x14ac:dyDescent="0.75">
      <c r="H1044" s="379"/>
      <c r="X1044" s="426"/>
      <c r="Z1044" s="379"/>
    </row>
    <row r="1045" spans="8:26" x14ac:dyDescent="0.75">
      <c r="H1045" s="379"/>
      <c r="X1045" s="426"/>
      <c r="Z1045" s="379"/>
    </row>
    <row r="1046" spans="8:26" x14ac:dyDescent="0.75">
      <c r="H1046" s="379"/>
      <c r="X1046" s="426"/>
      <c r="Z1046" s="379"/>
    </row>
    <row r="1047" spans="8:26" x14ac:dyDescent="0.75">
      <c r="H1047" s="379"/>
      <c r="X1047" s="426"/>
      <c r="Z1047" s="379"/>
    </row>
    <row r="1048" spans="8:26" x14ac:dyDescent="0.75">
      <c r="H1048" s="379"/>
      <c r="X1048" s="426"/>
      <c r="Z1048" s="379"/>
    </row>
    <row r="1049" spans="8:26" x14ac:dyDescent="0.75">
      <c r="H1049" s="379"/>
      <c r="X1049" s="426"/>
      <c r="Z1049" s="379"/>
    </row>
    <row r="1050" spans="8:26" x14ac:dyDescent="0.75">
      <c r="H1050" s="379"/>
      <c r="X1050" s="426"/>
      <c r="Z1050" s="379"/>
    </row>
    <row r="1051" spans="8:26" x14ac:dyDescent="0.75">
      <c r="H1051" s="379"/>
      <c r="X1051" s="426"/>
      <c r="Z1051" s="379"/>
    </row>
    <row r="1052" spans="8:26" x14ac:dyDescent="0.75">
      <c r="H1052" s="379"/>
      <c r="X1052" s="426"/>
      <c r="Z1052" s="379"/>
    </row>
    <row r="1053" spans="8:26" x14ac:dyDescent="0.75">
      <c r="H1053" s="379"/>
      <c r="X1053" s="426"/>
      <c r="Z1053" s="379"/>
    </row>
    <row r="1054" spans="8:26" x14ac:dyDescent="0.75">
      <c r="H1054" s="379"/>
      <c r="X1054" s="426"/>
      <c r="Z1054" s="379"/>
    </row>
    <row r="1055" spans="8:26" x14ac:dyDescent="0.75">
      <c r="H1055" s="379"/>
      <c r="X1055" s="426"/>
      <c r="Z1055" s="379"/>
    </row>
    <row r="1056" spans="8:26" x14ac:dyDescent="0.75">
      <c r="H1056" s="379"/>
      <c r="X1056" s="426"/>
      <c r="Z1056" s="379"/>
    </row>
    <row r="1057" spans="8:26" x14ac:dyDescent="0.75">
      <c r="H1057" s="379"/>
      <c r="X1057" s="426"/>
      <c r="Z1057" s="379"/>
    </row>
    <row r="1058" spans="8:26" x14ac:dyDescent="0.75">
      <c r="H1058" s="379"/>
      <c r="X1058" s="426"/>
      <c r="Z1058" s="379"/>
    </row>
    <row r="1059" spans="8:26" x14ac:dyDescent="0.75">
      <c r="H1059" s="379"/>
      <c r="X1059" s="426"/>
      <c r="Z1059" s="379"/>
    </row>
    <row r="1060" spans="8:26" x14ac:dyDescent="0.75">
      <c r="H1060" s="379"/>
      <c r="X1060" s="426"/>
      <c r="Z1060" s="379"/>
    </row>
    <row r="1061" spans="8:26" x14ac:dyDescent="0.75">
      <c r="H1061" s="379"/>
      <c r="X1061" s="426"/>
      <c r="Z1061" s="379"/>
    </row>
    <row r="1062" spans="8:26" x14ac:dyDescent="0.75">
      <c r="H1062" s="379"/>
      <c r="X1062" s="426"/>
      <c r="Z1062" s="379"/>
    </row>
    <row r="1063" spans="8:26" x14ac:dyDescent="0.75">
      <c r="H1063" s="379"/>
      <c r="X1063" s="426"/>
      <c r="Z1063" s="379"/>
    </row>
    <row r="1064" spans="8:26" x14ac:dyDescent="0.75">
      <c r="H1064" s="379"/>
      <c r="X1064" s="426"/>
      <c r="Z1064" s="379"/>
    </row>
    <row r="1065" spans="8:26" x14ac:dyDescent="0.75">
      <c r="H1065" s="379"/>
      <c r="X1065" s="426"/>
      <c r="Z1065" s="379"/>
    </row>
    <row r="1066" spans="8:26" x14ac:dyDescent="0.75">
      <c r="H1066" s="379"/>
      <c r="X1066" s="426"/>
      <c r="Z1066" s="379"/>
    </row>
    <row r="1067" spans="8:26" x14ac:dyDescent="0.75">
      <c r="H1067" s="379"/>
      <c r="X1067" s="426"/>
      <c r="Z1067" s="379"/>
    </row>
    <row r="1068" spans="8:26" x14ac:dyDescent="0.75">
      <c r="H1068" s="379"/>
      <c r="X1068" s="426"/>
      <c r="Z1068" s="379"/>
    </row>
    <row r="1069" spans="8:26" x14ac:dyDescent="0.75">
      <c r="H1069" s="379"/>
      <c r="X1069" s="426"/>
      <c r="Z1069" s="379"/>
    </row>
    <row r="1070" spans="8:26" x14ac:dyDescent="0.75">
      <c r="H1070" s="379"/>
      <c r="X1070" s="426"/>
      <c r="Z1070" s="379"/>
    </row>
    <row r="1071" spans="8:26" x14ac:dyDescent="0.75">
      <c r="H1071" s="379"/>
      <c r="X1071" s="426"/>
      <c r="Z1071" s="379"/>
    </row>
    <row r="1072" spans="8:26" x14ac:dyDescent="0.75">
      <c r="H1072" s="379"/>
      <c r="X1072" s="426"/>
      <c r="Z1072" s="379"/>
    </row>
    <row r="1073" spans="8:26" x14ac:dyDescent="0.75">
      <c r="H1073" s="379"/>
      <c r="X1073" s="426"/>
      <c r="Z1073" s="379"/>
    </row>
    <row r="1074" spans="8:26" x14ac:dyDescent="0.75">
      <c r="H1074" s="379"/>
      <c r="X1074" s="426"/>
      <c r="Z1074" s="379"/>
    </row>
    <row r="1075" spans="8:26" x14ac:dyDescent="0.75">
      <c r="H1075" s="379"/>
      <c r="X1075" s="426"/>
      <c r="Z1075" s="379"/>
    </row>
    <row r="1076" spans="8:26" x14ac:dyDescent="0.75">
      <c r="H1076" s="379"/>
      <c r="X1076" s="426"/>
      <c r="Z1076" s="379"/>
    </row>
    <row r="1077" spans="8:26" x14ac:dyDescent="0.75">
      <c r="H1077" s="379"/>
      <c r="X1077" s="426"/>
      <c r="Z1077" s="379"/>
    </row>
    <row r="1078" spans="8:26" x14ac:dyDescent="0.75">
      <c r="H1078" s="379"/>
      <c r="X1078" s="426"/>
      <c r="Z1078" s="379"/>
    </row>
    <row r="1079" spans="8:26" x14ac:dyDescent="0.75">
      <c r="H1079" s="379"/>
      <c r="X1079" s="426"/>
      <c r="Z1079" s="379"/>
    </row>
    <row r="1080" spans="8:26" x14ac:dyDescent="0.75">
      <c r="H1080" s="379"/>
      <c r="X1080" s="426"/>
      <c r="Z1080" s="379"/>
    </row>
    <row r="1081" spans="8:26" x14ac:dyDescent="0.75">
      <c r="H1081" s="379"/>
      <c r="X1081" s="426"/>
      <c r="Z1081" s="379"/>
    </row>
    <row r="1082" spans="8:26" x14ac:dyDescent="0.75">
      <c r="H1082" s="379"/>
      <c r="X1082" s="426"/>
      <c r="Z1082" s="379"/>
    </row>
    <row r="1083" spans="8:26" x14ac:dyDescent="0.75">
      <c r="H1083" s="379"/>
      <c r="X1083" s="426"/>
      <c r="Z1083" s="379"/>
    </row>
    <row r="1084" spans="8:26" x14ac:dyDescent="0.75">
      <c r="H1084" s="379"/>
      <c r="X1084" s="426"/>
      <c r="Z1084" s="379"/>
    </row>
    <row r="1085" spans="8:26" x14ac:dyDescent="0.75">
      <c r="H1085" s="379"/>
      <c r="X1085" s="426"/>
      <c r="Z1085" s="379"/>
    </row>
    <row r="1086" spans="8:26" x14ac:dyDescent="0.75">
      <c r="H1086" s="379"/>
      <c r="X1086" s="426"/>
      <c r="Z1086" s="379"/>
    </row>
    <row r="1087" spans="8:26" x14ac:dyDescent="0.75">
      <c r="H1087" s="379"/>
      <c r="X1087" s="426"/>
      <c r="Z1087" s="379"/>
    </row>
    <row r="1088" spans="8:26" x14ac:dyDescent="0.75">
      <c r="H1088" s="379"/>
      <c r="X1088" s="426"/>
      <c r="Z1088" s="379"/>
    </row>
    <row r="1089" spans="8:26" x14ac:dyDescent="0.75">
      <c r="H1089" s="379"/>
      <c r="X1089" s="426"/>
      <c r="Z1089" s="379"/>
    </row>
    <row r="1090" spans="8:26" x14ac:dyDescent="0.75">
      <c r="H1090" s="379"/>
      <c r="X1090" s="426"/>
      <c r="Z1090" s="379"/>
    </row>
    <row r="1091" spans="8:26" x14ac:dyDescent="0.75">
      <c r="H1091" s="379"/>
      <c r="X1091" s="426"/>
      <c r="Z1091" s="379"/>
    </row>
    <row r="1092" spans="8:26" x14ac:dyDescent="0.75">
      <c r="H1092" s="379"/>
      <c r="X1092" s="426"/>
      <c r="Z1092" s="379"/>
    </row>
    <row r="1093" spans="8:26" x14ac:dyDescent="0.75">
      <c r="H1093" s="379"/>
      <c r="X1093" s="426"/>
      <c r="Z1093" s="379"/>
    </row>
    <row r="1094" spans="8:26" x14ac:dyDescent="0.75">
      <c r="H1094" s="379"/>
      <c r="X1094" s="426"/>
      <c r="Z1094" s="379"/>
    </row>
    <row r="1095" spans="8:26" x14ac:dyDescent="0.75">
      <c r="H1095" s="379"/>
      <c r="X1095" s="426"/>
      <c r="Z1095" s="379"/>
    </row>
    <row r="1096" spans="8:26" x14ac:dyDescent="0.75">
      <c r="H1096" s="379"/>
      <c r="X1096" s="426"/>
      <c r="Z1096" s="379"/>
    </row>
    <row r="1097" spans="8:26" x14ac:dyDescent="0.75">
      <c r="H1097" s="379"/>
      <c r="X1097" s="426"/>
      <c r="Z1097" s="379"/>
    </row>
    <row r="1098" spans="8:26" x14ac:dyDescent="0.75">
      <c r="H1098" s="379"/>
      <c r="X1098" s="426"/>
      <c r="Z1098" s="379"/>
    </row>
    <row r="1099" spans="8:26" x14ac:dyDescent="0.75">
      <c r="H1099" s="379"/>
      <c r="X1099" s="426"/>
      <c r="Z1099" s="379"/>
    </row>
    <row r="1100" spans="8:26" x14ac:dyDescent="0.75">
      <c r="H1100" s="379"/>
      <c r="X1100" s="426"/>
      <c r="Z1100" s="379"/>
    </row>
    <row r="1101" spans="8:26" x14ac:dyDescent="0.75">
      <c r="H1101" s="379"/>
      <c r="X1101" s="426"/>
      <c r="Z1101" s="379"/>
    </row>
    <row r="1102" spans="8:26" x14ac:dyDescent="0.75">
      <c r="H1102" s="379"/>
      <c r="X1102" s="426"/>
      <c r="Z1102" s="379"/>
    </row>
    <row r="1103" spans="8:26" x14ac:dyDescent="0.75">
      <c r="H1103" s="379"/>
      <c r="X1103" s="426"/>
      <c r="Z1103" s="379"/>
    </row>
    <row r="1104" spans="8:26" x14ac:dyDescent="0.75">
      <c r="H1104" s="379"/>
      <c r="X1104" s="426"/>
      <c r="Z1104" s="379"/>
    </row>
    <row r="1105" spans="8:26" x14ac:dyDescent="0.75">
      <c r="H1105" s="379"/>
      <c r="X1105" s="426"/>
      <c r="Z1105" s="379"/>
    </row>
    <row r="1106" spans="8:26" x14ac:dyDescent="0.75">
      <c r="H1106" s="379"/>
      <c r="X1106" s="426"/>
      <c r="Z1106" s="379"/>
    </row>
    <row r="1107" spans="8:26" x14ac:dyDescent="0.75">
      <c r="H1107" s="379"/>
      <c r="X1107" s="426"/>
      <c r="Z1107" s="379"/>
    </row>
    <row r="1108" spans="8:26" x14ac:dyDescent="0.75">
      <c r="H1108" s="379"/>
      <c r="X1108" s="426"/>
      <c r="Z1108" s="379"/>
    </row>
    <row r="1109" spans="8:26" x14ac:dyDescent="0.75">
      <c r="H1109" s="379"/>
      <c r="X1109" s="426"/>
      <c r="Z1109" s="379"/>
    </row>
    <row r="1110" spans="8:26" x14ac:dyDescent="0.75">
      <c r="H1110" s="379"/>
      <c r="X1110" s="426"/>
      <c r="Z1110" s="379"/>
    </row>
    <row r="1111" spans="8:26" x14ac:dyDescent="0.75">
      <c r="H1111" s="379"/>
      <c r="X1111" s="426"/>
      <c r="Z1111" s="379"/>
    </row>
    <row r="1112" spans="8:26" x14ac:dyDescent="0.75">
      <c r="H1112" s="379"/>
      <c r="X1112" s="426"/>
      <c r="Z1112" s="379"/>
    </row>
    <row r="1113" spans="8:26" x14ac:dyDescent="0.75">
      <c r="H1113" s="379"/>
      <c r="X1113" s="426"/>
      <c r="Z1113" s="379"/>
    </row>
    <row r="1114" spans="8:26" x14ac:dyDescent="0.75">
      <c r="H1114" s="379"/>
      <c r="X1114" s="426"/>
      <c r="Z1114" s="379"/>
    </row>
    <row r="1115" spans="8:26" x14ac:dyDescent="0.75">
      <c r="H1115" s="379"/>
      <c r="X1115" s="426"/>
      <c r="Z1115" s="379"/>
    </row>
    <row r="1116" spans="8:26" x14ac:dyDescent="0.75">
      <c r="H1116" s="379"/>
      <c r="X1116" s="426"/>
      <c r="Z1116" s="379"/>
    </row>
    <row r="1117" spans="8:26" x14ac:dyDescent="0.75">
      <c r="H1117" s="379"/>
      <c r="X1117" s="426"/>
      <c r="Z1117" s="379"/>
    </row>
    <row r="1118" spans="8:26" x14ac:dyDescent="0.75">
      <c r="H1118" s="379"/>
      <c r="X1118" s="426"/>
      <c r="Z1118" s="379"/>
    </row>
    <row r="1119" spans="8:26" x14ac:dyDescent="0.75">
      <c r="H1119" s="379"/>
      <c r="X1119" s="426"/>
      <c r="Z1119" s="379"/>
    </row>
    <row r="1120" spans="8:26" x14ac:dyDescent="0.75">
      <c r="H1120" s="379"/>
      <c r="X1120" s="426"/>
      <c r="Z1120" s="379"/>
    </row>
    <row r="1121" spans="8:26" x14ac:dyDescent="0.75">
      <c r="H1121" s="379"/>
      <c r="X1121" s="426"/>
      <c r="Z1121" s="379"/>
    </row>
    <row r="1122" spans="8:26" x14ac:dyDescent="0.75">
      <c r="H1122" s="379"/>
      <c r="X1122" s="426"/>
      <c r="Z1122" s="379"/>
    </row>
    <row r="1123" spans="8:26" x14ac:dyDescent="0.75">
      <c r="H1123" s="379"/>
      <c r="X1123" s="426"/>
      <c r="Z1123" s="379"/>
    </row>
    <row r="1124" spans="8:26" x14ac:dyDescent="0.75">
      <c r="H1124" s="379"/>
      <c r="X1124" s="426"/>
      <c r="Z1124" s="379"/>
    </row>
    <row r="1125" spans="8:26" x14ac:dyDescent="0.75">
      <c r="H1125" s="379"/>
      <c r="X1125" s="426"/>
      <c r="Z1125" s="379"/>
    </row>
    <row r="1126" spans="8:26" x14ac:dyDescent="0.75">
      <c r="H1126" s="379"/>
      <c r="X1126" s="426"/>
      <c r="Z1126" s="379"/>
    </row>
    <row r="1127" spans="8:26" x14ac:dyDescent="0.75">
      <c r="H1127" s="379"/>
      <c r="X1127" s="426"/>
      <c r="Z1127" s="379"/>
    </row>
    <row r="1128" spans="8:26" x14ac:dyDescent="0.75">
      <c r="H1128" s="379"/>
      <c r="X1128" s="426"/>
      <c r="Z1128" s="379"/>
    </row>
    <row r="1129" spans="8:26" x14ac:dyDescent="0.75">
      <c r="H1129" s="379"/>
      <c r="X1129" s="426"/>
      <c r="Z1129" s="379"/>
    </row>
    <row r="1130" spans="8:26" x14ac:dyDescent="0.75">
      <c r="H1130" s="379"/>
      <c r="X1130" s="426"/>
      <c r="Z1130" s="379"/>
    </row>
    <row r="1131" spans="8:26" x14ac:dyDescent="0.75">
      <c r="H1131" s="379"/>
      <c r="X1131" s="426"/>
      <c r="Z1131" s="379"/>
    </row>
    <row r="1132" spans="8:26" x14ac:dyDescent="0.75">
      <c r="H1132" s="379"/>
      <c r="X1132" s="426"/>
      <c r="Z1132" s="379"/>
    </row>
    <row r="1133" spans="8:26" x14ac:dyDescent="0.75">
      <c r="H1133" s="379"/>
      <c r="X1133" s="426"/>
      <c r="Z1133" s="379"/>
    </row>
    <row r="1134" spans="8:26" x14ac:dyDescent="0.75">
      <c r="H1134" s="379"/>
      <c r="X1134" s="426"/>
      <c r="Z1134" s="379"/>
    </row>
    <row r="1135" spans="8:26" x14ac:dyDescent="0.75">
      <c r="H1135" s="379"/>
      <c r="X1135" s="426"/>
      <c r="Z1135" s="379"/>
    </row>
    <row r="1136" spans="8:26" x14ac:dyDescent="0.75">
      <c r="H1136" s="379"/>
      <c r="X1136" s="426"/>
      <c r="Z1136" s="379"/>
    </row>
    <row r="1137" spans="8:26" x14ac:dyDescent="0.75">
      <c r="H1137" s="379"/>
      <c r="X1137" s="426"/>
      <c r="Z1137" s="379"/>
    </row>
    <row r="1138" spans="8:26" x14ac:dyDescent="0.75">
      <c r="H1138" s="379"/>
      <c r="X1138" s="426"/>
      <c r="Z1138" s="379"/>
    </row>
    <row r="1139" spans="8:26" x14ac:dyDescent="0.75">
      <c r="H1139" s="379"/>
      <c r="X1139" s="426"/>
      <c r="Z1139" s="379"/>
    </row>
    <row r="1140" spans="8:26" x14ac:dyDescent="0.75">
      <c r="H1140" s="379"/>
      <c r="X1140" s="426"/>
      <c r="Z1140" s="379"/>
    </row>
    <row r="1141" spans="8:26" x14ac:dyDescent="0.75">
      <c r="H1141" s="379"/>
      <c r="X1141" s="426"/>
      <c r="Z1141" s="379"/>
    </row>
    <row r="1142" spans="8:26" x14ac:dyDescent="0.75">
      <c r="H1142" s="379"/>
      <c r="X1142" s="426"/>
      <c r="Z1142" s="379"/>
    </row>
    <row r="1143" spans="8:26" x14ac:dyDescent="0.75">
      <c r="H1143" s="379"/>
      <c r="X1143" s="426"/>
      <c r="Z1143" s="379"/>
    </row>
    <row r="1144" spans="8:26" x14ac:dyDescent="0.75">
      <c r="H1144" s="379"/>
      <c r="X1144" s="426"/>
      <c r="Z1144" s="379"/>
    </row>
    <row r="1145" spans="8:26" x14ac:dyDescent="0.75">
      <c r="H1145" s="379"/>
      <c r="X1145" s="426"/>
      <c r="Z1145" s="379"/>
    </row>
    <row r="1146" spans="8:26" x14ac:dyDescent="0.75">
      <c r="H1146" s="379"/>
      <c r="X1146" s="426"/>
      <c r="Z1146" s="379"/>
    </row>
    <row r="1147" spans="8:26" x14ac:dyDescent="0.75">
      <c r="H1147" s="379"/>
      <c r="X1147" s="426"/>
      <c r="Z1147" s="379"/>
    </row>
    <row r="1148" spans="8:26" x14ac:dyDescent="0.75">
      <c r="H1148" s="379"/>
      <c r="X1148" s="426"/>
      <c r="Z1148" s="379"/>
    </row>
    <row r="1149" spans="8:26" x14ac:dyDescent="0.75">
      <c r="H1149" s="379"/>
      <c r="X1149" s="426"/>
      <c r="Z1149" s="379"/>
    </row>
    <row r="1150" spans="8:26" x14ac:dyDescent="0.75">
      <c r="H1150" s="379"/>
      <c r="X1150" s="426"/>
      <c r="Z1150" s="379"/>
    </row>
    <row r="1151" spans="8:26" x14ac:dyDescent="0.75">
      <c r="H1151" s="379"/>
      <c r="X1151" s="426"/>
      <c r="Z1151" s="379"/>
    </row>
    <row r="1152" spans="8:26" x14ac:dyDescent="0.75">
      <c r="H1152" s="379"/>
      <c r="X1152" s="426"/>
      <c r="Z1152" s="379"/>
    </row>
    <row r="1153" spans="8:26" x14ac:dyDescent="0.75">
      <c r="H1153" s="379"/>
      <c r="X1153" s="426"/>
      <c r="Z1153" s="379"/>
    </row>
    <row r="1154" spans="8:26" x14ac:dyDescent="0.75">
      <c r="H1154" s="379"/>
      <c r="X1154" s="426"/>
      <c r="Z1154" s="379"/>
    </row>
    <row r="1155" spans="8:26" x14ac:dyDescent="0.75">
      <c r="H1155" s="379"/>
      <c r="X1155" s="426"/>
      <c r="Z1155" s="379"/>
    </row>
    <row r="1156" spans="8:26" x14ac:dyDescent="0.75">
      <c r="H1156" s="379"/>
      <c r="X1156" s="426"/>
      <c r="Z1156" s="379"/>
    </row>
    <row r="1157" spans="8:26" x14ac:dyDescent="0.75">
      <c r="H1157" s="379"/>
      <c r="X1157" s="426"/>
      <c r="Z1157" s="379"/>
    </row>
    <row r="1158" spans="8:26" x14ac:dyDescent="0.75">
      <c r="H1158" s="379"/>
      <c r="X1158" s="426"/>
      <c r="Z1158" s="379"/>
    </row>
    <row r="1159" spans="8:26" x14ac:dyDescent="0.75">
      <c r="H1159" s="379"/>
      <c r="X1159" s="426"/>
      <c r="Z1159" s="379"/>
    </row>
    <row r="1160" spans="8:26" x14ac:dyDescent="0.75">
      <c r="H1160" s="379"/>
      <c r="X1160" s="426"/>
      <c r="Z1160" s="379"/>
    </row>
    <row r="1161" spans="8:26" x14ac:dyDescent="0.75">
      <c r="H1161" s="379"/>
      <c r="X1161" s="426"/>
      <c r="Z1161" s="379"/>
    </row>
    <row r="1162" spans="8:26" x14ac:dyDescent="0.75">
      <c r="H1162" s="379"/>
      <c r="X1162" s="426"/>
      <c r="Z1162" s="379"/>
    </row>
    <row r="1163" spans="8:26" x14ac:dyDescent="0.75">
      <c r="H1163" s="379"/>
      <c r="X1163" s="426"/>
      <c r="Z1163" s="379"/>
    </row>
    <row r="1164" spans="8:26" x14ac:dyDescent="0.75">
      <c r="H1164" s="379"/>
      <c r="X1164" s="426"/>
      <c r="Z1164" s="379"/>
    </row>
    <row r="1165" spans="8:26" x14ac:dyDescent="0.75">
      <c r="H1165" s="379"/>
      <c r="X1165" s="426"/>
      <c r="Z1165" s="379"/>
    </row>
    <row r="1166" spans="8:26" x14ac:dyDescent="0.75">
      <c r="H1166" s="379"/>
      <c r="X1166" s="426"/>
      <c r="Z1166" s="379"/>
    </row>
    <row r="1167" spans="8:26" x14ac:dyDescent="0.75">
      <c r="H1167" s="379"/>
      <c r="X1167" s="426"/>
      <c r="Z1167" s="379"/>
    </row>
    <row r="1168" spans="8:26" x14ac:dyDescent="0.75">
      <c r="H1168" s="379"/>
      <c r="X1168" s="426"/>
      <c r="Z1168" s="379"/>
    </row>
    <row r="1169" spans="8:26" x14ac:dyDescent="0.75">
      <c r="H1169" s="379"/>
      <c r="X1169" s="426"/>
      <c r="Z1169" s="379"/>
    </row>
    <row r="1170" spans="8:26" x14ac:dyDescent="0.75">
      <c r="H1170" s="379"/>
      <c r="X1170" s="426"/>
      <c r="Z1170" s="379"/>
    </row>
    <row r="1171" spans="8:26" x14ac:dyDescent="0.75">
      <c r="H1171" s="379"/>
      <c r="X1171" s="426"/>
      <c r="Z1171" s="379"/>
    </row>
    <row r="1172" spans="8:26" x14ac:dyDescent="0.75">
      <c r="H1172" s="379"/>
      <c r="X1172" s="426"/>
      <c r="Z1172" s="379"/>
    </row>
    <row r="1173" spans="8:26" x14ac:dyDescent="0.75">
      <c r="H1173" s="379"/>
      <c r="X1173" s="426"/>
      <c r="Z1173" s="379"/>
    </row>
    <row r="1174" spans="8:26" x14ac:dyDescent="0.75">
      <c r="H1174" s="379"/>
      <c r="X1174" s="426"/>
      <c r="Z1174" s="379"/>
    </row>
    <row r="1175" spans="8:26" x14ac:dyDescent="0.75">
      <c r="H1175" s="379"/>
      <c r="X1175" s="426"/>
      <c r="Z1175" s="379"/>
    </row>
    <row r="1176" spans="8:26" x14ac:dyDescent="0.75">
      <c r="H1176" s="379"/>
      <c r="X1176" s="426"/>
      <c r="Z1176" s="379"/>
    </row>
    <row r="1177" spans="8:26" x14ac:dyDescent="0.75">
      <c r="H1177" s="379"/>
      <c r="X1177" s="426"/>
      <c r="Z1177" s="379"/>
    </row>
    <row r="1178" spans="8:26" x14ac:dyDescent="0.75">
      <c r="H1178" s="379"/>
      <c r="X1178" s="426"/>
      <c r="Z1178" s="379"/>
    </row>
    <row r="1179" spans="8:26" x14ac:dyDescent="0.75">
      <c r="H1179" s="379"/>
      <c r="X1179" s="426"/>
      <c r="Z1179" s="379"/>
    </row>
    <row r="1180" spans="8:26" x14ac:dyDescent="0.75">
      <c r="H1180" s="379"/>
      <c r="X1180" s="426"/>
      <c r="Z1180" s="379"/>
    </row>
    <row r="1181" spans="8:26" x14ac:dyDescent="0.75">
      <c r="H1181" s="379"/>
      <c r="X1181" s="426"/>
      <c r="Z1181" s="379"/>
    </row>
    <row r="1182" spans="8:26" x14ac:dyDescent="0.75">
      <c r="H1182" s="379"/>
      <c r="X1182" s="426"/>
      <c r="Z1182" s="379"/>
    </row>
    <row r="1183" spans="8:26" x14ac:dyDescent="0.75">
      <c r="H1183" s="379"/>
      <c r="X1183" s="426"/>
      <c r="Z1183" s="379"/>
    </row>
    <row r="1184" spans="8:26" x14ac:dyDescent="0.75">
      <c r="H1184" s="379"/>
      <c r="X1184" s="426"/>
      <c r="Z1184" s="379"/>
    </row>
    <row r="1185" spans="8:26" x14ac:dyDescent="0.75">
      <c r="H1185" s="379"/>
      <c r="X1185" s="426"/>
      <c r="Z1185" s="379"/>
    </row>
    <row r="1186" spans="8:26" x14ac:dyDescent="0.75">
      <c r="H1186" s="379"/>
      <c r="X1186" s="426"/>
      <c r="Z1186" s="379"/>
    </row>
    <row r="1187" spans="8:26" x14ac:dyDescent="0.75">
      <c r="H1187" s="379"/>
      <c r="X1187" s="426"/>
      <c r="Z1187" s="379"/>
    </row>
    <row r="1188" spans="8:26" x14ac:dyDescent="0.75">
      <c r="H1188" s="379"/>
      <c r="X1188" s="426"/>
      <c r="Z1188" s="379"/>
    </row>
    <row r="1189" spans="8:26" x14ac:dyDescent="0.75">
      <c r="H1189" s="379"/>
      <c r="X1189" s="426"/>
      <c r="Z1189" s="379"/>
    </row>
    <row r="1190" spans="8:26" x14ac:dyDescent="0.75">
      <c r="H1190" s="379"/>
      <c r="X1190" s="426"/>
      <c r="Z1190" s="379"/>
    </row>
    <row r="1191" spans="8:26" x14ac:dyDescent="0.75">
      <c r="H1191" s="379"/>
      <c r="X1191" s="426"/>
      <c r="Z1191" s="379"/>
    </row>
    <row r="1192" spans="8:26" x14ac:dyDescent="0.75">
      <c r="H1192" s="379"/>
      <c r="X1192" s="426"/>
      <c r="Z1192" s="379"/>
    </row>
    <row r="1193" spans="8:26" x14ac:dyDescent="0.75">
      <c r="H1193" s="379"/>
      <c r="X1193" s="426"/>
      <c r="Z1193" s="379"/>
    </row>
    <row r="1194" spans="8:26" x14ac:dyDescent="0.75">
      <c r="H1194" s="379"/>
      <c r="X1194" s="426"/>
      <c r="Z1194" s="379"/>
    </row>
    <row r="1195" spans="8:26" x14ac:dyDescent="0.75">
      <c r="H1195" s="379"/>
      <c r="X1195" s="426"/>
      <c r="Z1195" s="379"/>
    </row>
    <row r="1196" spans="8:26" x14ac:dyDescent="0.75">
      <c r="H1196" s="379"/>
      <c r="X1196" s="426"/>
      <c r="Z1196" s="379"/>
    </row>
    <row r="1197" spans="8:26" x14ac:dyDescent="0.75">
      <c r="H1197" s="379"/>
      <c r="X1197" s="426"/>
      <c r="Z1197" s="379"/>
    </row>
    <row r="1198" spans="8:26" x14ac:dyDescent="0.75">
      <c r="H1198" s="379"/>
      <c r="X1198" s="426"/>
      <c r="Z1198" s="379"/>
    </row>
    <row r="1199" spans="8:26" x14ac:dyDescent="0.75">
      <c r="H1199" s="379"/>
      <c r="X1199" s="426"/>
      <c r="Z1199" s="379"/>
    </row>
    <row r="1200" spans="8:26" x14ac:dyDescent="0.75">
      <c r="H1200" s="379"/>
      <c r="X1200" s="426"/>
      <c r="Z1200" s="379"/>
    </row>
    <row r="1201" spans="8:26" x14ac:dyDescent="0.75">
      <c r="H1201" s="379"/>
      <c r="X1201" s="426"/>
      <c r="Z1201" s="379"/>
    </row>
    <row r="1202" spans="8:26" x14ac:dyDescent="0.75">
      <c r="H1202" s="379"/>
      <c r="X1202" s="426"/>
      <c r="Z1202" s="379"/>
    </row>
    <row r="1203" spans="8:26" x14ac:dyDescent="0.75">
      <c r="H1203" s="379"/>
      <c r="X1203" s="426"/>
      <c r="Z1203" s="379"/>
    </row>
    <row r="1204" spans="8:26" x14ac:dyDescent="0.75">
      <c r="H1204" s="379"/>
      <c r="X1204" s="426"/>
      <c r="Z1204" s="379"/>
    </row>
    <row r="1205" spans="8:26" x14ac:dyDescent="0.75">
      <c r="H1205" s="379"/>
      <c r="X1205" s="426"/>
      <c r="Z1205" s="379"/>
    </row>
    <row r="1206" spans="8:26" x14ac:dyDescent="0.75">
      <c r="H1206" s="379"/>
      <c r="X1206" s="426"/>
      <c r="Z1206" s="379"/>
    </row>
    <row r="1207" spans="8:26" x14ac:dyDescent="0.75">
      <c r="H1207" s="379"/>
      <c r="X1207" s="426"/>
      <c r="Z1207" s="379"/>
    </row>
    <row r="1208" spans="8:26" x14ac:dyDescent="0.75">
      <c r="H1208" s="379"/>
      <c r="X1208" s="426"/>
      <c r="Z1208" s="379"/>
    </row>
    <row r="1209" spans="8:26" x14ac:dyDescent="0.75">
      <c r="H1209" s="379"/>
      <c r="X1209" s="426"/>
      <c r="Z1209" s="379"/>
    </row>
    <row r="1210" spans="8:26" x14ac:dyDescent="0.75">
      <c r="H1210" s="379"/>
      <c r="X1210" s="426"/>
      <c r="Z1210" s="379"/>
    </row>
    <row r="1211" spans="8:26" x14ac:dyDescent="0.75">
      <c r="H1211" s="379"/>
      <c r="X1211" s="426"/>
      <c r="Z1211" s="379"/>
    </row>
    <row r="1212" spans="8:26" x14ac:dyDescent="0.75">
      <c r="H1212" s="379"/>
      <c r="X1212" s="426"/>
      <c r="Z1212" s="379"/>
    </row>
    <row r="1213" spans="8:26" x14ac:dyDescent="0.75">
      <c r="H1213" s="379"/>
      <c r="X1213" s="426"/>
      <c r="Z1213" s="379"/>
    </row>
    <row r="1214" spans="8:26" x14ac:dyDescent="0.75">
      <c r="H1214" s="379"/>
      <c r="X1214" s="426"/>
      <c r="Z1214" s="379"/>
    </row>
    <row r="1215" spans="8:26" x14ac:dyDescent="0.75">
      <c r="H1215" s="379"/>
      <c r="X1215" s="426"/>
      <c r="Z1215" s="379"/>
    </row>
    <row r="1216" spans="8:26" x14ac:dyDescent="0.75">
      <c r="H1216" s="379"/>
      <c r="X1216" s="426"/>
      <c r="Z1216" s="379"/>
    </row>
    <row r="1217" spans="8:26" x14ac:dyDescent="0.75">
      <c r="H1217" s="379"/>
      <c r="X1217" s="426"/>
      <c r="Z1217" s="379"/>
    </row>
    <row r="1218" spans="8:26" x14ac:dyDescent="0.75">
      <c r="H1218" s="379"/>
      <c r="X1218" s="426"/>
      <c r="Z1218" s="379"/>
    </row>
    <row r="1219" spans="8:26" x14ac:dyDescent="0.75">
      <c r="H1219" s="379"/>
      <c r="X1219" s="426"/>
      <c r="Z1219" s="379"/>
    </row>
    <row r="1220" spans="8:26" x14ac:dyDescent="0.75">
      <c r="H1220" s="379"/>
      <c r="X1220" s="426"/>
      <c r="Z1220" s="379"/>
    </row>
    <row r="1221" spans="8:26" x14ac:dyDescent="0.75">
      <c r="H1221" s="379"/>
      <c r="X1221" s="426"/>
      <c r="Z1221" s="379"/>
    </row>
    <row r="1222" spans="8:26" x14ac:dyDescent="0.75">
      <c r="H1222" s="379"/>
      <c r="X1222" s="426"/>
      <c r="Z1222" s="379"/>
    </row>
    <row r="1223" spans="8:26" x14ac:dyDescent="0.75">
      <c r="H1223" s="379"/>
      <c r="X1223" s="426"/>
      <c r="Z1223" s="379"/>
    </row>
    <row r="1224" spans="8:26" x14ac:dyDescent="0.75">
      <c r="H1224" s="379"/>
      <c r="X1224" s="426"/>
      <c r="Z1224" s="379"/>
    </row>
    <row r="1225" spans="8:26" x14ac:dyDescent="0.75">
      <c r="H1225" s="379"/>
      <c r="X1225" s="426"/>
      <c r="Z1225" s="379"/>
    </row>
    <row r="1226" spans="8:26" x14ac:dyDescent="0.75">
      <c r="H1226" s="379"/>
      <c r="X1226" s="426"/>
      <c r="Z1226" s="379"/>
    </row>
    <row r="1227" spans="8:26" x14ac:dyDescent="0.75">
      <c r="H1227" s="379"/>
      <c r="X1227" s="426"/>
      <c r="Z1227" s="379"/>
    </row>
    <row r="1228" spans="8:26" x14ac:dyDescent="0.75">
      <c r="H1228" s="379"/>
      <c r="X1228" s="426"/>
      <c r="Z1228" s="379"/>
    </row>
    <row r="1229" spans="8:26" x14ac:dyDescent="0.75">
      <c r="H1229" s="379"/>
      <c r="X1229" s="426"/>
      <c r="Z1229" s="379"/>
    </row>
    <row r="1230" spans="8:26" x14ac:dyDescent="0.75">
      <c r="H1230" s="379"/>
      <c r="X1230" s="426"/>
      <c r="Z1230" s="379"/>
    </row>
    <row r="1231" spans="8:26" x14ac:dyDescent="0.75">
      <c r="H1231" s="379"/>
      <c r="X1231" s="426"/>
      <c r="Z1231" s="379"/>
    </row>
    <row r="1232" spans="8:26" x14ac:dyDescent="0.75">
      <c r="H1232" s="379"/>
      <c r="X1232" s="426"/>
      <c r="Z1232" s="379"/>
    </row>
    <row r="1233" spans="8:26" x14ac:dyDescent="0.75">
      <c r="H1233" s="379"/>
      <c r="X1233" s="426"/>
      <c r="Z1233" s="379"/>
    </row>
    <row r="1234" spans="8:26" x14ac:dyDescent="0.75">
      <c r="H1234" s="379"/>
      <c r="X1234" s="426"/>
      <c r="Z1234" s="379"/>
    </row>
    <row r="1235" spans="8:26" x14ac:dyDescent="0.75">
      <c r="H1235" s="379"/>
      <c r="X1235" s="426"/>
      <c r="Z1235" s="379"/>
    </row>
    <row r="1236" spans="8:26" x14ac:dyDescent="0.75">
      <c r="H1236" s="379"/>
      <c r="X1236" s="426"/>
      <c r="Z1236" s="379"/>
    </row>
    <row r="1237" spans="8:26" x14ac:dyDescent="0.75">
      <c r="H1237" s="379"/>
      <c r="X1237" s="426"/>
      <c r="Z1237" s="379"/>
    </row>
    <row r="1238" spans="8:26" x14ac:dyDescent="0.75">
      <c r="H1238" s="379"/>
      <c r="X1238" s="426"/>
      <c r="Z1238" s="379"/>
    </row>
    <row r="1239" spans="8:26" x14ac:dyDescent="0.75">
      <c r="H1239" s="379"/>
      <c r="X1239" s="426"/>
      <c r="Z1239" s="379"/>
    </row>
    <row r="1240" spans="8:26" x14ac:dyDescent="0.75">
      <c r="H1240" s="379"/>
      <c r="X1240" s="426"/>
      <c r="Z1240" s="379"/>
    </row>
    <row r="1241" spans="8:26" x14ac:dyDescent="0.75">
      <c r="H1241" s="379"/>
      <c r="X1241" s="426"/>
      <c r="Z1241" s="379"/>
    </row>
    <row r="1242" spans="8:26" x14ac:dyDescent="0.75">
      <c r="H1242" s="379"/>
      <c r="X1242" s="426"/>
      <c r="Z1242" s="379"/>
    </row>
    <row r="1243" spans="8:26" x14ac:dyDescent="0.75">
      <c r="H1243" s="379"/>
      <c r="X1243" s="426"/>
      <c r="Z1243" s="379"/>
    </row>
    <row r="1244" spans="8:26" x14ac:dyDescent="0.75">
      <c r="H1244" s="379"/>
      <c r="X1244" s="426"/>
      <c r="Z1244" s="379"/>
    </row>
    <row r="1245" spans="8:26" x14ac:dyDescent="0.75">
      <c r="H1245" s="379"/>
      <c r="X1245" s="426"/>
      <c r="Z1245" s="379"/>
    </row>
    <row r="1246" spans="8:26" x14ac:dyDescent="0.75">
      <c r="H1246" s="379"/>
      <c r="X1246" s="426"/>
      <c r="Z1246" s="379"/>
    </row>
    <row r="1247" spans="8:26" x14ac:dyDescent="0.75">
      <c r="H1247" s="379"/>
      <c r="X1247" s="426"/>
      <c r="Z1247" s="379"/>
    </row>
    <row r="1248" spans="8:26" x14ac:dyDescent="0.75">
      <c r="H1248" s="379"/>
      <c r="X1248" s="426"/>
      <c r="Z1248" s="379"/>
    </row>
    <row r="1249" spans="8:26" x14ac:dyDescent="0.75">
      <c r="H1249" s="379"/>
      <c r="X1249" s="426"/>
      <c r="Z1249" s="379"/>
    </row>
    <row r="1250" spans="8:26" x14ac:dyDescent="0.75">
      <c r="H1250" s="379"/>
      <c r="X1250" s="426"/>
      <c r="Z1250" s="379"/>
    </row>
    <row r="1251" spans="8:26" x14ac:dyDescent="0.75">
      <c r="H1251" s="379"/>
      <c r="X1251" s="426"/>
      <c r="Z1251" s="379"/>
    </row>
    <row r="1252" spans="8:26" x14ac:dyDescent="0.75">
      <c r="H1252" s="379"/>
      <c r="X1252" s="426"/>
      <c r="Z1252" s="379"/>
    </row>
    <row r="1253" spans="8:26" x14ac:dyDescent="0.75">
      <c r="H1253" s="379"/>
      <c r="X1253" s="426"/>
      <c r="Z1253" s="379"/>
    </row>
    <row r="1254" spans="8:26" x14ac:dyDescent="0.75">
      <c r="H1254" s="379"/>
      <c r="X1254" s="426"/>
      <c r="Z1254" s="379"/>
    </row>
    <row r="1255" spans="8:26" x14ac:dyDescent="0.75">
      <c r="H1255" s="379"/>
      <c r="X1255" s="426"/>
      <c r="Z1255" s="379"/>
    </row>
    <row r="1256" spans="8:26" x14ac:dyDescent="0.75">
      <c r="H1256" s="379"/>
      <c r="X1256" s="426"/>
      <c r="Z1256" s="379"/>
    </row>
    <row r="1257" spans="8:26" x14ac:dyDescent="0.75">
      <c r="H1257" s="379"/>
      <c r="X1257" s="426"/>
      <c r="Z1257" s="379"/>
    </row>
    <row r="1258" spans="8:26" x14ac:dyDescent="0.75">
      <c r="H1258" s="379"/>
      <c r="X1258" s="426"/>
      <c r="Z1258" s="379"/>
    </row>
    <row r="1259" spans="8:26" x14ac:dyDescent="0.75">
      <c r="H1259" s="379"/>
      <c r="X1259" s="426"/>
      <c r="Z1259" s="379"/>
    </row>
    <row r="1260" spans="8:26" x14ac:dyDescent="0.75">
      <c r="H1260" s="379"/>
      <c r="X1260" s="426"/>
      <c r="Z1260" s="379"/>
    </row>
    <row r="1261" spans="8:26" x14ac:dyDescent="0.75">
      <c r="H1261" s="379"/>
      <c r="X1261" s="426"/>
      <c r="Z1261" s="379"/>
    </row>
    <row r="1262" spans="8:26" x14ac:dyDescent="0.75">
      <c r="H1262" s="379"/>
      <c r="X1262" s="426"/>
      <c r="Z1262" s="379"/>
    </row>
    <row r="1263" spans="8:26" x14ac:dyDescent="0.75">
      <c r="H1263" s="379"/>
      <c r="X1263" s="426"/>
      <c r="Z1263" s="379"/>
    </row>
    <row r="1264" spans="8:26" x14ac:dyDescent="0.75">
      <c r="H1264" s="379"/>
      <c r="X1264" s="426"/>
      <c r="Z1264" s="379"/>
    </row>
    <row r="1265" spans="8:26" x14ac:dyDescent="0.75">
      <c r="H1265" s="379"/>
      <c r="X1265" s="426"/>
      <c r="Z1265" s="379"/>
    </row>
    <row r="1266" spans="8:26" x14ac:dyDescent="0.75">
      <c r="H1266" s="379"/>
      <c r="X1266" s="426"/>
      <c r="Z1266" s="379"/>
    </row>
    <row r="1267" spans="8:26" x14ac:dyDescent="0.75">
      <c r="H1267" s="379"/>
      <c r="X1267" s="426"/>
      <c r="Z1267" s="379"/>
    </row>
    <row r="1268" spans="8:26" x14ac:dyDescent="0.75">
      <c r="H1268" s="379"/>
      <c r="X1268" s="426"/>
      <c r="Z1268" s="379"/>
    </row>
    <row r="1269" spans="8:26" x14ac:dyDescent="0.75">
      <c r="H1269" s="379"/>
      <c r="X1269" s="426"/>
      <c r="Z1269" s="379"/>
    </row>
    <row r="1270" spans="8:26" x14ac:dyDescent="0.75">
      <c r="H1270" s="379"/>
      <c r="X1270" s="426"/>
      <c r="Z1270" s="379"/>
    </row>
    <row r="1271" spans="8:26" x14ac:dyDescent="0.75">
      <c r="H1271" s="379"/>
      <c r="X1271" s="426"/>
      <c r="Z1271" s="379"/>
    </row>
    <row r="1272" spans="8:26" x14ac:dyDescent="0.75">
      <c r="H1272" s="379"/>
      <c r="X1272" s="426"/>
      <c r="Z1272" s="379"/>
    </row>
    <row r="1273" spans="8:26" x14ac:dyDescent="0.75">
      <c r="H1273" s="379"/>
      <c r="X1273" s="426"/>
      <c r="Z1273" s="379"/>
    </row>
    <row r="1274" spans="8:26" x14ac:dyDescent="0.75">
      <c r="H1274" s="379"/>
      <c r="X1274" s="426"/>
      <c r="Z1274" s="379"/>
    </row>
    <row r="1275" spans="8:26" x14ac:dyDescent="0.75">
      <c r="H1275" s="379"/>
      <c r="X1275" s="426"/>
      <c r="Z1275" s="379"/>
    </row>
    <row r="1276" spans="8:26" x14ac:dyDescent="0.75">
      <c r="H1276" s="379"/>
      <c r="X1276" s="426"/>
      <c r="Z1276" s="379"/>
    </row>
    <row r="1277" spans="8:26" x14ac:dyDescent="0.75">
      <c r="H1277" s="379"/>
      <c r="X1277" s="426"/>
      <c r="Z1277" s="379"/>
    </row>
    <row r="1278" spans="8:26" x14ac:dyDescent="0.75">
      <c r="H1278" s="379"/>
      <c r="X1278" s="426"/>
      <c r="Z1278" s="379"/>
    </row>
    <row r="1279" spans="8:26" x14ac:dyDescent="0.75">
      <c r="H1279" s="379"/>
      <c r="X1279" s="426"/>
      <c r="Z1279" s="379"/>
    </row>
    <row r="1280" spans="8:26" x14ac:dyDescent="0.75">
      <c r="H1280" s="379"/>
      <c r="X1280" s="426"/>
      <c r="Z1280" s="379"/>
    </row>
    <row r="1281" spans="8:26" x14ac:dyDescent="0.75">
      <c r="H1281" s="379"/>
      <c r="X1281" s="426"/>
      <c r="Z1281" s="379"/>
    </row>
    <row r="1282" spans="8:26" x14ac:dyDescent="0.75">
      <c r="H1282" s="379"/>
      <c r="X1282" s="426"/>
      <c r="Z1282" s="379"/>
    </row>
    <row r="1283" spans="8:26" x14ac:dyDescent="0.75">
      <c r="H1283" s="379"/>
      <c r="X1283" s="426"/>
      <c r="Z1283" s="379"/>
    </row>
    <row r="1284" spans="8:26" x14ac:dyDescent="0.75">
      <c r="H1284" s="379"/>
      <c r="X1284" s="426"/>
      <c r="Z1284" s="379"/>
    </row>
    <row r="1285" spans="8:26" x14ac:dyDescent="0.75">
      <c r="H1285" s="379"/>
      <c r="X1285" s="426"/>
      <c r="Z1285" s="379"/>
    </row>
    <row r="1286" spans="8:26" x14ac:dyDescent="0.75">
      <c r="H1286" s="379"/>
      <c r="X1286" s="426"/>
      <c r="Z1286" s="379"/>
    </row>
    <row r="1287" spans="8:26" x14ac:dyDescent="0.75">
      <c r="H1287" s="379"/>
      <c r="X1287" s="426"/>
      <c r="Z1287" s="379"/>
    </row>
    <row r="1288" spans="8:26" x14ac:dyDescent="0.75">
      <c r="H1288" s="379"/>
      <c r="X1288" s="426"/>
      <c r="Z1288" s="379"/>
    </row>
    <row r="1289" spans="8:26" x14ac:dyDescent="0.75">
      <c r="H1289" s="379"/>
      <c r="X1289" s="426"/>
      <c r="Z1289" s="379"/>
    </row>
    <row r="1290" spans="8:26" x14ac:dyDescent="0.75">
      <c r="H1290" s="379"/>
      <c r="X1290" s="426"/>
      <c r="Z1290" s="379"/>
    </row>
    <row r="1291" spans="8:26" x14ac:dyDescent="0.75">
      <c r="H1291" s="379"/>
      <c r="X1291" s="426"/>
      <c r="Z1291" s="379"/>
    </row>
    <row r="1292" spans="8:26" x14ac:dyDescent="0.75">
      <c r="H1292" s="379"/>
      <c r="X1292" s="426"/>
      <c r="Z1292" s="379"/>
    </row>
    <row r="1293" spans="8:26" x14ac:dyDescent="0.75">
      <c r="H1293" s="379"/>
      <c r="X1293" s="426"/>
      <c r="Z1293" s="379"/>
    </row>
    <row r="1294" spans="8:26" x14ac:dyDescent="0.75">
      <c r="H1294" s="379"/>
      <c r="X1294" s="426"/>
      <c r="Z1294" s="379"/>
    </row>
    <row r="1295" spans="8:26" x14ac:dyDescent="0.75">
      <c r="H1295" s="379"/>
      <c r="X1295" s="426"/>
      <c r="Z1295" s="379"/>
    </row>
    <row r="1296" spans="8:26" x14ac:dyDescent="0.75">
      <c r="H1296" s="379"/>
      <c r="X1296" s="426"/>
      <c r="Z1296" s="379"/>
    </row>
    <row r="1297" spans="8:26" x14ac:dyDescent="0.75">
      <c r="H1297" s="379"/>
      <c r="X1297" s="426"/>
      <c r="Z1297" s="379"/>
    </row>
    <row r="1298" spans="8:26" x14ac:dyDescent="0.75">
      <c r="H1298" s="379"/>
      <c r="X1298" s="426"/>
      <c r="Z1298" s="379"/>
    </row>
    <row r="1299" spans="8:26" x14ac:dyDescent="0.75">
      <c r="H1299" s="379"/>
      <c r="X1299" s="426"/>
      <c r="Z1299" s="379"/>
    </row>
    <row r="1300" spans="8:26" x14ac:dyDescent="0.75">
      <c r="H1300" s="379"/>
      <c r="X1300" s="426"/>
      <c r="Z1300" s="379"/>
    </row>
    <row r="1301" spans="8:26" x14ac:dyDescent="0.75">
      <c r="H1301" s="379"/>
      <c r="X1301" s="426"/>
      <c r="Z1301" s="379"/>
    </row>
    <row r="1302" spans="8:26" x14ac:dyDescent="0.75">
      <c r="H1302" s="379"/>
      <c r="X1302" s="426"/>
      <c r="Z1302" s="379"/>
    </row>
    <row r="1303" spans="8:26" x14ac:dyDescent="0.75">
      <c r="H1303" s="379"/>
      <c r="X1303" s="426"/>
      <c r="Z1303" s="379"/>
    </row>
    <row r="1304" spans="8:26" x14ac:dyDescent="0.75">
      <c r="H1304" s="379"/>
      <c r="X1304" s="426"/>
      <c r="Z1304" s="379"/>
    </row>
    <row r="1305" spans="8:26" x14ac:dyDescent="0.75">
      <c r="H1305" s="379"/>
      <c r="X1305" s="426"/>
      <c r="Z1305" s="379"/>
    </row>
    <row r="1306" spans="8:26" x14ac:dyDescent="0.75">
      <c r="H1306" s="379"/>
      <c r="X1306" s="426"/>
      <c r="Z1306" s="379"/>
    </row>
    <row r="1307" spans="8:26" x14ac:dyDescent="0.75">
      <c r="H1307" s="379"/>
      <c r="X1307" s="426"/>
      <c r="Z1307" s="379"/>
    </row>
    <row r="1308" spans="8:26" x14ac:dyDescent="0.75">
      <c r="H1308" s="379"/>
      <c r="X1308" s="426"/>
      <c r="Z1308" s="379"/>
    </row>
    <row r="1309" spans="8:26" x14ac:dyDescent="0.75">
      <c r="H1309" s="379"/>
      <c r="X1309" s="426"/>
      <c r="Z1309" s="379"/>
    </row>
    <row r="1310" spans="8:26" x14ac:dyDescent="0.75">
      <c r="H1310" s="379"/>
      <c r="X1310" s="426"/>
      <c r="Z1310" s="379"/>
    </row>
    <row r="1311" spans="8:26" x14ac:dyDescent="0.75">
      <c r="H1311" s="379"/>
      <c r="X1311" s="426"/>
      <c r="Z1311" s="379"/>
    </row>
    <row r="1312" spans="8:26" x14ac:dyDescent="0.75">
      <c r="H1312" s="379"/>
      <c r="X1312" s="426"/>
      <c r="Z1312" s="379"/>
    </row>
    <row r="1313" spans="8:26" x14ac:dyDescent="0.75">
      <c r="H1313" s="379"/>
      <c r="X1313" s="426"/>
      <c r="Z1313" s="379"/>
    </row>
    <row r="1314" spans="8:26" x14ac:dyDescent="0.75">
      <c r="H1314" s="379"/>
      <c r="X1314" s="426"/>
      <c r="Z1314" s="379"/>
    </row>
    <row r="1315" spans="8:26" x14ac:dyDescent="0.75">
      <c r="H1315" s="379"/>
      <c r="X1315" s="426"/>
      <c r="Z1315" s="379"/>
    </row>
    <row r="1316" spans="8:26" x14ac:dyDescent="0.75">
      <c r="H1316" s="379"/>
      <c r="X1316" s="426"/>
      <c r="Z1316" s="379"/>
    </row>
    <row r="1317" spans="8:26" x14ac:dyDescent="0.75">
      <c r="H1317" s="379"/>
      <c r="X1317" s="426"/>
      <c r="Z1317" s="379"/>
    </row>
    <row r="1318" spans="8:26" x14ac:dyDescent="0.75">
      <c r="H1318" s="379"/>
      <c r="X1318" s="426"/>
      <c r="Z1318" s="379"/>
    </row>
    <row r="1319" spans="8:26" x14ac:dyDescent="0.75">
      <c r="H1319" s="379"/>
      <c r="X1319" s="426"/>
      <c r="Z1319" s="379"/>
    </row>
    <row r="1320" spans="8:26" x14ac:dyDescent="0.75">
      <c r="H1320" s="379"/>
      <c r="X1320" s="426"/>
      <c r="Z1320" s="379"/>
    </row>
    <row r="1321" spans="8:26" x14ac:dyDescent="0.75">
      <c r="H1321" s="379"/>
      <c r="X1321" s="426"/>
      <c r="Z1321" s="379"/>
    </row>
    <row r="1322" spans="8:26" x14ac:dyDescent="0.75">
      <c r="H1322" s="379"/>
      <c r="X1322" s="426"/>
      <c r="Z1322" s="379"/>
    </row>
    <row r="1323" spans="8:26" x14ac:dyDescent="0.75">
      <c r="H1323" s="379"/>
      <c r="X1323" s="426"/>
      <c r="Z1323" s="379"/>
    </row>
    <row r="1324" spans="8:26" x14ac:dyDescent="0.75">
      <c r="H1324" s="379"/>
      <c r="X1324" s="426"/>
      <c r="Z1324" s="379"/>
    </row>
    <row r="1325" spans="8:26" x14ac:dyDescent="0.75">
      <c r="H1325" s="379"/>
      <c r="X1325" s="426"/>
      <c r="Z1325" s="379"/>
    </row>
    <row r="1326" spans="8:26" x14ac:dyDescent="0.75">
      <c r="H1326" s="379"/>
      <c r="X1326" s="426"/>
      <c r="Z1326" s="379"/>
    </row>
    <row r="1327" spans="8:26" x14ac:dyDescent="0.75">
      <c r="H1327" s="379"/>
      <c r="X1327" s="426"/>
      <c r="Z1327" s="379"/>
    </row>
    <row r="1328" spans="8:26" x14ac:dyDescent="0.75">
      <c r="H1328" s="379"/>
      <c r="X1328" s="426"/>
      <c r="Z1328" s="379"/>
    </row>
    <row r="1329" spans="8:26" x14ac:dyDescent="0.75">
      <c r="H1329" s="379"/>
      <c r="X1329" s="426"/>
      <c r="Z1329" s="379"/>
    </row>
    <row r="1330" spans="8:26" x14ac:dyDescent="0.75">
      <c r="H1330" s="379"/>
      <c r="X1330" s="426"/>
      <c r="Z1330" s="379"/>
    </row>
    <row r="1331" spans="8:26" x14ac:dyDescent="0.75">
      <c r="H1331" s="379"/>
      <c r="X1331" s="426"/>
      <c r="Z1331" s="379"/>
    </row>
    <row r="1332" spans="8:26" x14ac:dyDescent="0.75">
      <c r="H1332" s="379"/>
      <c r="X1332" s="426"/>
      <c r="Z1332" s="379"/>
    </row>
    <row r="1333" spans="8:26" x14ac:dyDescent="0.75">
      <c r="H1333" s="379"/>
      <c r="X1333" s="426"/>
      <c r="Z1333" s="379"/>
    </row>
    <row r="1334" spans="8:26" x14ac:dyDescent="0.75">
      <c r="H1334" s="379"/>
      <c r="X1334" s="426"/>
      <c r="Z1334" s="379"/>
    </row>
    <row r="1335" spans="8:26" x14ac:dyDescent="0.75">
      <c r="H1335" s="379"/>
      <c r="X1335" s="426"/>
      <c r="Z1335" s="379"/>
    </row>
    <row r="1336" spans="8:26" x14ac:dyDescent="0.75">
      <c r="H1336" s="379"/>
      <c r="X1336" s="426"/>
      <c r="Z1336" s="379"/>
    </row>
    <row r="1337" spans="8:26" x14ac:dyDescent="0.75">
      <c r="H1337" s="379"/>
      <c r="X1337" s="426"/>
      <c r="Z1337" s="379"/>
    </row>
    <row r="1338" spans="8:26" x14ac:dyDescent="0.75">
      <c r="H1338" s="379"/>
      <c r="X1338" s="426"/>
      <c r="Z1338" s="379"/>
    </row>
    <row r="1339" spans="8:26" x14ac:dyDescent="0.75">
      <c r="H1339" s="379"/>
      <c r="X1339" s="426"/>
      <c r="Z1339" s="379"/>
    </row>
    <row r="1340" spans="8:26" x14ac:dyDescent="0.75">
      <c r="H1340" s="379"/>
      <c r="X1340" s="426"/>
      <c r="Z1340" s="379"/>
    </row>
    <row r="1341" spans="8:26" x14ac:dyDescent="0.75">
      <c r="H1341" s="379"/>
      <c r="X1341" s="426"/>
      <c r="Z1341" s="379"/>
    </row>
    <row r="1342" spans="8:26" x14ac:dyDescent="0.75">
      <c r="H1342" s="379"/>
      <c r="X1342" s="426"/>
      <c r="Z1342" s="379"/>
    </row>
    <row r="1343" spans="8:26" x14ac:dyDescent="0.75">
      <c r="H1343" s="379"/>
      <c r="X1343" s="426"/>
      <c r="Z1343" s="379"/>
    </row>
    <row r="1344" spans="8:26" x14ac:dyDescent="0.75">
      <c r="H1344" s="379"/>
      <c r="X1344" s="426"/>
      <c r="Z1344" s="379"/>
    </row>
    <row r="1345" spans="8:26" x14ac:dyDescent="0.75">
      <c r="H1345" s="379"/>
      <c r="X1345" s="426"/>
      <c r="Z1345" s="379"/>
    </row>
    <row r="1346" spans="8:26" x14ac:dyDescent="0.75">
      <c r="H1346" s="379"/>
      <c r="X1346" s="426"/>
      <c r="Z1346" s="379"/>
    </row>
    <row r="1347" spans="8:26" x14ac:dyDescent="0.75">
      <c r="H1347" s="379"/>
      <c r="X1347" s="426"/>
      <c r="Z1347" s="379"/>
    </row>
    <row r="1348" spans="8:26" x14ac:dyDescent="0.75">
      <c r="H1348" s="379"/>
      <c r="X1348" s="426"/>
      <c r="Z1348" s="379"/>
    </row>
    <row r="1349" spans="8:26" x14ac:dyDescent="0.75">
      <c r="H1349" s="379"/>
      <c r="X1349" s="426"/>
      <c r="Z1349" s="379"/>
    </row>
    <row r="1350" spans="8:26" x14ac:dyDescent="0.75">
      <c r="H1350" s="379"/>
      <c r="X1350" s="426"/>
      <c r="Z1350" s="379"/>
    </row>
    <row r="1351" spans="8:26" x14ac:dyDescent="0.75">
      <c r="H1351" s="379"/>
      <c r="X1351" s="426"/>
      <c r="Z1351" s="379"/>
    </row>
    <row r="1352" spans="8:26" x14ac:dyDescent="0.75">
      <c r="H1352" s="379"/>
      <c r="X1352" s="426"/>
      <c r="Z1352" s="379"/>
    </row>
    <row r="1353" spans="8:26" x14ac:dyDescent="0.75">
      <c r="H1353" s="379"/>
      <c r="X1353" s="426"/>
      <c r="Z1353" s="379"/>
    </row>
    <row r="1354" spans="8:26" x14ac:dyDescent="0.75">
      <c r="H1354" s="379"/>
      <c r="X1354" s="426"/>
      <c r="Z1354" s="379"/>
    </row>
    <row r="1355" spans="8:26" x14ac:dyDescent="0.75">
      <c r="H1355" s="379"/>
      <c r="X1355" s="426"/>
      <c r="Z1355" s="379"/>
    </row>
    <row r="1356" spans="8:26" x14ac:dyDescent="0.75">
      <c r="H1356" s="379"/>
      <c r="X1356" s="426"/>
      <c r="Z1356" s="379"/>
    </row>
    <row r="1357" spans="8:26" x14ac:dyDescent="0.75">
      <c r="H1357" s="379"/>
      <c r="X1357" s="426"/>
      <c r="Z1357" s="379"/>
    </row>
    <row r="1358" spans="8:26" x14ac:dyDescent="0.75">
      <c r="H1358" s="379"/>
      <c r="X1358" s="426"/>
      <c r="Z1358" s="379"/>
    </row>
    <row r="1359" spans="8:26" x14ac:dyDescent="0.75">
      <c r="H1359" s="379"/>
      <c r="X1359" s="426"/>
      <c r="Z1359" s="379"/>
    </row>
    <row r="1360" spans="8:26" x14ac:dyDescent="0.75">
      <c r="H1360" s="379"/>
      <c r="X1360" s="426"/>
      <c r="Z1360" s="379"/>
    </row>
    <row r="1361" spans="8:26" x14ac:dyDescent="0.75">
      <c r="H1361" s="379"/>
      <c r="X1361" s="426"/>
      <c r="Z1361" s="379"/>
    </row>
    <row r="1362" spans="8:26" x14ac:dyDescent="0.75">
      <c r="H1362" s="379"/>
      <c r="X1362" s="426"/>
      <c r="Z1362" s="379"/>
    </row>
    <row r="1363" spans="8:26" x14ac:dyDescent="0.75">
      <c r="H1363" s="379"/>
      <c r="X1363" s="426"/>
      <c r="Z1363" s="379"/>
    </row>
    <row r="1364" spans="8:26" x14ac:dyDescent="0.75">
      <c r="H1364" s="379"/>
      <c r="X1364" s="426"/>
      <c r="Z1364" s="379"/>
    </row>
    <row r="1365" spans="8:26" x14ac:dyDescent="0.75">
      <c r="H1365" s="379"/>
      <c r="X1365" s="426"/>
      <c r="Z1365" s="379"/>
    </row>
    <row r="1366" spans="8:26" x14ac:dyDescent="0.75">
      <c r="H1366" s="379"/>
      <c r="X1366" s="426"/>
      <c r="Z1366" s="379"/>
    </row>
    <row r="1367" spans="8:26" x14ac:dyDescent="0.75">
      <c r="H1367" s="379"/>
      <c r="X1367" s="426"/>
      <c r="Z1367" s="379"/>
    </row>
    <row r="1368" spans="8:26" x14ac:dyDescent="0.75">
      <c r="H1368" s="379"/>
      <c r="X1368" s="426"/>
      <c r="Z1368" s="379"/>
    </row>
    <row r="1369" spans="8:26" x14ac:dyDescent="0.75">
      <c r="H1369" s="379"/>
      <c r="X1369" s="426"/>
      <c r="Z1369" s="379"/>
    </row>
    <row r="1370" spans="8:26" x14ac:dyDescent="0.75">
      <c r="H1370" s="379"/>
      <c r="X1370" s="426"/>
      <c r="Z1370" s="379"/>
    </row>
    <row r="1371" spans="8:26" x14ac:dyDescent="0.75">
      <c r="H1371" s="379"/>
      <c r="X1371" s="426"/>
      <c r="Z1371" s="379"/>
    </row>
    <row r="1372" spans="8:26" x14ac:dyDescent="0.75">
      <c r="H1372" s="379"/>
      <c r="X1372" s="426"/>
      <c r="Z1372" s="379"/>
    </row>
    <row r="1373" spans="8:26" x14ac:dyDescent="0.75">
      <c r="H1373" s="379"/>
      <c r="X1373" s="426"/>
      <c r="Z1373" s="379"/>
    </row>
    <row r="1374" spans="8:26" x14ac:dyDescent="0.75">
      <c r="H1374" s="379"/>
      <c r="X1374" s="426"/>
      <c r="Z1374" s="379"/>
    </row>
    <row r="1375" spans="8:26" x14ac:dyDescent="0.75">
      <c r="H1375" s="379"/>
      <c r="X1375" s="426"/>
      <c r="Z1375" s="379"/>
    </row>
    <row r="1376" spans="8:26" x14ac:dyDescent="0.75">
      <c r="H1376" s="379"/>
      <c r="X1376" s="426"/>
      <c r="Z1376" s="379"/>
    </row>
    <row r="1377" spans="8:26" x14ac:dyDescent="0.75">
      <c r="H1377" s="379"/>
      <c r="X1377" s="426"/>
      <c r="Z1377" s="379"/>
    </row>
    <row r="1378" spans="8:26" x14ac:dyDescent="0.75">
      <c r="H1378" s="379"/>
      <c r="X1378" s="426"/>
      <c r="Z1378" s="379"/>
    </row>
    <row r="1379" spans="8:26" x14ac:dyDescent="0.75">
      <c r="H1379" s="379"/>
      <c r="X1379" s="426"/>
      <c r="Z1379" s="379"/>
    </row>
    <row r="1380" spans="8:26" x14ac:dyDescent="0.75">
      <c r="H1380" s="379"/>
      <c r="X1380" s="426"/>
      <c r="Z1380" s="379"/>
    </row>
    <row r="1381" spans="8:26" x14ac:dyDescent="0.75">
      <c r="H1381" s="379"/>
      <c r="X1381" s="426"/>
      <c r="Z1381" s="379"/>
    </row>
    <row r="1382" spans="8:26" x14ac:dyDescent="0.75">
      <c r="H1382" s="379"/>
      <c r="X1382" s="426"/>
      <c r="Z1382" s="379"/>
    </row>
    <row r="1383" spans="8:26" x14ac:dyDescent="0.75">
      <c r="H1383" s="379"/>
      <c r="X1383" s="426"/>
      <c r="Z1383" s="379"/>
    </row>
    <row r="1384" spans="8:26" x14ac:dyDescent="0.75">
      <c r="H1384" s="379"/>
      <c r="X1384" s="426"/>
      <c r="Z1384" s="379"/>
    </row>
    <row r="1385" spans="8:26" x14ac:dyDescent="0.75">
      <c r="H1385" s="379"/>
      <c r="X1385" s="426"/>
      <c r="Z1385" s="379"/>
    </row>
    <row r="1386" spans="8:26" x14ac:dyDescent="0.75">
      <c r="H1386" s="379"/>
      <c r="X1386" s="426"/>
      <c r="Z1386" s="379"/>
    </row>
    <row r="1387" spans="8:26" x14ac:dyDescent="0.75">
      <c r="H1387" s="379"/>
      <c r="X1387" s="426"/>
      <c r="Z1387" s="379"/>
    </row>
    <row r="1388" spans="8:26" x14ac:dyDescent="0.75">
      <c r="H1388" s="379"/>
      <c r="X1388" s="426"/>
      <c r="Z1388" s="379"/>
    </row>
    <row r="1389" spans="8:26" x14ac:dyDescent="0.75">
      <c r="H1389" s="379"/>
      <c r="X1389" s="426"/>
      <c r="Z1389" s="379"/>
    </row>
    <row r="1390" spans="8:26" x14ac:dyDescent="0.75">
      <c r="H1390" s="379"/>
      <c r="X1390" s="426"/>
      <c r="Z1390" s="379"/>
    </row>
    <row r="1391" spans="8:26" x14ac:dyDescent="0.75">
      <c r="H1391" s="379"/>
      <c r="X1391" s="426"/>
      <c r="Z1391" s="379"/>
    </row>
    <row r="1392" spans="8:26" x14ac:dyDescent="0.75">
      <c r="H1392" s="379"/>
      <c r="X1392" s="426"/>
      <c r="Z1392" s="379"/>
    </row>
    <row r="1393" spans="8:26" x14ac:dyDescent="0.75">
      <c r="H1393" s="379"/>
      <c r="X1393" s="426"/>
      <c r="Z1393" s="379"/>
    </row>
    <row r="1394" spans="8:26" x14ac:dyDescent="0.75">
      <c r="H1394" s="379"/>
      <c r="X1394" s="426"/>
      <c r="Z1394" s="379"/>
    </row>
    <row r="1395" spans="8:26" x14ac:dyDescent="0.75">
      <c r="H1395" s="379"/>
      <c r="X1395" s="426"/>
      <c r="Z1395" s="379"/>
    </row>
    <row r="1396" spans="8:26" x14ac:dyDescent="0.75">
      <c r="H1396" s="379"/>
      <c r="X1396" s="426"/>
      <c r="Z1396" s="379"/>
    </row>
    <row r="1397" spans="8:26" x14ac:dyDescent="0.75">
      <c r="H1397" s="379"/>
      <c r="X1397" s="426"/>
      <c r="Z1397" s="379"/>
    </row>
    <row r="1398" spans="8:26" x14ac:dyDescent="0.75">
      <c r="H1398" s="379"/>
      <c r="X1398" s="426"/>
      <c r="Z1398" s="379"/>
    </row>
    <row r="1399" spans="8:26" x14ac:dyDescent="0.75">
      <c r="H1399" s="379"/>
      <c r="X1399" s="426"/>
      <c r="Z1399" s="379"/>
    </row>
    <row r="1400" spans="8:26" x14ac:dyDescent="0.75">
      <c r="H1400" s="379"/>
      <c r="X1400" s="426"/>
      <c r="Z1400" s="379"/>
    </row>
    <row r="1401" spans="8:26" x14ac:dyDescent="0.75">
      <c r="H1401" s="379"/>
      <c r="X1401" s="426"/>
      <c r="Z1401" s="379"/>
    </row>
    <row r="1402" spans="8:26" x14ac:dyDescent="0.75">
      <c r="H1402" s="379"/>
      <c r="X1402" s="426"/>
      <c r="Z1402" s="379"/>
    </row>
    <row r="1403" spans="8:26" x14ac:dyDescent="0.75">
      <c r="H1403" s="379"/>
      <c r="X1403" s="426"/>
      <c r="Z1403" s="379"/>
    </row>
    <row r="1404" spans="8:26" x14ac:dyDescent="0.75">
      <c r="H1404" s="379"/>
      <c r="X1404" s="426"/>
      <c r="Z1404" s="379"/>
    </row>
    <row r="1405" spans="8:26" x14ac:dyDescent="0.75">
      <c r="H1405" s="379"/>
      <c r="X1405" s="426"/>
      <c r="Z1405" s="379"/>
    </row>
    <row r="1406" spans="8:26" x14ac:dyDescent="0.75">
      <c r="H1406" s="379"/>
      <c r="X1406" s="426"/>
      <c r="Z1406" s="379"/>
    </row>
    <row r="1407" spans="8:26" x14ac:dyDescent="0.75">
      <c r="H1407" s="379"/>
      <c r="X1407" s="426"/>
      <c r="Z1407" s="379"/>
    </row>
    <row r="1408" spans="8:26" x14ac:dyDescent="0.75">
      <c r="H1408" s="379"/>
      <c r="X1408" s="426"/>
      <c r="Z1408" s="379"/>
    </row>
    <row r="1409" spans="8:26" x14ac:dyDescent="0.75">
      <c r="H1409" s="379"/>
      <c r="X1409" s="426"/>
      <c r="Z1409" s="379"/>
    </row>
    <row r="1410" spans="8:26" x14ac:dyDescent="0.75">
      <c r="H1410" s="379"/>
      <c r="X1410" s="426"/>
      <c r="Z1410" s="379"/>
    </row>
    <row r="1411" spans="8:26" x14ac:dyDescent="0.75">
      <c r="H1411" s="379"/>
      <c r="X1411" s="426"/>
      <c r="Z1411" s="379"/>
    </row>
    <row r="1412" spans="8:26" x14ac:dyDescent="0.75">
      <c r="H1412" s="379"/>
      <c r="X1412" s="426"/>
      <c r="Z1412" s="379"/>
    </row>
    <row r="1413" spans="8:26" x14ac:dyDescent="0.75">
      <c r="H1413" s="379"/>
      <c r="X1413" s="426"/>
      <c r="Z1413" s="379"/>
    </row>
    <row r="1414" spans="8:26" x14ac:dyDescent="0.75">
      <c r="H1414" s="379"/>
      <c r="X1414" s="426"/>
      <c r="Z1414" s="379"/>
    </row>
    <row r="1415" spans="8:26" x14ac:dyDescent="0.75">
      <c r="H1415" s="379"/>
      <c r="X1415" s="426"/>
      <c r="Z1415" s="379"/>
    </row>
    <row r="1416" spans="8:26" x14ac:dyDescent="0.75">
      <c r="H1416" s="379"/>
      <c r="X1416" s="426"/>
      <c r="Z1416" s="379"/>
    </row>
    <row r="1417" spans="8:26" x14ac:dyDescent="0.75">
      <c r="H1417" s="379"/>
      <c r="X1417" s="426"/>
      <c r="Z1417" s="379"/>
    </row>
    <row r="1418" spans="8:26" x14ac:dyDescent="0.75">
      <c r="H1418" s="379"/>
      <c r="X1418" s="426"/>
      <c r="Z1418" s="379"/>
    </row>
    <row r="1419" spans="8:26" x14ac:dyDescent="0.75">
      <c r="H1419" s="379"/>
      <c r="X1419" s="426"/>
      <c r="Z1419" s="379"/>
    </row>
    <row r="1420" spans="8:26" x14ac:dyDescent="0.75">
      <c r="H1420" s="379"/>
      <c r="X1420" s="426"/>
      <c r="Z1420" s="379"/>
    </row>
    <row r="1421" spans="8:26" x14ac:dyDescent="0.75">
      <c r="H1421" s="379"/>
      <c r="X1421" s="426"/>
      <c r="Z1421" s="379"/>
    </row>
    <row r="1422" spans="8:26" x14ac:dyDescent="0.75">
      <c r="H1422" s="379"/>
      <c r="X1422" s="426"/>
      <c r="Z1422" s="379"/>
    </row>
    <row r="1423" spans="8:26" x14ac:dyDescent="0.75">
      <c r="H1423" s="379"/>
      <c r="X1423" s="426"/>
      <c r="Z1423" s="379"/>
    </row>
    <row r="1424" spans="8:26" x14ac:dyDescent="0.75">
      <c r="H1424" s="379"/>
      <c r="X1424" s="426"/>
      <c r="Z1424" s="379"/>
    </row>
    <row r="1425" spans="8:26" x14ac:dyDescent="0.75">
      <c r="H1425" s="379"/>
      <c r="X1425" s="426"/>
      <c r="Z1425" s="379"/>
    </row>
    <row r="1426" spans="8:26" x14ac:dyDescent="0.75">
      <c r="H1426" s="379"/>
      <c r="X1426" s="426"/>
      <c r="Z1426" s="379"/>
    </row>
    <row r="1427" spans="8:26" x14ac:dyDescent="0.75">
      <c r="H1427" s="379"/>
      <c r="X1427" s="426"/>
      <c r="Z1427" s="379"/>
    </row>
    <row r="1428" spans="8:26" x14ac:dyDescent="0.75">
      <c r="H1428" s="379"/>
      <c r="X1428" s="426"/>
      <c r="Z1428" s="379"/>
    </row>
    <row r="1429" spans="8:26" x14ac:dyDescent="0.75">
      <c r="H1429" s="379"/>
      <c r="X1429" s="426"/>
      <c r="Z1429" s="379"/>
    </row>
    <row r="1430" spans="8:26" x14ac:dyDescent="0.75">
      <c r="H1430" s="379"/>
      <c r="X1430" s="426"/>
      <c r="Z1430" s="379"/>
    </row>
    <row r="1431" spans="8:26" x14ac:dyDescent="0.75">
      <c r="H1431" s="379"/>
      <c r="X1431" s="426"/>
      <c r="Z1431" s="379"/>
    </row>
    <row r="1432" spans="8:26" x14ac:dyDescent="0.75">
      <c r="H1432" s="379"/>
      <c r="X1432" s="426"/>
      <c r="Z1432" s="379"/>
    </row>
    <row r="1433" spans="8:26" x14ac:dyDescent="0.75">
      <c r="H1433" s="379"/>
      <c r="X1433" s="426"/>
      <c r="Z1433" s="379"/>
    </row>
    <row r="1434" spans="8:26" x14ac:dyDescent="0.75">
      <c r="H1434" s="379"/>
      <c r="X1434" s="426"/>
      <c r="Z1434" s="379"/>
    </row>
    <row r="1435" spans="8:26" x14ac:dyDescent="0.75">
      <c r="H1435" s="379"/>
      <c r="X1435" s="426"/>
      <c r="Z1435" s="379"/>
    </row>
    <row r="1436" spans="8:26" x14ac:dyDescent="0.75">
      <c r="H1436" s="379"/>
      <c r="X1436" s="426"/>
      <c r="Z1436" s="379"/>
    </row>
    <row r="1437" spans="8:26" x14ac:dyDescent="0.75">
      <c r="H1437" s="379"/>
      <c r="X1437" s="426"/>
      <c r="Z1437" s="379"/>
    </row>
    <row r="1438" spans="8:26" x14ac:dyDescent="0.75">
      <c r="H1438" s="379"/>
      <c r="X1438" s="426"/>
      <c r="Z1438" s="379"/>
    </row>
    <row r="1439" spans="8:26" x14ac:dyDescent="0.75">
      <c r="H1439" s="379"/>
      <c r="X1439" s="426"/>
      <c r="Z1439" s="379"/>
    </row>
    <row r="1440" spans="8:26" x14ac:dyDescent="0.75">
      <c r="H1440" s="379"/>
      <c r="X1440" s="426"/>
      <c r="Z1440" s="379"/>
    </row>
    <row r="1441" spans="8:26" x14ac:dyDescent="0.75">
      <c r="H1441" s="379"/>
      <c r="X1441" s="426"/>
      <c r="Z1441" s="379"/>
    </row>
    <row r="1442" spans="8:26" x14ac:dyDescent="0.75">
      <c r="H1442" s="379"/>
      <c r="X1442" s="426"/>
      <c r="Z1442" s="379"/>
    </row>
    <row r="1443" spans="8:26" x14ac:dyDescent="0.75">
      <c r="H1443" s="379"/>
      <c r="X1443" s="426"/>
      <c r="Z1443" s="379"/>
    </row>
    <row r="1444" spans="8:26" x14ac:dyDescent="0.75">
      <c r="H1444" s="379"/>
      <c r="X1444" s="426"/>
      <c r="Z1444" s="379"/>
    </row>
    <row r="1445" spans="8:26" x14ac:dyDescent="0.75">
      <c r="H1445" s="379"/>
      <c r="X1445" s="426"/>
      <c r="Z1445" s="379"/>
    </row>
    <row r="1446" spans="8:26" x14ac:dyDescent="0.75">
      <c r="H1446" s="379"/>
      <c r="X1446" s="426"/>
      <c r="Z1446" s="379"/>
    </row>
    <row r="1447" spans="8:26" x14ac:dyDescent="0.75">
      <c r="H1447" s="379"/>
      <c r="X1447" s="426"/>
      <c r="Z1447" s="379"/>
    </row>
    <row r="1448" spans="8:26" x14ac:dyDescent="0.75">
      <c r="H1448" s="379"/>
      <c r="X1448" s="426"/>
      <c r="Z1448" s="379"/>
    </row>
    <row r="1449" spans="8:26" x14ac:dyDescent="0.75">
      <c r="H1449" s="379"/>
      <c r="X1449" s="426"/>
      <c r="Z1449" s="379"/>
    </row>
    <row r="1450" spans="8:26" x14ac:dyDescent="0.75">
      <c r="H1450" s="379"/>
      <c r="X1450" s="426"/>
      <c r="Z1450" s="379"/>
    </row>
    <row r="1451" spans="8:26" x14ac:dyDescent="0.75">
      <c r="H1451" s="379"/>
      <c r="X1451" s="426"/>
      <c r="Z1451" s="379"/>
    </row>
    <row r="1452" spans="8:26" x14ac:dyDescent="0.75">
      <c r="H1452" s="379"/>
      <c r="X1452" s="426"/>
      <c r="Z1452" s="379"/>
    </row>
    <row r="1453" spans="8:26" x14ac:dyDescent="0.75">
      <c r="H1453" s="379"/>
      <c r="X1453" s="426"/>
      <c r="Z1453" s="379"/>
    </row>
    <row r="1454" spans="8:26" x14ac:dyDescent="0.75">
      <c r="H1454" s="379"/>
      <c r="X1454" s="426"/>
      <c r="Z1454" s="379"/>
    </row>
    <row r="1455" spans="8:26" x14ac:dyDescent="0.75">
      <c r="H1455" s="379"/>
      <c r="X1455" s="426"/>
      <c r="Z1455" s="379"/>
    </row>
    <row r="1456" spans="8:26" x14ac:dyDescent="0.75">
      <c r="H1456" s="379"/>
      <c r="X1456" s="426"/>
      <c r="Z1456" s="379"/>
    </row>
    <row r="1457" spans="8:26" x14ac:dyDescent="0.75">
      <c r="H1457" s="379"/>
      <c r="X1457" s="426"/>
      <c r="Z1457" s="379"/>
    </row>
    <row r="1458" spans="8:26" x14ac:dyDescent="0.75">
      <c r="H1458" s="379"/>
      <c r="X1458" s="426"/>
      <c r="Z1458" s="379"/>
    </row>
    <row r="1459" spans="8:26" x14ac:dyDescent="0.75">
      <c r="H1459" s="379"/>
      <c r="X1459" s="426"/>
      <c r="Z1459" s="379"/>
    </row>
    <row r="1460" spans="8:26" x14ac:dyDescent="0.75">
      <c r="H1460" s="379"/>
      <c r="X1460" s="426"/>
      <c r="Z1460" s="379"/>
    </row>
    <row r="1461" spans="8:26" x14ac:dyDescent="0.75">
      <c r="H1461" s="379"/>
      <c r="X1461" s="426"/>
      <c r="Z1461" s="379"/>
    </row>
    <row r="1462" spans="8:26" x14ac:dyDescent="0.75">
      <c r="H1462" s="379"/>
      <c r="X1462" s="426"/>
      <c r="Z1462" s="379"/>
    </row>
    <row r="1463" spans="8:26" x14ac:dyDescent="0.75">
      <c r="H1463" s="379"/>
      <c r="X1463" s="426"/>
      <c r="Z1463" s="379"/>
    </row>
    <row r="1464" spans="8:26" x14ac:dyDescent="0.75">
      <c r="H1464" s="379"/>
      <c r="X1464" s="426"/>
      <c r="Z1464" s="379"/>
    </row>
    <row r="1465" spans="8:26" x14ac:dyDescent="0.75">
      <c r="H1465" s="379"/>
      <c r="X1465" s="426"/>
      <c r="Z1465" s="379"/>
    </row>
    <row r="1466" spans="8:26" x14ac:dyDescent="0.75">
      <c r="H1466" s="379"/>
      <c r="X1466" s="426"/>
      <c r="Z1466" s="379"/>
    </row>
    <row r="1467" spans="8:26" x14ac:dyDescent="0.75">
      <c r="H1467" s="379"/>
      <c r="X1467" s="426"/>
      <c r="Z1467" s="379"/>
    </row>
    <row r="1468" spans="8:26" x14ac:dyDescent="0.75">
      <c r="H1468" s="379"/>
      <c r="X1468" s="426"/>
      <c r="Z1468" s="379"/>
    </row>
    <row r="1469" spans="8:26" x14ac:dyDescent="0.75">
      <c r="H1469" s="379"/>
      <c r="X1469" s="426"/>
      <c r="Z1469" s="379"/>
    </row>
    <row r="1470" spans="8:26" x14ac:dyDescent="0.75">
      <c r="H1470" s="379"/>
      <c r="X1470" s="426"/>
      <c r="Z1470" s="379"/>
    </row>
    <row r="1471" spans="8:26" x14ac:dyDescent="0.75">
      <c r="H1471" s="379"/>
      <c r="X1471" s="426"/>
      <c r="Z1471" s="379"/>
    </row>
    <row r="1472" spans="8:26" x14ac:dyDescent="0.75">
      <c r="H1472" s="379"/>
      <c r="X1472" s="426"/>
      <c r="Z1472" s="379"/>
    </row>
    <row r="1473" spans="8:26" x14ac:dyDescent="0.75">
      <c r="H1473" s="379"/>
      <c r="X1473" s="426"/>
      <c r="Z1473" s="379"/>
    </row>
    <row r="1474" spans="8:26" x14ac:dyDescent="0.75">
      <c r="H1474" s="379"/>
      <c r="X1474" s="426"/>
      <c r="Z1474" s="379"/>
    </row>
    <row r="1475" spans="8:26" x14ac:dyDescent="0.75">
      <c r="H1475" s="379"/>
      <c r="X1475" s="426"/>
      <c r="Z1475" s="379"/>
    </row>
    <row r="1476" spans="8:26" x14ac:dyDescent="0.75">
      <c r="H1476" s="379"/>
      <c r="X1476" s="426"/>
      <c r="Z1476" s="379"/>
    </row>
    <row r="1477" spans="8:26" x14ac:dyDescent="0.75">
      <c r="H1477" s="379"/>
      <c r="X1477" s="426"/>
      <c r="Z1477" s="379"/>
    </row>
    <row r="1478" spans="8:26" x14ac:dyDescent="0.75">
      <c r="H1478" s="379"/>
      <c r="X1478" s="426"/>
      <c r="Z1478" s="379"/>
    </row>
    <row r="1479" spans="8:26" x14ac:dyDescent="0.75">
      <c r="H1479" s="379"/>
      <c r="X1479" s="426"/>
      <c r="Z1479" s="379"/>
    </row>
    <row r="1480" spans="8:26" x14ac:dyDescent="0.75">
      <c r="H1480" s="379"/>
      <c r="X1480" s="426"/>
      <c r="Z1480" s="379"/>
    </row>
    <row r="1481" spans="8:26" x14ac:dyDescent="0.75">
      <c r="H1481" s="379"/>
      <c r="X1481" s="426"/>
      <c r="Z1481" s="379"/>
    </row>
    <row r="1482" spans="8:26" x14ac:dyDescent="0.75">
      <c r="H1482" s="379"/>
      <c r="X1482" s="426"/>
      <c r="Z1482" s="379"/>
    </row>
    <row r="1483" spans="8:26" x14ac:dyDescent="0.75">
      <c r="H1483" s="379"/>
      <c r="X1483" s="426"/>
      <c r="Z1483" s="379"/>
    </row>
    <row r="1484" spans="8:26" x14ac:dyDescent="0.75">
      <c r="H1484" s="379"/>
      <c r="X1484" s="426"/>
      <c r="Z1484" s="379"/>
    </row>
    <row r="1485" spans="8:26" x14ac:dyDescent="0.75">
      <c r="H1485" s="379"/>
      <c r="X1485" s="426"/>
      <c r="Z1485" s="379"/>
    </row>
    <row r="1486" spans="8:26" x14ac:dyDescent="0.75">
      <c r="H1486" s="379"/>
      <c r="X1486" s="426"/>
      <c r="Z1486" s="379"/>
    </row>
    <row r="1487" spans="8:26" x14ac:dyDescent="0.75">
      <c r="H1487" s="379"/>
      <c r="X1487" s="426"/>
      <c r="Z1487" s="379"/>
    </row>
    <row r="1488" spans="8:26" x14ac:dyDescent="0.75">
      <c r="H1488" s="379"/>
      <c r="X1488" s="426"/>
      <c r="Z1488" s="379"/>
    </row>
    <row r="1489" spans="8:26" x14ac:dyDescent="0.75">
      <c r="H1489" s="379"/>
      <c r="X1489" s="426"/>
      <c r="Z1489" s="379"/>
    </row>
    <row r="1490" spans="8:26" x14ac:dyDescent="0.75">
      <c r="H1490" s="379"/>
      <c r="X1490" s="426"/>
      <c r="Z1490" s="379"/>
    </row>
    <row r="1491" spans="8:26" x14ac:dyDescent="0.75">
      <c r="H1491" s="379"/>
      <c r="X1491" s="426"/>
      <c r="Z1491" s="379"/>
    </row>
    <row r="1492" spans="8:26" x14ac:dyDescent="0.75">
      <c r="H1492" s="379"/>
      <c r="X1492" s="426"/>
      <c r="Z1492" s="379"/>
    </row>
    <row r="1493" spans="8:26" x14ac:dyDescent="0.75">
      <c r="H1493" s="379"/>
      <c r="X1493" s="426"/>
      <c r="Z1493" s="379"/>
    </row>
    <row r="1494" spans="8:26" x14ac:dyDescent="0.75">
      <c r="H1494" s="379"/>
      <c r="X1494" s="426"/>
      <c r="Z1494" s="379"/>
    </row>
    <row r="1495" spans="8:26" x14ac:dyDescent="0.75">
      <c r="H1495" s="379"/>
      <c r="X1495" s="426"/>
      <c r="Z1495" s="379"/>
    </row>
    <row r="1496" spans="8:26" x14ac:dyDescent="0.75">
      <c r="H1496" s="379"/>
      <c r="X1496" s="426"/>
      <c r="Z1496" s="379"/>
    </row>
    <row r="1497" spans="8:26" x14ac:dyDescent="0.75">
      <c r="H1497" s="379"/>
      <c r="X1497" s="426"/>
      <c r="Z1497" s="379"/>
    </row>
    <row r="1498" spans="8:26" x14ac:dyDescent="0.75">
      <c r="H1498" s="379"/>
      <c r="X1498" s="426"/>
      <c r="Z1498" s="379"/>
    </row>
    <row r="1499" spans="8:26" x14ac:dyDescent="0.75">
      <c r="H1499" s="379"/>
      <c r="X1499" s="426"/>
      <c r="Z1499" s="379"/>
    </row>
    <row r="1500" spans="8:26" x14ac:dyDescent="0.75">
      <c r="H1500" s="379"/>
      <c r="X1500" s="426"/>
      <c r="Z1500" s="379"/>
    </row>
    <row r="1501" spans="8:26" x14ac:dyDescent="0.75">
      <c r="H1501" s="379"/>
      <c r="X1501" s="426"/>
      <c r="Z1501" s="379"/>
    </row>
    <row r="1502" spans="8:26" x14ac:dyDescent="0.75">
      <c r="H1502" s="379"/>
      <c r="X1502" s="426"/>
      <c r="Z1502" s="379"/>
    </row>
    <row r="1503" spans="8:26" x14ac:dyDescent="0.75">
      <c r="H1503" s="379"/>
      <c r="X1503" s="426"/>
      <c r="Z1503" s="379"/>
    </row>
    <row r="1504" spans="8:26" x14ac:dyDescent="0.75">
      <c r="H1504" s="379"/>
      <c r="X1504" s="426"/>
      <c r="Z1504" s="379"/>
    </row>
    <row r="1505" spans="8:26" x14ac:dyDescent="0.75">
      <c r="H1505" s="379"/>
      <c r="X1505" s="426"/>
      <c r="Z1505" s="379"/>
    </row>
    <row r="1506" spans="8:26" x14ac:dyDescent="0.75">
      <c r="H1506" s="379"/>
      <c r="X1506" s="426"/>
      <c r="Z1506" s="379"/>
    </row>
    <row r="1507" spans="8:26" x14ac:dyDescent="0.75">
      <c r="H1507" s="379"/>
      <c r="X1507" s="426"/>
      <c r="Z1507" s="379"/>
    </row>
    <row r="1508" spans="8:26" x14ac:dyDescent="0.75">
      <c r="H1508" s="379"/>
      <c r="X1508" s="426"/>
      <c r="Z1508" s="379"/>
    </row>
    <row r="1509" spans="8:26" x14ac:dyDescent="0.75">
      <c r="H1509" s="379"/>
      <c r="X1509" s="426"/>
      <c r="Z1509" s="379"/>
    </row>
    <row r="1510" spans="8:26" x14ac:dyDescent="0.75">
      <c r="H1510" s="379"/>
      <c r="X1510" s="426"/>
      <c r="Z1510" s="379"/>
    </row>
    <row r="1511" spans="8:26" x14ac:dyDescent="0.75">
      <c r="H1511" s="379"/>
      <c r="X1511" s="426"/>
      <c r="Z1511" s="379"/>
    </row>
    <row r="1512" spans="8:26" x14ac:dyDescent="0.75">
      <c r="H1512" s="379"/>
      <c r="X1512" s="426"/>
      <c r="Z1512" s="379"/>
    </row>
    <row r="1513" spans="8:26" x14ac:dyDescent="0.75">
      <c r="H1513" s="379"/>
      <c r="X1513" s="426"/>
      <c r="Z1513" s="379"/>
    </row>
    <row r="1514" spans="8:26" x14ac:dyDescent="0.75">
      <c r="H1514" s="379"/>
      <c r="X1514" s="426"/>
      <c r="Z1514" s="379"/>
    </row>
    <row r="1515" spans="8:26" x14ac:dyDescent="0.75">
      <c r="H1515" s="379"/>
      <c r="X1515" s="426"/>
      <c r="Z1515" s="379"/>
    </row>
    <row r="1516" spans="8:26" x14ac:dyDescent="0.75">
      <c r="H1516" s="379"/>
      <c r="X1516" s="426"/>
      <c r="Z1516" s="379"/>
    </row>
    <row r="1517" spans="8:26" x14ac:dyDescent="0.75">
      <c r="H1517" s="379"/>
      <c r="X1517" s="426"/>
      <c r="Z1517" s="379"/>
    </row>
  </sheetData>
  <mergeCells count="1">
    <mergeCell ref="X4:Y4"/>
  </mergeCells>
  <pageMargins left="0.7" right="0.7" top="0.75" bottom="0.75" header="0.3" footer="0.3"/>
  <pageSetup scale="4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6055-6D17-450B-A7E3-85B7F26F313A}">
  <sheetPr>
    <tabColor theme="5"/>
  </sheetPr>
  <dimension ref="A2:N95"/>
  <sheetViews>
    <sheetView workbookViewId="0">
      <selection activeCell="A17" sqref="A17"/>
    </sheetView>
  </sheetViews>
  <sheetFormatPr defaultColWidth="8.86328125" defaultRowHeight="15" customHeight="1" x14ac:dyDescent="0.75"/>
  <cols>
    <col min="1" max="1" width="17.6796875" style="622" customWidth="1"/>
    <col min="2" max="2" width="27.453125" style="622" customWidth="1"/>
    <col min="3" max="14" width="16.453125" style="622" customWidth="1"/>
    <col min="15" max="16384" width="8.86328125" style="622"/>
  </cols>
  <sheetData>
    <row r="2" spans="1:14" ht="15.75" customHeight="1" thickBot="1" x14ac:dyDescent="0.9">
      <c r="A2" s="623" t="s">
        <v>1352</v>
      </c>
      <c r="B2" s="624" t="s">
        <v>1180</v>
      </c>
      <c r="C2" s="625" t="s">
        <v>1490</v>
      </c>
      <c r="D2" s="625" t="s">
        <v>1491</v>
      </c>
      <c r="E2" s="625" t="s">
        <v>1492</v>
      </c>
      <c r="F2" s="625" t="s">
        <v>1493</v>
      </c>
      <c r="G2" s="625" t="s">
        <v>1503</v>
      </c>
      <c r="H2" s="625" t="s">
        <v>1504</v>
      </c>
      <c r="I2" s="625" t="s">
        <v>1505</v>
      </c>
      <c r="J2" s="625" t="s">
        <v>1506</v>
      </c>
      <c r="K2" s="625" t="s">
        <v>1507</v>
      </c>
      <c r="L2" s="625" t="s">
        <v>1508</v>
      </c>
      <c r="M2" s="625" t="s">
        <v>1509</v>
      </c>
      <c r="N2" s="625" t="s">
        <v>1510</v>
      </c>
    </row>
    <row r="3" spans="1:14" ht="13.5" customHeight="1" thickTop="1" x14ac:dyDescent="0.75">
      <c r="A3" s="626">
        <v>8011</v>
      </c>
      <c r="B3" s="627" t="s">
        <v>1471</v>
      </c>
      <c r="C3" s="628">
        <v>536205</v>
      </c>
      <c r="D3" s="628">
        <v>928658</v>
      </c>
      <c r="E3" s="628">
        <v>1357622</v>
      </c>
      <c r="F3" s="628">
        <v>1671584</v>
      </c>
      <c r="G3" s="628">
        <v>1671584</v>
      </c>
      <c r="H3" s="628">
        <v>1256610</v>
      </c>
      <c r="I3" s="628">
        <v>1961195</v>
      </c>
      <c r="J3" s="628">
        <v>824351</v>
      </c>
      <c r="K3" s="628">
        <v>1112734</v>
      </c>
      <c r="L3" s="628">
        <v>0</v>
      </c>
      <c r="M3" s="628">
        <v>0</v>
      </c>
      <c r="N3" s="628">
        <v>0</v>
      </c>
    </row>
    <row r="4" spans="1:14" ht="13.5" customHeight="1" x14ac:dyDescent="0.75">
      <c r="A4" s="626">
        <v>8012</v>
      </c>
      <c r="B4" s="627" t="s">
        <v>1470</v>
      </c>
      <c r="C4" s="629"/>
      <c r="D4" s="629"/>
      <c r="E4" s="628">
        <v>824135</v>
      </c>
      <c r="F4" s="628">
        <v>73293</v>
      </c>
      <c r="G4" s="629"/>
      <c r="H4" s="628">
        <v>824135</v>
      </c>
      <c r="I4" s="628">
        <v>73292</v>
      </c>
      <c r="J4" s="629"/>
      <c r="K4" s="628">
        <v>0</v>
      </c>
      <c r="L4" s="629"/>
      <c r="M4" s="629"/>
      <c r="N4" s="628">
        <v>0</v>
      </c>
    </row>
    <row r="5" spans="1:14" ht="13.5" customHeight="1" x14ac:dyDescent="0.75">
      <c r="A5" s="626">
        <v>8019</v>
      </c>
      <c r="B5" s="627" t="s">
        <v>1139</v>
      </c>
      <c r="C5" s="629"/>
      <c r="D5" s="629"/>
      <c r="E5" s="629"/>
      <c r="F5" s="629"/>
      <c r="G5" s="629"/>
      <c r="H5" s="629"/>
      <c r="I5" s="629"/>
      <c r="J5" s="629"/>
      <c r="K5" s="628">
        <v>-18178</v>
      </c>
      <c r="L5" s="629"/>
      <c r="M5" s="629"/>
      <c r="N5" s="629"/>
    </row>
    <row r="6" spans="1:14" ht="16.95" customHeight="1" x14ac:dyDescent="0.75">
      <c r="A6" s="626">
        <v>8096</v>
      </c>
      <c r="B6" s="627" t="s">
        <v>625</v>
      </c>
      <c r="C6" s="629"/>
      <c r="D6" s="628">
        <v>149763</v>
      </c>
      <c r="E6" s="628">
        <v>495927</v>
      </c>
      <c r="F6" s="628">
        <v>343839</v>
      </c>
      <c r="G6" s="628">
        <v>343927</v>
      </c>
      <c r="H6" s="628">
        <v>202655</v>
      </c>
      <c r="I6" s="628">
        <v>440595</v>
      </c>
      <c r="J6" s="628">
        <v>234335</v>
      </c>
      <c r="K6" s="628">
        <v>0</v>
      </c>
      <c r="L6" s="628">
        <v>0</v>
      </c>
      <c r="M6" s="628">
        <v>0</v>
      </c>
      <c r="N6" s="628">
        <v>0</v>
      </c>
    </row>
    <row r="7" spans="1:14" ht="14.25" customHeight="1" x14ac:dyDescent="0.75">
      <c r="A7" s="826" t="s">
        <v>1469</v>
      </c>
      <c r="B7" s="827"/>
      <c r="C7" s="630">
        <v>536205</v>
      </c>
      <c r="D7" s="630">
        <v>1078421</v>
      </c>
      <c r="E7" s="630">
        <v>2677684</v>
      </c>
      <c r="F7" s="630">
        <v>2088716</v>
      </c>
      <c r="G7" s="630">
        <v>2015511</v>
      </c>
      <c r="H7" s="630">
        <v>2283400</v>
      </c>
      <c r="I7" s="630">
        <v>2475082</v>
      </c>
      <c r="J7" s="630">
        <v>1058686</v>
      </c>
      <c r="K7" s="630">
        <v>1094556</v>
      </c>
      <c r="L7" s="630">
        <v>0</v>
      </c>
      <c r="M7" s="630">
        <v>0</v>
      </c>
      <c r="N7" s="630">
        <v>0</v>
      </c>
    </row>
    <row r="8" spans="1:14" ht="13.5" customHeight="1" x14ac:dyDescent="0.75">
      <c r="A8" s="626">
        <v>8181</v>
      </c>
      <c r="B8" s="627" t="s">
        <v>617</v>
      </c>
      <c r="C8" s="629"/>
      <c r="D8" s="629"/>
      <c r="E8" s="629"/>
      <c r="F8" s="629"/>
      <c r="G8" s="629"/>
      <c r="H8" s="629"/>
      <c r="I8" s="629"/>
      <c r="J8" s="628">
        <v>0</v>
      </c>
      <c r="K8" s="628">
        <v>0</v>
      </c>
      <c r="L8" s="628">
        <v>0</v>
      </c>
      <c r="M8" s="628">
        <v>0</v>
      </c>
      <c r="N8" s="628">
        <v>0</v>
      </c>
    </row>
    <row r="9" spans="1:14" ht="13.5" customHeight="1" x14ac:dyDescent="0.75">
      <c r="A9" s="626">
        <v>8290</v>
      </c>
      <c r="B9" s="627" t="s">
        <v>619</v>
      </c>
      <c r="C9" s="628">
        <v>78268.789999999994</v>
      </c>
      <c r="D9" s="628">
        <v>73562</v>
      </c>
      <c r="E9" s="628">
        <v>12873.06</v>
      </c>
      <c r="F9" s="628">
        <v>17386</v>
      </c>
      <c r="G9" s="629"/>
      <c r="H9" s="629"/>
      <c r="I9" s="628">
        <v>417288</v>
      </c>
      <c r="J9" s="628">
        <v>40690</v>
      </c>
      <c r="K9" s="629"/>
      <c r="L9" s="628">
        <v>0</v>
      </c>
      <c r="M9" s="629"/>
      <c r="N9" s="628">
        <v>0</v>
      </c>
    </row>
    <row r="10" spans="1:14" ht="13.5" customHeight="1" x14ac:dyDescent="0.75">
      <c r="A10" s="626">
        <v>8291</v>
      </c>
      <c r="B10" s="627" t="s">
        <v>1511</v>
      </c>
      <c r="C10" s="629"/>
      <c r="D10" s="629"/>
      <c r="E10" s="629"/>
      <c r="F10" s="628">
        <v>78721</v>
      </c>
      <c r="G10" s="628">
        <v>18196</v>
      </c>
      <c r="H10" s="629"/>
      <c r="I10" s="628">
        <v>112476</v>
      </c>
      <c r="J10" s="628">
        <v>29231</v>
      </c>
      <c r="K10" s="629"/>
      <c r="L10" s="628">
        <v>0</v>
      </c>
      <c r="M10" s="629"/>
      <c r="N10" s="628">
        <v>0</v>
      </c>
    </row>
    <row r="11" spans="1:14" ht="13.5" customHeight="1" x14ac:dyDescent="0.75">
      <c r="A11" s="626">
        <v>8292</v>
      </c>
      <c r="B11" s="627" t="s">
        <v>784</v>
      </c>
      <c r="C11" s="629"/>
      <c r="D11" s="629"/>
      <c r="E11" s="629"/>
      <c r="F11" s="629"/>
      <c r="G11" s="629"/>
      <c r="H11" s="629"/>
      <c r="I11" s="628">
        <v>0</v>
      </c>
      <c r="J11" s="628">
        <v>1224</v>
      </c>
      <c r="K11" s="629"/>
      <c r="L11" s="628">
        <v>0</v>
      </c>
      <c r="M11" s="629"/>
      <c r="N11" s="628">
        <v>0</v>
      </c>
    </row>
    <row r="12" spans="1:14" ht="13.5" customHeight="1" x14ac:dyDescent="0.75">
      <c r="A12" s="626">
        <v>8294</v>
      </c>
      <c r="B12" s="627" t="s">
        <v>786</v>
      </c>
      <c r="C12" s="629"/>
      <c r="D12" s="629"/>
      <c r="E12" s="629"/>
      <c r="F12" s="628">
        <v>2500</v>
      </c>
      <c r="G12" s="629"/>
      <c r="H12" s="628">
        <v>2500</v>
      </c>
      <c r="I12" s="628">
        <v>0</v>
      </c>
      <c r="J12" s="628">
        <v>2500</v>
      </c>
      <c r="K12" s="629"/>
      <c r="L12" s="628">
        <v>0</v>
      </c>
      <c r="M12" s="629"/>
      <c r="N12" s="628">
        <v>0</v>
      </c>
    </row>
    <row r="13" spans="1:14" ht="13.5" customHeight="1" x14ac:dyDescent="0.75">
      <c r="A13" s="626">
        <v>8299</v>
      </c>
      <c r="B13" s="627" t="s">
        <v>1658</v>
      </c>
      <c r="C13" s="629"/>
      <c r="D13" s="628">
        <v>58488</v>
      </c>
      <c r="E13" s="629"/>
      <c r="F13" s="629"/>
      <c r="G13" s="629"/>
      <c r="H13" s="629"/>
      <c r="I13" s="628">
        <v>20670</v>
      </c>
      <c r="J13" s="629"/>
      <c r="K13" s="629"/>
      <c r="L13" s="629"/>
      <c r="M13" s="629"/>
      <c r="N13" s="629"/>
    </row>
    <row r="14" spans="1:14" ht="14.25" customHeight="1" x14ac:dyDescent="0.75">
      <c r="A14" s="826" t="s">
        <v>792</v>
      </c>
      <c r="B14" s="827"/>
      <c r="C14" s="630">
        <v>78268.789999999994</v>
      </c>
      <c r="D14" s="630">
        <v>132050</v>
      </c>
      <c r="E14" s="630">
        <v>12873.06</v>
      </c>
      <c r="F14" s="630">
        <v>98607</v>
      </c>
      <c r="G14" s="630">
        <v>18196</v>
      </c>
      <c r="H14" s="630">
        <v>2500</v>
      </c>
      <c r="I14" s="630">
        <v>550434</v>
      </c>
      <c r="J14" s="630">
        <v>73645</v>
      </c>
      <c r="K14" s="630">
        <v>0</v>
      </c>
      <c r="L14" s="630">
        <v>0</v>
      </c>
      <c r="M14" s="630">
        <v>0</v>
      </c>
      <c r="N14" s="630">
        <v>0</v>
      </c>
    </row>
    <row r="15" spans="1:14" ht="13.5" customHeight="1" x14ac:dyDescent="0.75">
      <c r="A15" s="626">
        <v>8550</v>
      </c>
      <c r="B15" s="627" t="s">
        <v>1659</v>
      </c>
      <c r="C15" s="629"/>
      <c r="D15" s="629"/>
      <c r="E15" s="629"/>
      <c r="F15" s="629"/>
      <c r="G15" s="629"/>
      <c r="H15" s="628">
        <v>51845</v>
      </c>
      <c r="I15" s="628">
        <v>13049</v>
      </c>
      <c r="J15" s="628">
        <v>0</v>
      </c>
      <c r="K15" s="629"/>
      <c r="L15" s="629"/>
      <c r="M15" s="629"/>
      <c r="N15" s="628">
        <v>0</v>
      </c>
    </row>
    <row r="16" spans="1:14" ht="13.5" customHeight="1" x14ac:dyDescent="0.75">
      <c r="A16" s="626">
        <v>8561</v>
      </c>
      <c r="B16" s="627" t="s">
        <v>622</v>
      </c>
      <c r="C16" s="629"/>
      <c r="D16" s="629"/>
      <c r="E16" s="629"/>
      <c r="F16" s="629"/>
      <c r="G16" s="629"/>
      <c r="H16" s="628">
        <v>0</v>
      </c>
      <c r="I16" s="628">
        <v>153677.88</v>
      </c>
      <c r="J16" s="628">
        <v>45626.54</v>
      </c>
      <c r="K16" s="628">
        <v>0</v>
      </c>
      <c r="L16" s="629"/>
      <c r="M16" s="629"/>
      <c r="N16" s="628">
        <v>0</v>
      </c>
    </row>
    <row r="17" spans="1:14" ht="13.5" customHeight="1" x14ac:dyDescent="0.75">
      <c r="A17" s="626">
        <v>8590</v>
      </c>
      <c r="B17" s="627" t="s">
        <v>1980</v>
      </c>
      <c r="C17" s="629"/>
      <c r="D17" s="629"/>
      <c r="E17" s="628">
        <v>75194.89</v>
      </c>
      <c r="F17" s="628">
        <v>25896.3</v>
      </c>
      <c r="G17" s="629"/>
      <c r="H17" s="629"/>
      <c r="I17" s="628">
        <v>365259.11</v>
      </c>
      <c r="J17" s="628">
        <v>23988</v>
      </c>
      <c r="K17" s="629"/>
      <c r="L17" s="628">
        <v>0</v>
      </c>
      <c r="M17" s="629"/>
      <c r="N17" s="628">
        <v>0</v>
      </c>
    </row>
    <row r="18" spans="1:14" ht="13.5" customHeight="1" x14ac:dyDescent="0.75">
      <c r="A18" s="626">
        <v>8599</v>
      </c>
      <c r="B18" s="627" t="s">
        <v>1089</v>
      </c>
      <c r="C18" s="629"/>
      <c r="D18" s="629"/>
      <c r="E18" s="629"/>
      <c r="F18" s="628">
        <v>6069.47</v>
      </c>
      <c r="G18" s="629"/>
      <c r="H18" s="628">
        <v>3072.39</v>
      </c>
      <c r="I18" s="628">
        <v>1474.16</v>
      </c>
      <c r="J18" s="628">
        <v>855.26</v>
      </c>
      <c r="K18" s="629"/>
      <c r="L18" s="629"/>
      <c r="M18" s="629"/>
      <c r="N18" s="629"/>
    </row>
    <row r="19" spans="1:14" ht="14.25" customHeight="1" x14ac:dyDescent="0.75">
      <c r="A19" s="826" t="s">
        <v>1468</v>
      </c>
      <c r="B19" s="827"/>
      <c r="C19" s="631"/>
      <c r="D19" s="631"/>
      <c r="E19" s="630">
        <v>75194.89</v>
      </c>
      <c r="F19" s="630">
        <v>31965.77</v>
      </c>
      <c r="G19" s="631"/>
      <c r="H19" s="630">
        <v>54917.39</v>
      </c>
      <c r="I19" s="630">
        <v>533460.15</v>
      </c>
      <c r="J19" s="630">
        <v>70469.8</v>
      </c>
      <c r="K19" s="630">
        <v>0</v>
      </c>
      <c r="L19" s="630">
        <v>0</v>
      </c>
      <c r="M19" s="631"/>
      <c r="N19" s="630">
        <v>0</v>
      </c>
    </row>
    <row r="20" spans="1:14" ht="13.5" customHeight="1" x14ac:dyDescent="0.75">
      <c r="A20" s="626">
        <v>8660</v>
      </c>
      <c r="B20" s="627" t="s">
        <v>1467</v>
      </c>
      <c r="C20" s="628">
        <v>8234.91</v>
      </c>
      <c r="D20" s="628">
        <v>659.58</v>
      </c>
      <c r="E20" s="628">
        <v>6.73</v>
      </c>
      <c r="F20" s="628">
        <v>5901.45</v>
      </c>
      <c r="G20" s="628">
        <v>9.34</v>
      </c>
      <c r="H20" s="628">
        <v>9.67</v>
      </c>
      <c r="I20" s="628">
        <v>10752.16</v>
      </c>
      <c r="J20" s="628">
        <v>8.32</v>
      </c>
      <c r="K20" s="628">
        <v>0</v>
      </c>
      <c r="L20" s="628">
        <v>0</v>
      </c>
      <c r="M20" s="628">
        <v>0</v>
      </c>
      <c r="N20" s="628">
        <v>0</v>
      </c>
    </row>
    <row r="21" spans="1:14" ht="13.5" customHeight="1" x14ac:dyDescent="0.75">
      <c r="A21" s="626">
        <v>8662</v>
      </c>
      <c r="B21" s="627" t="s">
        <v>1660</v>
      </c>
      <c r="C21" s="628">
        <v>10.199999999999999</v>
      </c>
      <c r="D21" s="629"/>
      <c r="E21" s="629"/>
      <c r="F21" s="629"/>
      <c r="G21" s="629"/>
      <c r="H21" s="628">
        <v>0</v>
      </c>
      <c r="I21" s="628">
        <v>0</v>
      </c>
      <c r="J21" s="628">
        <v>0</v>
      </c>
      <c r="K21" s="628">
        <v>0</v>
      </c>
      <c r="L21" s="628">
        <v>0</v>
      </c>
      <c r="M21" s="628">
        <v>0</v>
      </c>
      <c r="N21" s="628">
        <v>0</v>
      </c>
    </row>
    <row r="22" spans="1:14" ht="13.5" customHeight="1" x14ac:dyDescent="0.75">
      <c r="A22" s="626">
        <v>8682</v>
      </c>
      <c r="B22" s="627" t="s">
        <v>1160</v>
      </c>
      <c r="C22" s="628">
        <v>100</v>
      </c>
      <c r="D22" s="628">
        <v>850</v>
      </c>
      <c r="E22" s="629"/>
      <c r="F22" s="629"/>
      <c r="G22" s="629"/>
      <c r="H22" s="628">
        <v>326.95</v>
      </c>
      <c r="I22" s="628">
        <v>49.99</v>
      </c>
      <c r="J22" s="628">
        <v>0</v>
      </c>
      <c r="K22" s="628">
        <v>0</v>
      </c>
      <c r="L22" s="628">
        <v>0</v>
      </c>
      <c r="M22" s="628">
        <v>0</v>
      </c>
      <c r="N22" s="628">
        <v>0</v>
      </c>
    </row>
    <row r="23" spans="1:14" ht="13.5" customHeight="1" x14ac:dyDescent="0.75">
      <c r="A23" s="626">
        <v>8699</v>
      </c>
      <c r="B23" s="627" t="s">
        <v>1090</v>
      </c>
      <c r="C23" s="628">
        <v>1164.9100000000001</v>
      </c>
      <c r="D23" s="628">
        <v>6413.42</v>
      </c>
      <c r="E23" s="628">
        <v>9772.52</v>
      </c>
      <c r="F23" s="628">
        <v>2274.36</v>
      </c>
      <c r="G23" s="628">
        <v>7478.11</v>
      </c>
      <c r="H23" s="628">
        <v>8393.5300000000007</v>
      </c>
      <c r="I23" s="628">
        <v>2248.92</v>
      </c>
      <c r="J23" s="628">
        <v>1959.77</v>
      </c>
      <c r="K23" s="628">
        <v>65.81</v>
      </c>
      <c r="L23" s="628">
        <v>0</v>
      </c>
      <c r="M23" s="628">
        <v>0</v>
      </c>
      <c r="N23" s="628">
        <v>0</v>
      </c>
    </row>
    <row r="24" spans="1:14" ht="16.95" customHeight="1" x14ac:dyDescent="0.75">
      <c r="A24" s="626">
        <v>8792</v>
      </c>
      <c r="B24" s="627" t="s">
        <v>1466</v>
      </c>
      <c r="C24" s="628">
        <v>92603</v>
      </c>
      <c r="D24" s="628">
        <v>92603</v>
      </c>
      <c r="E24" s="628">
        <v>166686</v>
      </c>
      <c r="F24" s="628">
        <v>166686</v>
      </c>
      <c r="G24" s="628">
        <v>166686</v>
      </c>
      <c r="H24" s="628">
        <v>166686</v>
      </c>
      <c r="I24" s="628">
        <v>166686</v>
      </c>
      <c r="J24" s="628">
        <v>0</v>
      </c>
      <c r="K24" s="628">
        <v>115682</v>
      </c>
      <c r="L24" s="628">
        <v>0</v>
      </c>
      <c r="M24" s="628">
        <v>0</v>
      </c>
      <c r="N24" s="628">
        <v>0</v>
      </c>
    </row>
    <row r="25" spans="1:14" ht="14.25" customHeight="1" x14ac:dyDescent="0.75">
      <c r="A25" s="826" t="s">
        <v>793</v>
      </c>
      <c r="B25" s="827"/>
      <c r="C25" s="630">
        <v>102113.02</v>
      </c>
      <c r="D25" s="630">
        <v>100526</v>
      </c>
      <c r="E25" s="630">
        <v>176465.25</v>
      </c>
      <c r="F25" s="630">
        <v>174861.81</v>
      </c>
      <c r="G25" s="630">
        <v>174173.45</v>
      </c>
      <c r="H25" s="630">
        <v>175416.15</v>
      </c>
      <c r="I25" s="630">
        <v>179737.07</v>
      </c>
      <c r="J25" s="630">
        <v>1968.09</v>
      </c>
      <c r="K25" s="630">
        <v>115747.81</v>
      </c>
      <c r="L25" s="630">
        <v>0</v>
      </c>
      <c r="M25" s="630">
        <v>0</v>
      </c>
      <c r="N25" s="630">
        <v>0</v>
      </c>
    </row>
    <row r="26" spans="1:14" ht="16.5" customHeight="1" x14ac:dyDescent="0.75">
      <c r="A26" s="830" t="s">
        <v>794</v>
      </c>
      <c r="B26" s="831"/>
      <c r="C26" s="632">
        <v>716586.81</v>
      </c>
      <c r="D26" s="632">
        <v>1310997</v>
      </c>
      <c r="E26" s="632">
        <v>2942217.2</v>
      </c>
      <c r="F26" s="632">
        <v>2394150.58</v>
      </c>
      <c r="G26" s="632">
        <v>2207880.4500000002</v>
      </c>
      <c r="H26" s="632">
        <v>2516233.54</v>
      </c>
      <c r="I26" s="632">
        <v>3738713.22</v>
      </c>
      <c r="J26" s="632">
        <v>1204768.8899999999</v>
      </c>
      <c r="K26" s="632">
        <v>1210303.81</v>
      </c>
      <c r="L26" s="632">
        <v>0</v>
      </c>
      <c r="M26" s="632">
        <v>0</v>
      </c>
      <c r="N26" s="632">
        <v>0</v>
      </c>
    </row>
    <row r="27" spans="1:14" ht="13.5" customHeight="1" x14ac:dyDescent="0.75">
      <c r="A27" s="626">
        <v>1100</v>
      </c>
      <c r="B27" s="627" t="s">
        <v>569</v>
      </c>
      <c r="C27" s="628">
        <v>58635.28</v>
      </c>
      <c r="D27" s="628">
        <v>817248.62</v>
      </c>
      <c r="E27" s="628">
        <v>813601.94</v>
      </c>
      <c r="F27" s="628">
        <v>780541.39</v>
      </c>
      <c r="G27" s="628">
        <v>780294.72</v>
      </c>
      <c r="H27" s="628">
        <v>786897.7</v>
      </c>
      <c r="I27" s="628">
        <v>970900.28</v>
      </c>
      <c r="J27" s="628">
        <v>798725.18</v>
      </c>
      <c r="K27" s="628">
        <v>6063.88</v>
      </c>
      <c r="L27" s="628">
        <v>0</v>
      </c>
      <c r="M27" s="628">
        <v>0</v>
      </c>
      <c r="N27" s="628">
        <v>0</v>
      </c>
    </row>
    <row r="28" spans="1:14" ht="13.5" customHeight="1" x14ac:dyDescent="0.75">
      <c r="A28" s="626">
        <v>1200</v>
      </c>
      <c r="B28" s="627" t="s">
        <v>572</v>
      </c>
      <c r="C28" s="628">
        <v>22313.439999999999</v>
      </c>
      <c r="D28" s="628">
        <v>67723.48</v>
      </c>
      <c r="E28" s="628">
        <v>72969.740000000005</v>
      </c>
      <c r="F28" s="628">
        <v>132438.88</v>
      </c>
      <c r="G28" s="628">
        <v>86597.53</v>
      </c>
      <c r="H28" s="628">
        <v>88597.53</v>
      </c>
      <c r="I28" s="628">
        <v>104597.54</v>
      </c>
      <c r="J28" s="628">
        <v>86597.55</v>
      </c>
      <c r="K28" s="628">
        <v>0</v>
      </c>
      <c r="L28" s="628">
        <v>0</v>
      </c>
      <c r="M28" s="628">
        <v>0</v>
      </c>
      <c r="N28" s="628">
        <v>0</v>
      </c>
    </row>
    <row r="29" spans="1:14" ht="16.95" customHeight="1" x14ac:dyDescent="0.75">
      <c r="A29" s="626">
        <v>1300</v>
      </c>
      <c r="B29" s="627" t="s">
        <v>573</v>
      </c>
      <c r="C29" s="628">
        <v>87441.26</v>
      </c>
      <c r="D29" s="628">
        <v>115907.72</v>
      </c>
      <c r="E29" s="628">
        <v>116988.54</v>
      </c>
      <c r="F29" s="628">
        <v>125371.68</v>
      </c>
      <c r="G29" s="628">
        <v>104490.4</v>
      </c>
      <c r="H29" s="628">
        <v>109432.46</v>
      </c>
      <c r="I29" s="628">
        <v>128078.12</v>
      </c>
      <c r="J29" s="628">
        <v>115783.28</v>
      </c>
      <c r="K29" s="628">
        <v>0</v>
      </c>
      <c r="L29" s="628">
        <v>0</v>
      </c>
      <c r="M29" s="628">
        <v>0</v>
      </c>
      <c r="N29" s="628">
        <v>0</v>
      </c>
    </row>
    <row r="30" spans="1:14" ht="14.25" customHeight="1" x14ac:dyDescent="0.75">
      <c r="A30" s="826" t="s">
        <v>731</v>
      </c>
      <c r="B30" s="827"/>
      <c r="C30" s="630">
        <v>168389.98</v>
      </c>
      <c r="D30" s="630">
        <v>1000879.82</v>
      </c>
      <c r="E30" s="630">
        <v>1003560.22</v>
      </c>
      <c r="F30" s="630">
        <v>1038351.95</v>
      </c>
      <c r="G30" s="630">
        <v>971382.65</v>
      </c>
      <c r="H30" s="630">
        <v>984927.69</v>
      </c>
      <c r="I30" s="630">
        <v>1203575.94</v>
      </c>
      <c r="J30" s="630">
        <v>1001106.01</v>
      </c>
      <c r="K30" s="630">
        <v>6063.88</v>
      </c>
      <c r="L30" s="630">
        <v>0</v>
      </c>
      <c r="M30" s="630">
        <v>0</v>
      </c>
      <c r="N30" s="630">
        <v>0</v>
      </c>
    </row>
    <row r="31" spans="1:14" ht="13.5" customHeight="1" x14ac:dyDescent="0.75">
      <c r="A31" s="626">
        <v>2100</v>
      </c>
      <c r="B31" s="627" t="s">
        <v>577</v>
      </c>
      <c r="C31" s="628">
        <v>1674.13</v>
      </c>
      <c r="D31" s="628">
        <v>26573.94</v>
      </c>
      <c r="E31" s="628">
        <v>34604.81</v>
      </c>
      <c r="F31" s="628">
        <v>31807.8</v>
      </c>
      <c r="G31" s="628">
        <v>36528.870000000003</v>
      </c>
      <c r="H31" s="628">
        <v>35449.160000000003</v>
      </c>
      <c r="I31" s="628">
        <v>48150.13</v>
      </c>
      <c r="J31" s="628">
        <v>35761.68</v>
      </c>
      <c r="K31" s="628">
        <v>0</v>
      </c>
      <c r="L31" s="628">
        <v>0</v>
      </c>
      <c r="M31" s="628">
        <v>0</v>
      </c>
      <c r="N31" s="628">
        <v>0</v>
      </c>
    </row>
    <row r="32" spans="1:14" ht="16.95" customHeight="1" x14ac:dyDescent="0.75">
      <c r="A32" s="626">
        <v>2200</v>
      </c>
      <c r="B32" s="627" t="s">
        <v>1465</v>
      </c>
      <c r="C32" s="628">
        <v>106258.83</v>
      </c>
      <c r="D32" s="628">
        <v>129038.57</v>
      </c>
      <c r="E32" s="628">
        <v>130679.66</v>
      </c>
      <c r="F32" s="628">
        <v>141700.42000000001</v>
      </c>
      <c r="G32" s="628">
        <v>133022.82</v>
      </c>
      <c r="H32" s="628">
        <v>140691.31</v>
      </c>
      <c r="I32" s="628">
        <v>163289.35999999999</v>
      </c>
      <c r="J32" s="628">
        <v>128879.08</v>
      </c>
      <c r="K32" s="628">
        <v>0</v>
      </c>
      <c r="L32" s="628">
        <v>0</v>
      </c>
      <c r="M32" s="628">
        <v>0</v>
      </c>
      <c r="N32" s="628">
        <v>0</v>
      </c>
    </row>
    <row r="33" spans="1:14" ht="16.95" customHeight="1" x14ac:dyDescent="0.75">
      <c r="A33" s="626">
        <v>2300</v>
      </c>
      <c r="B33" s="627" t="s">
        <v>581</v>
      </c>
      <c r="C33" s="628">
        <v>68608.210000000006</v>
      </c>
      <c r="D33" s="628">
        <v>68005.78</v>
      </c>
      <c r="E33" s="628">
        <v>71235</v>
      </c>
      <c r="F33" s="628">
        <v>22108.639999999999</v>
      </c>
      <c r="G33" s="628">
        <v>58557.91</v>
      </c>
      <c r="H33" s="628">
        <v>59489.24</v>
      </c>
      <c r="I33" s="628">
        <v>66861.45</v>
      </c>
      <c r="J33" s="628">
        <v>57489.24</v>
      </c>
      <c r="K33" s="628">
        <v>0</v>
      </c>
      <c r="L33" s="628">
        <v>0</v>
      </c>
      <c r="M33" s="628">
        <v>0</v>
      </c>
      <c r="N33" s="628">
        <v>0</v>
      </c>
    </row>
    <row r="34" spans="1:14" ht="16.95" customHeight="1" x14ac:dyDescent="0.75">
      <c r="A34" s="626">
        <v>2400</v>
      </c>
      <c r="B34" s="627" t="s">
        <v>582</v>
      </c>
      <c r="C34" s="628">
        <v>53002.14</v>
      </c>
      <c r="D34" s="628">
        <v>56431.53</v>
      </c>
      <c r="E34" s="628">
        <v>55933</v>
      </c>
      <c r="F34" s="628">
        <v>34625.279999999999</v>
      </c>
      <c r="G34" s="628">
        <v>50839.34</v>
      </c>
      <c r="H34" s="628">
        <v>52973.58</v>
      </c>
      <c r="I34" s="628">
        <v>65868.56</v>
      </c>
      <c r="J34" s="628">
        <v>47654.1</v>
      </c>
      <c r="K34" s="628">
        <v>0</v>
      </c>
      <c r="L34" s="628">
        <v>0</v>
      </c>
      <c r="M34" s="628">
        <v>0</v>
      </c>
      <c r="N34" s="628">
        <v>0</v>
      </c>
    </row>
    <row r="35" spans="1:14" ht="16.95" customHeight="1" x14ac:dyDescent="0.75">
      <c r="A35" s="626">
        <v>2900</v>
      </c>
      <c r="B35" s="627" t="s">
        <v>1661</v>
      </c>
      <c r="C35" s="629"/>
      <c r="D35" s="628">
        <v>36.17</v>
      </c>
      <c r="E35" s="628">
        <v>1505.63</v>
      </c>
      <c r="F35" s="628">
        <v>700.82</v>
      </c>
      <c r="G35" s="628">
        <v>1399.38</v>
      </c>
      <c r="H35" s="628">
        <v>270.14999999999998</v>
      </c>
      <c r="I35" s="628">
        <v>2009.98</v>
      </c>
      <c r="J35" s="628">
        <v>1223.2</v>
      </c>
      <c r="K35" s="628">
        <v>0</v>
      </c>
      <c r="L35" s="628">
        <v>0</v>
      </c>
      <c r="M35" s="628">
        <v>0</v>
      </c>
      <c r="N35" s="628">
        <v>0</v>
      </c>
    </row>
    <row r="36" spans="1:14" ht="14.25" customHeight="1" x14ac:dyDescent="0.75">
      <c r="A36" s="826" t="s">
        <v>732</v>
      </c>
      <c r="B36" s="827"/>
      <c r="C36" s="630">
        <v>229543.31</v>
      </c>
      <c r="D36" s="630">
        <v>280085.99</v>
      </c>
      <c r="E36" s="630">
        <v>293958.09999999998</v>
      </c>
      <c r="F36" s="630">
        <v>230942.96</v>
      </c>
      <c r="G36" s="630">
        <v>280348.32</v>
      </c>
      <c r="H36" s="630">
        <v>288873.44</v>
      </c>
      <c r="I36" s="630">
        <v>346179.48</v>
      </c>
      <c r="J36" s="630">
        <v>271007.3</v>
      </c>
      <c r="K36" s="630">
        <v>0</v>
      </c>
      <c r="L36" s="630">
        <v>0</v>
      </c>
      <c r="M36" s="630">
        <v>0</v>
      </c>
      <c r="N36" s="630">
        <v>0</v>
      </c>
    </row>
    <row r="37" spans="1:14" ht="16.95" customHeight="1" x14ac:dyDescent="0.75">
      <c r="A37" s="626">
        <v>3101</v>
      </c>
      <c r="B37" s="627" t="s">
        <v>587</v>
      </c>
      <c r="C37" s="628">
        <v>4068.77</v>
      </c>
      <c r="D37" s="628">
        <v>154882.23000000001</v>
      </c>
      <c r="E37" s="628">
        <v>173508.06</v>
      </c>
      <c r="F37" s="628">
        <v>205477.63</v>
      </c>
      <c r="G37" s="628">
        <v>164417.49</v>
      </c>
      <c r="H37" s="628">
        <v>163914.92000000001</v>
      </c>
      <c r="I37" s="628">
        <v>207854.35</v>
      </c>
      <c r="J37" s="628">
        <v>165739.48000000001</v>
      </c>
      <c r="K37" s="628">
        <v>587.88</v>
      </c>
      <c r="L37" s="628">
        <v>0</v>
      </c>
      <c r="M37" s="628">
        <v>0</v>
      </c>
      <c r="N37" s="628">
        <v>0</v>
      </c>
    </row>
    <row r="38" spans="1:14" ht="13.5" customHeight="1" x14ac:dyDescent="0.75">
      <c r="A38" s="626">
        <v>3301</v>
      </c>
      <c r="B38" s="627" t="s">
        <v>1662</v>
      </c>
      <c r="C38" s="629"/>
      <c r="D38" s="629"/>
      <c r="E38" s="629"/>
      <c r="F38" s="628">
        <v>46982.31</v>
      </c>
      <c r="G38" s="628">
        <v>14074.27</v>
      </c>
      <c r="H38" s="628">
        <v>13877.41</v>
      </c>
      <c r="I38" s="628">
        <v>17035.7</v>
      </c>
      <c r="J38" s="628">
        <v>14131.25</v>
      </c>
      <c r="K38" s="628">
        <v>87.93</v>
      </c>
      <c r="L38" s="629"/>
      <c r="M38" s="629"/>
      <c r="N38" s="629"/>
    </row>
    <row r="39" spans="1:14" ht="13.5" customHeight="1" x14ac:dyDescent="0.75">
      <c r="A39" s="626">
        <v>3302</v>
      </c>
      <c r="B39" s="627" t="s">
        <v>1663</v>
      </c>
      <c r="C39" s="629"/>
      <c r="D39" s="629"/>
      <c r="E39" s="629"/>
      <c r="F39" s="628">
        <v>74674.19</v>
      </c>
      <c r="G39" s="628">
        <v>19242.78</v>
      </c>
      <c r="H39" s="628">
        <v>20518.009999999998</v>
      </c>
      <c r="I39" s="628">
        <v>25166.400000000001</v>
      </c>
      <c r="J39" s="628">
        <v>19835.669999999998</v>
      </c>
      <c r="K39" s="629"/>
      <c r="L39" s="629"/>
      <c r="M39" s="629"/>
      <c r="N39" s="629"/>
    </row>
    <row r="40" spans="1:14" ht="13.5" customHeight="1" x14ac:dyDescent="0.75">
      <c r="A40" s="626">
        <v>3313</v>
      </c>
      <c r="B40" s="627" t="s">
        <v>1066</v>
      </c>
      <c r="C40" s="628">
        <v>13032.66</v>
      </c>
      <c r="D40" s="628">
        <v>16811.82</v>
      </c>
      <c r="E40" s="628">
        <v>16478.37</v>
      </c>
      <c r="F40" s="628">
        <v>-46322.85</v>
      </c>
      <c r="G40" s="629"/>
      <c r="H40" s="628">
        <v>0</v>
      </c>
      <c r="I40" s="628">
        <v>0</v>
      </c>
      <c r="J40" s="628">
        <v>0</v>
      </c>
      <c r="K40" s="628">
        <v>0</v>
      </c>
      <c r="L40" s="628">
        <v>0</v>
      </c>
      <c r="M40" s="628">
        <v>0</v>
      </c>
      <c r="N40" s="628">
        <v>0</v>
      </c>
    </row>
    <row r="41" spans="1:14" ht="13.5" customHeight="1" x14ac:dyDescent="0.75">
      <c r="A41" s="626">
        <v>3323</v>
      </c>
      <c r="B41" s="627" t="s">
        <v>1068</v>
      </c>
      <c r="C41" s="628">
        <v>5619.8</v>
      </c>
      <c r="D41" s="628">
        <v>18180.330000000002</v>
      </c>
      <c r="E41" s="628">
        <v>18234.34</v>
      </c>
      <c r="F41" s="628">
        <v>-42034.47</v>
      </c>
      <c r="G41" s="629"/>
      <c r="H41" s="628">
        <v>0</v>
      </c>
      <c r="I41" s="628">
        <v>0</v>
      </c>
      <c r="J41" s="628">
        <v>0</v>
      </c>
      <c r="K41" s="628">
        <v>0</v>
      </c>
      <c r="L41" s="628">
        <v>0</v>
      </c>
      <c r="M41" s="628">
        <v>0</v>
      </c>
      <c r="N41" s="628">
        <v>0</v>
      </c>
    </row>
    <row r="42" spans="1:14" ht="13.5" customHeight="1" x14ac:dyDescent="0.75">
      <c r="A42" s="626">
        <v>3401</v>
      </c>
      <c r="B42" s="627" t="s">
        <v>589</v>
      </c>
      <c r="C42" s="629"/>
      <c r="D42" s="629"/>
      <c r="E42" s="629"/>
      <c r="F42" s="628">
        <v>469821.56</v>
      </c>
      <c r="G42" s="628">
        <v>152793.23000000001</v>
      </c>
      <c r="H42" s="628">
        <v>126693.08</v>
      </c>
      <c r="I42" s="628">
        <v>238677.51</v>
      </c>
      <c r="J42" s="628">
        <v>-9280.35</v>
      </c>
      <c r="K42" s="628">
        <v>202032.66</v>
      </c>
      <c r="L42" s="629"/>
      <c r="M42" s="629"/>
      <c r="N42" s="629"/>
    </row>
    <row r="43" spans="1:14" ht="13.5" customHeight="1" x14ac:dyDescent="0.75">
      <c r="A43" s="626">
        <v>3402</v>
      </c>
      <c r="B43" s="627" t="s">
        <v>589</v>
      </c>
      <c r="C43" s="629"/>
      <c r="D43" s="629"/>
      <c r="E43" s="629"/>
      <c r="F43" s="628">
        <v>151342.28</v>
      </c>
      <c r="G43" s="628">
        <v>44300</v>
      </c>
      <c r="H43" s="628">
        <v>37368.050000000003</v>
      </c>
      <c r="I43" s="628">
        <v>70987.28</v>
      </c>
      <c r="J43" s="628">
        <v>-2517.96</v>
      </c>
      <c r="K43" s="629"/>
      <c r="L43" s="629"/>
      <c r="M43" s="629"/>
      <c r="N43" s="629"/>
    </row>
    <row r="44" spans="1:14" ht="13.5" customHeight="1" x14ac:dyDescent="0.75">
      <c r="A44" s="626">
        <v>3403</v>
      </c>
      <c r="B44" s="627" t="s">
        <v>589</v>
      </c>
      <c r="C44" s="628">
        <v>219158.38</v>
      </c>
      <c r="D44" s="628">
        <v>106973.44</v>
      </c>
      <c r="E44" s="628">
        <v>160423.04000000001</v>
      </c>
      <c r="F44" s="628">
        <v>-486554.86</v>
      </c>
      <c r="G44" s="628">
        <v>0</v>
      </c>
      <c r="H44" s="628">
        <v>0</v>
      </c>
      <c r="I44" s="628">
        <v>0</v>
      </c>
      <c r="J44" s="628">
        <v>0</v>
      </c>
      <c r="K44" s="628">
        <v>0</v>
      </c>
      <c r="L44" s="628">
        <v>0</v>
      </c>
      <c r="M44" s="628">
        <v>0</v>
      </c>
      <c r="N44" s="628">
        <v>0</v>
      </c>
    </row>
    <row r="45" spans="1:14" ht="13.5" customHeight="1" x14ac:dyDescent="0.75">
      <c r="A45" s="626">
        <v>3501</v>
      </c>
      <c r="B45" s="627" t="s">
        <v>590</v>
      </c>
      <c r="C45" s="629"/>
      <c r="D45" s="629"/>
      <c r="E45" s="629"/>
      <c r="F45" s="628">
        <v>10038.049999999999</v>
      </c>
      <c r="G45" s="628">
        <v>244.84</v>
      </c>
      <c r="H45" s="628">
        <v>29918.85</v>
      </c>
      <c r="I45" s="628">
        <v>37007.75</v>
      </c>
      <c r="J45" s="628">
        <v>2168.4</v>
      </c>
      <c r="K45" s="628">
        <v>-25937.82</v>
      </c>
      <c r="L45" s="629"/>
      <c r="M45" s="629"/>
      <c r="N45" s="629"/>
    </row>
    <row r="46" spans="1:14" ht="13.5" customHeight="1" x14ac:dyDescent="0.75">
      <c r="A46" s="626">
        <v>3502</v>
      </c>
      <c r="B46" s="627" t="s">
        <v>590</v>
      </c>
      <c r="C46" s="629"/>
      <c r="D46" s="629"/>
      <c r="E46" s="629"/>
      <c r="F46" s="628">
        <v>3231.68</v>
      </c>
      <c r="G46" s="629"/>
      <c r="H46" s="628">
        <v>8798.4699999999993</v>
      </c>
      <c r="I46" s="628">
        <v>10939.37</v>
      </c>
      <c r="J46" s="628">
        <v>619.32000000000005</v>
      </c>
      <c r="K46" s="629"/>
      <c r="L46" s="629"/>
      <c r="M46" s="629"/>
      <c r="N46" s="629"/>
    </row>
    <row r="47" spans="1:14" ht="13.5" customHeight="1" x14ac:dyDescent="0.75">
      <c r="A47" s="626">
        <v>3503</v>
      </c>
      <c r="B47" s="627" t="s">
        <v>590</v>
      </c>
      <c r="C47" s="628">
        <v>244.82</v>
      </c>
      <c r="D47" s="628">
        <v>8581.3799999999992</v>
      </c>
      <c r="E47" s="628">
        <v>4010.06</v>
      </c>
      <c r="F47" s="628">
        <v>-12836.26</v>
      </c>
      <c r="G47" s="628">
        <v>0</v>
      </c>
      <c r="H47" s="628">
        <v>0</v>
      </c>
      <c r="I47" s="628">
        <v>0</v>
      </c>
      <c r="J47" s="628">
        <v>0</v>
      </c>
      <c r="K47" s="628">
        <v>0</v>
      </c>
      <c r="L47" s="628">
        <v>0</v>
      </c>
      <c r="M47" s="628">
        <v>0</v>
      </c>
      <c r="N47" s="628">
        <v>0</v>
      </c>
    </row>
    <row r="48" spans="1:14" ht="13.5" customHeight="1" x14ac:dyDescent="0.75">
      <c r="A48" s="626">
        <v>3601</v>
      </c>
      <c r="B48" s="627" t="s">
        <v>591</v>
      </c>
      <c r="C48" s="629"/>
      <c r="D48" s="629"/>
      <c r="E48" s="629"/>
      <c r="F48" s="628">
        <v>36195.72</v>
      </c>
      <c r="G48" s="629"/>
      <c r="H48" s="629"/>
      <c r="I48" s="628">
        <v>7921.68</v>
      </c>
      <c r="J48" s="629"/>
      <c r="K48" s="629"/>
      <c r="L48" s="629"/>
      <c r="M48" s="629"/>
      <c r="N48" s="629"/>
    </row>
    <row r="49" spans="1:14" ht="13.5" customHeight="1" x14ac:dyDescent="0.75">
      <c r="A49" s="626">
        <v>3602</v>
      </c>
      <c r="B49" s="627" t="s">
        <v>591</v>
      </c>
      <c r="C49" s="629"/>
      <c r="D49" s="629"/>
      <c r="E49" s="629"/>
      <c r="F49" s="628">
        <v>11684.87</v>
      </c>
      <c r="G49" s="629"/>
      <c r="H49" s="629"/>
      <c r="I49" s="628">
        <v>2557.3200000000002</v>
      </c>
      <c r="J49" s="629"/>
      <c r="K49" s="629"/>
      <c r="L49" s="629"/>
      <c r="M49" s="629"/>
      <c r="N49" s="629"/>
    </row>
    <row r="50" spans="1:14" ht="13.5" customHeight="1" x14ac:dyDescent="0.75">
      <c r="A50" s="626">
        <v>3603</v>
      </c>
      <c r="B50" s="627" t="s">
        <v>591</v>
      </c>
      <c r="C50" s="629"/>
      <c r="D50" s="629"/>
      <c r="E50" s="628">
        <v>47880.59</v>
      </c>
      <c r="F50" s="628">
        <v>-47880.59</v>
      </c>
      <c r="G50" s="629"/>
      <c r="H50" s="628">
        <v>0</v>
      </c>
      <c r="I50" s="628">
        <v>0</v>
      </c>
      <c r="J50" s="628">
        <v>0</v>
      </c>
      <c r="K50" s="628">
        <v>0</v>
      </c>
      <c r="L50" s="628">
        <v>0</v>
      </c>
      <c r="M50" s="628">
        <v>0</v>
      </c>
      <c r="N50" s="628">
        <v>0</v>
      </c>
    </row>
    <row r="51" spans="1:14" ht="13.5" customHeight="1" x14ac:dyDescent="0.75">
      <c r="A51" s="626">
        <v>3901</v>
      </c>
      <c r="B51" s="627" t="s">
        <v>1107</v>
      </c>
      <c r="C51" s="629"/>
      <c r="D51" s="629"/>
      <c r="E51" s="629"/>
      <c r="F51" s="628">
        <v>28020.13</v>
      </c>
      <c r="G51" s="628">
        <v>7179.13</v>
      </c>
      <c r="H51" s="628">
        <v>7690.76</v>
      </c>
      <c r="I51" s="628">
        <v>5940.6</v>
      </c>
      <c r="J51" s="628">
        <v>-3621.61</v>
      </c>
      <c r="K51" s="628">
        <v>11970.35</v>
      </c>
      <c r="L51" s="629"/>
      <c r="M51" s="629"/>
      <c r="N51" s="629"/>
    </row>
    <row r="52" spans="1:14" ht="13.5" customHeight="1" x14ac:dyDescent="0.75">
      <c r="A52" s="626">
        <v>3903</v>
      </c>
      <c r="B52" s="627" t="s">
        <v>1107</v>
      </c>
      <c r="C52" s="628">
        <v>8372.93</v>
      </c>
      <c r="D52" s="628">
        <v>4805.04</v>
      </c>
      <c r="E52" s="628">
        <v>6968.51</v>
      </c>
      <c r="F52" s="628">
        <v>-20146.48</v>
      </c>
      <c r="G52" s="629"/>
      <c r="H52" s="628">
        <v>0</v>
      </c>
      <c r="I52" s="628">
        <v>0</v>
      </c>
      <c r="J52" s="628">
        <v>0</v>
      </c>
      <c r="K52" s="628">
        <v>0</v>
      </c>
      <c r="L52" s="628">
        <v>0</v>
      </c>
      <c r="M52" s="628">
        <v>0</v>
      </c>
      <c r="N52" s="628">
        <v>0</v>
      </c>
    </row>
    <row r="53" spans="1:14" ht="14.25" customHeight="1" x14ac:dyDescent="0.75">
      <c r="A53" s="826" t="s">
        <v>733</v>
      </c>
      <c r="B53" s="827"/>
      <c r="C53" s="630">
        <v>250497.36</v>
      </c>
      <c r="D53" s="630">
        <v>310234.23999999999</v>
      </c>
      <c r="E53" s="630">
        <v>427502.97</v>
      </c>
      <c r="F53" s="630">
        <v>381692.91</v>
      </c>
      <c r="G53" s="630">
        <v>402251.74</v>
      </c>
      <c r="H53" s="630">
        <v>408779.55</v>
      </c>
      <c r="I53" s="630">
        <v>624087.96</v>
      </c>
      <c r="J53" s="630">
        <v>187074.2</v>
      </c>
      <c r="K53" s="630">
        <v>188741</v>
      </c>
      <c r="L53" s="630">
        <v>0</v>
      </c>
      <c r="M53" s="630">
        <v>0</v>
      </c>
      <c r="N53" s="630">
        <v>0</v>
      </c>
    </row>
    <row r="54" spans="1:14" ht="11.7" customHeight="1" x14ac:dyDescent="0.75">
      <c r="A54" s="828" t="s">
        <v>734</v>
      </c>
      <c r="B54" s="829"/>
      <c r="C54" s="632">
        <v>648430.65</v>
      </c>
      <c r="D54" s="632">
        <v>1591200.05</v>
      </c>
      <c r="E54" s="632">
        <v>1725021.29</v>
      </c>
      <c r="F54" s="632">
        <v>1650987.82</v>
      </c>
      <c r="G54" s="632">
        <v>1653982.71</v>
      </c>
      <c r="H54" s="632">
        <v>1682580.68</v>
      </c>
      <c r="I54" s="632">
        <v>2173843.38</v>
      </c>
      <c r="J54" s="632">
        <v>1459187.51</v>
      </c>
      <c r="K54" s="632">
        <v>194804.88</v>
      </c>
      <c r="L54" s="632">
        <v>0</v>
      </c>
      <c r="M54" s="632">
        <v>0</v>
      </c>
      <c r="N54" s="632">
        <v>0</v>
      </c>
    </row>
    <row r="55" spans="1:14" ht="16.95" customHeight="1" x14ac:dyDescent="0.75">
      <c r="A55" s="626">
        <v>4100</v>
      </c>
      <c r="B55" s="627" t="s">
        <v>592</v>
      </c>
      <c r="C55" s="628">
        <v>-1467.15</v>
      </c>
      <c r="D55" s="628">
        <v>1945.63</v>
      </c>
      <c r="E55" s="628">
        <v>223569.1</v>
      </c>
      <c r="F55" s="628">
        <v>451153.51</v>
      </c>
      <c r="G55" s="628">
        <v>417777.5</v>
      </c>
      <c r="H55" s="628">
        <v>533458.93999999994</v>
      </c>
      <c r="I55" s="628">
        <v>139356.35</v>
      </c>
      <c r="J55" s="628">
        <v>339893.86</v>
      </c>
      <c r="K55" s="628">
        <v>479190.78</v>
      </c>
      <c r="L55" s="629"/>
      <c r="M55" s="629"/>
      <c r="N55" s="629"/>
    </row>
    <row r="56" spans="1:14" ht="13.5" customHeight="1" x14ac:dyDescent="0.75">
      <c r="A56" s="626">
        <v>4101</v>
      </c>
      <c r="B56" s="627" t="s">
        <v>1664</v>
      </c>
      <c r="C56" s="628">
        <v>233246.09</v>
      </c>
      <c r="D56" s="628">
        <v>39326.11</v>
      </c>
      <c r="E56" s="629"/>
      <c r="F56" s="628">
        <v>-0.01</v>
      </c>
      <c r="G56" s="629"/>
      <c r="H56" s="629"/>
      <c r="I56" s="628">
        <v>166.01</v>
      </c>
      <c r="J56" s="628">
        <v>0</v>
      </c>
      <c r="K56" s="628">
        <v>0</v>
      </c>
      <c r="L56" s="629"/>
      <c r="M56" s="629"/>
      <c r="N56" s="629"/>
    </row>
    <row r="57" spans="1:14" ht="13.5" customHeight="1" x14ac:dyDescent="0.75">
      <c r="A57" s="626">
        <v>4102</v>
      </c>
      <c r="B57" s="627" t="s">
        <v>1665</v>
      </c>
      <c r="C57" s="628">
        <v>64614.34</v>
      </c>
      <c r="D57" s="628">
        <v>750</v>
      </c>
      <c r="E57" s="628">
        <v>99150</v>
      </c>
      <c r="F57" s="628">
        <v>557</v>
      </c>
      <c r="G57" s="629"/>
      <c r="H57" s="628">
        <v>167.22</v>
      </c>
      <c r="I57" s="628">
        <v>19242.89</v>
      </c>
      <c r="J57" s="628">
        <v>0</v>
      </c>
      <c r="K57" s="628">
        <v>0</v>
      </c>
      <c r="L57" s="629"/>
      <c r="M57" s="629"/>
      <c r="N57" s="629"/>
    </row>
    <row r="58" spans="1:14" ht="13.5" customHeight="1" x14ac:dyDescent="0.75">
      <c r="A58" s="626">
        <v>4200</v>
      </c>
      <c r="B58" s="627" t="s">
        <v>593</v>
      </c>
      <c r="C58" s="629"/>
      <c r="D58" s="629"/>
      <c r="E58" s="628">
        <v>1058</v>
      </c>
      <c r="F58" s="628">
        <v>1952.6</v>
      </c>
      <c r="G58" s="628">
        <v>15165.05</v>
      </c>
      <c r="H58" s="628">
        <v>79.41</v>
      </c>
      <c r="I58" s="628">
        <v>19301.77</v>
      </c>
      <c r="J58" s="628">
        <v>2946.57</v>
      </c>
      <c r="K58" s="628">
        <v>3757</v>
      </c>
      <c r="L58" s="629"/>
      <c r="M58" s="629"/>
      <c r="N58" s="629"/>
    </row>
    <row r="59" spans="1:14" ht="13.5" customHeight="1" x14ac:dyDescent="0.75">
      <c r="A59" s="626">
        <v>4215</v>
      </c>
      <c r="B59" s="627" t="s">
        <v>1666</v>
      </c>
      <c r="C59" s="629"/>
      <c r="D59" s="629"/>
      <c r="E59" s="629"/>
      <c r="F59" s="629"/>
      <c r="G59" s="629"/>
      <c r="H59" s="628">
        <v>0</v>
      </c>
      <c r="I59" s="628">
        <v>0</v>
      </c>
      <c r="J59" s="628">
        <v>0</v>
      </c>
      <c r="K59" s="628">
        <v>0</v>
      </c>
      <c r="L59" s="628">
        <v>0</v>
      </c>
      <c r="M59" s="628">
        <v>0</v>
      </c>
      <c r="N59" s="628">
        <v>0</v>
      </c>
    </row>
    <row r="60" spans="1:14" ht="13.5" customHeight="1" x14ac:dyDescent="0.75">
      <c r="A60" s="626">
        <v>4300</v>
      </c>
      <c r="B60" s="627" t="s">
        <v>595</v>
      </c>
      <c r="C60" s="628">
        <v>70.599999999999994</v>
      </c>
      <c r="D60" s="628">
        <v>471.54</v>
      </c>
      <c r="E60" s="628">
        <v>3375.04</v>
      </c>
      <c r="F60" s="628">
        <v>118.16</v>
      </c>
      <c r="G60" s="628">
        <v>823.46</v>
      </c>
      <c r="H60" s="628">
        <v>177.03</v>
      </c>
      <c r="I60" s="628">
        <v>1620.27</v>
      </c>
      <c r="J60" s="628">
        <v>4601.3999999999996</v>
      </c>
      <c r="K60" s="628">
        <v>0</v>
      </c>
      <c r="L60" s="628">
        <v>0</v>
      </c>
      <c r="M60" s="628">
        <v>0</v>
      </c>
      <c r="N60" s="628">
        <v>0</v>
      </c>
    </row>
    <row r="61" spans="1:14" ht="13.5" customHeight="1" x14ac:dyDescent="0.75">
      <c r="A61" s="626">
        <v>4315</v>
      </c>
      <c r="B61" s="627" t="s">
        <v>594</v>
      </c>
      <c r="C61" s="628">
        <v>291.08999999999997</v>
      </c>
      <c r="D61" s="629"/>
      <c r="E61" s="628">
        <v>629.29</v>
      </c>
      <c r="F61" s="628">
        <v>653.80999999999995</v>
      </c>
      <c r="G61" s="628">
        <v>118.33</v>
      </c>
      <c r="H61" s="628">
        <v>98.97</v>
      </c>
      <c r="I61" s="628">
        <v>124.45</v>
      </c>
      <c r="J61" s="628">
        <v>50.99</v>
      </c>
      <c r="K61" s="628">
        <v>0</v>
      </c>
      <c r="L61" s="629"/>
      <c r="M61" s="629"/>
      <c r="N61" s="629"/>
    </row>
    <row r="62" spans="1:14" ht="13.5" customHeight="1" x14ac:dyDescent="0.75">
      <c r="A62" s="626">
        <v>4400</v>
      </c>
      <c r="B62" s="627" t="s">
        <v>596</v>
      </c>
      <c r="C62" s="628">
        <v>15667.89</v>
      </c>
      <c r="D62" s="629"/>
      <c r="E62" s="628">
        <v>1662.77</v>
      </c>
      <c r="F62" s="628">
        <v>317.37</v>
      </c>
      <c r="G62" s="628">
        <v>265.58999999999997</v>
      </c>
      <c r="H62" s="628">
        <v>0</v>
      </c>
      <c r="I62" s="628">
        <v>11042.78</v>
      </c>
      <c r="J62" s="628">
        <v>584.89</v>
      </c>
      <c r="K62" s="628">
        <v>146.22</v>
      </c>
      <c r="L62" s="628">
        <v>0</v>
      </c>
      <c r="M62" s="628">
        <v>0</v>
      </c>
      <c r="N62" s="628">
        <v>0</v>
      </c>
    </row>
    <row r="63" spans="1:14" ht="13.5" customHeight="1" x14ac:dyDescent="0.75">
      <c r="A63" s="626">
        <v>4410</v>
      </c>
      <c r="B63" s="627" t="s">
        <v>1464</v>
      </c>
      <c r="C63" s="629"/>
      <c r="D63" s="628">
        <v>42329.31</v>
      </c>
      <c r="E63" s="629"/>
      <c r="F63" s="628">
        <v>201764.26</v>
      </c>
      <c r="G63" s="628">
        <v>0</v>
      </c>
      <c r="H63" s="628">
        <v>0</v>
      </c>
      <c r="I63" s="628">
        <v>43810.69</v>
      </c>
      <c r="J63" s="628">
        <v>-26524.35</v>
      </c>
      <c r="K63" s="628">
        <v>0</v>
      </c>
      <c r="L63" s="628">
        <v>0</v>
      </c>
      <c r="M63" s="629"/>
      <c r="N63" s="629"/>
    </row>
    <row r="64" spans="1:14" ht="13.5" customHeight="1" x14ac:dyDescent="0.75">
      <c r="A64" s="626">
        <v>4430</v>
      </c>
      <c r="B64" s="627" t="s">
        <v>1112</v>
      </c>
      <c r="C64" s="629"/>
      <c r="D64" s="629"/>
      <c r="E64" s="628">
        <v>2189.77</v>
      </c>
      <c r="F64" s="628">
        <v>73.11</v>
      </c>
      <c r="G64" s="628">
        <v>83.86</v>
      </c>
      <c r="H64" s="628">
        <v>0</v>
      </c>
      <c r="I64" s="628">
        <v>0</v>
      </c>
      <c r="J64" s="628">
        <v>0</v>
      </c>
      <c r="K64" s="628">
        <v>2211.9899999999998</v>
      </c>
      <c r="L64" s="628">
        <v>0</v>
      </c>
      <c r="M64" s="628">
        <v>0</v>
      </c>
      <c r="N64" s="628">
        <v>0</v>
      </c>
    </row>
    <row r="65" spans="1:14" ht="13.5" customHeight="1" x14ac:dyDescent="0.75">
      <c r="A65" s="626">
        <v>4700</v>
      </c>
      <c r="B65" s="627" t="s">
        <v>1078</v>
      </c>
      <c r="C65" s="629"/>
      <c r="D65" s="629"/>
      <c r="E65" s="629"/>
      <c r="F65" s="629"/>
      <c r="G65" s="628">
        <v>244.08</v>
      </c>
      <c r="H65" s="628">
        <v>0</v>
      </c>
      <c r="I65" s="628">
        <v>145.96</v>
      </c>
      <c r="J65" s="628">
        <v>56.79</v>
      </c>
      <c r="K65" s="628">
        <v>0</v>
      </c>
      <c r="L65" s="628">
        <v>0</v>
      </c>
      <c r="M65" s="628">
        <v>0</v>
      </c>
      <c r="N65" s="628">
        <v>0</v>
      </c>
    </row>
    <row r="66" spans="1:14" ht="18.75" customHeight="1" x14ac:dyDescent="0.75">
      <c r="A66" s="826" t="s">
        <v>676</v>
      </c>
      <c r="B66" s="827"/>
      <c r="C66" s="630">
        <v>312422.86</v>
      </c>
      <c r="D66" s="630">
        <v>84822.59</v>
      </c>
      <c r="E66" s="630">
        <v>331633.96999999997</v>
      </c>
      <c r="F66" s="630">
        <v>656589.81000000006</v>
      </c>
      <c r="G66" s="630">
        <v>434477.87</v>
      </c>
      <c r="H66" s="630">
        <v>533981.56999999995</v>
      </c>
      <c r="I66" s="630">
        <v>234811.17</v>
      </c>
      <c r="J66" s="630">
        <v>321610.15000000002</v>
      </c>
      <c r="K66" s="630">
        <v>485305.99</v>
      </c>
      <c r="L66" s="630">
        <v>0</v>
      </c>
      <c r="M66" s="630">
        <v>0</v>
      </c>
      <c r="N66" s="630">
        <v>0</v>
      </c>
    </row>
    <row r="67" spans="1:14" ht="15" customHeight="1" x14ac:dyDescent="0.75">
      <c r="A67" s="626">
        <v>5200</v>
      </c>
      <c r="B67" s="627" t="s">
        <v>597</v>
      </c>
      <c r="C67" s="628">
        <v>9309.7000000000007</v>
      </c>
      <c r="D67" s="628">
        <v>7668.25</v>
      </c>
      <c r="E67" s="628">
        <v>5655.27</v>
      </c>
      <c r="F67" s="628">
        <v>21007.3</v>
      </c>
      <c r="G67" s="628">
        <v>10630.27</v>
      </c>
      <c r="H67" s="628">
        <v>7335.82</v>
      </c>
      <c r="I67" s="628">
        <v>18298.939999999999</v>
      </c>
      <c r="J67" s="628">
        <v>10036.450000000001</v>
      </c>
      <c r="K67" s="628">
        <v>1532.64</v>
      </c>
      <c r="L67" s="628">
        <v>0</v>
      </c>
      <c r="M67" s="629"/>
      <c r="N67" s="629"/>
    </row>
    <row r="68" spans="1:14" ht="15" customHeight="1" x14ac:dyDescent="0.75">
      <c r="A68" s="626">
        <v>5210</v>
      </c>
      <c r="B68" s="627" t="s">
        <v>598</v>
      </c>
      <c r="C68" s="628">
        <v>90976.36</v>
      </c>
      <c r="D68" s="628">
        <v>3559.61</v>
      </c>
      <c r="E68" s="628">
        <v>239770.8</v>
      </c>
      <c r="F68" s="628">
        <v>14899.54</v>
      </c>
      <c r="G68" s="628">
        <v>12758.87</v>
      </c>
      <c r="H68" s="628">
        <v>10000</v>
      </c>
      <c r="I68" s="628">
        <v>2067.9</v>
      </c>
      <c r="J68" s="628">
        <v>18771.02</v>
      </c>
      <c r="K68" s="628">
        <v>18175</v>
      </c>
      <c r="L68" s="628">
        <v>0</v>
      </c>
      <c r="M68" s="628">
        <v>0</v>
      </c>
      <c r="N68" s="628">
        <v>0</v>
      </c>
    </row>
    <row r="69" spans="1:14" ht="15" customHeight="1" x14ac:dyDescent="0.75">
      <c r="A69" s="626">
        <v>5300</v>
      </c>
      <c r="B69" s="627" t="s">
        <v>599</v>
      </c>
      <c r="C69" s="628">
        <v>35118.18</v>
      </c>
      <c r="D69" s="628">
        <v>100</v>
      </c>
      <c r="E69" s="628">
        <v>2350.0100000000002</v>
      </c>
      <c r="F69" s="629"/>
      <c r="G69" s="628">
        <v>23854</v>
      </c>
      <c r="H69" s="628">
        <v>0</v>
      </c>
      <c r="I69" s="628">
        <v>275</v>
      </c>
      <c r="J69" s="628">
        <v>0</v>
      </c>
      <c r="K69" s="628">
        <v>0</v>
      </c>
      <c r="L69" s="628">
        <v>0</v>
      </c>
      <c r="M69" s="629"/>
      <c r="N69" s="629"/>
    </row>
    <row r="70" spans="1:14" ht="15" customHeight="1" x14ac:dyDescent="0.75">
      <c r="A70" s="626">
        <v>5400</v>
      </c>
      <c r="B70" s="627" t="s">
        <v>600</v>
      </c>
      <c r="C70" s="629"/>
      <c r="D70" s="629"/>
      <c r="E70" s="628">
        <v>25165.23</v>
      </c>
      <c r="F70" s="628">
        <v>34980</v>
      </c>
      <c r="G70" s="629"/>
      <c r="H70" s="628">
        <v>0</v>
      </c>
      <c r="I70" s="628">
        <v>0</v>
      </c>
      <c r="J70" s="628">
        <v>0</v>
      </c>
      <c r="K70" s="628">
        <v>0</v>
      </c>
      <c r="L70" s="628">
        <v>0</v>
      </c>
      <c r="M70" s="629"/>
      <c r="N70" s="629"/>
    </row>
    <row r="71" spans="1:14" ht="15" customHeight="1" x14ac:dyDescent="0.75">
      <c r="A71" s="626">
        <v>5500</v>
      </c>
      <c r="B71" s="627" t="s">
        <v>1118</v>
      </c>
      <c r="C71" s="629"/>
      <c r="D71" s="628">
        <v>760</v>
      </c>
      <c r="E71" s="628">
        <v>380.01</v>
      </c>
      <c r="F71" s="629"/>
      <c r="G71" s="628">
        <v>379.99</v>
      </c>
      <c r="H71" s="628">
        <v>475</v>
      </c>
      <c r="I71" s="628">
        <v>380.01</v>
      </c>
      <c r="J71" s="628">
        <v>380.01</v>
      </c>
      <c r="K71" s="628">
        <v>0</v>
      </c>
      <c r="L71" s="628">
        <v>0</v>
      </c>
      <c r="M71" s="628">
        <v>0</v>
      </c>
      <c r="N71" s="628">
        <v>0</v>
      </c>
    </row>
    <row r="72" spans="1:14" ht="15" customHeight="1" x14ac:dyDescent="0.75">
      <c r="A72" s="626">
        <v>5501</v>
      </c>
      <c r="B72" s="627" t="s">
        <v>602</v>
      </c>
      <c r="C72" s="628">
        <v>204.33</v>
      </c>
      <c r="D72" s="628">
        <v>211.75</v>
      </c>
      <c r="E72" s="629"/>
      <c r="F72" s="628">
        <v>200.49</v>
      </c>
      <c r="G72" s="628">
        <v>169.51</v>
      </c>
      <c r="H72" s="628">
        <v>147.34</v>
      </c>
      <c r="I72" s="628">
        <v>119.66</v>
      </c>
      <c r="J72" s="628">
        <v>144.94999999999999</v>
      </c>
      <c r="K72" s="628">
        <v>109.63</v>
      </c>
      <c r="L72" s="628">
        <v>0</v>
      </c>
      <c r="M72" s="628">
        <v>0</v>
      </c>
      <c r="N72" s="628">
        <v>0</v>
      </c>
    </row>
    <row r="73" spans="1:14" ht="15" customHeight="1" x14ac:dyDescent="0.75">
      <c r="A73" s="626">
        <v>5600</v>
      </c>
      <c r="B73" s="627" t="s">
        <v>603</v>
      </c>
      <c r="C73" s="628">
        <v>11803.4</v>
      </c>
      <c r="D73" s="628">
        <v>8372.7000000000007</v>
      </c>
      <c r="E73" s="628">
        <v>9497.7000000000007</v>
      </c>
      <c r="F73" s="628">
        <v>9497.7000000000007</v>
      </c>
      <c r="G73" s="628">
        <v>9497.7000000000007</v>
      </c>
      <c r="H73" s="628">
        <v>9641</v>
      </c>
      <c r="I73" s="628">
        <v>9641</v>
      </c>
      <c r="J73" s="628">
        <v>9641</v>
      </c>
      <c r="K73" s="628">
        <v>0</v>
      </c>
      <c r="L73" s="628">
        <v>0</v>
      </c>
      <c r="M73" s="628">
        <v>0</v>
      </c>
      <c r="N73" s="628">
        <v>0</v>
      </c>
    </row>
    <row r="74" spans="1:14" ht="15" customHeight="1" x14ac:dyDescent="0.75">
      <c r="A74" s="626">
        <v>5602</v>
      </c>
      <c r="B74" s="627" t="s">
        <v>1667</v>
      </c>
      <c r="C74" s="629"/>
      <c r="D74" s="629"/>
      <c r="E74" s="629"/>
      <c r="F74" s="629"/>
      <c r="G74" s="629"/>
      <c r="H74" s="628">
        <v>0</v>
      </c>
      <c r="I74" s="628">
        <v>0</v>
      </c>
      <c r="J74" s="628">
        <v>0</v>
      </c>
      <c r="K74" s="628">
        <v>0</v>
      </c>
      <c r="L74" s="628">
        <v>0</v>
      </c>
      <c r="M74" s="628">
        <v>0</v>
      </c>
      <c r="N74" s="628">
        <v>0</v>
      </c>
    </row>
    <row r="75" spans="1:14" ht="15" customHeight="1" x14ac:dyDescent="0.75">
      <c r="A75" s="626">
        <v>5603</v>
      </c>
      <c r="B75" s="627" t="s">
        <v>1649</v>
      </c>
      <c r="C75" s="629"/>
      <c r="D75" s="629"/>
      <c r="E75" s="629"/>
      <c r="F75" s="629"/>
      <c r="G75" s="628">
        <v>500</v>
      </c>
      <c r="H75" s="628">
        <v>1575.01</v>
      </c>
      <c r="I75" s="628">
        <v>-170.01</v>
      </c>
      <c r="J75" s="628">
        <v>0</v>
      </c>
      <c r="K75" s="628">
        <v>0</v>
      </c>
      <c r="L75" s="628">
        <v>0</v>
      </c>
      <c r="M75" s="628">
        <v>0</v>
      </c>
      <c r="N75" s="628">
        <v>0</v>
      </c>
    </row>
    <row r="76" spans="1:14" ht="15" customHeight="1" x14ac:dyDescent="0.75">
      <c r="A76" s="626">
        <v>5800</v>
      </c>
      <c r="B76" s="627" t="s">
        <v>607</v>
      </c>
      <c r="C76" s="628">
        <v>60000</v>
      </c>
      <c r="D76" s="628">
        <v>24510.400000000001</v>
      </c>
      <c r="E76" s="628">
        <v>2193.0300000000002</v>
      </c>
      <c r="F76" s="628">
        <v>115000</v>
      </c>
      <c r="G76" s="628">
        <v>27966.5</v>
      </c>
      <c r="H76" s="628">
        <v>1150.01</v>
      </c>
      <c r="I76" s="628">
        <v>157700.01</v>
      </c>
      <c r="J76" s="628">
        <v>10409</v>
      </c>
      <c r="K76" s="628">
        <v>8960.01</v>
      </c>
      <c r="L76" s="628">
        <v>0</v>
      </c>
      <c r="M76" s="628">
        <v>0</v>
      </c>
      <c r="N76" s="628">
        <v>0</v>
      </c>
    </row>
    <row r="77" spans="1:14" ht="15" customHeight="1" x14ac:dyDescent="0.75">
      <c r="A77" s="626">
        <v>5803</v>
      </c>
      <c r="B77" s="627" t="s">
        <v>608</v>
      </c>
      <c r="C77" s="628">
        <v>528.79999999999995</v>
      </c>
      <c r="D77" s="628">
        <v>1532.55</v>
      </c>
      <c r="E77" s="628">
        <v>716.7</v>
      </c>
      <c r="F77" s="628">
        <v>679.95</v>
      </c>
      <c r="G77" s="628">
        <v>752.15</v>
      </c>
      <c r="H77" s="628">
        <v>552</v>
      </c>
      <c r="I77" s="628">
        <v>2251.06</v>
      </c>
      <c r="J77" s="628">
        <v>126.35</v>
      </c>
      <c r="K77" s="628">
        <v>0</v>
      </c>
      <c r="L77" s="628">
        <v>0</v>
      </c>
      <c r="M77" s="628">
        <v>0</v>
      </c>
      <c r="N77" s="628">
        <v>0</v>
      </c>
    </row>
    <row r="78" spans="1:14" ht="15" customHeight="1" x14ac:dyDescent="0.75">
      <c r="A78" s="626">
        <v>5805</v>
      </c>
      <c r="B78" s="627" t="s">
        <v>1668</v>
      </c>
      <c r="C78" s="629"/>
      <c r="D78" s="628">
        <v>25423.42</v>
      </c>
      <c r="E78" s="628">
        <v>15175.78</v>
      </c>
      <c r="F78" s="628">
        <v>19082.400000000001</v>
      </c>
      <c r="G78" s="628">
        <v>21286.71</v>
      </c>
      <c r="H78" s="628">
        <v>10000</v>
      </c>
      <c r="I78" s="628">
        <v>15881.63</v>
      </c>
      <c r="J78" s="628">
        <v>0</v>
      </c>
      <c r="K78" s="628">
        <v>9765.52</v>
      </c>
      <c r="L78" s="628">
        <v>0</v>
      </c>
      <c r="M78" s="628">
        <v>0</v>
      </c>
      <c r="N78" s="628">
        <v>0</v>
      </c>
    </row>
    <row r="79" spans="1:14" ht="15" customHeight="1" x14ac:dyDescent="0.75">
      <c r="A79" s="626">
        <v>5806</v>
      </c>
      <c r="B79" s="627" t="s">
        <v>1283</v>
      </c>
      <c r="C79" s="629"/>
      <c r="D79" s="629"/>
      <c r="E79" s="628">
        <v>6736.49</v>
      </c>
      <c r="F79" s="628">
        <v>6736.49</v>
      </c>
      <c r="G79" s="629"/>
      <c r="H79" s="628">
        <v>2000</v>
      </c>
      <c r="I79" s="628">
        <v>0</v>
      </c>
      <c r="J79" s="628">
        <v>0</v>
      </c>
      <c r="K79" s="628">
        <v>0</v>
      </c>
      <c r="L79" s="628">
        <v>0</v>
      </c>
      <c r="M79" s="628">
        <v>0</v>
      </c>
      <c r="N79" s="628">
        <v>0</v>
      </c>
    </row>
    <row r="80" spans="1:14" ht="15" customHeight="1" x14ac:dyDescent="0.75">
      <c r="A80" s="626">
        <v>5807</v>
      </c>
      <c r="B80" s="627" t="s">
        <v>1439</v>
      </c>
      <c r="C80" s="628">
        <v>5429.53</v>
      </c>
      <c r="D80" s="628">
        <v>-769.36</v>
      </c>
      <c r="E80" s="628">
        <v>1666.13</v>
      </c>
      <c r="F80" s="628">
        <v>125</v>
      </c>
      <c r="G80" s="628">
        <v>300</v>
      </c>
      <c r="H80" s="628">
        <v>5000.01</v>
      </c>
      <c r="I80" s="628">
        <v>-250.02</v>
      </c>
      <c r="J80" s="628">
        <v>221</v>
      </c>
      <c r="K80" s="628">
        <v>20000</v>
      </c>
      <c r="L80" s="628">
        <v>0</v>
      </c>
      <c r="M80" s="628">
        <v>0</v>
      </c>
      <c r="N80" s="628">
        <v>0</v>
      </c>
    </row>
    <row r="81" spans="1:14" ht="15" customHeight="1" x14ac:dyDescent="0.75">
      <c r="A81" s="626">
        <v>5809</v>
      </c>
      <c r="B81" s="627" t="s">
        <v>1512</v>
      </c>
      <c r="C81" s="629"/>
      <c r="D81" s="629"/>
      <c r="E81" s="628">
        <v>3720</v>
      </c>
      <c r="F81" s="628">
        <v>19250</v>
      </c>
      <c r="G81" s="628">
        <v>105.9</v>
      </c>
      <c r="H81" s="628">
        <v>3920</v>
      </c>
      <c r="I81" s="628">
        <v>-2303.4</v>
      </c>
      <c r="J81" s="628">
        <v>-1535.6</v>
      </c>
      <c r="K81" s="628">
        <v>3720</v>
      </c>
      <c r="L81" s="628">
        <v>0</v>
      </c>
      <c r="M81" s="628">
        <v>0</v>
      </c>
      <c r="N81" s="628">
        <v>0</v>
      </c>
    </row>
    <row r="82" spans="1:14" ht="15" customHeight="1" x14ac:dyDescent="0.75">
      <c r="A82" s="626">
        <v>5810</v>
      </c>
      <c r="B82" s="627" t="s">
        <v>609</v>
      </c>
      <c r="C82" s="628">
        <v>43907.86</v>
      </c>
      <c r="D82" s="628">
        <v>21963.74</v>
      </c>
      <c r="E82" s="628">
        <v>31626.06</v>
      </c>
      <c r="F82" s="628">
        <v>235410.72</v>
      </c>
      <c r="G82" s="628">
        <v>121177.47</v>
      </c>
      <c r="H82" s="628">
        <v>44724.14</v>
      </c>
      <c r="I82" s="628">
        <v>143836.97</v>
      </c>
      <c r="J82" s="628">
        <v>169030.02</v>
      </c>
      <c r="K82" s="628">
        <v>192332.07</v>
      </c>
      <c r="L82" s="628">
        <v>0</v>
      </c>
      <c r="M82" s="628">
        <v>0</v>
      </c>
      <c r="N82" s="628">
        <v>0</v>
      </c>
    </row>
    <row r="83" spans="1:14" ht="15" customHeight="1" x14ac:dyDescent="0.75">
      <c r="A83" s="626">
        <v>5815</v>
      </c>
      <c r="B83" s="627" t="s">
        <v>1128</v>
      </c>
      <c r="C83" s="628">
        <v>84405</v>
      </c>
      <c r="D83" s="628">
        <v>880</v>
      </c>
      <c r="E83" s="628">
        <v>1318.55</v>
      </c>
      <c r="F83" s="628">
        <v>1819.7</v>
      </c>
      <c r="G83" s="628">
        <v>1352.51</v>
      </c>
      <c r="H83" s="628">
        <v>1463.98</v>
      </c>
      <c r="I83" s="628">
        <v>1759.76</v>
      </c>
      <c r="J83" s="628">
        <v>2401.69</v>
      </c>
      <c r="K83" s="628">
        <v>880.54</v>
      </c>
      <c r="L83" s="628">
        <v>0</v>
      </c>
      <c r="M83" s="629"/>
      <c r="N83" s="629"/>
    </row>
    <row r="84" spans="1:14" ht="15" customHeight="1" x14ac:dyDescent="0.75">
      <c r="A84" s="626">
        <v>5830</v>
      </c>
      <c r="B84" s="627" t="s">
        <v>1669</v>
      </c>
      <c r="C84" s="628">
        <v>19364.91</v>
      </c>
      <c r="D84" s="628">
        <v>1783.69</v>
      </c>
      <c r="E84" s="628">
        <v>14448.9</v>
      </c>
      <c r="F84" s="628">
        <v>11904.45</v>
      </c>
      <c r="G84" s="628">
        <v>11827.37</v>
      </c>
      <c r="H84" s="628">
        <v>8887.36</v>
      </c>
      <c r="I84" s="628">
        <v>-5687.61</v>
      </c>
      <c r="J84" s="628">
        <v>19093.86</v>
      </c>
      <c r="K84" s="628">
        <v>350</v>
      </c>
      <c r="L84" s="628">
        <v>0</v>
      </c>
      <c r="M84" s="628">
        <v>0</v>
      </c>
      <c r="N84" s="628">
        <v>0</v>
      </c>
    </row>
    <row r="85" spans="1:14" ht="15" customHeight="1" x14ac:dyDescent="0.75">
      <c r="A85" s="626">
        <v>5873</v>
      </c>
      <c r="B85" s="627" t="s">
        <v>1286</v>
      </c>
      <c r="C85" s="628">
        <v>110364</v>
      </c>
      <c r="D85" s="628">
        <v>55181.99</v>
      </c>
      <c r="E85" s="628">
        <v>36407</v>
      </c>
      <c r="F85" s="628">
        <v>895</v>
      </c>
      <c r="G85" s="628">
        <v>72814.009999999995</v>
      </c>
      <c r="H85" s="628">
        <v>36407</v>
      </c>
      <c r="I85" s="628">
        <v>0</v>
      </c>
      <c r="J85" s="628">
        <v>72814</v>
      </c>
      <c r="K85" s="628">
        <v>0</v>
      </c>
      <c r="L85" s="628">
        <v>0</v>
      </c>
      <c r="M85" s="628">
        <v>0</v>
      </c>
      <c r="N85" s="628">
        <v>0</v>
      </c>
    </row>
    <row r="86" spans="1:14" ht="15" customHeight="1" x14ac:dyDescent="0.75">
      <c r="A86" s="626">
        <v>5874</v>
      </c>
      <c r="B86" s="627" t="s">
        <v>1288</v>
      </c>
      <c r="C86" s="628">
        <v>499</v>
      </c>
      <c r="D86" s="628">
        <v>544</v>
      </c>
      <c r="E86" s="628">
        <v>159.99</v>
      </c>
      <c r="F86" s="628">
        <v>64</v>
      </c>
      <c r="G86" s="629"/>
      <c r="H86" s="628">
        <v>100</v>
      </c>
      <c r="I86" s="628">
        <v>64</v>
      </c>
      <c r="J86" s="628">
        <v>273</v>
      </c>
      <c r="K86" s="628">
        <v>592</v>
      </c>
      <c r="L86" s="628">
        <v>0</v>
      </c>
      <c r="M86" s="628">
        <v>0</v>
      </c>
      <c r="N86" s="628">
        <v>0</v>
      </c>
    </row>
    <row r="87" spans="1:14" ht="15" customHeight="1" x14ac:dyDescent="0.75">
      <c r="A87" s="626">
        <v>5875</v>
      </c>
      <c r="B87" s="627" t="s">
        <v>616</v>
      </c>
      <c r="C87" s="629"/>
      <c r="D87" s="629"/>
      <c r="E87" s="628">
        <v>11905</v>
      </c>
      <c r="F87" s="628">
        <v>11905</v>
      </c>
      <c r="G87" s="628">
        <v>18312</v>
      </c>
      <c r="H87" s="628">
        <v>11959</v>
      </c>
      <c r="I87" s="628">
        <v>24773</v>
      </c>
      <c r="J87" s="628">
        <v>6407</v>
      </c>
      <c r="K87" s="628">
        <v>0</v>
      </c>
      <c r="L87" s="628">
        <v>0</v>
      </c>
      <c r="M87" s="628">
        <v>0</v>
      </c>
      <c r="N87" s="628">
        <v>0</v>
      </c>
    </row>
    <row r="88" spans="1:14" ht="15" customHeight="1" x14ac:dyDescent="0.75">
      <c r="A88" s="626">
        <v>5877</v>
      </c>
      <c r="B88" s="627" t="s">
        <v>1289</v>
      </c>
      <c r="C88" s="628">
        <v>224699.87</v>
      </c>
      <c r="D88" s="628">
        <v>798.83</v>
      </c>
      <c r="E88" s="628">
        <v>6931.97</v>
      </c>
      <c r="F88" s="628">
        <v>512.45000000000005</v>
      </c>
      <c r="G88" s="628">
        <v>2771.96</v>
      </c>
      <c r="H88" s="628">
        <v>11514.99</v>
      </c>
      <c r="I88" s="628">
        <v>79.489999999999995</v>
      </c>
      <c r="J88" s="628">
        <v>79.489999999999995</v>
      </c>
      <c r="K88" s="628">
        <v>1300</v>
      </c>
      <c r="L88" s="628">
        <v>0</v>
      </c>
      <c r="M88" s="628">
        <v>0</v>
      </c>
      <c r="N88" s="628">
        <v>0</v>
      </c>
    </row>
    <row r="89" spans="1:14" ht="15" customHeight="1" x14ac:dyDescent="0.75">
      <c r="A89" s="626">
        <v>5890</v>
      </c>
      <c r="B89" s="627" t="s">
        <v>1670</v>
      </c>
      <c r="C89" s="628">
        <v>230.4</v>
      </c>
      <c r="D89" s="629"/>
      <c r="E89" s="629"/>
      <c r="F89" s="629"/>
      <c r="G89" s="629"/>
      <c r="H89" s="628">
        <v>1509.24</v>
      </c>
      <c r="I89" s="628">
        <v>0</v>
      </c>
      <c r="J89" s="628">
        <v>0</v>
      </c>
      <c r="K89" s="628">
        <v>0</v>
      </c>
      <c r="L89" s="628">
        <v>0</v>
      </c>
      <c r="M89" s="628">
        <v>0</v>
      </c>
      <c r="N89" s="628">
        <v>0</v>
      </c>
    </row>
    <row r="90" spans="1:14" ht="15" customHeight="1" x14ac:dyDescent="0.75">
      <c r="A90" s="626">
        <v>5900</v>
      </c>
      <c r="B90" s="627" t="s">
        <v>1463</v>
      </c>
      <c r="C90" s="628">
        <v>5081.7700000000004</v>
      </c>
      <c r="D90" s="628">
        <v>5447.94</v>
      </c>
      <c r="E90" s="628">
        <v>11789.89</v>
      </c>
      <c r="F90" s="628">
        <v>13292.46</v>
      </c>
      <c r="G90" s="628">
        <v>19873.84</v>
      </c>
      <c r="H90" s="628">
        <v>6169.9</v>
      </c>
      <c r="I90" s="628">
        <v>14631.26</v>
      </c>
      <c r="J90" s="628">
        <v>12681.36</v>
      </c>
      <c r="K90" s="628">
        <v>520</v>
      </c>
      <c r="L90" s="628">
        <v>0</v>
      </c>
      <c r="M90" s="628">
        <v>0</v>
      </c>
      <c r="N90" s="628">
        <v>0</v>
      </c>
    </row>
    <row r="91" spans="1:14" ht="15" customHeight="1" x14ac:dyDescent="0.75">
      <c r="A91" s="626">
        <v>5901</v>
      </c>
      <c r="B91" s="627" t="s">
        <v>1656</v>
      </c>
      <c r="C91" s="629"/>
      <c r="D91" s="629"/>
      <c r="E91" s="628">
        <v>80.010000000000005</v>
      </c>
      <c r="F91" s="628">
        <v>40</v>
      </c>
      <c r="G91" s="629"/>
      <c r="H91" s="628">
        <v>0</v>
      </c>
      <c r="I91" s="628">
        <v>180.01</v>
      </c>
      <c r="J91" s="628">
        <v>0</v>
      </c>
      <c r="K91" s="628">
        <v>80</v>
      </c>
      <c r="L91" s="628">
        <v>0</v>
      </c>
      <c r="M91" s="628">
        <v>0</v>
      </c>
      <c r="N91" s="628">
        <v>0</v>
      </c>
    </row>
    <row r="92" spans="1:14" ht="15" customHeight="1" x14ac:dyDescent="0.75">
      <c r="A92" s="826" t="s">
        <v>1462</v>
      </c>
      <c r="B92" s="827"/>
      <c r="C92" s="630">
        <v>701923.11</v>
      </c>
      <c r="D92" s="630">
        <v>157969.51</v>
      </c>
      <c r="E92" s="630">
        <v>427694.52</v>
      </c>
      <c r="F92" s="630">
        <v>517302.65</v>
      </c>
      <c r="G92" s="630">
        <v>356330.76</v>
      </c>
      <c r="H92" s="630">
        <v>174531.8</v>
      </c>
      <c r="I92" s="630">
        <v>383528.66</v>
      </c>
      <c r="J92" s="630">
        <v>330974.59999999998</v>
      </c>
      <c r="K92" s="630">
        <v>258317.41</v>
      </c>
      <c r="L92" s="630">
        <v>0</v>
      </c>
      <c r="M92" s="630">
        <v>0</v>
      </c>
      <c r="N92" s="630">
        <v>0</v>
      </c>
    </row>
    <row r="93" spans="1:14" ht="15" customHeight="1" x14ac:dyDescent="0.75">
      <c r="A93" s="828" t="s">
        <v>1461</v>
      </c>
      <c r="B93" s="829"/>
      <c r="C93" s="632">
        <v>1014345.97</v>
      </c>
      <c r="D93" s="632">
        <v>242792.1</v>
      </c>
      <c r="E93" s="632">
        <v>759328.49</v>
      </c>
      <c r="F93" s="632">
        <v>1173892.46</v>
      </c>
      <c r="G93" s="632">
        <v>790808.63</v>
      </c>
      <c r="H93" s="632">
        <v>708513.37</v>
      </c>
      <c r="I93" s="632">
        <v>618339.82999999996</v>
      </c>
      <c r="J93" s="632">
        <v>652584.75</v>
      </c>
      <c r="K93" s="632">
        <v>743623.4</v>
      </c>
      <c r="L93" s="632">
        <v>0</v>
      </c>
      <c r="M93" s="632">
        <v>0</v>
      </c>
      <c r="N93" s="632">
        <v>0</v>
      </c>
    </row>
    <row r="94" spans="1:14" ht="15" customHeight="1" x14ac:dyDescent="0.75">
      <c r="A94" s="830" t="s">
        <v>730</v>
      </c>
      <c r="B94" s="831"/>
      <c r="C94" s="632">
        <v>1662776.62</v>
      </c>
      <c r="D94" s="632">
        <v>1833992.15</v>
      </c>
      <c r="E94" s="632">
        <v>2484349.7799999998</v>
      </c>
      <c r="F94" s="632">
        <v>2824880.28</v>
      </c>
      <c r="G94" s="632">
        <v>2444791.34</v>
      </c>
      <c r="H94" s="632">
        <v>2391094.0499999998</v>
      </c>
      <c r="I94" s="632">
        <v>2792183.21</v>
      </c>
      <c r="J94" s="632">
        <v>2111772.2599999998</v>
      </c>
      <c r="K94" s="632">
        <v>938428.28</v>
      </c>
      <c r="L94" s="632">
        <v>0</v>
      </c>
      <c r="M94" s="632">
        <v>0</v>
      </c>
      <c r="N94" s="632">
        <v>0</v>
      </c>
    </row>
    <row r="95" spans="1:14" ht="15" customHeight="1" x14ac:dyDescent="0.75">
      <c r="A95" s="830" t="s">
        <v>1460</v>
      </c>
      <c r="B95" s="831"/>
      <c r="C95" s="632">
        <v>-946189.81</v>
      </c>
      <c r="D95" s="632">
        <v>-522995.15</v>
      </c>
      <c r="E95" s="632">
        <v>457867.42</v>
      </c>
      <c r="F95" s="632">
        <v>-430729.7</v>
      </c>
      <c r="G95" s="632">
        <v>-236910.89</v>
      </c>
      <c r="H95" s="632">
        <v>125139.49</v>
      </c>
      <c r="I95" s="632">
        <v>946530.01</v>
      </c>
      <c r="J95" s="632">
        <v>0</v>
      </c>
      <c r="K95" s="632">
        <v>0</v>
      </c>
      <c r="L95" s="632">
        <v>0</v>
      </c>
      <c r="M95" s="632">
        <v>0</v>
      </c>
      <c r="N95" s="632">
        <v>0</v>
      </c>
    </row>
  </sheetData>
  <mergeCells count="14">
    <mergeCell ref="A95:B95"/>
    <mergeCell ref="A25:B25"/>
    <mergeCell ref="A26:B26"/>
    <mergeCell ref="A30:B30"/>
    <mergeCell ref="A36:B36"/>
    <mergeCell ref="A53:B53"/>
    <mergeCell ref="A54:B54"/>
    <mergeCell ref="A66:B66"/>
    <mergeCell ref="A92:B92"/>
    <mergeCell ref="A7:B7"/>
    <mergeCell ref="A14:B14"/>
    <mergeCell ref="A19:B19"/>
    <mergeCell ref="A93:B93"/>
    <mergeCell ref="A94:B94"/>
  </mergeCells>
  <pageMargins left="0.20000000298023224" right="0.20000000298023224" top="0.20000000298023224" bottom="0.20000000298023224"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48AC0-DD59-4236-A5EF-6610B6A93FC1}">
  <dimension ref="A1:B59"/>
  <sheetViews>
    <sheetView topLeftCell="A7" workbookViewId="0">
      <selection activeCell="B4" sqref="B4"/>
    </sheetView>
  </sheetViews>
  <sheetFormatPr defaultRowHeight="14.75" x14ac:dyDescent="0.75"/>
  <cols>
    <col min="1" max="1" width="12.54296875" bestFit="1" customWidth="1"/>
    <col min="2" max="2" width="15.54296875" style="520" bestFit="1" customWidth="1"/>
  </cols>
  <sheetData>
    <row r="1" spans="1:2" x14ac:dyDescent="0.75">
      <c r="A1" s="519" t="s">
        <v>1496</v>
      </c>
    </row>
    <row r="2" spans="1:2" x14ac:dyDescent="0.75">
      <c r="A2" s="518" t="s">
        <v>1536</v>
      </c>
      <c r="B2" t="s">
        <v>1538</v>
      </c>
    </row>
    <row r="3" spans="1:2" x14ac:dyDescent="0.75">
      <c r="A3" s="489" t="s">
        <v>1530</v>
      </c>
      <c r="B3">
        <v>536586.05831829621</v>
      </c>
    </row>
    <row r="4" spans="1:2" x14ac:dyDescent="0.75">
      <c r="A4" s="489" t="s">
        <v>10</v>
      </c>
      <c r="B4">
        <v>-95389.499999999985</v>
      </c>
    </row>
    <row r="5" spans="1:2" x14ac:dyDescent="0.75">
      <c r="A5" s="489" t="s">
        <v>1531</v>
      </c>
      <c r="B5">
        <v>-127185.99999999999</v>
      </c>
    </row>
    <row r="6" spans="1:2" x14ac:dyDescent="0.75">
      <c r="A6" s="489" t="s">
        <v>1533</v>
      </c>
      <c r="B6">
        <v>-57295</v>
      </c>
    </row>
    <row r="7" spans="1:2" x14ac:dyDescent="0.75">
      <c r="A7" s="489" t="s">
        <v>1532</v>
      </c>
      <c r="B7">
        <v>-77106.512499999997</v>
      </c>
    </row>
    <row r="8" spans="1:2" x14ac:dyDescent="0.75">
      <c r="A8" s="489" t="s">
        <v>1534</v>
      </c>
      <c r="B8">
        <v>-14417</v>
      </c>
    </row>
    <row r="9" spans="1:2" x14ac:dyDescent="0.75">
      <c r="A9" s="489" t="s">
        <v>1535</v>
      </c>
      <c r="B9">
        <v>-10000</v>
      </c>
    </row>
    <row r="10" spans="1:2" x14ac:dyDescent="0.75">
      <c r="A10" s="489" t="s">
        <v>126</v>
      </c>
      <c r="B10">
        <v>-31160.569999999996</v>
      </c>
    </row>
    <row r="11" spans="1:2" x14ac:dyDescent="0.75">
      <c r="A11" s="489" t="s">
        <v>1897</v>
      </c>
      <c r="B11">
        <v>-61530.299999999996</v>
      </c>
    </row>
    <row r="12" spans="1:2" x14ac:dyDescent="0.75">
      <c r="A12" s="489" t="s">
        <v>1928</v>
      </c>
      <c r="B12">
        <v>0</v>
      </c>
    </row>
    <row r="13" spans="1:2" x14ac:dyDescent="0.75">
      <c r="A13" s="489" t="s">
        <v>1537</v>
      </c>
      <c r="B13">
        <v>62501.175818296215</v>
      </c>
    </row>
    <row r="14" spans="1:2" x14ac:dyDescent="0.75">
      <c r="B14"/>
    </row>
    <row r="15" spans="1:2" x14ac:dyDescent="0.75">
      <c r="B15"/>
    </row>
    <row r="16" spans="1:2" x14ac:dyDescent="0.75">
      <c r="B16"/>
    </row>
    <row r="17" spans="1:2" x14ac:dyDescent="0.75">
      <c r="B17" s="517"/>
    </row>
    <row r="18" spans="1:2" x14ac:dyDescent="0.75">
      <c r="B18" s="517"/>
    </row>
    <row r="19" spans="1:2" x14ac:dyDescent="0.75">
      <c r="B19" s="517"/>
    </row>
    <row r="21" spans="1:2" x14ac:dyDescent="0.75">
      <c r="A21" s="519" t="s">
        <v>1497</v>
      </c>
    </row>
    <row r="22" spans="1:2" x14ac:dyDescent="0.75">
      <c r="A22" s="518" t="s">
        <v>1536</v>
      </c>
      <c r="B22" t="s">
        <v>1538</v>
      </c>
    </row>
    <row r="23" spans="1:2" x14ac:dyDescent="0.75">
      <c r="A23" s="489" t="s">
        <v>1530</v>
      </c>
      <c r="B23">
        <v>4387839.2206236608</v>
      </c>
    </row>
    <row r="24" spans="1:2" x14ac:dyDescent="0.75">
      <c r="A24" s="489" t="s">
        <v>10</v>
      </c>
      <c r="B24">
        <v>-122755.50000000001</v>
      </c>
    </row>
    <row r="25" spans="1:2" x14ac:dyDescent="0.75">
      <c r="A25" s="489" t="s">
        <v>1531</v>
      </c>
      <c r="B25">
        <v>-3155397.3927000016</v>
      </c>
    </row>
    <row r="26" spans="1:2" x14ac:dyDescent="0.75">
      <c r="A26" s="489" t="s">
        <v>1533</v>
      </c>
      <c r="B26">
        <v>-102859</v>
      </c>
    </row>
    <row r="27" spans="1:2" x14ac:dyDescent="0.75">
      <c r="A27" s="489" t="s">
        <v>1532</v>
      </c>
      <c r="B27">
        <v>-99227.362500000017</v>
      </c>
    </row>
    <row r="28" spans="1:2" x14ac:dyDescent="0.75">
      <c r="A28" s="489" t="s">
        <v>1534</v>
      </c>
      <c r="B28">
        <v>-26653</v>
      </c>
    </row>
    <row r="29" spans="1:2" x14ac:dyDescent="0.75">
      <c r="A29" s="489" t="s">
        <v>1535</v>
      </c>
      <c r="B29">
        <v>-10000</v>
      </c>
    </row>
    <row r="30" spans="1:2" x14ac:dyDescent="0.75">
      <c r="A30" s="489" t="s">
        <v>126</v>
      </c>
      <c r="B30">
        <v>-40100.130000000005</v>
      </c>
    </row>
    <row r="31" spans="1:2" x14ac:dyDescent="0.75">
      <c r="A31" s="489" t="s">
        <v>1897</v>
      </c>
      <c r="B31">
        <v>-141354.75</v>
      </c>
    </row>
    <row r="32" spans="1:2" x14ac:dyDescent="0.75">
      <c r="A32" s="489" t="s">
        <v>1928</v>
      </c>
      <c r="B32">
        <v>177547</v>
      </c>
    </row>
    <row r="33" spans="1:2" x14ac:dyDescent="0.75">
      <c r="A33" s="489" t="s">
        <v>1537</v>
      </c>
      <c r="B33">
        <v>867039.08542365918</v>
      </c>
    </row>
    <row r="34" spans="1:2" x14ac:dyDescent="0.75">
      <c r="B34"/>
    </row>
    <row r="35" spans="1:2" x14ac:dyDescent="0.75">
      <c r="B35"/>
    </row>
    <row r="36" spans="1:2" x14ac:dyDescent="0.75">
      <c r="B36"/>
    </row>
    <row r="37" spans="1:2" x14ac:dyDescent="0.75">
      <c r="B37" s="517"/>
    </row>
    <row r="38" spans="1:2" x14ac:dyDescent="0.75">
      <c r="B38" s="517"/>
    </row>
    <row r="39" spans="1:2" x14ac:dyDescent="0.75">
      <c r="B39" s="517"/>
    </row>
    <row r="41" spans="1:2" x14ac:dyDescent="0.75">
      <c r="A41" s="519" t="s">
        <v>1348</v>
      </c>
    </row>
    <row r="42" spans="1:2" x14ac:dyDescent="0.75">
      <c r="A42" s="518" t="s">
        <v>1536</v>
      </c>
      <c r="B42" t="s">
        <v>1538</v>
      </c>
    </row>
    <row r="43" spans="1:2" x14ac:dyDescent="0.75">
      <c r="A43" s="489" t="s">
        <v>1530</v>
      </c>
      <c r="B43">
        <v>707309.36625804775</v>
      </c>
    </row>
    <row r="44" spans="1:2" x14ac:dyDescent="0.75">
      <c r="A44" s="489" t="s">
        <v>10</v>
      </c>
      <c r="B44">
        <v>-119364</v>
      </c>
    </row>
    <row r="45" spans="1:2" x14ac:dyDescent="0.75">
      <c r="A45" s="489" t="s">
        <v>1531</v>
      </c>
      <c r="B45">
        <v>-159152</v>
      </c>
    </row>
    <row r="46" spans="1:2" x14ac:dyDescent="0.75">
      <c r="A46" s="489" t="s">
        <v>1533</v>
      </c>
      <c r="B46">
        <v>-129369</v>
      </c>
    </row>
    <row r="47" spans="1:2" x14ac:dyDescent="0.75">
      <c r="A47" s="489" t="s">
        <v>1532</v>
      </c>
      <c r="B47">
        <v>-96485.9</v>
      </c>
    </row>
    <row r="48" spans="1:2" x14ac:dyDescent="0.75">
      <c r="A48" s="489" t="s">
        <v>1534</v>
      </c>
      <c r="B48">
        <v>-24484</v>
      </c>
    </row>
    <row r="49" spans="1:2" x14ac:dyDescent="0.75">
      <c r="A49" s="489" t="s">
        <v>1535</v>
      </c>
      <c r="B49">
        <v>-10000</v>
      </c>
    </row>
    <row r="50" spans="1:2" x14ac:dyDescent="0.75">
      <c r="A50" s="489" t="s">
        <v>126</v>
      </c>
      <c r="B50">
        <v>-38992.239999999998</v>
      </c>
    </row>
    <row r="51" spans="1:2" x14ac:dyDescent="0.75">
      <c r="A51" s="489" t="s">
        <v>1897</v>
      </c>
      <c r="B51">
        <v>-96166.5</v>
      </c>
    </row>
    <row r="52" spans="1:2" x14ac:dyDescent="0.75">
      <c r="A52" s="489" t="s">
        <v>1928</v>
      </c>
      <c r="B52">
        <v>177547</v>
      </c>
    </row>
    <row r="53" spans="1:2" x14ac:dyDescent="0.75">
      <c r="A53" s="489" t="s">
        <v>1537</v>
      </c>
      <c r="B53">
        <v>210842.72625804777</v>
      </c>
    </row>
    <row r="54" spans="1:2" x14ac:dyDescent="0.75">
      <c r="B54"/>
    </row>
    <row r="55" spans="1:2" x14ac:dyDescent="0.75">
      <c r="B55"/>
    </row>
    <row r="56" spans="1:2" x14ac:dyDescent="0.75">
      <c r="B56"/>
    </row>
    <row r="57" spans="1:2" x14ac:dyDescent="0.75">
      <c r="B57"/>
    </row>
    <row r="58" spans="1:2" x14ac:dyDescent="0.75">
      <c r="B58" s="517"/>
    </row>
    <row r="59" spans="1:2" x14ac:dyDescent="0.75">
      <c r="B59" s="517"/>
    </row>
  </sheetData>
  <pageMargins left="0.7" right="0.7" top="0.75" bottom="0.75" header="0.3" footer="0.3"/>
  <pageSetup orientation="portrait" horizontalDpi="4294967293" verticalDpi="4294967293"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EE3D-2831-4A7B-BF79-715AB57A513A}">
  <dimension ref="A1:P76"/>
  <sheetViews>
    <sheetView workbookViewId="0"/>
  </sheetViews>
  <sheetFormatPr defaultRowHeight="14.75" x14ac:dyDescent="0.75"/>
  <cols>
    <col min="2" max="2" width="12.08984375" bestFit="1" customWidth="1"/>
    <col min="3" max="3" width="12" bestFit="1" customWidth="1"/>
    <col min="4" max="4" width="13.31640625" style="517" customWidth="1"/>
    <col min="8" max="8" width="9.86328125" bestFit="1" customWidth="1"/>
    <col min="9" max="9" width="14.76953125" bestFit="1" customWidth="1"/>
    <col min="10" max="10" width="14.2265625" style="517" customWidth="1"/>
    <col min="14" max="14" width="9.86328125" bestFit="1" customWidth="1"/>
    <col min="15" max="15" width="14.76953125" bestFit="1" customWidth="1"/>
    <col min="16" max="16" width="13.2265625" bestFit="1" customWidth="1"/>
  </cols>
  <sheetData>
    <row r="1" spans="1:16" x14ac:dyDescent="0.75">
      <c r="D1" s="517">
        <f ca="1">+SUM(D5:D76)</f>
        <v>-321338.72279740206</v>
      </c>
      <c r="E1" s="517"/>
      <c r="F1" s="517"/>
      <c r="G1" s="517"/>
      <c r="H1" s="517"/>
      <c r="I1" s="517"/>
      <c r="J1" s="517">
        <f ca="1">+SUM(J5:J76)</f>
        <v>-426208.79671014845</v>
      </c>
      <c r="K1" s="517"/>
      <c r="L1" s="517"/>
      <c r="M1" s="517"/>
      <c r="N1" s="517"/>
      <c r="O1" s="517"/>
      <c r="P1" s="517">
        <f ca="1">+SUM(P5:P76)</f>
        <v>-516731.58838641172</v>
      </c>
    </row>
    <row r="2" spans="1:16" x14ac:dyDescent="0.75">
      <c r="A2" s="804" t="s">
        <v>1636</v>
      </c>
      <c r="B2" s="804"/>
      <c r="C2" s="804"/>
      <c r="D2" s="804"/>
      <c r="E2" s="203"/>
      <c r="G2" s="804" t="s">
        <v>1672</v>
      </c>
      <c r="H2" s="804"/>
      <c r="I2" s="804"/>
      <c r="J2" s="804"/>
      <c r="M2" s="804" t="s">
        <v>1673</v>
      </c>
      <c r="N2" s="804"/>
      <c r="O2" s="804"/>
      <c r="P2" s="804"/>
    </row>
    <row r="3" spans="1:16" x14ac:dyDescent="0.75">
      <c r="D3" s="532" t="s">
        <v>1671</v>
      </c>
      <c r="E3" s="178"/>
      <c r="J3" s="532" t="s">
        <v>1350</v>
      </c>
      <c r="P3" s="178" t="s">
        <v>1351</v>
      </c>
    </row>
    <row r="4" spans="1:16" ht="87.65" customHeight="1" x14ac:dyDescent="0.75">
      <c r="A4" t="s">
        <v>1494</v>
      </c>
      <c r="B4" t="s">
        <v>1529</v>
      </c>
      <c r="C4" t="s">
        <v>1498</v>
      </c>
      <c r="D4" s="517" t="s">
        <v>1495</v>
      </c>
      <c r="G4" t="s">
        <v>1494</v>
      </c>
      <c r="H4" t="s">
        <v>1529</v>
      </c>
      <c r="I4" t="s">
        <v>1498</v>
      </c>
      <c r="J4" s="517" t="s">
        <v>1495</v>
      </c>
      <c r="M4" t="s">
        <v>1494</v>
      </c>
      <c r="N4" t="s">
        <v>1529</v>
      </c>
      <c r="O4" t="s">
        <v>1498</v>
      </c>
      <c r="P4" t="s">
        <v>1495</v>
      </c>
    </row>
    <row r="5" spans="1:16" x14ac:dyDescent="0.75">
      <c r="A5">
        <v>1100</v>
      </c>
      <c r="B5" s="178" t="s">
        <v>1530</v>
      </c>
      <c r="C5" t="str">
        <f>CONCATENATE(A5,$D$3,B5)</f>
        <v>11000700000</v>
      </c>
      <c r="D5" s="517">
        <f ca="1">+IFERROR(VLOOKUP(A5,'Expenses w MYP'!$A$5:$I$118,MATCH(D$3,'Expenses w MYP'!$A$5:$I$5,0),FALSE),0)</f>
        <v>2714962.9578543818</v>
      </c>
      <c r="G5">
        <v>1100</v>
      </c>
      <c r="H5" s="178" t="s">
        <v>1530</v>
      </c>
      <c r="I5" t="str">
        <f>CONCATENATE(G5,$J$3,H5)</f>
        <v>11000200000</v>
      </c>
      <c r="J5" s="517">
        <f ca="1">+IFERROR(VLOOKUP(G5,'Expenses w MYP'!$A$5:$I$118,MATCH(J$3,'Expenses w MYP'!$A$5:$I$5,0),FALSE),0)</f>
        <v>3927823.0546399928</v>
      </c>
      <c r="M5">
        <v>1100</v>
      </c>
      <c r="N5" s="178" t="s">
        <v>1530</v>
      </c>
      <c r="O5" t="str">
        <f>CONCATENATE(M5,$P$3,N5)</f>
        <v>11000400000</v>
      </c>
      <c r="P5" s="517">
        <f ca="1">+IFERROR(VLOOKUP(M5,'Expenses w MYP'!$A$5:$I$118,MATCH(P$3,'Expenses w MYP'!$A$5:$I$5,0),FALSE),0)</f>
        <v>3977156.3212082246</v>
      </c>
    </row>
    <row r="6" spans="1:16" x14ac:dyDescent="0.75">
      <c r="A6">
        <v>1200</v>
      </c>
      <c r="B6" s="178" t="s">
        <v>1530</v>
      </c>
      <c r="C6" t="str">
        <f t="shared" ref="C6:C53" si="0">CONCATENATE(A6,$D$3,B6)</f>
        <v>12000700000</v>
      </c>
      <c r="D6" s="517">
        <f ca="1">+IFERROR(VLOOKUP(A6,'Expenses w MYP'!$A$5:$I$118,MATCH(D$3,'Expenses w MYP'!$A$5:$I$5,0),FALSE),0)</f>
        <v>297296.27073651704</v>
      </c>
      <c r="G6">
        <v>1200</v>
      </c>
      <c r="H6" s="178" t="s">
        <v>1530</v>
      </c>
      <c r="I6" t="str">
        <f t="shared" ref="I6:I53" si="1">CONCATENATE(G6,$J$3,H6)</f>
        <v>12000200000</v>
      </c>
      <c r="J6" s="517">
        <f ca="1">+IFERROR(VLOOKUP(G6,'Expenses w MYP'!$A$5:$I$118,MATCH(J$3,'Expenses w MYP'!$A$5:$I$5,0),FALSE),0)</f>
        <v>359792.95095014712</v>
      </c>
      <c r="M6">
        <v>1200</v>
      </c>
      <c r="N6" s="178" t="s">
        <v>1530</v>
      </c>
      <c r="O6" t="str">
        <f t="shared" ref="O6:O53" si="2">CONCATENATE(M6,$P$3,N6)</f>
        <v>12000400000</v>
      </c>
      <c r="P6" s="517">
        <f ca="1">+IFERROR(VLOOKUP(M6,'Expenses w MYP'!$A$5:$I$118,MATCH(P$3,'Expenses w MYP'!$A$5:$I$5,0),FALSE),0)</f>
        <v>435510.08274742996</v>
      </c>
    </row>
    <row r="7" spans="1:16" x14ac:dyDescent="0.75">
      <c r="A7">
        <v>1300</v>
      </c>
      <c r="B7" s="178" t="s">
        <v>1530</v>
      </c>
      <c r="C7" t="str">
        <f t="shared" si="0"/>
        <v>13000700000</v>
      </c>
      <c r="D7" s="517">
        <f ca="1">+IFERROR(VLOOKUP(A7,'Expenses w MYP'!$A$5:$I$118,MATCH(D$3,'Expenses w MYP'!$A$5:$I$5,0),FALSE),0)</f>
        <v>502311.0377958449</v>
      </c>
      <c r="G7">
        <v>1300</v>
      </c>
      <c r="H7" s="178" t="s">
        <v>1530</v>
      </c>
      <c r="I7" t="str">
        <f t="shared" si="1"/>
        <v>13000200000</v>
      </c>
      <c r="J7" s="517">
        <f ca="1">+IFERROR(VLOOKUP(G7,'Expenses w MYP'!$A$5:$I$118,MATCH(J$3,'Expenses w MYP'!$A$5:$I$5,0),FALSE),0)</f>
        <v>607905.27286354906</v>
      </c>
      <c r="M7">
        <v>1300</v>
      </c>
      <c r="N7" s="178" t="s">
        <v>1530</v>
      </c>
      <c r="O7" t="str">
        <f t="shared" si="2"/>
        <v>13000400000</v>
      </c>
      <c r="P7" s="517">
        <f ca="1">+IFERROR(VLOOKUP(M7,'Expenses w MYP'!$A$5:$I$118,MATCH(P$3,'Expenses w MYP'!$A$5:$I$5,0),FALSE),0)</f>
        <v>735836.74996480613</v>
      </c>
    </row>
    <row r="8" spans="1:16" x14ac:dyDescent="0.75">
      <c r="A8">
        <v>2100</v>
      </c>
      <c r="B8" s="178" t="s">
        <v>1530</v>
      </c>
      <c r="C8" t="str">
        <f t="shared" si="0"/>
        <v>21000700000</v>
      </c>
      <c r="D8" s="517">
        <f ca="1">+IFERROR(VLOOKUP(A8,'Expenses w MYP'!$A$5:$I$118,MATCH(D$3,'Expenses w MYP'!$A$5:$I$5,0),FALSE),0)</f>
        <v>98817.933703223796</v>
      </c>
      <c r="G8">
        <v>2100</v>
      </c>
      <c r="H8" s="178" t="s">
        <v>1530</v>
      </c>
      <c r="I8" t="str">
        <f t="shared" si="1"/>
        <v>21000200000</v>
      </c>
      <c r="J8" s="517">
        <f ca="1">+IFERROR(VLOOKUP(G8,'Expenses w MYP'!$A$5:$I$118,MATCH(J$3,'Expenses w MYP'!$A$5:$I$5,0),FALSE),0)</f>
        <v>119591.12667575006</v>
      </c>
      <c r="M8">
        <v>2100</v>
      </c>
      <c r="N8" s="178" t="s">
        <v>1530</v>
      </c>
      <c r="O8" t="str">
        <f t="shared" si="2"/>
        <v>21000400000</v>
      </c>
      <c r="P8" s="517">
        <f ca="1">+IFERROR(VLOOKUP(M8,'Expenses w MYP'!$A$5:$I$118,MATCH(P$3,'Expenses w MYP'!$A$5:$I$5,0),FALSE),0)</f>
        <v>144758.64893092614</v>
      </c>
    </row>
    <row r="9" spans="1:16" x14ac:dyDescent="0.75">
      <c r="A9">
        <v>2200</v>
      </c>
      <c r="B9" s="178" t="s">
        <v>1530</v>
      </c>
      <c r="C9" t="str">
        <f t="shared" si="0"/>
        <v>22000700000</v>
      </c>
      <c r="D9" s="517">
        <f ca="1">+IFERROR(VLOOKUP(A9,'Expenses w MYP'!$A$5:$I$118,MATCH(D$3,'Expenses w MYP'!$A$5:$I$5,0),FALSE),0)</f>
        <v>439553.91358576709</v>
      </c>
      <c r="G9">
        <v>2200</v>
      </c>
      <c r="H9" s="178" t="s">
        <v>1530</v>
      </c>
      <c r="I9" t="str">
        <f t="shared" si="1"/>
        <v>22000200000</v>
      </c>
      <c r="J9" s="517">
        <f ca="1">+IFERROR(VLOOKUP(G9,'Expenses w MYP'!$A$5:$I$118,MATCH(J$3,'Expenses w MYP'!$A$5:$I$5,0),FALSE),0)</f>
        <v>531955.544813646</v>
      </c>
      <c r="M9">
        <v>2200</v>
      </c>
      <c r="N9" s="178" t="s">
        <v>1530</v>
      </c>
      <c r="O9" t="str">
        <f t="shared" si="2"/>
        <v>22000400000</v>
      </c>
      <c r="P9" s="517">
        <f ca="1">+IFERROR(VLOOKUP(M9,'Expenses w MYP'!$A$5:$I$118,MATCH(P$3,'Expenses w MYP'!$A$5:$I$5,0),FALSE),0)</f>
        <v>643903.67495511496</v>
      </c>
    </row>
    <row r="10" spans="1:16" x14ac:dyDescent="0.75">
      <c r="A10">
        <v>2300</v>
      </c>
      <c r="B10" s="178" t="s">
        <v>1530</v>
      </c>
      <c r="C10" t="str">
        <f t="shared" si="0"/>
        <v>23000700000</v>
      </c>
      <c r="D10" s="517">
        <f ca="1">+IFERROR(VLOOKUP(A10,'Expenses w MYP'!$A$5:$I$118,MATCH(D$3,'Expenses w MYP'!$A$5:$I$5,0),FALSE),0)</f>
        <v>159832.62259388668</v>
      </c>
      <c r="G10">
        <v>2300</v>
      </c>
      <c r="H10" s="178" t="s">
        <v>1530</v>
      </c>
      <c r="I10" t="str">
        <f t="shared" si="1"/>
        <v>23000200000</v>
      </c>
      <c r="J10" s="517">
        <f ca="1">+IFERROR(VLOOKUP(G10,'Expenses w MYP'!$A$5:$I$118,MATCH(J$3,'Expenses w MYP'!$A$5:$I$5,0),FALSE),0)</f>
        <v>193432.13017334393</v>
      </c>
      <c r="M10">
        <v>2300</v>
      </c>
      <c r="N10" s="178" t="s">
        <v>1530</v>
      </c>
      <c r="O10" t="str">
        <f t="shared" si="2"/>
        <v>23000400000</v>
      </c>
      <c r="P10" s="517">
        <f ca="1">+IFERROR(VLOOKUP(M10,'Expenses w MYP'!$A$5:$I$118,MATCH(P$3,'Expenses w MYP'!$A$5:$I$5,0),FALSE),0)</f>
        <v>234139.22589460947</v>
      </c>
    </row>
    <row r="11" spans="1:16" x14ac:dyDescent="0.75">
      <c r="A11">
        <v>2400</v>
      </c>
      <c r="B11" s="178" t="s">
        <v>1530</v>
      </c>
      <c r="C11" t="str">
        <f t="shared" si="0"/>
        <v>24000700000</v>
      </c>
      <c r="D11" s="517">
        <f ca="1">+IFERROR(VLOOKUP(A11,'Expenses w MYP'!$A$5:$I$118,MATCH(D$3,'Expenses w MYP'!$A$5:$I$5,0),FALSE),0)</f>
        <v>193236.55404203272</v>
      </c>
      <c r="G11">
        <v>2400</v>
      </c>
      <c r="H11" s="178" t="s">
        <v>1530</v>
      </c>
      <c r="I11" t="str">
        <f t="shared" si="1"/>
        <v>24000200000</v>
      </c>
      <c r="J11" s="517">
        <f ca="1">+IFERROR(VLOOKUP(G11,'Expenses w MYP'!$A$5:$I$118,MATCH(J$3,'Expenses w MYP'!$A$5:$I$5,0),FALSE),0)</f>
        <v>233858.13026843581</v>
      </c>
      <c r="M11">
        <v>2400</v>
      </c>
      <c r="N11" s="178" t="s">
        <v>1530</v>
      </c>
      <c r="O11" t="str">
        <f t="shared" si="2"/>
        <v>24000400000</v>
      </c>
      <c r="P11" s="517">
        <f ca="1">+IFERROR(VLOOKUP(M11,'Expenses w MYP'!$A$5:$I$118,MATCH(P$3,'Expenses w MYP'!$A$5:$I$5,0),FALSE),0)</f>
        <v>283072.73223503947</v>
      </c>
    </row>
    <row r="12" spans="1:16" x14ac:dyDescent="0.75">
      <c r="A12">
        <v>2900</v>
      </c>
      <c r="B12" s="178" t="s">
        <v>1530</v>
      </c>
      <c r="C12" t="str">
        <f t="shared" si="0"/>
        <v>29000700000</v>
      </c>
      <c r="D12" s="517">
        <f ca="1">+IFERROR(VLOOKUP(A12,'Expenses w MYP'!$A$5:$I$118,MATCH(D$3,'Expenses w MYP'!$A$5:$I$5,0),FALSE),0)</f>
        <v>0</v>
      </c>
      <c r="G12">
        <v>2900</v>
      </c>
      <c r="H12" s="178" t="s">
        <v>1530</v>
      </c>
      <c r="I12" t="str">
        <f t="shared" si="1"/>
        <v>29000200000</v>
      </c>
      <c r="J12" s="517">
        <f ca="1">+IFERROR(VLOOKUP(G12,'Expenses w MYP'!$A$5:$I$118,MATCH(J$3,'Expenses w MYP'!$A$5:$I$5,0),FALSE),0)</f>
        <v>28800</v>
      </c>
      <c r="M12">
        <v>2900</v>
      </c>
      <c r="N12" s="178" t="s">
        <v>1530</v>
      </c>
      <c r="O12" t="str">
        <f t="shared" si="2"/>
        <v>29000400000</v>
      </c>
      <c r="P12" s="517">
        <f ca="1">+IFERROR(VLOOKUP(M12,'Expenses w MYP'!$A$5:$I$118,MATCH(P$3,'Expenses w MYP'!$A$5:$I$5,0),FALSE),0)</f>
        <v>0</v>
      </c>
    </row>
    <row r="13" spans="1:16" x14ac:dyDescent="0.75">
      <c r="A13">
        <v>3101</v>
      </c>
      <c r="B13" s="178" t="s">
        <v>1530</v>
      </c>
      <c r="C13" t="str">
        <f t="shared" si="0"/>
        <v>31010700000</v>
      </c>
      <c r="D13" s="517">
        <f ca="1">+IFERROR(VLOOKUP(A13,'Expenses w MYP'!$A$5:$I$118,MATCH(D$3,'Expenses w MYP'!$A$5:$I$5,0),FALSE),0)</f>
        <v>671282.92087986879</v>
      </c>
      <c r="G13">
        <v>3101</v>
      </c>
      <c r="H13" s="178" t="s">
        <v>1530</v>
      </c>
      <c r="I13" t="str">
        <f t="shared" si="1"/>
        <v>31010200000</v>
      </c>
      <c r="J13" s="517">
        <f ca="1">+IFERROR(VLOOKUP(G13,'Expenses w MYP'!$A$5:$I$118,MATCH(J$3,'Expenses w MYP'!$A$5:$I$5,0),FALSE),0)</f>
        <v>935044.56418465544</v>
      </c>
      <c r="M13">
        <v>3101</v>
      </c>
      <c r="N13" s="178" t="s">
        <v>1530</v>
      </c>
      <c r="O13" t="str">
        <f t="shared" si="2"/>
        <v>31010400000</v>
      </c>
      <c r="P13" s="517">
        <f ca="1">+IFERROR(VLOOKUP(M13,'Expenses w MYP'!$A$5:$I$118,MATCH(P$3,'Expenses w MYP'!$A$5:$I$5,0),FALSE),0)</f>
        <v>983364.102398808</v>
      </c>
    </row>
    <row r="14" spans="1:16" x14ac:dyDescent="0.75">
      <c r="A14">
        <v>3301</v>
      </c>
      <c r="B14" s="178" t="s">
        <v>1530</v>
      </c>
      <c r="C14" t="str">
        <f t="shared" si="0"/>
        <v>33010700000</v>
      </c>
      <c r="D14" s="517">
        <f ca="1">+IFERROR(VLOOKUP(A14,'Expenses w MYP'!$A$5:$I$118,MATCH(D$3,'Expenses w MYP'!$A$5:$I$5,0),FALSE),0)</f>
        <v>50961.268862607816</v>
      </c>
      <c r="G14">
        <v>3301</v>
      </c>
      <c r="H14" s="178" t="s">
        <v>1530</v>
      </c>
      <c r="I14" t="str">
        <f t="shared" si="1"/>
        <v>33010200000</v>
      </c>
      <c r="J14" s="517">
        <f ca="1">+IFERROR(VLOOKUP(G14,'Expenses w MYP'!$A$5:$I$118,MATCH(J$3,'Expenses w MYP'!$A$5:$I$5,0),FALSE),0)</f>
        <v>70985.05853757853</v>
      </c>
      <c r="M14">
        <v>3301</v>
      </c>
      <c r="N14" s="178" t="s">
        <v>1530</v>
      </c>
      <c r="O14" t="str">
        <f t="shared" si="2"/>
        <v>33010400000</v>
      </c>
      <c r="P14" s="517">
        <f ca="1">+IFERROR(VLOOKUP(M14,'Expenses w MYP'!$A$5:$I$118,MATCH(P$3,'Expenses w MYP'!$A$5:$I$5,0),FALSE),0)</f>
        <v>74653.295731846651</v>
      </c>
    </row>
    <row r="15" spans="1:16" x14ac:dyDescent="0.75">
      <c r="A15">
        <v>3302</v>
      </c>
      <c r="B15" s="178" t="s">
        <v>1530</v>
      </c>
      <c r="C15" t="str">
        <f t="shared" si="0"/>
        <v>33020700000</v>
      </c>
      <c r="D15" s="517">
        <f ca="1">+IFERROR(VLOOKUP(A15,'Expenses w MYP'!$A$5:$I$118,MATCH(D$3,'Expenses w MYP'!$A$5:$I$5,0),FALSE),0)</f>
        <v>68195.238330255641</v>
      </c>
      <c r="G15">
        <v>3302</v>
      </c>
      <c r="H15" s="178" t="s">
        <v>1530</v>
      </c>
      <c r="I15" t="str">
        <f t="shared" si="1"/>
        <v>33020200000</v>
      </c>
      <c r="J15" s="517">
        <f ca="1">+IFERROR(VLOOKUP(G15,'Expenses w MYP'!$A$5:$I$118,MATCH(J$3,'Expenses w MYP'!$A$5:$I$5,0),FALSE),0)</f>
        <v>84734.225292734933</v>
      </c>
      <c r="M15">
        <v>3302</v>
      </c>
      <c r="N15" s="178" t="s">
        <v>1530</v>
      </c>
      <c r="O15" t="str">
        <f t="shared" si="2"/>
        <v>33020400000</v>
      </c>
      <c r="P15" s="517">
        <f ca="1">+IFERROR(VLOOKUP(M15,'Expenses w MYP'!$A$5:$I$118,MATCH(P$3,'Expenses w MYP'!$A$5:$I$5,0),FALSE),0)</f>
        <v>99899.382574200281</v>
      </c>
    </row>
    <row r="16" spans="1:16" x14ac:dyDescent="0.75">
      <c r="A16">
        <v>3401</v>
      </c>
      <c r="B16" s="178" t="s">
        <v>1530</v>
      </c>
      <c r="C16" t="str">
        <f t="shared" si="0"/>
        <v>34010700000</v>
      </c>
      <c r="D16" s="517">
        <f ca="1">+IFERROR(VLOOKUP(A16,'Expenses w MYP'!$A$5:$I$118,MATCH(D$3,'Expenses w MYP'!$A$5:$I$5,0),FALSE),0)</f>
        <v>369050.06806800014</v>
      </c>
      <c r="G16">
        <v>3401</v>
      </c>
      <c r="H16" s="178" t="s">
        <v>1530</v>
      </c>
      <c r="I16" t="str">
        <f t="shared" si="1"/>
        <v>34010200000</v>
      </c>
      <c r="J16" s="517">
        <f ca="1">+IFERROR(VLOOKUP(G16,'Expenses w MYP'!$A$5:$I$118,MATCH(J$3,'Expenses w MYP'!$A$5:$I$5,0),FALSE),0)</f>
        <v>537830.60424400028</v>
      </c>
      <c r="M16">
        <v>3401</v>
      </c>
      <c r="N16" s="178" t="s">
        <v>1530</v>
      </c>
      <c r="O16" t="str">
        <f t="shared" si="2"/>
        <v>34010400000</v>
      </c>
      <c r="P16" s="517">
        <f ca="1">+IFERROR(VLOOKUP(M16,'Expenses w MYP'!$A$5:$I$118,MATCH(P$3,'Expenses w MYP'!$A$5:$I$5,0),FALSE),0)</f>
        <v>540622.40768799977</v>
      </c>
    </row>
    <row r="17" spans="1:16" x14ac:dyDescent="0.75">
      <c r="A17">
        <v>3402</v>
      </c>
      <c r="B17" s="178" t="s">
        <v>1530</v>
      </c>
      <c r="C17" t="str">
        <f t="shared" si="0"/>
        <v>34020700000</v>
      </c>
      <c r="D17" s="517">
        <f ca="1">+IFERROR(VLOOKUP(A17,'Expenses w MYP'!$A$5:$I$118,MATCH(D$3,'Expenses w MYP'!$A$5:$I$5,0),FALSE),0)</f>
        <v>110361.31110000001</v>
      </c>
      <c r="G17">
        <v>3402</v>
      </c>
      <c r="H17" s="178" t="s">
        <v>1530</v>
      </c>
      <c r="I17" t="str">
        <f t="shared" si="1"/>
        <v>34020200000</v>
      </c>
      <c r="J17" s="517">
        <f ca="1">+IFERROR(VLOOKUP(G17,'Expenses w MYP'!$A$5:$I$118,MATCH(J$3,'Expenses w MYP'!$A$5:$I$5,0),FALSE),0)</f>
        <v>133561.11629999999</v>
      </c>
      <c r="M17">
        <v>3402</v>
      </c>
      <c r="N17" s="178" t="s">
        <v>1530</v>
      </c>
      <c r="O17" t="str">
        <f t="shared" si="2"/>
        <v>34020400000</v>
      </c>
      <c r="P17" s="517">
        <f ca="1">+IFERROR(VLOOKUP(M17,'Expenses w MYP'!$A$5:$I$118,MATCH(P$3,'Expenses w MYP'!$A$5:$I$5,0),FALSE),0)</f>
        <v>161668.57259999998</v>
      </c>
    </row>
    <row r="18" spans="1:16" x14ac:dyDescent="0.75">
      <c r="A18">
        <v>3501</v>
      </c>
      <c r="B18" s="178" t="s">
        <v>1530</v>
      </c>
      <c r="C18" t="str">
        <f t="shared" si="0"/>
        <v>35010700000</v>
      </c>
      <c r="D18" s="517">
        <f ca="1">+IFERROR(VLOOKUP(A18,'Expenses w MYP'!$A$5:$I$118,MATCH(D$3,'Expenses w MYP'!$A$5:$I$5,0),FALSE),0)</f>
        <v>19394.743800000022</v>
      </c>
      <c r="G18">
        <v>3501</v>
      </c>
      <c r="H18" s="178" t="s">
        <v>1530</v>
      </c>
      <c r="I18" t="str">
        <f t="shared" si="1"/>
        <v>35010200000</v>
      </c>
      <c r="J18" s="517">
        <f ca="1">+IFERROR(VLOOKUP(G18,'Expenses w MYP'!$A$5:$I$118,MATCH(J$3,'Expenses w MYP'!$A$5:$I$5,0),FALSE),0)</f>
        <v>27103.845400000017</v>
      </c>
      <c r="M18">
        <v>3501</v>
      </c>
      <c r="N18" s="178" t="s">
        <v>1530</v>
      </c>
      <c r="O18" t="str">
        <f t="shared" si="2"/>
        <v>35010400000</v>
      </c>
      <c r="P18" s="517">
        <f ca="1">+IFERROR(VLOOKUP(M18,'Expenses w MYP'!$A$5:$I$118,MATCH(P$3,'Expenses w MYP'!$A$5:$I$5,0),FALSE),0)</f>
        <v>28411.41080000006</v>
      </c>
    </row>
    <row r="19" spans="1:16" x14ac:dyDescent="0.75">
      <c r="A19">
        <v>3502</v>
      </c>
      <c r="B19" s="178" t="s">
        <v>1530</v>
      </c>
      <c r="C19" t="str">
        <f t="shared" si="0"/>
        <v>35020700000</v>
      </c>
      <c r="D19" s="517">
        <f ca="1">+IFERROR(VLOOKUP(A19,'Expenses w MYP'!$A$5:$I$118,MATCH(D$3,'Expenses w MYP'!$A$5:$I$5,0),FALSE),0)</f>
        <v>5435.4695999999994</v>
      </c>
      <c r="G19">
        <v>3502</v>
      </c>
      <c r="H19" s="178" t="s">
        <v>1530</v>
      </c>
      <c r="I19" t="str">
        <f t="shared" si="1"/>
        <v>35020200000</v>
      </c>
      <c r="J19" s="517">
        <f ca="1">+IFERROR(VLOOKUP(G19,'Expenses w MYP'!$A$5:$I$118,MATCH(J$3,'Expenses w MYP'!$A$5:$I$5,0),FALSE),0)</f>
        <v>7940.0967999999993</v>
      </c>
      <c r="M19">
        <v>3502</v>
      </c>
      <c r="N19" s="178" t="s">
        <v>1530</v>
      </c>
      <c r="O19" t="str">
        <f t="shared" si="2"/>
        <v>35020400000</v>
      </c>
      <c r="P19" s="517">
        <f ca="1">+IFERROR(VLOOKUP(M19,'Expenses w MYP'!$A$5:$I$118,MATCH(P$3,'Expenses w MYP'!$A$5:$I$5,0),FALSE),0)</f>
        <v>7962.4336000000003</v>
      </c>
    </row>
    <row r="20" spans="1:16" x14ac:dyDescent="0.75">
      <c r="A20">
        <v>3601</v>
      </c>
      <c r="B20" s="178" t="s">
        <v>1530</v>
      </c>
      <c r="C20" t="str">
        <f t="shared" si="0"/>
        <v>36010700000</v>
      </c>
      <c r="D20" s="517">
        <f ca="1">+IFERROR(VLOOKUP(A20,'Expenses w MYP'!$A$5:$I$118,MATCH(D$3,'Expenses w MYP'!$A$5:$I$5,0),FALSE),0)</f>
        <v>73805.975594121614</v>
      </c>
      <c r="G20">
        <v>3601</v>
      </c>
      <c r="H20" s="178" t="s">
        <v>1530</v>
      </c>
      <c r="I20" t="str">
        <f t="shared" si="1"/>
        <v>36010200000</v>
      </c>
      <c r="J20" s="517">
        <f ca="1">+IFERROR(VLOOKUP(G20,'Expenses w MYP'!$A$5:$I$118,MATCH(J$3,'Expenses w MYP'!$A$5:$I$5,0),FALSE),0)</f>
        <v>102805.94684752758</v>
      </c>
      <c r="M20">
        <v>3601</v>
      </c>
      <c r="N20" s="178" t="s">
        <v>1530</v>
      </c>
      <c r="O20" t="str">
        <f t="shared" si="2"/>
        <v>36010400000</v>
      </c>
      <c r="P20" s="517">
        <f ca="1">+IFERROR(VLOOKUP(M20,'Expenses w MYP'!$A$5:$I$118,MATCH(P$3,'Expenses w MYP'!$A$5:$I$5,0),FALSE),0)</f>
        <v>108118.56623232961</v>
      </c>
    </row>
    <row r="21" spans="1:16" x14ac:dyDescent="0.75">
      <c r="A21">
        <v>3602</v>
      </c>
      <c r="B21" s="178" t="s">
        <v>1530</v>
      </c>
      <c r="C21" t="str">
        <f t="shared" si="0"/>
        <v>36020700000</v>
      </c>
      <c r="D21" s="517">
        <f ca="1">+IFERROR(VLOOKUP(A21,'Expenses w MYP'!$A$5:$I$118,MATCH(D$3,'Expenses w MYP'!$A$5:$I$5,0),FALSE),0)</f>
        <v>18720.261502423116</v>
      </c>
      <c r="G21">
        <v>3602</v>
      </c>
      <c r="H21" s="178" t="s">
        <v>1530</v>
      </c>
      <c r="I21" t="str">
        <f t="shared" si="1"/>
        <v>36020200000</v>
      </c>
      <c r="J21" s="517">
        <f ca="1">+IFERROR(VLOOKUP(G21,'Expenses w MYP'!$A$5:$I$118,MATCH(J$3,'Expenses w MYP'!$A$5:$I$5,0),FALSE),0)</f>
        <v>23260.375570554686</v>
      </c>
      <c r="M21">
        <v>3602</v>
      </c>
      <c r="N21" s="178" t="s">
        <v>1530</v>
      </c>
      <c r="O21" t="str">
        <f t="shared" si="2"/>
        <v>36020400000</v>
      </c>
      <c r="P21" s="517">
        <f ca="1">+IFERROR(VLOOKUP(M21,'Expenses w MYP'!$A$5:$I$118,MATCH(P$3,'Expenses w MYP'!$A$5:$I$5,0),FALSE),0)</f>
        <v>27423.359922329495</v>
      </c>
    </row>
    <row r="22" spans="1:16" x14ac:dyDescent="0.75">
      <c r="A22">
        <v>3901</v>
      </c>
      <c r="B22" s="178" t="s">
        <v>1530</v>
      </c>
      <c r="C22" t="str">
        <f t="shared" si="0"/>
        <v>39010700000</v>
      </c>
      <c r="D22" s="517">
        <f ca="1">+IFERROR(VLOOKUP(A22,'Expenses w MYP'!$A$5:$I$118,MATCH(D$3,'Expenses w MYP'!$A$5:$I$5,0),FALSE),0)</f>
        <v>24139.729984459944</v>
      </c>
      <c r="G22">
        <v>3901</v>
      </c>
      <c r="H22" s="178" t="s">
        <v>1530</v>
      </c>
      <c r="I22" t="str">
        <f t="shared" si="1"/>
        <v>39010200000</v>
      </c>
      <c r="J22" s="517">
        <f ca="1">+IFERROR(VLOOKUP(G22,'Expenses w MYP'!$A$5:$I$118,MATCH(J$3,'Expenses w MYP'!$A$5:$I$5,0),FALSE),0)</f>
        <v>29214.307548264092</v>
      </c>
      <c r="M22">
        <v>3901</v>
      </c>
      <c r="N22" s="178" t="s">
        <v>1530</v>
      </c>
      <c r="O22" t="str">
        <f t="shared" si="2"/>
        <v>39010400000</v>
      </c>
      <c r="P22" s="517">
        <f ca="1">+IFERROR(VLOOKUP(M22,'Expenses w MYP'!$A$5:$I$118,MATCH(P$3,'Expenses w MYP'!$A$5:$I$5,0),FALSE),0)</f>
        <v>35362.353442872969</v>
      </c>
    </row>
    <row r="23" spans="1:16" x14ac:dyDescent="0.75">
      <c r="A23">
        <v>4100</v>
      </c>
      <c r="B23" s="178" t="s">
        <v>1530</v>
      </c>
      <c r="C23" t="str">
        <f t="shared" si="0"/>
        <v>41000700000</v>
      </c>
      <c r="D23" s="517">
        <f>+IFERROR(VLOOKUP(A23,'Expenses w MYP'!$A$5:$I$118,MATCH(D$3,'Expenses w MYP'!$A$5:$I$5,0),FALSE),0)</f>
        <v>1161071.4952297057</v>
      </c>
      <c r="G23">
        <v>4100</v>
      </c>
      <c r="H23" s="178" t="s">
        <v>1530</v>
      </c>
      <c r="I23" t="str">
        <f t="shared" si="1"/>
        <v>41000200000</v>
      </c>
      <c r="J23" s="517">
        <f>+IFERROR(VLOOKUP(G23,'Expenses w MYP'!$A$5:$I$118,MATCH(J$3,'Expenses w MYP'!$A$5:$I$5,0),FALSE),0)</f>
        <v>1404788.0391344901</v>
      </c>
      <c r="M23">
        <v>4100</v>
      </c>
      <c r="N23" s="178" t="s">
        <v>1530</v>
      </c>
      <c r="O23" t="str">
        <f t="shared" si="2"/>
        <v>41000400000</v>
      </c>
      <c r="P23" s="517">
        <f>+IFERROR(VLOOKUP(M23,'Expenses w MYP'!$A$5:$I$118,MATCH(P$3,'Expenses w MYP'!$A$5:$I$5,0),FALSE),0)</f>
        <v>1700700.4656358042</v>
      </c>
    </row>
    <row r="24" spans="1:16" x14ac:dyDescent="0.75">
      <c r="A24">
        <v>4101</v>
      </c>
      <c r="B24" s="178" t="s">
        <v>1530</v>
      </c>
      <c r="C24" t="str">
        <f t="shared" si="0"/>
        <v>41010700000</v>
      </c>
      <c r="D24" s="517">
        <f>+IFERROR(VLOOKUP(A24,'Expenses w MYP'!$A$5:$I$118,MATCH(D$3,'Expenses w MYP'!$A$5:$I$5,0),FALSE),0)</f>
        <v>15534.436462558248</v>
      </c>
      <c r="G24">
        <v>4101</v>
      </c>
      <c r="H24" s="178" t="s">
        <v>1530</v>
      </c>
      <c r="I24" t="str">
        <f t="shared" si="1"/>
        <v>41010200000</v>
      </c>
      <c r="J24" s="517">
        <f>+IFERROR(VLOOKUP(G24,'Expenses w MYP'!$A$5:$I$118,MATCH(J$3,'Expenses w MYP'!$A$5:$I$5,0),FALSE),0)</f>
        <v>18795.21685525417</v>
      </c>
      <c r="M24">
        <v>4101</v>
      </c>
      <c r="N24" s="178" t="s">
        <v>1530</v>
      </c>
      <c r="O24" t="str">
        <f t="shared" si="2"/>
        <v>41010400000</v>
      </c>
      <c r="P24" s="517">
        <f>+IFERROR(VLOOKUP(M24,'Expenses w MYP'!$A$5:$I$118,MATCH(P$3,'Expenses w MYP'!$A$5:$I$5,0),FALSE),0)</f>
        <v>22754.346682187581</v>
      </c>
    </row>
    <row r="25" spans="1:16" x14ac:dyDescent="0.75">
      <c r="A25">
        <v>4102</v>
      </c>
      <c r="B25" s="178" t="s">
        <v>1530</v>
      </c>
      <c r="C25" t="str">
        <f t="shared" si="0"/>
        <v>41020700000</v>
      </c>
      <c r="D25" s="517">
        <f>+IFERROR(VLOOKUP(A25,'Expenses w MYP'!$A$5:$I$118,MATCH(D$3,'Expenses w MYP'!$A$5:$I$5,0),FALSE),0)</f>
        <v>32249.385597223874</v>
      </c>
      <c r="G25">
        <v>4102</v>
      </c>
      <c r="H25" s="178" t="s">
        <v>1530</v>
      </c>
      <c r="I25" t="str">
        <f t="shared" si="1"/>
        <v>41020200000</v>
      </c>
      <c r="J25" s="517">
        <f>+IFERROR(VLOOKUP(G25,'Expenses w MYP'!$A$5:$I$118,MATCH(J$3,'Expenses w MYP'!$A$5:$I$5,0),FALSE),0)</f>
        <v>39018.743757423283</v>
      </c>
      <c r="M25">
        <v>4102</v>
      </c>
      <c r="N25" s="178" t="s">
        <v>1530</v>
      </c>
      <c r="O25" t="str">
        <f t="shared" si="2"/>
        <v>41020400000</v>
      </c>
      <c r="P25" s="517">
        <f>+IFERROR(VLOOKUP(M25,'Expenses w MYP'!$A$5:$I$118,MATCH(P$3,'Expenses w MYP'!$A$5:$I$5,0),FALSE),0)</f>
        <v>47237.870645352843</v>
      </c>
    </row>
    <row r="26" spans="1:16" x14ac:dyDescent="0.75">
      <c r="A26">
        <v>4200</v>
      </c>
      <c r="B26" s="178" t="s">
        <v>1530</v>
      </c>
      <c r="C26" t="str">
        <f t="shared" si="0"/>
        <v>42000700000</v>
      </c>
      <c r="D26" s="517">
        <f>+IFERROR(VLOOKUP(A26,'Expenses w MYP'!$A$5:$I$118,MATCH(D$3,'Expenses w MYP'!$A$5:$I$5,0),FALSE),0)</f>
        <v>36737.946227408087</v>
      </c>
      <c r="G26">
        <v>4200</v>
      </c>
      <c r="H26" s="178" t="s">
        <v>1530</v>
      </c>
      <c r="I26" t="str">
        <f t="shared" si="1"/>
        <v>42000200000</v>
      </c>
      <c r="J26" s="517">
        <f>+IFERROR(VLOOKUP(G26,'Expenses w MYP'!$A$5:$I$118,MATCH(J$3,'Expenses w MYP'!$A$5:$I$5,0),FALSE),0)</f>
        <v>44449.482787809422</v>
      </c>
      <c r="M26">
        <v>4200</v>
      </c>
      <c r="N26" s="178" t="s">
        <v>1530</v>
      </c>
      <c r="O26" t="str">
        <f t="shared" si="2"/>
        <v>42000400000</v>
      </c>
      <c r="P26" s="517">
        <f>+IFERROR(VLOOKUP(M26,'Expenses w MYP'!$A$5:$I$118,MATCH(P$3,'Expenses w MYP'!$A$5:$I$5,0),FALSE),0)</f>
        <v>53812.570984782491</v>
      </c>
    </row>
    <row r="27" spans="1:16" x14ac:dyDescent="0.75">
      <c r="A27">
        <v>4300</v>
      </c>
      <c r="B27" s="178" t="s">
        <v>1530</v>
      </c>
      <c r="C27" t="str">
        <f t="shared" si="0"/>
        <v>43000700000</v>
      </c>
      <c r="D27" s="517">
        <f>+IFERROR(VLOOKUP(A27,'Expenses w MYP'!$A$5:$I$118,MATCH(D$3,'Expenses w MYP'!$A$5:$I$5,0),FALSE),0)</f>
        <v>5442.6587003567538</v>
      </c>
      <c r="G27">
        <v>4300</v>
      </c>
      <c r="H27" s="178" t="s">
        <v>1530</v>
      </c>
      <c r="I27" t="str">
        <f t="shared" si="1"/>
        <v>43000200000</v>
      </c>
      <c r="J27" s="517">
        <f>+IFERROR(VLOOKUP(G27,'Expenses w MYP'!$A$5:$I$118,MATCH(J$3,'Expenses w MYP'!$A$5:$I$5,0),FALSE),0)</f>
        <v>7585.1085611569515</v>
      </c>
      <c r="M27">
        <v>4300</v>
      </c>
      <c r="N27" s="178" t="s">
        <v>1530</v>
      </c>
      <c r="O27" t="str">
        <f t="shared" si="2"/>
        <v>43000400000</v>
      </c>
      <c r="P27" s="517">
        <f>+IFERROR(VLOOKUP(M27,'Expenses w MYP'!$A$5:$I$118,MATCH(P$3,'Expenses w MYP'!$A$5:$I$5,0),FALSE),0)</f>
        <v>7972.2327384862947</v>
      </c>
    </row>
    <row r="28" spans="1:16" x14ac:dyDescent="0.75">
      <c r="A28">
        <v>4315</v>
      </c>
      <c r="B28" s="178" t="s">
        <v>1530</v>
      </c>
      <c r="C28" t="str">
        <f t="shared" si="0"/>
        <v>43150700000</v>
      </c>
      <c r="D28" s="517">
        <f>+IFERROR(VLOOKUP(A28,'Expenses w MYP'!$A$5:$I$118,MATCH(D$3,'Expenses w MYP'!$A$5:$I$5,0),FALSE),0)</f>
        <v>0</v>
      </c>
      <c r="G28">
        <v>4315</v>
      </c>
      <c r="H28" s="178" t="s">
        <v>1530</v>
      </c>
      <c r="I28" t="str">
        <f t="shared" si="1"/>
        <v>43150200000</v>
      </c>
      <c r="J28" s="517">
        <f>+IFERROR(VLOOKUP(G28,'Expenses w MYP'!$A$5:$I$118,MATCH(J$3,'Expenses w MYP'!$A$5:$I$5,0),FALSE),0)</f>
        <v>3000</v>
      </c>
      <c r="M28">
        <v>4315</v>
      </c>
      <c r="N28" s="178" t="s">
        <v>1530</v>
      </c>
      <c r="O28" t="str">
        <f t="shared" si="2"/>
        <v>43150400000</v>
      </c>
      <c r="P28" s="517">
        <f>+IFERROR(VLOOKUP(M28,'Expenses w MYP'!$A$5:$I$118,MATCH(P$3,'Expenses w MYP'!$A$5:$I$5,0),FALSE),0)</f>
        <v>0</v>
      </c>
    </row>
    <row r="29" spans="1:16" x14ac:dyDescent="0.75">
      <c r="A29">
        <v>4400</v>
      </c>
      <c r="B29" s="178" t="s">
        <v>1530</v>
      </c>
      <c r="C29" t="str">
        <f t="shared" si="0"/>
        <v>44000700000</v>
      </c>
      <c r="D29" s="517">
        <f>+IFERROR(VLOOKUP(A29,'Expenses w MYP'!$A$5:$I$118,MATCH(D$3,'Expenses w MYP'!$A$5:$I$5,0),FALSE),0)</f>
        <v>53065.922328478351</v>
      </c>
      <c r="G29">
        <v>4400</v>
      </c>
      <c r="H29" s="178" t="s">
        <v>1530</v>
      </c>
      <c r="I29" t="str">
        <f t="shared" si="1"/>
        <v>44000200000</v>
      </c>
      <c r="J29" s="517">
        <f>+IFERROR(VLOOKUP(G29,'Expenses w MYP'!$A$5:$I$118,MATCH(J$3,'Expenses w MYP'!$A$5:$I$5,0),FALSE),0)</f>
        <v>64204.808471280281</v>
      </c>
      <c r="M29">
        <v>4400</v>
      </c>
      <c r="N29" s="178" t="s">
        <v>1530</v>
      </c>
      <c r="O29" t="str">
        <f t="shared" si="2"/>
        <v>44000400000</v>
      </c>
      <c r="P29" s="517">
        <f>+IFERROR(VLOOKUP(M29,'Expenses w MYP'!$A$5:$I$118,MATCH(P$3,'Expenses w MYP'!$A$5:$I$5,0),FALSE),0)</f>
        <v>77729.269200241368</v>
      </c>
    </row>
    <row r="30" spans="1:16" x14ac:dyDescent="0.75">
      <c r="A30">
        <v>4410</v>
      </c>
      <c r="B30" s="178" t="s">
        <v>1530</v>
      </c>
      <c r="C30" t="str">
        <f t="shared" si="0"/>
        <v>44100700000</v>
      </c>
      <c r="D30" s="517">
        <f>+IFERROR(VLOOKUP(A30,'Expenses w MYP'!$A$5:$I$118,MATCH(D$3,'Expenses w MYP'!$A$5:$I$5,0),FALSE),0)</f>
        <v>211175.15757384207</v>
      </c>
      <c r="G30">
        <v>4410</v>
      </c>
      <c r="H30" s="178" t="s">
        <v>1530</v>
      </c>
      <c r="I30" t="str">
        <f t="shared" si="1"/>
        <v>44100200000</v>
      </c>
      <c r="J30" s="517">
        <f>+IFERROR(VLOOKUP(G30,'Expenses w MYP'!$A$5:$I$118,MATCH(J$3,'Expenses w MYP'!$A$5:$I$5,0),FALSE),0)</f>
        <v>255502.21217288973</v>
      </c>
      <c r="M30">
        <v>4410</v>
      </c>
      <c r="N30" s="178" t="s">
        <v>1530</v>
      </c>
      <c r="O30" t="str">
        <f t="shared" si="2"/>
        <v>44100400000</v>
      </c>
      <c r="P30" s="517">
        <f>+IFERROR(VLOOKUP(M30,'Expenses w MYP'!$A$5:$I$118,MATCH(P$3,'Expenses w MYP'!$A$5:$I$5,0),FALSE),0)</f>
        <v>309322.63025326823</v>
      </c>
    </row>
    <row r="31" spans="1:16" x14ac:dyDescent="0.75">
      <c r="A31">
        <v>4430</v>
      </c>
      <c r="B31" s="178" t="s">
        <v>1530</v>
      </c>
      <c r="C31" t="str">
        <f t="shared" si="0"/>
        <v>44300700000</v>
      </c>
      <c r="D31" s="517">
        <f>+IFERROR(VLOOKUP(A31,'Expenses w MYP'!$A$5:$I$118,MATCH(D$3,'Expenses w MYP'!$A$5:$I$5,0),FALSE),0)</f>
        <v>2040.9970126337828</v>
      </c>
      <c r="G31">
        <v>4430</v>
      </c>
      <c r="H31" s="178" t="s">
        <v>1530</v>
      </c>
      <c r="I31" t="str">
        <f t="shared" si="1"/>
        <v>44300200000</v>
      </c>
      <c r="J31" s="517">
        <f>+IFERROR(VLOOKUP(G31,'Expenses w MYP'!$A$5:$I$118,MATCH(J$3,'Expenses w MYP'!$A$5:$I$5,0),FALSE),0)</f>
        <v>2469.4157104338569</v>
      </c>
      <c r="M31">
        <v>4430</v>
      </c>
      <c r="N31" s="178" t="s">
        <v>1530</v>
      </c>
      <c r="O31" t="str">
        <f t="shared" si="2"/>
        <v>44300400000</v>
      </c>
      <c r="P31" s="517">
        <f>+IFERROR(VLOOKUP(M31,'Expenses w MYP'!$A$5:$I$118,MATCH(P$3,'Expenses w MYP'!$A$5:$I$5,0),FALSE),0)</f>
        <v>2989.5872769323605</v>
      </c>
    </row>
    <row r="32" spans="1:16" x14ac:dyDescent="0.75">
      <c r="A32">
        <v>4700</v>
      </c>
      <c r="B32" s="178" t="s">
        <v>1530</v>
      </c>
      <c r="C32" t="str">
        <f t="shared" si="0"/>
        <v>47000700000</v>
      </c>
      <c r="D32" s="517">
        <f>+IFERROR(VLOOKUP(A32,'Expenses w MYP'!$A$5:$I$118,MATCH(D$3,'Expenses w MYP'!$A$5:$I$5,0),FALSE),0)</f>
        <v>0</v>
      </c>
      <c r="G32">
        <v>4700</v>
      </c>
      <c r="H32" s="178" t="s">
        <v>1530</v>
      </c>
      <c r="I32" t="str">
        <f t="shared" si="1"/>
        <v>47000200000</v>
      </c>
      <c r="J32" s="517">
        <f>+IFERROR(VLOOKUP(G32,'Expenses w MYP'!$A$5:$I$118,MATCH(J$3,'Expenses w MYP'!$A$5:$I$5,0),FALSE),0)</f>
        <v>0</v>
      </c>
      <c r="M32">
        <v>4700</v>
      </c>
      <c r="N32" s="178" t="s">
        <v>1530</v>
      </c>
      <c r="O32" t="str">
        <f t="shared" si="2"/>
        <v>47000400000</v>
      </c>
      <c r="P32" s="517">
        <f>+IFERROR(VLOOKUP(M32,'Expenses w MYP'!$A$5:$I$118,MATCH(P$3,'Expenses w MYP'!$A$5:$I$5,0),FALSE),0)</f>
        <v>0</v>
      </c>
    </row>
    <row r="33" spans="1:16" x14ac:dyDescent="0.75">
      <c r="A33">
        <v>5200</v>
      </c>
      <c r="B33" s="178" t="s">
        <v>1530</v>
      </c>
      <c r="C33" t="str">
        <f t="shared" si="0"/>
        <v>52000700000</v>
      </c>
      <c r="D33" s="517">
        <f>+IFERROR(VLOOKUP(A33,'Expenses w MYP'!$A$5:$I$118,MATCH(D$3,'Expenses w MYP'!$A$5:$I$5,0),FALSE),0)</f>
        <v>27213.29350178377</v>
      </c>
      <c r="G33">
        <v>5200</v>
      </c>
      <c r="H33" s="178" t="s">
        <v>1530</v>
      </c>
      <c r="I33" t="str">
        <f t="shared" si="1"/>
        <v>52000200000</v>
      </c>
      <c r="J33" s="517">
        <f>+IFERROR(VLOOKUP(G33,'Expenses w MYP'!$A$5:$I$118,MATCH(J$3,'Expenses w MYP'!$A$5:$I$5,0),FALSE),0)</f>
        <v>32925.54280578476</v>
      </c>
      <c r="M33">
        <v>5200</v>
      </c>
      <c r="N33" s="178" t="s">
        <v>1530</v>
      </c>
      <c r="O33" t="str">
        <f t="shared" si="2"/>
        <v>52000400000</v>
      </c>
      <c r="P33" s="517">
        <f>+IFERROR(VLOOKUP(M33,'Expenses w MYP'!$A$5:$I$118,MATCH(P$3,'Expenses w MYP'!$A$5:$I$5,0),FALSE),0)</f>
        <v>39861.163692431473</v>
      </c>
    </row>
    <row r="34" spans="1:16" x14ac:dyDescent="0.75">
      <c r="A34">
        <v>5210</v>
      </c>
      <c r="B34" s="178" t="s">
        <v>1530</v>
      </c>
      <c r="C34" t="str">
        <f t="shared" si="0"/>
        <v>52100700000</v>
      </c>
      <c r="D34" s="517">
        <f>+IFERROR(VLOOKUP(A34,'Expenses w MYP'!$A$5:$I$118,MATCH(D$3,'Expenses w MYP'!$A$5:$I$5,0),FALSE),0)</f>
        <v>108853.17400713508</v>
      </c>
      <c r="G34">
        <v>5210</v>
      </c>
      <c r="H34" s="178" t="s">
        <v>1530</v>
      </c>
      <c r="I34" t="str">
        <f t="shared" si="1"/>
        <v>52100200000</v>
      </c>
      <c r="J34" s="517">
        <f>+IFERROR(VLOOKUP(G34,'Expenses w MYP'!$A$5:$I$118,MATCH(J$3,'Expenses w MYP'!$A$5:$I$5,0),FALSE),0)</f>
        <v>131702.17122313904</v>
      </c>
      <c r="M34">
        <v>5210</v>
      </c>
      <c r="N34" s="178" t="s">
        <v>1530</v>
      </c>
      <c r="O34" t="str">
        <f t="shared" si="2"/>
        <v>52100400000</v>
      </c>
      <c r="P34" s="517">
        <f>+IFERROR(VLOOKUP(M34,'Expenses w MYP'!$A$5:$I$118,MATCH(P$3,'Expenses w MYP'!$A$5:$I$5,0),FALSE),0)</f>
        <v>159444.65476972589</v>
      </c>
    </row>
    <row r="35" spans="1:16" x14ac:dyDescent="0.75">
      <c r="A35">
        <v>5300</v>
      </c>
      <c r="B35" s="178" t="s">
        <v>1530</v>
      </c>
      <c r="C35" t="str">
        <f t="shared" si="0"/>
        <v>53000700000</v>
      </c>
      <c r="D35" s="517">
        <f>+IFERROR(VLOOKUP(A35,'Expenses w MYP'!$A$5:$I$118,MATCH(D$3,'Expenses w MYP'!$A$5:$I$5,0),FALSE),0)</f>
        <v>19049.305451248638</v>
      </c>
      <c r="G35">
        <v>5300</v>
      </c>
      <c r="H35" s="178" t="s">
        <v>1530</v>
      </c>
      <c r="I35" t="str">
        <f t="shared" si="1"/>
        <v>53000200000</v>
      </c>
      <c r="J35" s="517">
        <f>+IFERROR(VLOOKUP(G35,'Expenses w MYP'!$A$5:$I$118,MATCH(J$3,'Expenses w MYP'!$A$5:$I$5,0),FALSE),0)</f>
        <v>23047.879964049331</v>
      </c>
      <c r="M35">
        <v>5300</v>
      </c>
      <c r="N35" s="178" t="s">
        <v>1530</v>
      </c>
      <c r="O35" t="str">
        <f t="shared" si="2"/>
        <v>53000400000</v>
      </c>
      <c r="P35" s="517">
        <f>+IFERROR(VLOOKUP(M35,'Expenses w MYP'!$A$5:$I$118,MATCH(P$3,'Expenses w MYP'!$A$5:$I$5,0),FALSE),0)</f>
        <v>27902.814584702031</v>
      </c>
    </row>
    <row r="36" spans="1:16" x14ac:dyDescent="0.75">
      <c r="A36">
        <v>5400</v>
      </c>
      <c r="B36" s="178" t="s">
        <v>1530</v>
      </c>
      <c r="C36" t="str">
        <f t="shared" si="0"/>
        <v>54000700000</v>
      </c>
      <c r="D36" s="517">
        <f>+IFERROR(VLOOKUP(A36,'Expenses w MYP'!$A$5:$I$118,MATCH(D$3,'Expenses w MYP'!$A$5:$I$5,0),FALSE),0)</f>
        <v>25852.628826694581</v>
      </c>
      <c r="G36">
        <v>5400</v>
      </c>
      <c r="H36" s="178" t="s">
        <v>1530</v>
      </c>
      <c r="I36" t="str">
        <f t="shared" si="1"/>
        <v>54000200000</v>
      </c>
      <c r="J36" s="517">
        <f>+IFERROR(VLOOKUP(G36,'Expenses w MYP'!$A$5:$I$118,MATCH(J$3,'Expenses w MYP'!$A$5:$I$5,0),FALSE),0)</f>
        <v>31279.265665495521</v>
      </c>
      <c r="M36">
        <v>5400</v>
      </c>
      <c r="N36" s="178" t="s">
        <v>1530</v>
      </c>
      <c r="O36" t="str">
        <f t="shared" si="2"/>
        <v>54000400000</v>
      </c>
      <c r="P36" s="517">
        <f>+IFERROR(VLOOKUP(M36,'Expenses w MYP'!$A$5:$I$118,MATCH(P$3,'Expenses w MYP'!$A$5:$I$5,0),FALSE),0)</f>
        <v>37868.105507809902</v>
      </c>
    </row>
    <row r="37" spans="1:16" x14ac:dyDescent="0.75">
      <c r="A37">
        <v>5500</v>
      </c>
      <c r="B37" s="178" t="s">
        <v>1530</v>
      </c>
      <c r="C37" t="str">
        <f t="shared" si="0"/>
        <v>55000700000</v>
      </c>
      <c r="D37" s="517">
        <f>+IFERROR(VLOOKUP(A37,'Expenses w MYP'!$A$5:$I$118,MATCH(D$3,'Expenses w MYP'!$A$5:$I$5,0),FALSE),0)</f>
        <v>1632.7976101070262</v>
      </c>
      <c r="G37">
        <v>5500</v>
      </c>
      <c r="H37" s="178" t="s">
        <v>1530</v>
      </c>
      <c r="I37" t="str">
        <f t="shared" si="1"/>
        <v>55000200000</v>
      </c>
      <c r="J37" s="517">
        <f>+IFERROR(VLOOKUP(G37,'Expenses w MYP'!$A$5:$I$118,MATCH(J$3,'Expenses w MYP'!$A$5:$I$5,0),FALSE),0)</f>
        <v>1975.5325683470855</v>
      </c>
      <c r="M37">
        <v>5500</v>
      </c>
      <c r="N37" s="178" t="s">
        <v>1530</v>
      </c>
      <c r="O37" t="str">
        <f t="shared" si="2"/>
        <v>55000400000</v>
      </c>
      <c r="P37" s="517">
        <f>+IFERROR(VLOOKUP(M37,'Expenses w MYP'!$A$5:$I$118,MATCH(P$3,'Expenses w MYP'!$A$5:$I$5,0),FALSE),0)</f>
        <v>2391.6698215458882</v>
      </c>
    </row>
    <row r="38" spans="1:16" x14ac:dyDescent="0.75">
      <c r="A38">
        <v>5501</v>
      </c>
      <c r="B38" s="178" t="s">
        <v>1530</v>
      </c>
      <c r="C38" t="str">
        <f t="shared" si="0"/>
        <v>55010700000</v>
      </c>
      <c r="D38" s="517">
        <f>+IFERROR(VLOOKUP(A38,'Expenses w MYP'!$A$5:$I$118,MATCH(D$3,'Expenses w MYP'!$A$5:$I$5,0),FALSE),0)</f>
        <v>680.33233754459422</v>
      </c>
      <c r="G38">
        <v>5501</v>
      </c>
      <c r="H38" s="178" t="s">
        <v>1530</v>
      </c>
      <c r="I38" t="str">
        <f t="shared" si="1"/>
        <v>55010200000</v>
      </c>
      <c r="J38" s="517">
        <f>+IFERROR(VLOOKUP(G38,'Expenses w MYP'!$A$5:$I$118,MATCH(J$3,'Expenses w MYP'!$A$5:$I$5,0),FALSE),0)</f>
        <v>823.13857014461894</v>
      </c>
      <c r="M38">
        <v>5501</v>
      </c>
      <c r="N38" s="178" t="s">
        <v>1530</v>
      </c>
      <c r="O38" t="str">
        <f t="shared" si="2"/>
        <v>55010400000</v>
      </c>
      <c r="P38" s="517">
        <f>+IFERROR(VLOOKUP(M38,'Expenses w MYP'!$A$5:$I$118,MATCH(P$3,'Expenses w MYP'!$A$5:$I$5,0),FALSE),0)</f>
        <v>996.52909231078684</v>
      </c>
    </row>
    <row r="39" spans="1:16" x14ac:dyDescent="0.75">
      <c r="A39">
        <v>5600</v>
      </c>
      <c r="B39" s="178" t="s">
        <v>1530</v>
      </c>
      <c r="C39" t="str">
        <f t="shared" si="0"/>
        <v>56000700000</v>
      </c>
      <c r="D39" s="517">
        <f>+IFERROR(VLOOKUP(A39,'Expenses w MYP'!$A$5:$I$118,MATCH(D$3,'Expenses w MYP'!$A$5:$I$5,0),FALSE),0)</f>
        <v>17503.530511101617</v>
      </c>
      <c r="G39">
        <v>5600</v>
      </c>
      <c r="H39" s="178" t="s">
        <v>1530</v>
      </c>
      <c r="I39" t="str">
        <f t="shared" si="1"/>
        <v>56000200000</v>
      </c>
      <c r="J39" s="517">
        <f>+IFERROR(VLOOKUP(G39,'Expenses w MYP'!$A$5:$I$118,MATCH(J$3,'Expenses w MYP'!$A$5:$I$5,0),FALSE),0)</f>
        <v>67077.636696486588</v>
      </c>
      <c r="M39">
        <v>5600</v>
      </c>
      <c r="N39" s="178" t="s">
        <v>1530</v>
      </c>
      <c r="O39" t="str">
        <f t="shared" si="2"/>
        <v>56000400000</v>
      </c>
      <c r="P39" s="517">
        <f>+IFERROR(VLOOKUP(M39,'Expenses w MYP'!$A$5:$I$118,MATCH(P$3,'Expenses w MYP'!$A$5:$I$5,0),FALSE),0)</f>
        <v>25638.612792411801</v>
      </c>
    </row>
    <row r="40" spans="1:16" x14ac:dyDescent="0.75">
      <c r="A40">
        <v>5602</v>
      </c>
      <c r="B40" s="178" t="s">
        <v>1530</v>
      </c>
      <c r="C40" t="str">
        <f t="shared" si="0"/>
        <v>56020700000</v>
      </c>
      <c r="D40" s="517">
        <f>+IFERROR(VLOOKUP(A40,'Expenses w MYP'!$A$5:$I$118,MATCH(D$3,'Expenses w MYP'!$A$5:$I$5,0),FALSE),0)</f>
        <v>21770.634801427015</v>
      </c>
      <c r="G40">
        <v>5602</v>
      </c>
      <c r="H40" s="178" t="s">
        <v>1530</v>
      </c>
      <c r="I40" t="str">
        <f t="shared" si="1"/>
        <v>56020200000</v>
      </c>
      <c r="J40" s="517">
        <f>+IFERROR(VLOOKUP(G40,'Expenses w MYP'!$A$5:$I$118,MATCH(J$3,'Expenses w MYP'!$A$5:$I$5,0),FALSE),0)</f>
        <v>26340.434244627806</v>
      </c>
      <c r="M40">
        <v>5602</v>
      </c>
      <c r="N40" s="178" t="s">
        <v>1530</v>
      </c>
      <c r="O40" t="str">
        <f t="shared" si="2"/>
        <v>56020400000</v>
      </c>
      <c r="P40" s="517">
        <f>+IFERROR(VLOOKUP(M40,'Expenses w MYP'!$A$5:$I$118,MATCH(P$3,'Expenses w MYP'!$A$5:$I$5,0),FALSE),0)</f>
        <v>31888.930953945179</v>
      </c>
    </row>
    <row r="41" spans="1:16" x14ac:dyDescent="0.75">
      <c r="A41">
        <v>5603</v>
      </c>
      <c r="B41" s="178" t="s">
        <v>1530</v>
      </c>
      <c r="C41" t="str">
        <f t="shared" si="0"/>
        <v>56030700000</v>
      </c>
      <c r="D41" s="517">
        <f>+IFERROR(VLOOKUP(A41,'Expenses w MYP'!$A$5:$I$118,MATCH(D$3,'Expenses w MYP'!$A$5:$I$5,0),FALSE),0)</f>
        <v>0</v>
      </c>
      <c r="G41">
        <v>5603</v>
      </c>
      <c r="H41" s="178" t="s">
        <v>1530</v>
      </c>
      <c r="I41" t="str">
        <f t="shared" si="1"/>
        <v>56030200000</v>
      </c>
      <c r="J41" s="517">
        <f>+IFERROR(VLOOKUP(G41,'Expenses w MYP'!$A$5:$I$118,MATCH(J$3,'Expenses w MYP'!$A$5:$I$5,0),FALSE),0)</f>
        <v>0</v>
      </c>
      <c r="M41">
        <v>5603</v>
      </c>
      <c r="N41" s="178" t="s">
        <v>1530</v>
      </c>
      <c r="O41" t="str">
        <f t="shared" si="2"/>
        <v>56030400000</v>
      </c>
      <c r="P41" s="517">
        <f>+IFERROR(VLOOKUP(M41,'Expenses w MYP'!$A$5:$I$118,MATCH(P$3,'Expenses w MYP'!$A$5:$I$5,0),FALSE),0)</f>
        <v>0</v>
      </c>
    </row>
    <row r="42" spans="1:16" x14ac:dyDescent="0.75">
      <c r="A42">
        <v>5800</v>
      </c>
      <c r="B42" s="178" t="s">
        <v>1530</v>
      </c>
      <c r="C42" t="str">
        <f t="shared" si="0"/>
        <v>58000700000</v>
      </c>
      <c r="D42" s="517">
        <f>+IFERROR(VLOOKUP(A42,'Expenses w MYP'!$A$5:$I$118,MATCH(D$3,'Expenses w MYP'!$A$5:$I$5,0),FALSE),0)</f>
        <v>117017.16205767021</v>
      </c>
      <c r="G42">
        <v>5800</v>
      </c>
      <c r="H42" s="178" t="s">
        <v>1530</v>
      </c>
      <c r="I42" t="str">
        <f t="shared" si="1"/>
        <v>58000200000</v>
      </c>
      <c r="J42" s="517">
        <f>+IFERROR(VLOOKUP(G42,'Expenses w MYP'!$A$5:$I$118,MATCH(J$3,'Expenses w MYP'!$A$5:$I$5,0),FALSE),0)</f>
        <v>141579.83406487445</v>
      </c>
      <c r="M42">
        <v>5800</v>
      </c>
      <c r="N42" s="178" t="s">
        <v>1530</v>
      </c>
      <c r="O42" t="str">
        <f t="shared" si="2"/>
        <v>58000400000</v>
      </c>
      <c r="P42" s="517">
        <f>+IFERROR(VLOOKUP(M42,'Expenses w MYP'!$A$5:$I$118,MATCH(P$3,'Expenses w MYP'!$A$5:$I$5,0),FALSE),0)</f>
        <v>171403.00387745534</v>
      </c>
    </row>
    <row r="43" spans="1:16" x14ac:dyDescent="0.75">
      <c r="A43">
        <v>5803</v>
      </c>
      <c r="B43" s="178" t="s">
        <v>1530</v>
      </c>
      <c r="C43" t="str">
        <f t="shared" si="0"/>
        <v>58030700000</v>
      </c>
      <c r="D43" s="517">
        <f>+IFERROR(VLOOKUP(A43,'Expenses w MYP'!$A$5:$I$118,MATCH(D$3,'Expenses w MYP'!$A$5:$I$5,0),FALSE),0)</f>
        <v>8163.9880505351312</v>
      </c>
      <c r="G43">
        <v>5803</v>
      </c>
      <c r="H43" s="178" t="s">
        <v>1530</v>
      </c>
      <c r="I43" t="str">
        <f t="shared" si="1"/>
        <v>58030200000</v>
      </c>
      <c r="J43" s="517">
        <f>+IFERROR(VLOOKUP(G43,'Expenses w MYP'!$A$5:$I$118,MATCH(J$3,'Expenses w MYP'!$A$5:$I$5,0),FALSE),0)</f>
        <v>9877.6628417354277</v>
      </c>
      <c r="M43">
        <v>5803</v>
      </c>
      <c r="N43" s="178" t="s">
        <v>1530</v>
      </c>
      <c r="O43" t="str">
        <f t="shared" si="2"/>
        <v>58030400000</v>
      </c>
      <c r="P43" s="517">
        <f>+IFERROR(VLOOKUP(M43,'Expenses w MYP'!$A$5:$I$118,MATCH(P$3,'Expenses w MYP'!$A$5:$I$5,0),FALSE),0)</f>
        <v>11958.349107729442</v>
      </c>
    </row>
    <row r="44" spans="1:16" x14ac:dyDescent="0.75">
      <c r="A44">
        <v>5805</v>
      </c>
      <c r="B44" s="178" t="s">
        <v>1530</v>
      </c>
      <c r="C44" t="str">
        <f t="shared" si="0"/>
        <v>58050700000</v>
      </c>
      <c r="D44" s="517">
        <f>+IFERROR(VLOOKUP(A44,'Expenses w MYP'!$A$5:$I$118,MATCH(D$3,'Expenses w MYP'!$A$5:$I$5,0),FALSE),0)</f>
        <v>40819.940252675653</v>
      </c>
      <c r="G44">
        <v>5805</v>
      </c>
      <c r="H44" s="178" t="s">
        <v>1530</v>
      </c>
      <c r="I44" t="str">
        <f t="shared" si="1"/>
        <v>58050200000</v>
      </c>
      <c r="J44" s="517">
        <f>+IFERROR(VLOOKUP(G44,'Expenses w MYP'!$A$5:$I$118,MATCH(J$3,'Expenses w MYP'!$A$5:$I$5,0),FALSE),0)</f>
        <v>49388.314208677133</v>
      </c>
      <c r="M44">
        <v>5805</v>
      </c>
      <c r="N44" s="178" t="s">
        <v>1530</v>
      </c>
      <c r="O44" t="str">
        <f t="shared" si="2"/>
        <v>58050400000</v>
      </c>
      <c r="P44" s="517">
        <f>+IFERROR(VLOOKUP(M44,'Expenses w MYP'!$A$5:$I$118,MATCH(P$3,'Expenses w MYP'!$A$5:$I$5,0),FALSE),0)</f>
        <v>59791.745538647207</v>
      </c>
    </row>
    <row r="45" spans="1:16" x14ac:dyDescent="0.75">
      <c r="A45">
        <v>5806</v>
      </c>
      <c r="B45" s="178" t="s">
        <v>1530</v>
      </c>
      <c r="C45" t="str">
        <f t="shared" si="0"/>
        <v>58060700000</v>
      </c>
      <c r="D45" s="517">
        <f>+IFERROR(VLOOKUP(A45,'Expenses w MYP'!$A$5:$I$118,MATCH(D$3,'Expenses w MYP'!$A$5:$I$5,0),FALSE),0)</f>
        <v>6267.2214934608019</v>
      </c>
      <c r="G45">
        <v>5806</v>
      </c>
      <c r="H45" s="178" t="s">
        <v>1530</v>
      </c>
      <c r="I45" t="str">
        <f t="shared" si="1"/>
        <v>58060200000</v>
      </c>
      <c r="J45" s="517">
        <f>+IFERROR(VLOOKUP(G45,'Expenses w MYP'!$A$5:$I$118,MATCH(J$3,'Expenses w MYP'!$A$5:$I$5,0),FALSE),0)</f>
        <v>7582.7525081722297</v>
      </c>
      <c r="M45">
        <v>5806</v>
      </c>
      <c r="N45" s="178" t="s">
        <v>1530</v>
      </c>
      <c r="O45" t="str">
        <f t="shared" si="2"/>
        <v>58060400000</v>
      </c>
      <c r="P45" s="517">
        <f>+IFERROR(VLOOKUP(M45,'Expenses w MYP'!$A$5:$I$118,MATCH(P$3,'Expenses w MYP'!$A$5:$I$5,0),FALSE),0)</f>
        <v>9180.0259983669675</v>
      </c>
    </row>
    <row r="46" spans="1:16" x14ac:dyDescent="0.75">
      <c r="A46">
        <v>5807</v>
      </c>
      <c r="B46" s="178" t="s">
        <v>1530</v>
      </c>
      <c r="C46" t="str">
        <f t="shared" si="0"/>
        <v>58070700000</v>
      </c>
      <c r="D46" s="517">
        <f>+IFERROR(VLOOKUP(A46,'Expenses w MYP'!$A$5:$I$118,MATCH(D$3,'Expenses w MYP'!$A$5:$I$5,0),FALSE),0)</f>
        <v>60000</v>
      </c>
      <c r="G46">
        <v>5807</v>
      </c>
      <c r="H46" s="178" t="s">
        <v>1530</v>
      </c>
      <c r="I46" t="str">
        <f t="shared" si="1"/>
        <v>58070200000</v>
      </c>
      <c r="J46" s="517">
        <f>+IFERROR(VLOOKUP(G46,'Expenses w MYP'!$A$5:$I$118,MATCH(J$3,'Expenses w MYP'!$A$5:$I$5,0),FALSE),0)</f>
        <v>60000</v>
      </c>
      <c r="M46">
        <v>5807</v>
      </c>
      <c r="N46" s="178" t="s">
        <v>1530</v>
      </c>
      <c r="O46" t="str">
        <f t="shared" si="2"/>
        <v>58070400000</v>
      </c>
      <c r="P46" s="517">
        <f>+IFERROR(VLOOKUP(M46,'Expenses w MYP'!$A$5:$I$118,MATCH(P$3,'Expenses w MYP'!$A$5:$I$5,0),FALSE),0)</f>
        <v>60000</v>
      </c>
    </row>
    <row r="47" spans="1:16" x14ac:dyDescent="0.75">
      <c r="A47">
        <v>5809</v>
      </c>
      <c r="B47" s="178" t="s">
        <v>1530</v>
      </c>
      <c r="C47" t="str">
        <f t="shared" si="0"/>
        <v>58090700000</v>
      </c>
      <c r="D47" s="517">
        <f>+IFERROR(VLOOKUP(A47,'Expenses w MYP'!$A$5:$I$118,MATCH(D$3,'Expenses w MYP'!$A$5:$I$5,0),FALSE),0)</f>
        <v>13606.646750891885</v>
      </c>
      <c r="G47">
        <v>5809</v>
      </c>
      <c r="H47" s="178" t="s">
        <v>1530</v>
      </c>
      <c r="I47" t="str">
        <f t="shared" si="1"/>
        <v>58090200000</v>
      </c>
      <c r="J47" s="517">
        <f>+IFERROR(VLOOKUP(G47,'Expenses w MYP'!$A$5:$I$118,MATCH(J$3,'Expenses w MYP'!$A$5:$I$5,0),FALSE),0)</f>
        <v>16462.77140289238</v>
      </c>
      <c r="M47">
        <v>5809</v>
      </c>
      <c r="N47" s="178" t="s">
        <v>1530</v>
      </c>
      <c r="O47" t="str">
        <f t="shared" si="2"/>
        <v>58090400000</v>
      </c>
      <c r="P47" s="517">
        <f>+IFERROR(VLOOKUP(M47,'Expenses w MYP'!$A$5:$I$118,MATCH(P$3,'Expenses w MYP'!$A$5:$I$5,0),FALSE),0)</f>
        <v>19930.581846215737</v>
      </c>
    </row>
    <row r="48" spans="1:16" x14ac:dyDescent="0.75">
      <c r="A48">
        <v>5810</v>
      </c>
      <c r="B48" s="178" t="s">
        <v>1530</v>
      </c>
      <c r="C48" t="str">
        <f t="shared" si="0"/>
        <v>58100700000</v>
      </c>
      <c r="D48" s="517">
        <f>+IFERROR(VLOOKUP(A48,'Expenses w MYP'!$A$5:$I$118,MATCH(D$3,'Expenses w MYP'!$A$5:$I$5,0),FALSE),0)</f>
        <v>653119.04404281045</v>
      </c>
      <c r="G48">
        <v>5810</v>
      </c>
      <c r="H48" s="178" t="s">
        <v>1530</v>
      </c>
      <c r="I48" t="str">
        <f t="shared" si="1"/>
        <v>58100200000</v>
      </c>
      <c r="J48" s="517">
        <f>+IFERROR(VLOOKUP(G48,'Expenses w MYP'!$A$5:$I$118,MATCH(J$3,'Expenses w MYP'!$A$5:$I$5,0),FALSE),0)</f>
        <v>790213.02733883413</v>
      </c>
      <c r="M48">
        <v>5810</v>
      </c>
      <c r="N48" s="178" t="s">
        <v>1530</v>
      </c>
      <c r="O48" t="str">
        <f t="shared" si="2"/>
        <v>58100400000</v>
      </c>
      <c r="P48" s="517">
        <f>+IFERROR(VLOOKUP(M48,'Expenses w MYP'!$A$5:$I$118,MATCH(P$3,'Expenses w MYP'!$A$5:$I$5,0),FALSE),0)</f>
        <v>956667.9286183553</v>
      </c>
    </row>
    <row r="49" spans="1:16" x14ac:dyDescent="0.75">
      <c r="A49">
        <v>5815</v>
      </c>
      <c r="B49" s="178" t="s">
        <v>1530</v>
      </c>
      <c r="C49" t="str">
        <f t="shared" si="0"/>
        <v>58150700000</v>
      </c>
      <c r="D49" s="517">
        <f>+IFERROR(VLOOKUP(A49,'Expenses w MYP'!$A$5:$I$118,MATCH(D$3,'Expenses w MYP'!$A$5:$I$5,0),FALSE),0)</f>
        <v>68033.233754459419</v>
      </c>
      <c r="G49">
        <v>5815</v>
      </c>
      <c r="H49" s="178" t="s">
        <v>1530</v>
      </c>
      <c r="I49" t="str">
        <f t="shared" si="1"/>
        <v>58150200000</v>
      </c>
      <c r="J49" s="517">
        <f>+IFERROR(VLOOKUP(G49,'Expenses w MYP'!$A$5:$I$118,MATCH(J$3,'Expenses w MYP'!$A$5:$I$5,0),FALSE),0)</f>
        <v>82313.857014461901</v>
      </c>
      <c r="M49">
        <v>5815</v>
      </c>
      <c r="N49" s="178" t="s">
        <v>1530</v>
      </c>
      <c r="O49" t="str">
        <f t="shared" si="2"/>
        <v>58150400000</v>
      </c>
      <c r="P49" s="517">
        <f>+IFERROR(VLOOKUP(M49,'Expenses w MYP'!$A$5:$I$118,MATCH(P$3,'Expenses w MYP'!$A$5:$I$5,0),FALSE),0)</f>
        <v>99652.90923107868</v>
      </c>
    </row>
    <row r="50" spans="1:16" x14ac:dyDescent="0.75">
      <c r="A50">
        <v>5830</v>
      </c>
      <c r="B50" s="178" t="s">
        <v>1530</v>
      </c>
      <c r="C50" t="str">
        <f t="shared" si="0"/>
        <v>58300700000</v>
      </c>
      <c r="D50" s="517">
        <f>+IFERROR(VLOOKUP(A50,'Expenses w MYP'!$A$5:$I$118,MATCH(D$3,'Expenses w MYP'!$A$5:$I$5,0),FALSE),0)</f>
        <v>34016.61687722971</v>
      </c>
      <c r="G50">
        <v>5830</v>
      </c>
      <c r="H50" s="178" t="s">
        <v>1530</v>
      </c>
      <c r="I50" t="str">
        <f t="shared" si="1"/>
        <v>58300200000</v>
      </c>
      <c r="J50" s="517">
        <f>+IFERROR(VLOOKUP(G50,'Expenses w MYP'!$A$5:$I$118,MATCH(J$3,'Expenses w MYP'!$A$5:$I$5,0),FALSE),0)</f>
        <v>41156.92850723095</v>
      </c>
      <c r="M50">
        <v>5830</v>
      </c>
      <c r="N50" s="178" t="s">
        <v>1530</v>
      </c>
      <c r="O50" t="str">
        <f t="shared" si="2"/>
        <v>58300400000</v>
      </c>
      <c r="P50" s="517">
        <f>+IFERROR(VLOOKUP(M50,'Expenses w MYP'!$A$5:$I$118,MATCH(P$3,'Expenses w MYP'!$A$5:$I$5,0),FALSE),0)</f>
        <v>49826.45461553934</v>
      </c>
    </row>
    <row r="51" spans="1:16" x14ac:dyDescent="0.75">
      <c r="A51">
        <v>5873</v>
      </c>
      <c r="B51" s="178" t="s">
        <v>1530</v>
      </c>
      <c r="C51" t="str">
        <f t="shared" si="0"/>
        <v>58730700000</v>
      </c>
      <c r="D51" s="517">
        <f>+IFERROR(VLOOKUP(A51,'Expenses w MYP'!$A$5:$I$118,MATCH(D$3,'Expenses w MYP'!$A$5:$I$5,0),FALSE),0)</f>
        <v>171667.96839540001</v>
      </c>
      <c r="G51">
        <v>5873</v>
      </c>
      <c r="H51" s="178" t="s">
        <v>1530</v>
      </c>
      <c r="I51" t="str">
        <f t="shared" si="1"/>
        <v>58730200000</v>
      </c>
      <c r="J51" s="517">
        <f>+IFERROR(VLOOKUP(G51,'Expenses w MYP'!$A$5:$I$118,MATCH(J$3,'Expenses w MYP'!$A$5:$I$5,0),FALSE),0)</f>
        <v>216685.42001162999</v>
      </c>
      <c r="M51">
        <v>5873</v>
      </c>
      <c r="N51" s="178" t="s">
        <v>1530</v>
      </c>
      <c r="O51" t="str">
        <f t="shared" si="2"/>
        <v>58730400000</v>
      </c>
      <c r="P51" s="517">
        <f>+IFERROR(VLOOKUP(M51,'Expenses w MYP'!$A$5:$I$118,MATCH(P$3,'Expenses w MYP'!$A$5:$I$5,0),FALSE),0)</f>
        <v>238340.48331870002</v>
      </c>
    </row>
    <row r="52" spans="1:16" x14ac:dyDescent="0.75">
      <c r="A52">
        <v>5875</v>
      </c>
      <c r="B52" s="178" t="s">
        <v>1530</v>
      </c>
      <c r="C52" t="str">
        <f t="shared" si="0"/>
        <v>58750700000</v>
      </c>
      <c r="D52" s="517">
        <f>+IFERROR(VLOOKUP(A52,'Expenses w MYP'!$A$5:$I$118,MATCH(D$3,'Expenses w MYP'!$A$5:$I$5,0),FALSE),0)</f>
        <v>76296.874842400008</v>
      </c>
      <c r="G52">
        <v>5875</v>
      </c>
      <c r="H52" s="178" t="s">
        <v>1530</v>
      </c>
      <c r="I52" t="str">
        <f t="shared" si="1"/>
        <v>58750200000</v>
      </c>
      <c r="J52" s="517">
        <f>+IFERROR(VLOOKUP(G52,'Expenses w MYP'!$A$5:$I$118,MATCH(J$3,'Expenses w MYP'!$A$5:$I$5,0),FALSE),0)</f>
        <v>96304.631116279998</v>
      </c>
      <c r="M52">
        <v>5875</v>
      </c>
      <c r="N52" s="178" t="s">
        <v>1530</v>
      </c>
      <c r="O52" t="str">
        <f t="shared" si="2"/>
        <v>58750400000</v>
      </c>
      <c r="P52" s="517">
        <f>+IFERROR(VLOOKUP(M52,'Expenses w MYP'!$A$5:$I$118,MATCH(P$3,'Expenses w MYP'!$A$5:$I$5,0),FALSE),0)</f>
        <v>105929.10369720001</v>
      </c>
    </row>
    <row r="53" spans="1:16" x14ac:dyDescent="0.75">
      <c r="A53">
        <v>5874</v>
      </c>
      <c r="B53" s="178" t="s">
        <v>1530</v>
      </c>
      <c r="C53" t="str">
        <f t="shared" si="0"/>
        <v>58740700000</v>
      </c>
      <c r="D53" s="517">
        <f>+IFERROR(VLOOKUP(A53,'Expenses w MYP'!$A$5:$I$118,MATCH(D$3,'Expenses w MYP'!$A$5:$I$5,0),FALSE),0)</f>
        <v>1360.6646750891884</v>
      </c>
      <c r="G53">
        <v>5874</v>
      </c>
      <c r="H53" s="178" t="s">
        <v>1530</v>
      </c>
      <c r="I53" t="str">
        <f t="shared" si="1"/>
        <v>58740200000</v>
      </c>
      <c r="J53" s="517">
        <f>+IFERROR(VLOOKUP(G53,'Expenses w MYP'!$A$5:$I$118,MATCH(J$3,'Expenses w MYP'!$A$5:$I$5,0),FALSE),0)</f>
        <v>1646.2771402892379</v>
      </c>
      <c r="M53">
        <v>5874</v>
      </c>
      <c r="N53" s="178" t="s">
        <v>1530</v>
      </c>
      <c r="O53" t="str">
        <f t="shared" si="2"/>
        <v>58740400000</v>
      </c>
      <c r="P53" s="517">
        <f>+IFERROR(VLOOKUP(M53,'Expenses w MYP'!$A$5:$I$118,MATCH(P$3,'Expenses w MYP'!$A$5:$I$5,0),FALSE),0)</f>
        <v>1993.0581846215737</v>
      </c>
    </row>
    <row r="54" spans="1:16" x14ac:dyDescent="0.75">
      <c r="A54">
        <v>5877</v>
      </c>
      <c r="B54" s="178" t="s">
        <v>1530</v>
      </c>
      <c r="C54" t="str">
        <f t="shared" ref="C54:C76" si="3">CONCATENATE(A54,$D$3,B54)</f>
        <v>58770700000</v>
      </c>
      <c r="D54" s="517">
        <f>+IFERROR(VLOOKUP(A54,'Expenses w MYP'!$A$5:$I$118,MATCH(D$3,'Expenses w MYP'!$A$5:$I$5,0),FALSE),0)</f>
        <v>89803.868555886438</v>
      </c>
      <c r="G54">
        <v>5877</v>
      </c>
      <c r="H54" s="178" t="s">
        <v>1530</v>
      </c>
      <c r="I54" t="str">
        <f t="shared" ref="I54:I76" si="4">CONCATENATE(G54,$J$3,H54)</f>
        <v>58770200000</v>
      </c>
      <c r="J54" s="517">
        <f>+IFERROR(VLOOKUP(G54,'Expenses w MYP'!$A$5:$I$118,MATCH(J$3,'Expenses w MYP'!$A$5:$I$5,0),FALSE),0)</f>
        <v>108654.2912590897</v>
      </c>
      <c r="M54">
        <v>5877</v>
      </c>
      <c r="N54" s="178" t="s">
        <v>1530</v>
      </c>
      <c r="O54" t="str">
        <f t="shared" ref="O54:O76" si="5">CONCATENATE(M54,$P$3,N54)</f>
        <v>58770400000</v>
      </c>
      <c r="P54" s="517">
        <f>+IFERROR(VLOOKUP(M54,'Expenses w MYP'!$A$5:$I$118,MATCH(P$3,'Expenses w MYP'!$A$5:$I$5,0),FALSE),0)</f>
        <v>131541.84018502387</v>
      </c>
    </row>
    <row r="55" spans="1:16" x14ac:dyDescent="0.75">
      <c r="A55">
        <v>5890</v>
      </c>
      <c r="B55" s="178" t="s">
        <v>1530</v>
      </c>
      <c r="C55" t="str">
        <f t="shared" si="3"/>
        <v>58900700000</v>
      </c>
      <c r="D55" s="517">
        <f>+IFERROR(VLOOKUP(A55,'Expenses w MYP'!$A$5:$I$118,MATCH(D$3,'Expenses w MYP'!$A$5:$I$5,0),FALSE),0)</f>
        <v>816.39880505351312</v>
      </c>
      <c r="G55">
        <v>5890</v>
      </c>
      <c r="H55" s="178" t="s">
        <v>1530</v>
      </c>
      <c r="I55" t="str">
        <f t="shared" si="4"/>
        <v>58900200000</v>
      </c>
      <c r="J55" s="517">
        <f>+IFERROR(VLOOKUP(G55,'Expenses w MYP'!$A$5:$I$118,MATCH(J$3,'Expenses w MYP'!$A$5:$I$5,0),FALSE),0)</f>
        <v>987.76628417354277</v>
      </c>
      <c r="M55">
        <v>5890</v>
      </c>
      <c r="N55" s="178" t="s">
        <v>1530</v>
      </c>
      <c r="O55" t="str">
        <f t="shared" si="5"/>
        <v>58900400000</v>
      </c>
      <c r="P55" s="517">
        <f>+IFERROR(VLOOKUP(M55,'Expenses w MYP'!$A$5:$I$118,MATCH(P$3,'Expenses w MYP'!$A$5:$I$5,0),FALSE),0)</f>
        <v>1195.8349107729441</v>
      </c>
    </row>
    <row r="56" spans="1:16" x14ac:dyDescent="0.75">
      <c r="A56">
        <v>5900</v>
      </c>
      <c r="B56" s="178" t="s">
        <v>1530</v>
      </c>
      <c r="C56" t="str">
        <f t="shared" si="3"/>
        <v>59000700000</v>
      </c>
      <c r="D56" s="517">
        <f>+IFERROR(VLOOKUP(A56,'Expenses w MYP'!$A$5:$I$118,MATCH(D$3,'Expenses w MYP'!$A$5:$I$5,0),FALSE),0)</f>
        <v>35377.281552318898</v>
      </c>
      <c r="G56">
        <v>5900</v>
      </c>
      <c r="H56" s="178" t="s">
        <v>1530</v>
      </c>
      <c r="I56" t="str">
        <f t="shared" si="4"/>
        <v>59000200000</v>
      </c>
      <c r="J56" s="517">
        <f>+IFERROR(VLOOKUP(G56,'Expenses w MYP'!$A$5:$I$118,MATCH(J$3,'Expenses w MYP'!$A$5:$I$5,0),FALSE),0)</f>
        <v>42803.205647520183</v>
      </c>
      <c r="M56">
        <v>5900</v>
      </c>
      <c r="N56" s="178" t="s">
        <v>1530</v>
      </c>
      <c r="O56" t="str">
        <f t="shared" si="5"/>
        <v>59000400000</v>
      </c>
      <c r="P56" s="517">
        <f>+IFERROR(VLOOKUP(M56,'Expenses w MYP'!$A$5:$I$118,MATCH(P$3,'Expenses w MYP'!$A$5:$I$5,0),FALSE),0)</f>
        <v>51819.512800160912</v>
      </c>
    </row>
    <row r="57" spans="1:16" x14ac:dyDescent="0.75">
      <c r="A57">
        <v>5901</v>
      </c>
      <c r="B57" s="178" t="s">
        <v>1530</v>
      </c>
      <c r="C57" t="str">
        <f t="shared" si="3"/>
        <v>59010700000</v>
      </c>
      <c r="D57" s="517">
        <f>+IFERROR(VLOOKUP(A57,'Expenses w MYP'!$A$5:$I$118,MATCH(D$3,'Expenses w MYP'!$A$5:$I$5,0),FALSE),0)</f>
        <v>408.19940252675656</v>
      </c>
      <c r="G57">
        <v>5901</v>
      </c>
      <c r="H57" s="178" t="s">
        <v>1530</v>
      </c>
      <c r="I57" t="str">
        <f t="shared" si="4"/>
        <v>59010200000</v>
      </c>
      <c r="J57" s="517">
        <f>+IFERROR(VLOOKUP(G57,'Expenses w MYP'!$A$5:$I$118,MATCH(J$3,'Expenses w MYP'!$A$5:$I$5,0),FALSE),0)</f>
        <v>493.88314208677139</v>
      </c>
      <c r="M57">
        <v>5901</v>
      </c>
      <c r="N57" s="178" t="s">
        <v>1530</v>
      </c>
      <c r="O57" t="str">
        <f t="shared" si="5"/>
        <v>59010400000</v>
      </c>
      <c r="P57" s="517">
        <f>+IFERROR(VLOOKUP(M57,'Expenses w MYP'!$A$5:$I$118,MATCH(P$3,'Expenses w MYP'!$A$5:$I$5,0),FALSE),0)</f>
        <v>597.91745538647206</v>
      </c>
    </row>
    <row r="58" spans="1:16" x14ac:dyDescent="0.75">
      <c r="A58">
        <v>8011</v>
      </c>
      <c r="B58" s="178" t="s">
        <v>1530</v>
      </c>
      <c r="C58" t="str">
        <f t="shared" si="3"/>
        <v>80110700000</v>
      </c>
      <c r="D58" s="517">
        <f>-IFERROR(VLOOKUP(A58,'Revenue w MYP'!$A$5:$I$86,MATCH(D$3,'Revenue w MYP'!$A$5:$I$5,0),FALSE),0)</f>
        <v>-6204139.1200000001</v>
      </c>
      <c r="G58">
        <v>8011</v>
      </c>
      <c r="H58" s="178" t="s">
        <v>1530</v>
      </c>
      <c r="I58" t="str">
        <f t="shared" si="4"/>
        <v>80110200000</v>
      </c>
      <c r="J58" s="517">
        <f>-IFERROR(VLOOKUP(G58,'Revenue w MYP'!$A$5:$I$86,MATCH(J$3,'Revenue w MYP'!$A$5:$I$5,0),FALSE),0)</f>
        <v>-5231069</v>
      </c>
      <c r="M58">
        <v>8011</v>
      </c>
      <c r="N58" s="178" t="s">
        <v>1530</v>
      </c>
      <c r="O58" t="str">
        <f t="shared" si="5"/>
        <v>80110400000</v>
      </c>
      <c r="P58" s="517">
        <f>-IFERROR(VLOOKUP(M58,'Revenue w MYP'!$A$5:$I$86,MATCH(P$3,'Revenue w MYP'!$A$5:$I$5,0),FALSE),0)</f>
        <v>-9931971.8000000007</v>
      </c>
    </row>
    <row r="59" spans="1:16" x14ac:dyDescent="0.75">
      <c r="A59">
        <v>8012</v>
      </c>
      <c r="B59" s="178" t="s">
        <v>1531</v>
      </c>
      <c r="C59" t="str">
        <f t="shared" si="3"/>
        <v>80120701400</v>
      </c>
      <c r="D59" s="517">
        <f>-IFERROR(VLOOKUP(A59,'Revenue w MYP'!$A$5:$I$86,MATCH(D$3,'Revenue w MYP'!$A$5:$I$5,0),FALSE),0)</f>
        <v>-135630.88</v>
      </c>
      <c r="G59">
        <v>8012</v>
      </c>
      <c r="H59" s="178" t="s">
        <v>1531</v>
      </c>
      <c r="I59" t="str">
        <f t="shared" si="4"/>
        <v>80120201400</v>
      </c>
      <c r="J59" s="517">
        <f>-IFERROR(VLOOKUP(G59,'Revenue w MYP'!$A$5:$I$86,MATCH(J$3,'Revenue w MYP'!$A$5:$I$5,0),FALSE),0)</f>
        <v>-2594810</v>
      </c>
      <c r="M59">
        <v>8012</v>
      </c>
      <c r="N59" s="178" t="s">
        <v>1531</v>
      </c>
      <c r="O59" t="str">
        <f t="shared" si="5"/>
        <v>80120401400</v>
      </c>
      <c r="P59" s="517">
        <f>-IFERROR(VLOOKUP(M59,'Revenue w MYP'!$A$5:$I$86,MATCH(P$3,'Revenue w MYP'!$A$5:$I$5,0),FALSE),0)</f>
        <v>-177333.20000000004</v>
      </c>
    </row>
    <row r="60" spans="1:16" x14ac:dyDescent="0.75">
      <c r="A60">
        <v>8096</v>
      </c>
      <c r="B60" s="178" t="s">
        <v>1530</v>
      </c>
      <c r="C60" t="str">
        <f t="shared" si="3"/>
        <v>80960700000</v>
      </c>
      <c r="D60" s="517">
        <f>-IFERROR(VLOOKUP(A60,'Revenue w MYP'!$A$5:$I$86,MATCH(D$3,'Revenue w MYP'!$A$5:$I$5,0),FALSE),0)</f>
        <v>-1289917.4842399999</v>
      </c>
      <c r="G60">
        <v>8096</v>
      </c>
      <c r="H60" s="178" t="s">
        <v>1530</v>
      </c>
      <c r="I60" t="str">
        <f t="shared" si="4"/>
        <v>80960200000</v>
      </c>
      <c r="J60" s="517">
        <f>-IFERROR(VLOOKUP(G60,'Revenue w MYP'!$A$5:$I$86,MATCH(J$3,'Revenue w MYP'!$A$5:$I$5,0),FALSE),0)</f>
        <v>-1804584.1116280002</v>
      </c>
      <c r="M60">
        <v>8096</v>
      </c>
      <c r="N60" s="178" t="s">
        <v>1530</v>
      </c>
      <c r="O60" t="str">
        <f t="shared" si="5"/>
        <v>80960400000</v>
      </c>
      <c r="P60" s="517">
        <f>-IFERROR(VLOOKUP(M60,'Revenue w MYP'!$A$5:$I$86,MATCH(P$3,'Revenue w MYP'!$A$5:$I$5,0),FALSE),0)</f>
        <v>-483605.36972000008</v>
      </c>
    </row>
    <row r="61" spans="1:16" x14ac:dyDescent="0.75">
      <c r="A61">
        <v>8181</v>
      </c>
      <c r="B61" s="178" t="s">
        <v>1532</v>
      </c>
      <c r="C61" t="str">
        <f t="shared" si="3"/>
        <v>81810703310</v>
      </c>
      <c r="D61" s="517">
        <f>-IFERROR(VLOOKUP(A61,'Revenue w MYP'!$A$5:$I$86,MATCH(D$3,'Revenue w MYP'!$A$5:$I$5,0),FALSE),0)</f>
        <v>-160913.42544816001</v>
      </c>
      <c r="G61">
        <v>8181</v>
      </c>
      <c r="H61" s="178" t="s">
        <v>1532</v>
      </c>
      <c r="I61" t="str">
        <f t="shared" si="4"/>
        <v>81810203310</v>
      </c>
      <c r="J61" s="517">
        <f>-IFERROR(VLOOKUP(G61,'Revenue w MYP'!$A$5:$I$86,MATCH(J$3,'Revenue w MYP'!$A$5:$I$5,0),FALSE),0)</f>
        <v>-193517.50332168001</v>
      </c>
      <c r="M61">
        <v>8181</v>
      </c>
      <c r="N61" s="178" t="s">
        <v>1532</v>
      </c>
      <c r="O61" t="str">
        <f t="shared" si="5"/>
        <v>81810403310</v>
      </c>
      <c r="P61" s="517">
        <f>-IFERROR(VLOOKUP(M61,'Revenue w MYP'!$A$5:$I$86,MATCH(P$3,'Revenue w MYP'!$A$5:$I$5,0),FALSE),0)</f>
        <v>-210389.34981240003</v>
      </c>
    </row>
    <row r="62" spans="1:16" x14ac:dyDescent="0.75">
      <c r="A62">
        <v>8290</v>
      </c>
      <c r="B62" s="178" t="s">
        <v>1530</v>
      </c>
      <c r="C62" t="str">
        <f t="shared" si="3"/>
        <v>82900700000</v>
      </c>
      <c r="D62" s="517">
        <f>-IFERROR(VLOOKUP(A62,'Revenue w MYP'!$A$5:$I$86,MATCH(D$3,'Revenue w MYP'!$A$5:$I$5,0),FALSE),0)</f>
        <v>-152919</v>
      </c>
      <c r="G62">
        <v>8290</v>
      </c>
      <c r="H62" s="178" t="s">
        <v>1530</v>
      </c>
      <c r="I62" t="str">
        <f t="shared" si="4"/>
        <v>82900200000</v>
      </c>
      <c r="J62" s="517">
        <f>-IFERROR(VLOOKUP(G62,'Revenue w MYP'!$A$5:$I$86,MATCH(J$3,'Revenue w MYP'!$A$5:$I$5,0),FALSE),0)</f>
        <v>-529135.28</v>
      </c>
      <c r="M62">
        <v>8290</v>
      </c>
      <c r="N62" s="178" t="s">
        <v>1530</v>
      </c>
      <c r="O62" t="str">
        <f t="shared" si="5"/>
        <v>82900400000</v>
      </c>
      <c r="P62" s="517">
        <f>-IFERROR(VLOOKUP(M62,'Revenue w MYP'!$A$5:$I$86,MATCH(P$3,'Revenue w MYP'!$A$5:$I$5,0),FALSE),0)</f>
        <v>-833480</v>
      </c>
    </row>
    <row r="63" spans="1:16" x14ac:dyDescent="0.75">
      <c r="A63">
        <v>8291</v>
      </c>
      <c r="B63" s="178" t="s">
        <v>1533</v>
      </c>
      <c r="C63" t="str">
        <f t="shared" si="3"/>
        <v>82910703010</v>
      </c>
      <c r="D63" s="517">
        <f>-IFERROR(VLOOKUP(A63,'Revenue w MYP'!$A$5:$I$86,MATCH(D$3,'Revenue w MYP'!$A$5:$I$5,0),FALSE),0)</f>
        <v>-71912</v>
      </c>
      <c r="G63">
        <v>8291</v>
      </c>
      <c r="H63" s="178" t="s">
        <v>1533</v>
      </c>
      <c r="I63" t="str">
        <f t="shared" si="4"/>
        <v>82910203010</v>
      </c>
      <c r="J63" s="517">
        <f>-IFERROR(VLOOKUP(G63,'Revenue w MYP'!$A$5:$I$86,MATCH(J$3,'Revenue w MYP'!$A$5:$I$5,0),FALSE),0)</f>
        <v>-159904</v>
      </c>
      <c r="M63">
        <v>8291</v>
      </c>
      <c r="N63" s="178" t="s">
        <v>1533</v>
      </c>
      <c r="O63" t="str">
        <f t="shared" si="5"/>
        <v>82910403010</v>
      </c>
      <c r="P63" s="517">
        <f>-IFERROR(VLOOKUP(M63,'Revenue w MYP'!$A$5:$I$86,MATCH(P$3,'Revenue w MYP'!$A$5:$I$5,0),FALSE),0)</f>
        <v>-151168</v>
      </c>
    </row>
    <row r="64" spans="1:16" x14ac:dyDescent="0.75">
      <c r="A64">
        <v>8292</v>
      </c>
      <c r="B64" s="178" t="s">
        <v>1534</v>
      </c>
      <c r="C64" t="str">
        <f t="shared" si="3"/>
        <v>82920704035</v>
      </c>
      <c r="D64" s="517">
        <f>-IFERROR(VLOOKUP(A64,'Revenue w MYP'!$A$5:$I$86,MATCH(D$3,'Revenue w MYP'!$A$5:$I$5,0),FALSE),0)</f>
        <v>-14404</v>
      </c>
      <c r="G64">
        <v>8292</v>
      </c>
      <c r="H64" s="178" t="s">
        <v>1534</v>
      </c>
      <c r="I64" t="str">
        <f t="shared" si="4"/>
        <v>82920204035</v>
      </c>
      <c r="J64" s="517">
        <f>-IFERROR(VLOOKUP(G64,'Revenue w MYP'!$A$5:$I$86,MATCH(J$3,'Revenue w MYP'!$A$5:$I$5,0),FALSE),0)</f>
        <v>-26785</v>
      </c>
      <c r="M64">
        <v>8292</v>
      </c>
      <c r="N64" s="178" t="s">
        <v>1534</v>
      </c>
      <c r="O64" t="str">
        <f t="shared" si="5"/>
        <v>82920404035</v>
      </c>
      <c r="P64" s="517">
        <f>-IFERROR(VLOOKUP(M64,'Revenue w MYP'!$A$5:$I$86,MATCH(P$3,'Revenue w MYP'!$A$5:$I$5,0),FALSE),0)</f>
        <v>-24648</v>
      </c>
    </row>
    <row r="65" spans="1:16" x14ac:dyDescent="0.75">
      <c r="A65">
        <v>8294</v>
      </c>
      <c r="B65" s="178" t="s">
        <v>1535</v>
      </c>
      <c r="C65" t="str">
        <f t="shared" si="3"/>
        <v>82940704127</v>
      </c>
      <c r="D65" s="517">
        <f>-IFERROR(VLOOKUP(A65,'Revenue w MYP'!$A$5:$I$86,MATCH(D$3,'Revenue w MYP'!$A$5:$I$5,0),FALSE),0)</f>
        <v>-10000</v>
      </c>
      <c r="G65">
        <v>8294</v>
      </c>
      <c r="H65" s="178" t="s">
        <v>1535</v>
      </c>
      <c r="I65" t="str">
        <f t="shared" si="4"/>
        <v>82940204127</v>
      </c>
      <c r="J65" s="517">
        <f>-IFERROR(VLOOKUP(G65,'Revenue w MYP'!$A$5:$I$86,MATCH(J$3,'Revenue w MYP'!$A$5:$I$5,0),FALSE),0)</f>
        <v>-10000</v>
      </c>
      <c r="M65">
        <v>8294</v>
      </c>
      <c r="N65" s="178" t="s">
        <v>1535</v>
      </c>
      <c r="O65" t="str">
        <f t="shared" si="5"/>
        <v>82940404127</v>
      </c>
      <c r="P65" s="517">
        <f>-IFERROR(VLOOKUP(M65,'Revenue w MYP'!$A$5:$I$86,MATCH(P$3,'Revenue w MYP'!$A$5:$I$5,0),FALSE),0)</f>
        <v>-10000</v>
      </c>
    </row>
    <row r="66" spans="1:16" x14ac:dyDescent="0.75">
      <c r="A66">
        <v>8299</v>
      </c>
      <c r="B66" s="178" t="s">
        <v>1530</v>
      </c>
      <c r="C66" t="str">
        <f t="shared" si="3"/>
        <v>82990700000</v>
      </c>
      <c r="D66" s="517">
        <f>-IFERROR(VLOOKUP(A66,'Revenue w MYP'!$A$5:$I$86,MATCH(D$3,'Revenue w MYP'!$A$5:$I$5,0),FALSE),0)</f>
        <v>0</v>
      </c>
      <c r="G66">
        <v>8299</v>
      </c>
      <c r="H66" s="178" t="s">
        <v>1530</v>
      </c>
      <c r="I66" t="str">
        <f t="shared" si="4"/>
        <v>82990200000</v>
      </c>
      <c r="J66" s="517">
        <f>-IFERROR(VLOOKUP(G66,'Revenue w MYP'!$A$5:$I$86,MATCH(J$3,'Revenue w MYP'!$A$5:$I$5,0),FALSE),0)</f>
        <v>0</v>
      </c>
      <c r="M66">
        <v>8299</v>
      </c>
      <c r="N66" s="178" t="s">
        <v>1530</v>
      </c>
      <c r="O66" t="str">
        <f t="shared" si="5"/>
        <v>82990400000</v>
      </c>
      <c r="P66" s="517">
        <f>-IFERROR(VLOOKUP(M66,'Revenue w MYP'!$A$5:$I$86,MATCH(P$3,'Revenue w MYP'!$A$5:$I$5,0),FALSE),0)</f>
        <v>0</v>
      </c>
    </row>
    <row r="67" spans="1:16" x14ac:dyDescent="0.75">
      <c r="A67">
        <v>8550</v>
      </c>
      <c r="B67" s="178" t="s">
        <v>1530</v>
      </c>
      <c r="C67" t="str">
        <f t="shared" si="3"/>
        <v>85500700000</v>
      </c>
      <c r="D67" s="517">
        <f>-IFERROR(VLOOKUP(A67,'Revenue w MYP'!$A$5:$I$86,MATCH(D$3,'Revenue w MYP'!$A$5:$I$5,0),FALSE),0)</f>
        <v>-17035.919559999998</v>
      </c>
      <c r="G67">
        <v>8550</v>
      </c>
      <c r="H67" s="178" t="s">
        <v>1530</v>
      </c>
      <c r="I67" t="str">
        <f t="shared" si="4"/>
        <v>85500200000</v>
      </c>
      <c r="J67" s="517">
        <f>-IFERROR(VLOOKUP(G67,'Revenue w MYP'!$A$5:$I$86,MATCH(J$3,'Revenue w MYP'!$A$5:$I$5,0),FALSE),0)</f>
        <v>-22530.410879999999</v>
      </c>
      <c r="M67">
        <v>8550</v>
      </c>
      <c r="N67" s="178" t="s">
        <v>1530</v>
      </c>
      <c r="O67" t="str">
        <f t="shared" si="5"/>
        <v>85500400000</v>
      </c>
      <c r="P67" s="517">
        <f>-IFERROR(VLOOKUP(M67,'Revenue w MYP'!$A$5:$I$86,MATCH(P$3,'Revenue w MYP'!$A$5:$I$5,0),FALSE),0)</f>
        <v>-25804.133370000003</v>
      </c>
    </row>
    <row r="68" spans="1:16" x14ac:dyDescent="0.75">
      <c r="A68">
        <v>8561</v>
      </c>
      <c r="B68" s="178" t="s">
        <v>10</v>
      </c>
      <c r="C68" t="str">
        <f t="shared" si="3"/>
        <v>85610701100</v>
      </c>
      <c r="D68" s="517">
        <f>-IFERROR(VLOOKUP(A68,'Revenue w MYP'!$A$5:$I$86,MATCH(D$3,'Revenue w MYP'!$A$5:$I$5,0),FALSE),0)</f>
        <v>-160722.59280000001</v>
      </c>
      <c r="G68">
        <v>8561</v>
      </c>
      <c r="H68" s="178" t="s">
        <v>10</v>
      </c>
      <c r="I68" t="str">
        <f t="shared" si="4"/>
        <v>85610201100</v>
      </c>
      <c r="J68" s="517">
        <f>-IFERROR(VLOOKUP(G68,'Revenue w MYP'!$A$5:$I$86,MATCH(J$3,'Revenue w MYP'!$A$5:$I$5,0),FALSE),0)</f>
        <v>-193288.00440000003</v>
      </c>
      <c r="M68">
        <v>8561</v>
      </c>
      <c r="N68" s="178" t="s">
        <v>10</v>
      </c>
      <c r="O68" t="str">
        <f t="shared" si="5"/>
        <v>85610401100</v>
      </c>
      <c r="P68" s="517">
        <f>-IFERROR(VLOOKUP(M68,'Revenue w MYP'!$A$5:$I$86,MATCH(P$3,'Revenue w MYP'!$A$5:$I$5,0),FALSE),0)</f>
        <v>-210139.84200000003</v>
      </c>
    </row>
    <row r="69" spans="1:16" x14ac:dyDescent="0.75">
      <c r="A69">
        <v>8562</v>
      </c>
      <c r="B69" s="178" t="s">
        <v>126</v>
      </c>
      <c r="C69" t="str">
        <f t="shared" si="3"/>
        <v>85620706300</v>
      </c>
      <c r="D69" s="517">
        <f>-IFERROR(VLOOKUP(A69,'Revenue w MYP'!$A$5:$I$86,MATCH(D$3,'Revenue w MYP'!$A$5:$I$5,0),FALSE),0)</f>
        <v>0</v>
      </c>
      <c r="G69">
        <v>8562</v>
      </c>
      <c r="H69" s="178" t="s">
        <v>126</v>
      </c>
      <c r="I69" t="str">
        <f t="shared" si="4"/>
        <v>85620206300</v>
      </c>
      <c r="J69" s="517">
        <f>-IFERROR(VLOOKUP(G69,'Revenue w MYP'!$A$5:$I$86,MATCH(J$3,'Revenue w MYP'!$A$5:$I$5,0),FALSE),0)</f>
        <v>0</v>
      </c>
      <c r="M69">
        <v>8562</v>
      </c>
      <c r="N69" s="178" t="s">
        <v>126</v>
      </c>
      <c r="O69" t="str">
        <f t="shared" si="5"/>
        <v>85620406300</v>
      </c>
      <c r="P69" s="517">
        <f>-IFERROR(VLOOKUP(M69,'Revenue w MYP'!$A$5:$I$86,MATCH(P$3,'Revenue w MYP'!$A$5:$I$5,0),FALSE),0)</f>
        <v>0</v>
      </c>
    </row>
    <row r="70" spans="1:16" x14ac:dyDescent="0.75">
      <c r="A70">
        <v>8590</v>
      </c>
      <c r="B70" s="178" t="s">
        <v>1530</v>
      </c>
      <c r="C70" t="str">
        <f t="shared" si="3"/>
        <v>85900700000</v>
      </c>
      <c r="D70" s="517">
        <f>-IFERROR(VLOOKUP(A70,'Revenue w MYP'!$A$5:$I$86,MATCH(D$3,'Revenue w MYP'!$A$5:$I$5,0),FALSE),0)</f>
        <v>-361094.83333333337</v>
      </c>
      <c r="G70">
        <v>8590</v>
      </c>
      <c r="H70" s="178" t="s">
        <v>1530</v>
      </c>
      <c r="I70" t="str">
        <f t="shared" si="4"/>
        <v>85900200000</v>
      </c>
      <c r="J70" s="517">
        <f>-IFERROR(VLOOKUP(G70,'Revenue w MYP'!$A$5:$I$86,MATCH(J$3,'Revenue w MYP'!$A$5:$I$5,0),FALSE),0)</f>
        <v>-566740.83333333326</v>
      </c>
      <c r="M70">
        <v>8590</v>
      </c>
      <c r="N70" s="178" t="s">
        <v>1530</v>
      </c>
      <c r="O70" t="str">
        <f t="shared" si="5"/>
        <v>85900400000</v>
      </c>
      <c r="P70" s="517">
        <f>-IFERROR(VLOOKUP(M70,'Revenue w MYP'!$A$5:$I$86,MATCH(P$3,'Revenue w MYP'!$A$5:$I$5,0),FALSE),0)</f>
        <v>-598219.83333333326</v>
      </c>
    </row>
    <row r="71" spans="1:16" x14ac:dyDescent="0.75">
      <c r="A71">
        <v>8599</v>
      </c>
      <c r="B71" s="178" t="s">
        <v>1530</v>
      </c>
      <c r="C71" t="str">
        <f t="shared" si="3"/>
        <v>85990700000</v>
      </c>
      <c r="D71" s="517">
        <f>-IFERROR(VLOOKUP(A71,'Revenue w MYP'!$A$5:$I$86,MATCH(D$3,'Revenue w MYP'!$A$5:$I$5,0),FALSE),0)</f>
        <v>0</v>
      </c>
      <c r="G71">
        <v>8599</v>
      </c>
      <c r="H71" s="178" t="s">
        <v>1530</v>
      </c>
      <c r="I71" t="str">
        <f t="shared" si="4"/>
        <v>85990200000</v>
      </c>
      <c r="J71" s="517">
        <f>-IFERROR(VLOOKUP(G71,'Revenue w MYP'!$A$5:$I$86,MATCH(J$3,'Revenue w MYP'!$A$5:$I$5,0),FALSE),0)</f>
        <v>0</v>
      </c>
      <c r="M71">
        <v>8599</v>
      </c>
      <c r="N71" s="178" t="s">
        <v>1530</v>
      </c>
      <c r="O71" t="str">
        <f t="shared" si="5"/>
        <v>85990400000</v>
      </c>
      <c r="P71" s="517">
        <f>-IFERROR(VLOOKUP(M71,'Revenue w MYP'!$A$5:$I$86,MATCH(P$3,'Revenue w MYP'!$A$5:$I$5,0),FALSE),0)</f>
        <v>0</v>
      </c>
    </row>
    <row r="72" spans="1:16" x14ac:dyDescent="0.75">
      <c r="A72">
        <v>8792</v>
      </c>
      <c r="B72" s="178" t="s">
        <v>130</v>
      </c>
      <c r="C72" t="str">
        <f t="shared" si="3"/>
        <v>87920706500</v>
      </c>
      <c r="D72" s="517">
        <f>-IFERROR(VLOOKUP(A72,'Revenue w MYP'!$A$5:$I$86,MATCH(D$3,'Revenue w MYP'!$A$5:$I$5,0),FALSE),0)</f>
        <v>-657573.57613695995</v>
      </c>
      <c r="G72">
        <v>8792</v>
      </c>
      <c r="H72" s="178" t="s">
        <v>130</v>
      </c>
      <c r="I72" t="str">
        <f t="shared" si="4"/>
        <v>87920206500</v>
      </c>
      <c r="J72" s="517">
        <f>-IFERROR(VLOOKUP(G72,'Revenue w MYP'!$A$5:$I$86,MATCH(J$3,'Revenue w MYP'!$A$5:$I$5,0),FALSE),0)</f>
        <v>-804650.8759340801</v>
      </c>
      <c r="M72">
        <v>8792</v>
      </c>
      <c r="N72" s="178" t="s">
        <v>130</v>
      </c>
      <c r="O72" t="str">
        <f t="shared" si="5"/>
        <v>87920406500</v>
      </c>
      <c r="P72" s="517">
        <f>-IFERROR(VLOOKUP(M72,'Revenue w MYP'!$A$5:$I$86,MATCH(P$3,'Revenue w MYP'!$A$5:$I$5,0),FALSE),0)</f>
        <v>-872155.81509440008</v>
      </c>
    </row>
    <row r="73" spans="1:16" x14ac:dyDescent="0.75">
      <c r="A73">
        <v>8660</v>
      </c>
      <c r="B73" s="178" t="s">
        <v>1530</v>
      </c>
      <c r="C73" t="str">
        <f t="shared" si="3"/>
        <v>86600700000</v>
      </c>
      <c r="D73" s="517">
        <f>-IFERROR(VLOOKUP(A73,'Revenue w MYP'!$A$5:$I$86,MATCH(D$3,'Revenue w MYP'!$A$5:$I$5,0),FALSE),0)</f>
        <v>-100</v>
      </c>
      <c r="G73">
        <v>8660</v>
      </c>
      <c r="H73" s="178" t="s">
        <v>1530</v>
      </c>
      <c r="I73" t="str">
        <f t="shared" si="4"/>
        <v>86600200000</v>
      </c>
      <c r="J73" s="517">
        <f>-IFERROR(VLOOKUP(G73,'Revenue w MYP'!$A$5:$I$86,MATCH(J$3,'Revenue w MYP'!$A$5:$I$5,0),FALSE),0)</f>
        <v>-40684.199999999997</v>
      </c>
      <c r="M73">
        <v>8660</v>
      </c>
      <c r="N73" s="178" t="s">
        <v>1530</v>
      </c>
      <c r="O73" t="str">
        <f t="shared" si="5"/>
        <v>86600400000</v>
      </c>
      <c r="P73" s="517">
        <f>-IFERROR(VLOOKUP(M73,'Revenue w MYP'!$A$5:$I$86,MATCH(P$3,'Revenue w MYP'!$A$5:$I$5,0),FALSE),0)</f>
        <v>-100</v>
      </c>
    </row>
    <row r="74" spans="1:16" x14ac:dyDescent="0.75">
      <c r="A74">
        <v>8682</v>
      </c>
      <c r="B74" s="178" t="s">
        <v>1530</v>
      </c>
      <c r="C74" t="str">
        <f t="shared" si="3"/>
        <v>86820700000</v>
      </c>
      <c r="D74" s="517">
        <f>-IFERROR(VLOOKUP(A74,'Revenue w MYP'!$A$5:$I$86,MATCH(D$3,'Revenue w MYP'!$A$5:$I$5,0),FALSE),0)</f>
        <v>-1077.81</v>
      </c>
      <c r="G74">
        <v>8682</v>
      </c>
      <c r="H74" s="178" t="s">
        <v>1530</v>
      </c>
      <c r="I74" t="str">
        <f t="shared" si="4"/>
        <v>86820200000</v>
      </c>
      <c r="J74" s="517">
        <f>-IFERROR(VLOOKUP(G74,'Revenue w MYP'!$A$5:$I$86,MATCH(J$3,'Revenue w MYP'!$A$5:$I$5,0),FALSE),0)</f>
        <v>0</v>
      </c>
      <c r="M74">
        <v>8682</v>
      </c>
      <c r="N74" s="178" t="s">
        <v>1530</v>
      </c>
      <c r="O74" t="str">
        <f t="shared" si="5"/>
        <v>86820400000</v>
      </c>
      <c r="P74" s="517">
        <f>-IFERROR(VLOOKUP(M74,'Revenue w MYP'!$A$5:$I$86,MATCH(P$3,'Revenue w MYP'!$A$5:$I$5,0),FALSE),0)</f>
        <v>-1568.81</v>
      </c>
    </row>
    <row r="75" spans="1:16" x14ac:dyDescent="0.75">
      <c r="A75">
        <v>8699</v>
      </c>
      <c r="B75" s="178" t="s">
        <v>1530</v>
      </c>
      <c r="C75" t="str">
        <f t="shared" si="3"/>
        <v>86990700000</v>
      </c>
      <c r="D75" s="517">
        <f>-IFERROR(VLOOKUP(A75,'Revenue w MYP'!$A$5:$I$86,MATCH(D$3,'Revenue w MYP'!$A$5:$I$5,0),FALSE),0)</f>
        <v>-14538.489999999998</v>
      </c>
      <c r="G75">
        <v>8699</v>
      </c>
      <c r="H75" s="178" t="s">
        <v>1530</v>
      </c>
      <c r="I75" t="str">
        <f t="shared" si="4"/>
        <v>86990200000</v>
      </c>
      <c r="J75" s="517">
        <f>-IFERROR(VLOOKUP(G75,'Revenue w MYP'!$A$5:$I$86,MATCH(J$3,'Revenue w MYP'!$A$5:$I$5,0),FALSE),0)</f>
        <v>-18741.77</v>
      </c>
      <c r="M75">
        <v>8699</v>
      </c>
      <c r="N75" s="178" t="s">
        <v>1530</v>
      </c>
      <c r="O75" t="str">
        <f t="shared" si="5"/>
        <v>86990400000</v>
      </c>
      <c r="P75" s="517">
        <f>-IFERROR(VLOOKUP(M75,'Revenue w MYP'!$A$5:$I$86,MATCH(P$3,'Revenue w MYP'!$A$5:$I$5,0),FALSE),0)</f>
        <v>-21258.16</v>
      </c>
    </row>
    <row r="76" spans="1:16" x14ac:dyDescent="0.75">
      <c r="A76">
        <v>8662</v>
      </c>
      <c r="B76" s="178" t="s">
        <v>1530</v>
      </c>
      <c r="C76" t="str">
        <f t="shared" si="3"/>
        <v>86620700000</v>
      </c>
      <c r="D76" s="517">
        <f>-IFERROR(VLOOKUP(A76,'Revenue w MYP'!$A$5:$I$86,MATCH(D$3,'Revenue w MYP'!$A$5:$I$5,0),FALSE),0)</f>
        <v>-3366.6750000000002</v>
      </c>
      <c r="G76">
        <v>8662</v>
      </c>
      <c r="H76" s="178" t="s">
        <v>1530</v>
      </c>
      <c r="I76" t="str">
        <f t="shared" si="4"/>
        <v>86620200000</v>
      </c>
      <c r="J76" s="517">
        <f>-IFERROR(VLOOKUP(G76,'Revenue w MYP'!$A$5:$I$86,MATCH(J$3,'Revenue w MYP'!$A$5:$I$5,0),FALSE),0)</f>
        <v>-6541.41</v>
      </c>
      <c r="M76">
        <v>8662</v>
      </c>
      <c r="N76" s="178" t="s">
        <v>1530</v>
      </c>
      <c r="O76" t="str">
        <f t="shared" si="5"/>
        <v>86620400000</v>
      </c>
      <c r="P76" s="517">
        <f>-IFERROR(VLOOKUP(M76,'Revenue w MYP'!$A$5:$I$86,MATCH(P$3,'Revenue w MYP'!$A$5:$I$5,0),FALSE),0)</f>
        <v>-5092.8</v>
      </c>
    </row>
  </sheetData>
  <autoFilter ref="A4:P76" xr:uid="{2D05EE3D-2831-4A7B-BF79-715AB57A513A}"/>
  <mergeCells count="3">
    <mergeCell ref="M2:P2"/>
    <mergeCell ref="G2:J2"/>
    <mergeCell ref="A2:D2"/>
  </mergeCells>
  <phoneticPr fontId="75" type="noConversion"/>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8408F-B12F-410B-BA36-334DCA258CA2}">
  <dimension ref="A2:W208"/>
  <sheetViews>
    <sheetView zoomScale="85" zoomScaleNormal="85" workbookViewId="0">
      <selection activeCell="P196" sqref="P196"/>
    </sheetView>
  </sheetViews>
  <sheetFormatPr defaultRowHeight="14.75" x14ac:dyDescent="0.75"/>
  <cols>
    <col min="1" max="1" width="14.76953125" bestFit="1" customWidth="1"/>
    <col min="6" max="6" width="25.453125" bestFit="1" customWidth="1"/>
    <col min="20" max="20" width="10" bestFit="1" customWidth="1"/>
    <col min="22" max="22" width="12.6796875" bestFit="1" customWidth="1"/>
    <col min="23" max="23" width="16.76953125" style="517" bestFit="1" customWidth="1"/>
  </cols>
  <sheetData>
    <row r="2" spans="1:23" s="203" customFormat="1" x14ac:dyDescent="0.75">
      <c r="A2" s="203" t="s">
        <v>1494</v>
      </c>
      <c r="B2" s="203" t="s">
        <v>1495</v>
      </c>
      <c r="C2" s="203" t="s">
        <v>1499</v>
      </c>
      <c r="D2" s="203" t="s">
        <v>1539</v>
      </c>
      <c r="E2" s="203" t="s">
        <v>1540</v>
      </c>
      <c r="F2" s="203" t="s">
        <v>0</v>
      </c>
      <c r="G2" s="203">
        <v>1</v>
      </c>
      <c r="H2" s="203">
        <v>2</v>
      </c>
      <c r="I2" s="203">
        <v>3</v>
      </c>
      <c r="J2" s="203">
        <v>4</v>
      </c>
      <c r="K2" s="203">
        <v>5</v>
      </c>
      <c r="L2" s="203">
        <v>6</v>
      </c>
      <c r="M2" s="203">
        <v>7</v>
      </c>
      <c r="N2" s="203">
        <v>8</v>
      </c>
      <c r="O2" s="203">
        <v>9</v>
      </c>
      <c r="P2" s="203">
        <v>10</v>
      </c>
      <c r="Q2" s="203">
        <v>11</v>
      </c>
      <c r="R2" s="203">
        <v>12</v>
      </c>
      <c r="S2" s="203">
        <v>13</v>
      </c>
      <c r="T2" s="203">
        <v>14</v>
      </c>
      <c r="U2" s="203">
        <v>15</v>
      </c>
      <c r="V2" s="203" t="s">
        <v>1500</v>
      </c>
      <c r="W2" s="533" t="s">
        <v>1501</v>
      </c>
    </row>
    <row r="3" spans="1:23" x14ac:dyDescent="0.75">
      <c r="A3" t="s">
        <v>1674</v>
      </c>
      <c r="B3">
        <v>2270860.4069654727</v>
      </c>
      <c r="C3">
        <f>+LEFT(A3,4)+0</f>
        <v>1100</v>
      </c>
      <c r="D3" t="str">
        <f>+MID(A3,5,3)</f>
        <v>070</v>
      </c>
      <c r="E3" t="str">
        <f>+RIGHT(A3,4)</f>
        <v>0000</v>
      </c>
      <c r="F3" t="s">
        <v>1749</v>
      </c>
      <c r="G3">
        <f ca="1">+$B3*_xlfn.XLOOKUP($C3,'ACTUAL %'!$A:$A,'ACTUAL %'!C:C)</f>
        <v>12537.971640464773</v>
      </c>
      <c r="H3">
        <f ca="1">+$B3*_xlfn.XLOOKUP($C3,'ACTUAL %'!$A:$A,'ACTUAL %'!D:D)</f>
        <v>174752.12910672504</v>
      </c>
      <c r="I3">
        <f ca="1">+$B3*_xlfn.XLOOKUP($C3,'ACTUAL %'!$A:$A,'ACTUAL %'!E:E)</f>
        <v>173972.36016178521</v>
      </c>
      <c r="J3">
        <f ca="1">+$B3*_xlfn.XLOOKUP($C3,'ACTUAL %'!$A:$A,'ACTUAL %'!F:F)</f>
        <v>166903.02855258735</v>
      </c>
      <c r="K3">
        <f ca="1">+$B3*_xlfn.XLOOKUP($C3,'ACTUAL %'!$A:$A,'ACTUAL %'!G:G)</f>
        <v>166850.28314974194</v>
      </c>
      <c r="L3">
        <f ca="1">+$B3*_xlfn.XLOOKUP($C3,'ACTUAL %'!$A:$A,'ACTUAL %'!H:H)</f>
        <v>168262.19720528249</v>
      </c>
      <c r="M3">
        <f ca="1">+$B3*_xlfn.XLOOKUP($C3,'ACTUAL %'!$A:$A,'ACTUAL %'!I:I)</f>
        <v>207607.43662108047</v>
      </c>
      <c r="N3">
        <f ca="1">+$B3*_xlfn.XLOOKUP($C3,'ACTUAL %'!$A:$A,'ACTUAL %'!J:J)</f>
        <v>237703.87838617628</v>
      </c>
      <c r="O3">
        <f ca="1">+$B3*_xlfn.XLOOKUP($C3,'ACTUAL %'!$A:$A,'ACTUAL %'!K:K)</f>
        <v>240567.78053540728</v>
      </c>
      <c r="P3">
        <f ca="1">+$B3*_xlfn.XLOOKUP($C3,'ACTUAL %'!$A:$A,'ACTUAL %'!L:L)</f>
        <v>240567.78053540728</v>
      </c>
      <c r="Q3">
        <f ca="1">+$B3*_xlfn.XLOOKUP($C3,'ACTUAL %'!$A:$A,'ACTUAL %'!M:M)</f>
        <v>240567.78053540728</v>
      </c>
      <c r="R3">
        <f ca="1">+$B3*_xlfn.XLOOKUP($C3,'ACTUAL %'!$A:$A,'ACTUAL %'!N:N)+S3+T3+U3</f>
        <v>240567.78053540728</v>
      </c>
      <c r="S3">
        <f ca="1">+$B3*_xlfn.XLOOKUP($C3,'ACTUAL %'!$A:$A,'ACTUAL %'!O:O)</f>
        <v>0</v>
      </c>
      <c r="T3">
        <f ca="1">+$B3*_xlfn.XLOOKUP($C3,'ACTUAL %'!$A:$A,'ACTUAL %'!P:P)</f>
        <v>0</v>
      </c>
      <c r="U3">
        <f ca="1">+$B3*_xlfn.XLOOKUP($C3,'ACTUAL %'!$A:$A,'ACTUAL %'!Q:Q)</f>
        <v>0</v>
      </c>
      <c r="V3">
        <f ca="1">+SUM(G3:R3)</f>
        <v>2270860.4069654727</v>
      </c>
      <c r="W3" s="517">
        <f ca="1">+V3-B3</f>
        <v>0</v>
      </c>
    </row>
    <row r="4" spans="1:23" x14ac:dyDescent="0.75">
      <c r="A4" s="178" t="s">
        <v>1675</v>
      </c>
      <c r="B4">
        <v>283001.13597645005</v>
      </c>
      <c r="C4">
        <f t="shared" ref="C4:C67" si="0">+LEFT(A4,4)+0</f>
        <v>1200</v>
      </c>
      <c r="D4" t="str">
        <f t="shared" ref="D4:D67" si="1">+MID(A4,5,3)</f>
        <v>070</v>
      </c>
      <c r="E4" t="str">
        <f t="shared" ref="E4:E67" si="2">+RIGHT(A4,4)</f>
        <v>0000</v>
      </c>
      <c r="F4" t="s">
        <v>1750</v>
      </c>
      <c r="G4">
        <f ca="1">+$B4*_xlfn.XLOOKUP($C4,'ACTUAL %'!$A:$A,'ACTUAL %'!C:C)</f>
        <v>5779.5468493484341</v>
      </c>
      <c r="H4">
        <f ca="1">+$B4*_xlfn.XLOOKUP($C4,'ACTUAL %'!$A:$A,'ACTUAL %'!D:D)</f>
        <v>17541.491830076924</v>
      </c>
      <c r="I4">
        <f ca="1">+$B4*_xlfn.XLOOKUP($C4,'ACTUAL %'!$A:$A,'ACTUAL %'!E:E)</f>
        <v>18900.359196734094</v>
      </c>
      <c r="J4">
        <f ca="1">+$B4*_xlfn.XLOOKUP($C4,'ACTUAL %'!$A:$A,'ACTUAL %'!F:F)</f>
        <v>34303.841614526289</v>
      </c>
      <c r="K4">
        <f ca="1">+$B4*_xlfn.XLOOKUP($C4,'ACTUAL %'!$A:$A,'ACTUAL %'!G:G)</f>
        <v>22430.180271300909</v>
      </c>
      <c r="L4">
        <f ca="1">+$B4*_xlfn.XLOOKUP($C4,'ACTUAL %'!$A:$A,'ACTUAL %'!H:H)</f>
        <v>22948.213066723612</v>
      </c>
      <c r="M4">
        <f ca="1">+$B4*_xlfn.XLOOKUP($C4,'ACTUAL %'!$A:$A,'ACTUAL %'!I:I)</f>
        <v>27092.478020269256</v>
      </c>
      <c r="N4">
        <f ca="1">+$B4*_xlfn.XLOOKUP($C4,'ACTUAL %'!$A:$A,'ACTUAL %'!J:J)</f>
        <v>26545.148175608712</v>
      </c>
      <c r="O4">
        <f ca="1">+$B4*_xlfn.XLOOKUP($C4,'ACTUAL %'!$A:$A,'ACTUAL %'!K:K)</f>
        <v>26864.969237965444</v>
      </c>
      <c r="P4">
        <f ca="1">+$B4*_xlfn.XLOOKUP($C4,'ACTUAL %'!$A:$A,'ACTUAL %'!L:L)</f>
        <v>26864.969237965444</v>
      </c>
      <c r="Q4">
        <f ca="1">+$B4*_xlfn.XLOOKUP($C4,'ACTUAL %'!$A:$A,'ACTUAL %'!M:M)</f>
        <v>26864.969237965444</v>
      </c>
      <c r="R4">
        <f ca="1">+$B4*_xlfn.XLOOKUP($C4,'ACTUAL %'!$A:$A,'ACTUAL %'!N:N)+S4+T4+U4</f>
        <v>26864.969237965444</v>
      </c>
      <c r="S4">
        <f ca="1">+$B4*_xlfn.XLOOKUP($C4,'ACTUAL %'!$A:$A,'ACTUAL %'!O:O)</f>
        <v>0</v>
      </c>
      <c r="T4">
        <f ca="1">+$B4*_xlfn.XLOOKUP($C4,'ACTUAL %'!$A:$A,'ACTUAL %'!P:P)</f>
        <v>0</v>
      </c>
      <c r="U4">
        <f ca="1">+$B4*_xlfn.XLOOKUP($C4,'ACTUAL %'!$A:$A,'ACTUAL %'!Q:Q)</f>
        <v>0</v>
      </c>
      <c r="V4">
        <f ca="1">+SUM(G4:R4)</f>
        <v>283001.13597644999</v>
      </c>
      <c r="W4" s="517">
        <f ca="1">+V4-B4</f>
        <v>0</v>
      </c>
    </row>
    <row r="5" spans="1:23" x14ac:dyDescent="0.75">
      <c r="A5" s="178" t="s">
        <v>1676</v>
      </c>
      <c r="B5">
        <v>340263.77812905004</v>
      </c>
      <c r="C5">
        <f t="shared" si="0"/>
        <v>1300</v>
      </c>
      <c r="D5" t="str">
        <f t="shared" si="1"/>
        <v>070</v>
      </c>
      <c r="E5" t="str">
        <f t="shared" si="2"/>
        <v>0000</v>
      </c>
      <c r="F5" t="s">
        <v>1751</v>
      </c>
      <c r="G5">
        <f ca="1">+$B5*_xlfn.XLOOKUP($C5,'ACTUAL %'!$A:$A,'ACTUAL %'!C:C)</f>
        <v>16117.138844267161</v>
      </c>
      <c r="H5">
        <f ca="1">+$B5*_xlfn.XLOOKUP($C5,'ACTUAL %'!$A:$A,'ACTUAL %'!D:D)</f>
        <v>21364.065618021083</v>
      </c>
      <c r="I5">
        <f ca="1">+$B5*_xlfn.XLOOKUP($C5,'ACTUAL %'!$A:$A,'ACTUAL %'!E:E)</f>
        <v>21563.281937704269</v>
      </c>
      <c r="J5">
        <f ca="1">+$B5*_xlfn.XLOOKUP($C5,'ACTUAL %'!$A:$A,'ACTUAL %'!F:F)</f>
        <v>23108.459023795316</v>
      </c>
      <c r="K5">
        <f ca="1">+$B5*_xlfn.XLOOKUP($C5,'ACTUAL %'!$A:$A,'ACTUAL %'!G:G)</f>
        <v>19259.629661020594</v>
      </c>
      <c r="L5">
        <f ca="1">+$B5*_xlfn.XLOOKUP($C5,'ACTUAL %'!$A:$A,'ACTUAL %'!H:H)</f>
        <v>20170.54822734385</v>
      </c>
      <c r="M5">
        <f ca="1">+$B5*_xlfn.XLOOKUP($C5,'ACTUAL %'!$A:$A,'ACTUAL %'!I:I)</f>
        <v>23607.308986086329</v>
      </c>
      <c r="N5">
        <f ca="1">+$B5*_xlfn.XLOOKUP($C5,'ACTUAL %'!$A:$A,'ACTUAL %'!J:J)</f>
        <v>38642.214090590336</v>
      </c>
      <c r="O5">
        <f ca="1">+$B5*_xlfn.XLOOKUP($C5,'ACTUAL %'!$A:$A,'ACTUAL %'!K:K)</f>
        <v>39107.782935055278</v>
      </c>
      <c r="P5">
        <f ca="1">+$B5*_xlfn.XLOOKUP($C5,'ACTUAL %'!$A:$A,'ACTUAL %'!L:L)</f>
        <v>39107.782935055278</v>
      </c>
      <c r="Q5">
        <f ca="1">+$B5*_xlfn.XLOOKUP($C5,'ACTUAL %'!$A:$A,'ACTUAL %'!M:M)</f>
        <v>39107.782935055278</v>
      </c>
      <c r="R5">
        <f ca="1">+$B5*_xlfn.XLOOKUP($C5,'ACTUAL %'!$A:$A,'ACTUAL %'!N:N)+S5+T5+U5</f>
        <v>39107.782935055278</v>
      </c>
      <c r="S5">
        <f ca="1">+$B5*_xlfn.XLOOKUP($C5,'ACTUAL %'!$A:$A,'ACTUAL %'!O:O)</f>
        <v>0</v>
      </c>
      <c r="T5">
        <f ca="1">+$B5*_xlfn.XLOOKUP($C5,'ACTUAL %'!$A:$A,'ACTUAL %'!P:P)</f>
        <v>0</v>
      </c>
      <c r="U5">
        <f ca="1">+$B5*_xlfn.XLOOKUP($C5,'ACTUAL %'!$A:$A,'ACTUAL %'!Q:Q)</f>
        <v>0</v>
      </c>
      <c r="V5">
        <f ca="1">+SUM(G5:R5)</f>
        <v>340263.77812905004</v>
      </c>
      <c r="W5" s="517">
        <f ca="1">+V5-B5</f>
        <v>0</v>
      </c>
    </row>
    <row r="6" spans="1:23" x14ac:dyDescent="0.75">
      <c r="A6" t="s">
        <v>1677</v>
      </c>
      <c r="B6">
        <v>89242.222375999991</v>
      </c>
      <c r="C6">
        <f t="shared" si="0"/>
        <v>2100</v>
      </c>
      <c r="D6" t="str">
        <f t="shared" si="1"/>
        <v>070</v>
      </c>
      <c r="E6" t="str">
        <f t="shared" si="2"/>
        <v>0000</v>
      </c>
      <c r="F6" t="s">
        <v>1752</v>
      </c>
      <c r="G6">
        <f ca="1">+$B6*_xlfn.XLOOKUP($C6,'ACTUAL %'!$A:$A,'ACTUAL %'!C:C)</f>
        <v>411.38867227549559</v>
      </c>
      <c r="H6">
        <f ca="1">+$B6*_xlfn.XLOOKUP($C6,'ACTUAL %'!$A:$A,'ACTUAL %'!D:D)</f>
        <v>6530.0889977054849</v>
      </c>
      <c r="I6">
        <f ca="1">+$B6*_xlfn.XLOOKUP($C6,'ACTUAL %'!$A:$A,'ACTUAL %'!E:E)</f>
        <v>8503.5372642780367</v>
      </c>
      <c r="J6">
        <f ca="1">+$B6*_xlfn.XLOOKUP($C6,'ACTUAL %'!$A:$A,'ACTUAL %'!F:F)</f>
        <v>7816.220132250487</v>
      </c>
      <c r="K6">
        <f ca="1">+$B6*_xlfn.XLOOKUP($C6,'ACTUAL %'!$A:$A,'ACTUAL %'!G:G)</f>
        <v>8976.3419382151824</v>
      </c>
      <c r="L6">
        <f ca="1">+$B6*_xlfn.XLOOKUP($C6,'ACTUAL %'!$A:$A,'ACTUAL %'!H:H)</f>
        <v>8711.0217639499951</v>
      </c>
      <c r="M6">
        <f ca="1">+$B6*_xlfn.XLOOKUP($C6,'ACTUAL %'!$A:$A,'ACTUAL %'!I:I)</f>
        <v>11832.066835068068</v>
      </c>
      <c r="N6">
        <f ca="1">+$B6*_xlfn.XLOOKUP($C6,'ACTUAL %'!$A:$A,'ACTUAL %'!J:J)</f>
        <v>7222.6950169387856</v>
      </c>
      <c r="O6">
        <f ca="1">+$B6*_xlfn.XLOOKUP($C6,'ACTUAL %'!$A:$A,'ACTUAL %'!K:K)</f>
        <v>7309.715438829614</v>
      </c>
      <c r="P6">
        <f ca="1">+$B6*_xlfn.XLOOKUP($C6,'ACTUAL %'!$A:$A,'ACTUAL %'!L:L)</f>
        <v>7309.715438829614</v>
      </c>
      <c r="Q6">
        <f ca="1">+$B6*_xlfn.XLOOKUP($C6,'ACTUAL %'!$A:$A,'ACTUAL %'!M:M)</f>
        <v>7309.715438829614</v>
      </c>
      <c r="R6">
        <f ca="1">+$B6*_xlfn.XLOOKUP($C6,'ACTUAL %'!$A:$A,'ACTUAL %'!N:N)+S6+T6+U6</f>
        <v>7309.715438829614</v>
      </c>
      <c r="S6">
        <f ca="1">+$B6*_xlfn.XLOOKUP($C6,'ACTUAL %'!$A:$A,'ACTUAL %'!O:O)</f>
        <v>0</v>
      </c>
      <c r="T6">
        <f ca="1">+$B6*_xlfn.XLOOKUP($C6,'ACTUAL %'!$A:$A,'ACTUAL %'!P:P)</f>
        <v>0</v>
      </c>
      <c r="U6">
        <f ca="1">+$B6*_xlfn.XLOOKUP($C6,'ACTUAL %'!$A:$A,'ACTUAL %'!Q:Q)</f>
        <v>0</v>
      </c>
      <c r="V6">
        <f ca="1">+SUM(G6:R6)</f>
        <v>89242.222376000005</v>
      </c>
      <c r="W6" s="517">
        <f ca="1">+V6-B6</f>
        <v>0</v>
      </c>
    </row>
    <row r="7" spans="1:23" x14ac:dyDescent="0.75">
      <c r="A7" t="s">
        <v>1678</v>
      </c>
      <c r="B7">
        <v>423979.30878820003</v>
      </c>
      <c r="C7">
        <f t="shared" si="0"/>
        <v>2200</v>
      </c>
      <c r="D7" t="str">
        <f t="shared" si="1"/>
        <v>070</v>
      </c>
      <c r="E7" t="str">
        <f t="shared" si="2"/>
        <v>0000</v>
      </c>
      <c r="F7" t="s">
        <v>1753</v>
      </c>
      <c r="G7">
        <f ca="1">+$B7*_xlfn.XLOOKUP($C7,'ACTUAL %'!$A:$A,'ACTUAL %'!C:C)</f>
        <v>27888.559505821213</v>
      </c>
      <c r="H7">
        <f ca="1">+$B7*_xlfn.XLOOKUP($C7,'ACTUAL %'!$A:$A,'ACTUAL %'!D:D)</f>
        <v>33867.3015502907</v>
      </c>
      <c r="I7">
        <f ca="1">+$B7*_xlfn.XLOOKUP($C7,'ACTUAL %'!$A:$A,'ACTUAL %'!E:E)</f>
        <v>34298.019977356089</v>
      </c>
      <c r="J7">
        <f ca="1">+$B7*_xlfn.XLOOKUP($C7,'ACTUAL %'!$A:$A,'ACTUAL %'!F:F)</f>
        <v>37190.514851046806</v>
      </c>
      <c r="K7">
        <f ca="1">+$B7*_xlfn.XLOOKUP($C7,'ACTUAL %'!$A:$A,'ACTUAL %'!G:G)</f>
        <v>34913.002817762477</v>
      </c>
      <c r="L7">
        <f ca="1">+$B7*_xlfn.XLOOKUP($C7,'ACTUAL %'!$A:$A,'ACTUAL %'!H:H)</f>
        <v>36925.665103661864</v>
      </c>
      <c r="M7">
        <f ca="1">+$B7*_xlfn.XLOOKUP($C7,'ACTUAL %'!$A:$A,'ACTUAL %'!I:I)</f>
        <v>42856.721018172902</v>
      </c>
      <c r="N7">
        <f ca="1">+$B7*_xlfn.XLOOKUP($C7,'ACTUAL %'!$A:$A,'ACTUAL %'!J:J)</f>
        <v>34871.791143244147</v>
      </c>
      <c r="O7">
        <f ca="1">+$B7*_xlfn.XLOOKUP($C7,'ACTUAL %'!$A:$A,'ACTUAL %'!K:K)</f>
        <v>35291.933205210946</v>
      </c>
      <c r="P7">
        <f ca="1">+$B7*_xlfn.XLOOKUP($C7,'ACTUAL %'!$A:$A,'ACTUAL %'!L:L)</f>
        <v>35291.933205210946</v>
      </c>
      <c r="Q7">
        <f ca="1">+$B7*_xlfn.XLOOKUP($C7,'ACTUAL %'!$A:$A,'ACTUAL %'!M:M)</f>
        <v>35291.933205210946</v>
      </c>
      <c r="R7">
        <f ca="1">+$B7*_xlfn.XLOOKUP($C7,'ACTUAL %'!$A:$A,'ACTUAL %'!N:N)+S7+T7+U7</f>
        <v>35291.933205210946</v>
      </c>
      <c r="S7">
        <f ca="1">+$B7*_xlfn.XLOOKUP($C7,'ACTUAL %'!$A:$A,'ACTUAL %'!O:O)</f>
        <v>0</v>
      </c>
      <c r="T7">
        <f ca="1">+$B7*_xlfn.XLOOKUP($C7,'ACTUAL %'!$A:$A,'ACTUAL %'!P:P)</f>
        <v>0</v>
      </c>
      <c r="U7">
        <f ca="1">+$B7*_xlfn.XLOOKUP($C7,'ACTUAL %'!$A:$A,'ACTUAL %'!Q:Q)</f>
        <v>0</v>
      </c>
      <c r="V7">
        <f ca="1">+SUM(G7:R7)</f>
        <v>423979.30878819997</v>
      </c>
      <c r="W7" s="517">
        <f ca="1">+V7-B7</f>
        <v>0</v>
      </c>
    </row>
    <row r="8" spans="1:23" x14ac:dyDescent="0.75">
      <c r="A8" t="s">
        <v>1679</v>
      </c>
      <c r="B8">
        <v>183523.704146</v>
      </c>
      <c r="C8">
        <f t="shared" si="0"/>
        <v>2300</v>
      </c>
      <c r="D8" t="str">
        <f t="shared" si="1"/>
        <v>070</v>
      </c>
      <c r="E8" t="str">
        <f t="shared" si="2"/>
        <v>0000</v>
      </c>
      <c r="F8" t="s">
        <v>1754</v>
      </c>
      <c r="G8">
        <f ca="1">+$B8*_xlfn.XLOOKUP($C8,'ACTUAL %'!$A:$A,'ACTUAL %'!C:C)</f>
        <v>21435.38908726941</v>
      </c>
      <c r="H8">
        <f ca="1">+$B8*_xlfn.XLOOKUP($C8,'ACTUAL %'!$A:$A,'ACTUAL %'!D:D)</f>
        <v>21247.170775673116</v>
      </c>
      <c r="I8">
        <f ca="1">+$B8*_xlfn.XLOOKUP($C8,'ACTUAL %'!$A:$A,'ACTUAL %'!E:E)</f>
        <v>22256.081912523823</v>
      </c>
      <c r="J8">
        <f ca="1">+$B8*_xlfn.XLOOKUP($C8,'ACTUAL %'!$A:$A,'ACTUAL %'!F:F)</f>
        <v>6907.4430099600022</v>
      </c>
      <c r="K8">
        <f ca="1">+$B8*_xlfn.XLOOKUP($C8,'ACTUAL %'!$A:$A,'ACTUAL %'!G:G)</f>
        <v>18295.355395328112</v>
      </c>
      <c r="L8">
        <f ca="1">+$B8*_xlfn.XLOOKUP($C8,'ACTUAL %'!$A:$A,'ACTUAL %'!H:H)</f>
        <v>18586.332538131381</v>
      </c>
      <c r="M8">
        <f ca="1">+$B8*_xlfn.XLOOKUP($C8,'ACTUAL %'!$A:$A,'ACTUAL %'!I:I)</f>
        <v>20889.645651577401</v>
      </c>
      <c r="N8">
        <f ca="1">+$B8*_xlfn.XLOOKUP($C8,'ACTUAL %'!$A:$A,'ACTUAL %'!J:J)</f>
        <v>10678.333459115869</v>
      </c>
      <c r="O8">
        <f ca="1">+$B8*_xlfn.XLOOKUP($C8,'ACTUAL %'!$A:$A,'ACTUAL %'!K:K)</f>
        <v>10806.988079105218</v>
      </c>
      <c r="P8">
        <f ca="1">+$B8*_xlfn.XLOOKUP($C8,'ACTUAL %'!$A:$A,'ACTUAL %'!L:L)</f>
        <v>10806.988079105218</v>
      </c>
      <c r="Q8">
        <f ca="1">+$B8*_xlfn.XLOOKUP($C8,'ACTUAL %'!$A:$A,'ACTUAL %'!M:M)</f>
        <v>10806.988079105218</v>
      </c>
      <c r="R8">
        <f ca="1">+$B8*_xlfn.XLOOKUP($C8,'ACTUAL %'!$A:$A,'ACTUAL %'!N:N)+S8+T8+U8</f>
        <v>10806.988079105218</v>
      </c>
      <c r="S8">
        <f ca="1">+$B8*_xlfn.XLOOKUP($C8,'ACTUAL %'!$A:$A,'ACTUAL %'!O:O)</f>
        <v>0</v>
      </c>
      <c r="T8">
        <f ca="1">+$B8*_xlfn.XLOOKUP($C8,'ACTUAL %'!$A:$A,'ACTUAL %'!P:P)</f>
        <v>0</v>
      </c>
      <c r="U8">
        <f ca="1">+$B8*_xlfn.XLOOKUP($C8,'ACTUAL %'!$A:$A,'ACTUAL %'!Q:Q)</f>
        <v>0</v>
      </c>
      <c r="V8">
        <f t="shared" ref="V8:V71" ca="1" si="3">+SUM(G8:R8)</f>
        <v>183523.70414599995</v>
      </c>
      <c r="W8" s="517">
        <f t="shared" ref="W8:W71" ca="1" si="4">+V8-B8</f>
        <v>0</v>
      </c>
    </row>
    <row r="9" spans="1:23" x14ac:dyDescent="0.75">
      <c r="A9" t="s">
        <v>1680</v>
      </c>
      <c r="B9">
        <v>167694.76541780002</v>
      </c>
      <c r="C9">
        <f t="shared" si="0"/>
        <v>2400</v>
      </c>
      <c r="D9" t="str">
        <f t="shared" si="1"/>
        <v>070</v>
      </c>
      <c r="E9" t="str">
        <f t="shared" si="2"/>
        <v>0000</v>
      </c>
      <c r="F9" t="s">
        <v>1755</v>
      </c>
      <c r="G9">
        <f ca="1">+$B9*_xlfn.XLOOKUP($C9,'ACTUAL %'!$A:$A,'ACTUAL %'!C:C)</f>
        <v>12515.614243718032</v>
      </c>
      <c r="H9">
        <f ca="1">+$B9*_xlfn.XLOOKUP($C9,'ACTUAL %'!$A:$A,'ACTUAL %'!D:D)</f>
        <v>13325.410269524991</v>
      </c>
      <c r="I9">
        <f ca="1">+$B9*_xlfn.XLOOKUP($C9,'ACTUAL %'!$A:$A,'ACTUAL %'!E:E)</f>
        <v>13207.690321445145</v>
      </c>
      <c r="J9">
        <f ca="1">+$B9*_xlfn.XLOOKUP($C9,'ACTUAL %'!$A:$A,'ACTUAL %'!F:F)</f>
        <v>8176.2103862358208</v>
      </c>
      <c r="K9">
        <f ca="1">+$B9*_xlfn.XLOOKUP($C9,'ACTUAL %'!$A:$A,'ACTUAL %'!G:G)</f>
        <v>12004.903346265335</v>
      </c>
      <c r="L9">
        <f ca="1">+$B9*_xlfn.XLOOKUP($C9,'ACTUAL %'!$A:$A,'ACTUAL %'!H:H)</f>
        <v>12508.870252950856</v>
      </c>
      <c r="M9">
        <f ca="1">+$B9*_xlfn.XLOOKUP($C9,'ACTUAL %'!$A:$A,'ACTUAL %'!I:I)</f>
        <v>15553.815143109236</v>
      </c>
      <c r="N9">
        <f ca="1">+$B9*_xlfn.XLOOKUP($C9,'ACTUAL %'!$A:$A,'ACTUAL %'!J:J)</f>
        <v>15926.937638968258</v>
      </c>
      <c r="O9">
        <f ca="1">+$B9*_xlfn.XLOOKUP($C9,'ACTUAL %'!$A:$A,'ACTUAL %'!K:K)</f>
        <v>16118.828453895589</v>
      </c>
      <c r="P9">
        <f ca="1">+$B9*_xlfn.XLOOKUP($C9,'ACTUAL %'!$A:$A,'ACTUAL %'!L:L)</f>
        <v>16118.828453895589</v>
      </c>
      <c r="Q9">
        <f ca="1">+$B9*_xlfn.XLOOKUP($C9,'ACTUAL %'!$A:$A,'ACTUAL %'!M:M)</f>
        <v>16118.828453895589</v>
      </c>
      <c r="R9">
        <f ca="1">+$B9*_xlfn.XLOOKUP($C9,'ACTUAL %'!$A:$A,'ACTUAL %'!N:N)+S9+T9+U9</f>
        <v>16118.828453895589</v>
      </c>
      <c r="S9">
        <f ca="1">+$B9*_xlfn.XLOOKUP($C9,'ACTUAL %'!$A:$A,'ACTUAL %'!O:O)</f>
        <v>0</v>
      </c>
      <c r="T9">
        <f ca="1">+$B9*_xlfn.XLOOKUP($C9,'ACTUAL %'!$A:$A,'ACTUAL %'!P:P)</f>
        <v>0</v>
      </c>
      <c r="U9">
        <f ca="1">+$B9*_xlfn.XLOOKUP($C9,'ACTUAL %'!$A:$A,'ACTUAL %'!Q:Q)</f>
        <v>0</v>
      </c>
      <c r="V9">
        <f t="shared" ca="1" si="3"/>
        <v>167694.76541780002</v>
      </c>
      <c r="W9" s="517">
        <f t="shared" ca="1" si="4"/>
        <v>0</v>
      </c>
    </row>
    <row r="10" spans="1:23" x14ac:dyDescent="0.75">
      <c r="A10" t="s">
        <v>1681</v>
      </c>
      <c r="B10">
        <v>489686.0043252086</v>
      </c>
      <c r="C10">
        <f t="shared" si="0"/>
        <v>3101</v>
      </c>
      <c r="D10" t="str">
        <f t="shared" si="1"/>
        <v>070</v>
      </c>
      <c r="E10" t="str">
        <f t="shared" si="2"/>
        <v>0000</v>
      </c>
      <c r="F10" t="s">
        <v>1756</v>
      </c>
      <c r="G10">
        <f ca="1">+$B10*_xlfn.XLOOKUP($C10,'ACTUAL %'!$A:$A,'ACTUAL %'!C:C)</f>
        <v>769.36563931533794</v>
      </c>
      <c r="H10">
        <f ca="1">+$B10*_xlfn.XLOOKUP($C10,'ACTUAL %'!$A:$A,'ACTUAL %'!D:D)</f>
        <v>29286.753958207326</v>
      </c>
      <c r="I10">
        <f ca="1">+$B10*_xlfn.XLOOKUP($C10,'ACTUAL %'!$A:$A,'ACTUAL %'!E:E)</f>
        <v>32808.720942266089</v>
      </c>
      <c r="J10">
        <f ca="1">+$B10*_xlfn.XLOOKUP($C10,'ACTUAL %'!$A:$A,'ACTUAL %'!F:F)</f>
        <v>38853.862019713684</v>
      </c>
      <c r="K10">
        <f ca="1">+$B10*_xlfn.XLOOKUP($C10,'ACTUAL %'!$A:$A,'ACTUAL %'!G:G)</f>
        <v>31089.78077120928</v>
      </c>
      <c r="L10">
        <f ca="1">+$B10*_xlfn.XLOOKUP($C10,'ACTUAL %'!$A:$A,'ACTUAL %'!H:H)</f>
        <v>30994.749572751098</v>
      </c>
      <c r="M10">
        <f ca="1">+$B10*_xlfn.XLOOKUP($C10,'ACTUAL %'!$A:$A,'ACTUAL %'!I:I)</f>
        <v>39303.27712606611</v>
      </c>
      <c r="N10">
        <f ca="1">+$B10*_xlfn.XLOOKUP($C10,'ACTUAL %'!$A:$A,'ACTUAL %'!J:J)</f>
        <v>56768.730373607199</v>
      </c>
      <c r="O10">
        <f ca="1">+$B10*_xlfn.XLOOKUP($C10,'ACTUAL %'!$A:$A,'ACTUAL %'!K:K)</f>
        <v>57452.690980518128</v>
      </c>
      <c r="P10">
        <f ca="1">+$B10*_xlfn.XLOOKUP($C10,'ACTUAL %'!$A:$A,'ACTUAL %'!L:L)</f>
        <v>57452.690980518128</v>
      </c>
      <c r="Q10">
        <f ca="1">+$B10*_xlfn.XLOOKUP($C10,'ACTUAL %'!$A:$A,'ACTUAL %'!M:M)</f>
        <v>57452.690980518128</v>
      </c>
      <c r="R10">
        <f ca="1">+$B10*_xlfn.XLOOKUP($C10,'ACTUAL %'!$A:$A,'ACTUAL %'!N:N)+S10+T10+U10</f>
        <v>57452.690980518128</v>
      </c>
      <c r="S10">
        <f ca="1">+$B10*_xlfn.XLOOKUP($C10,'ACTUAL %'!$A:$A,'ACTUAL %'!O:O)</f>
        <v>0</v>
      </c>
      <c r="T10">
        <f ca="1">+$B10*_xlfn.XLOOKUP($C10,'ACTUAL %'!$A:$A,'ACTUAL %'!P:P)</f>
        <v>0</v>
      </c>
      <c r="U10">
        <f ca="1">+$B10*_xlfn.XLOOKUP($C10,'ACTUAL %'!$A:$A,'ACTUAL %'!Q:Q)</f>
        <v>0</v>
      </c>
      <c r="V10">
        <f t="shared" ca="1" si="3"/>
        <v>489686.0043252086</v>
      </c>
      <c r="W10" s="517">
        <f t="shared" ca="1" si="4"/>
        <v>0</v>
      </c>
    </row>
    <row r="11" spans="1:23" x14ac:dyDescent="0.75">
      <c r="A11" t="s">
        <v>1981</v>
      </c>
      <c r="B11">
        <v>41964.817155529119</v>
      </c>
      <c r="C11">
        <f t="shared" si="0"/>
        <v>3301</v>
      </c>
      <c r="D11" t="str">
        <f t="shared" si="1"/>
        <v>070</v>
      </c>
      <c r="E11" t="str">
        <f t="shared" si="2"/>
        <v>0000</v>
      </c>
      <c r="F11" t="s">
        <v>2015</v>
      </c>
      <c r="G11">
        <f ca="1">+$B11*_xlfn.XLOOKUP($C11,'ACTUAL %'!$A:$A,'ACTUAL %'!C:C)</f>
        <v>0</v>
      </c>
      <c r="H11">
        <f ca="1">+$B11*_xlfn.XLOOKUP($C11,'ACTUAL %'!$A:$A,'ACTUAL %'!D:D)</f>
        <v>0</v>
      </c>
      <c r="I11">
        <f ca="1">+$B11*_xlfn.XLOOKUP($C11,'ACTUAL %'!$A:$A,'ACTUAL %'!E:E)</f>
        <v>0</v>
      </c>
      <c r="J11">
        <f ca="1">+$B11*_xlfn.XLOOKUP($C11,'ACTUAL %'!$A:$A,'ACTUAL %'!F:F)</f>
        <v>10028.524049460111</v>
      </c>
      <c r="K11">
        <f ca="1">+$B11*_xlfn.XLOOKUP($C11,'ACTUAL %'!$A:$A,'ACTUAL %'!G:G)</f>
        <v>3004.197860292416</v>
      </c>
      <c r="L11">
        <f ca="1">+$B11*_xlfn.XLOOKUP($C11,'ACTUAL %'!$A:$A,'ACTUAL %'!H:H)</f>
        <v>2962.1774648632277</v>
      </c>
      <c r="M11">
        <f ca="1">+$B11*_xlfn.XLOOKUP($C11,'ACTUAL %'!$A:$A,'ACTUAL %'!I:I)</f>
        <v>3636.32454746026</v>
      </c>
      <c r="N11">
        <f ca="1">+$B11*_xlfn.XLOOKUP($C11,'ACTUAL %'!$A:$A,'ACTUAL %'!J:J)</f>
        <v>4424.0769412329537</v>
      </c>
      <c r="O11">
        <f ca="1">+$B11*_xlfn.XLOOKUP($C11,'ACTUAL %'!$A:$A,'ACTUAL %'!K:K)</f>
        <v>4477.3790730550372</v>
      </c>
      <c r="P11">
        <f ca="1">+$B11*_xlfn.XLOOKUP($C11,'ACTUAL %'!$A:$A,'ACTUAL %'!L:L)</f>
        <v>4477.3790730550372</v>
      </c>
      <c r="Q11">
        <f ca="1">+$B11*_xlfn.XLOOKUP($C11,'ACTUAL %'!$A:$A,'ACTUAL %'!M:M)</f>
        <v>4477.3790730550372</v>
      </c>
      <c r="R11">
        <f ca="1">+$B11*_xlfn.XLOOKUP($C11,'ACTUAL %'!$A:$A,'ACTUAL %'!N:N)+S11+T11+U11</f>
        <v>4477.3790730550372</v>
      </c>
      <c r="S11">
        <f ca="1">+$B11*_xlfn.XLOOKUP($C11,'ACTUAL %'!$A:$A,'ACTUAL %'!O:O)</f>
        <v>0</v>
      </c>
      <c r="T11">
        <f ca="1">+$B11*_xlfn.XLOOKUP($C11,'ACTUAL %'!$A:$A,'ACTUAL %'!P:P)</f>
        <v>0</v>
      </c>
      <c r="U11">
        <f ca="1">+$B11*_xlfn.XLOOKUP($C11,'ACTUAL %'!$A:$A,'ACTUAL %'!Q:Q)</f>
        <v>0</v>
      </c>
      <c r="V11">
        <f t="shared" ca="1" si="3"/>
        <v>41964.817155529119</v>
      </c>
      <c r="W11" s="517">
        <f t="shared" ca="1" si="4"/>
        <v>0</v>
      </c>
    </row>
    <row r="12" spans="1:23" x14ac:dyDescent="0.75">
      <c r="A12" t="s">
        <v>1982</v>
      </c>
      <c r="B12">
        <v>66129.660055692002</v>
      </c>
      <c r="C12">
        <f t="shared" si="0"/>
        <v>3302</v>
      </c>
      <c r="D12" t="str">
        <f t="shared" si="1"/>
        <v>070</v>
      </c>
      <c r="E12" t="str">
        <f t="shared" si="2"/>
        <v>0000</v>
      </c>
      <c r="F12" t="s">
        <v>2016</v>
      </c>
      <c r="G12">
        <f ca="1">+$B12*_xlfn.XLOOKUP($C12,'ACTUAL %'!$A:$A,'ACTUAL %'!C:C)</f>
        <v>0</v>
      </c>
      <c r="H12">
        <f ca="1">+$B12*_xlfn.XLOOKUP($C12,'ACTUAL %'!$A:$A,'ACTUAL %'!D:D)</f>
        <v>0</v>
      </c>
      <c r="I12">
        <f ca="1">+$B12*_xlfn.XLOOKUP($C12,'ACTUAL %'!$A:$A,'ACTUAL %'!E:E)</f>
        <v>0</v>
      </c>
      <c r="J12">
        <f ca="1">+$B12*_xlfn.XLOOKUP($C12,'ACTUAL %'!$A:$A,'ACTUAL %'!F:F)</f>
        <v>19531.706424759304</v>
      </c>
      <c r="K12">
        <f ca="1">+$B12*_xlfn.XLOOKUP($C12,'ACTUAL %'!$A:$A,'ACTUAL %'!G:G)</f>
        <v>5033.1222843693358</v>
      </c>
      <c r="L12">
        <f ca="1">+$B12*_xlfn.XLOOKUP($C12,'ACTUAL %'!$A:$A,'ACTUAL %'!H:H)</f>
        <v>5366.6701672997815</v>
      </c>
      <c r="M12">
        <f ca="1">+$B12*_xlfn.XLOOKUP($C12,'ACTUAL %'!$A:$A,'ACTUAL %'!I:I)</f>
        <v>6582.4984049785153</v>
      </c>
      <c r="N12">
        <f ca="1">+$B12*_xlfn.XLOOKUP($C12,'ACTUAL %'!$A:$A,'ACTUAL %'!J:J)</f>
        <v>5866.5871366722195</v>
      </c>
      <c r="O12">
        <f ca="1">+$B12*_xlfn.XLOOKUP($C12,'ACTUAL %'!$A:$A,'ACTUAL %'!K:K)</f>
        <v>5937.2689094032103</v>
      </c>
      <c r="P12">
        <f ca="1">+$B12*_xlfn.XLOOKUP($C12,'ACTUAL %'!$A:$A,'ACTUAL %'!L:L)</f>
        <v>5937.2689094032103</v>
      </c>
      <c r="Q12">
        <f ca="1">+$B12*_xlfn.XLOOKUP($C12,'ACTUAL %'!$A:$A,'ACTUAL %'!M:M)</f>
        <v>5937.2689094032103</v>
      </c>
      <c r="R12">
        <f ca="1">+$B12*_xlfn.XLOOKUP($C12,'ACTUAL %'!$A:$A,'ACTUAL %'!N:N)+S12+T12+U12</f>
        <v>5937.2689094032103</v>
      </c>
      <c r="S12">
        <f ca="1">+$B12*_xlfn.XLOOKUP($C12,'ACTUAL %'!$A:$A,'ACTUAL %'!O:O)</f>
        <v>0</v>
      </c>
      <c r="T12">
        <f ca="1">+$B12*_xlfn.XLOOKUP($C12,'ACTUAL %'!$A:$A,'ACTUAL %'!P:P)</f>
        <v>0</v>
      </c>
      <c r="U12">
        <f ca="1">+$B12*_xlfn.XLOOKUP($C12,'ACTUAL %'!$A:$A,'ACTUAL %'!Q:Q)</f>
        <v>0</v>
      </c>
      <c r="V12">
        <f t="shared" ca="1" si="3"/>
        <v>66129.660055691988</v>
      </c>
      <c r="W12" s="517">
        <f t="shared" ca="1" si="4"/>
        <v>0</v>
      </c>
    </row>
    <row r="13" spans="1:23" x14ac:dyDescent="0.75">
      <c r="A13" t="s">
        <v>1983</v>
      </c>
      <c r="B13">
        <v>367947.81754999101</v>
      </c>
      <c r="C13">
        <f t="shared" si="0"/>
        <v>3401</v>
      </c>
      <c r="D13" t="str">
        <f t="shared" si="1"/>
        <v>070</v>
      </c>
      <c r="E13" t="str">
        <f t="shared" si="2"/>
        <v>0000</v>
      </c>
      <c r="F13" t="s">
        <v>2017</v>
      </c>
      <c r="G13">
        <f ca="1">+$B13*_xlfn.XLOOKUP($C13,'ACTUAL %'!$A:$A,'ACTUAL %'!C:C)</f>
        <v>0</v>
      </c>
      <c r="H13">
        <f ca="1">+$B13*_xlfn.XLOOKUP($C13,'ACTUAL %'!$A:$A,'ACTUAL %'!D:D)</f>
        <v>0</v>
      </c>
      <c r="I13">
        <f ca="1">+$B13*_xlfn.XLOOKUP($C13,'ACTUAL %'!$A:$A,'ACTUAL %'!E:E)</f>
        <v>0</v>
      </c>
      <c r="J13">
        <f ca="1">+$B13*_xlfn.XLOOKUP($C13,'ACTUAL %'!$A:$A,'ACTUAL %'!F:F)</f>
        <v>119426.21748337292</v>
      </c>
      <c r="K13">
        <f ca="1">+$B13*_xlfn.XLOOKUP($C13,'ACTUAL %'!$A:$A,'ACTUAL %'!G:G)</f>
        <v>38839.25104664635</v>
      </c>
      <c r="L13">
        <f ca="1">+$B13*_xlfn.XLOOKUP($C13,'ACTUAL %'!$A:$A,'ACTUAL %'!H:H)</f>
        <v>32204.72752616624</v>
      </c>
      <c r="M13">
        <f ca="1">+$B13*_xlfn.XLOOKUP($C13,'ACTUAL %'!$A:$A,'ACTUAL %'!I:I)</f>
        <v>60670.592081065653</v>
      </c>
      <c r="N13">
        <f ca="1">+$B13*_xlfn.XLOOKUP($C13,'ACTUAL %'!$A:$A,'ACTUAL %'!J:J)</f>
        <v>23138.385301330327</v>
      </c>
      <c r="O13">
        <f ca="1">+$B13*_xlfn.XLOOKUP($C13,'ACTUAL %'!$A:$A,'ACTUAL %'!K:K)</f>
        <v>23417.161027852377</v>
      </c>
      <c r="P13">
        <f ca="1">+$B13*_xlfn.XLOOKUP($C13,'ACTUAL %'!$A:$A,'ACTUAL %'!L:L)</f>
        <v>23417.161027852377</v>
      </c>
      <c r="Q13">
        <f ca="1">+$B13*_xlfn.XLOOKUP($C13,'ACTUAL %'!$A:$A,'ACTUAL %'!M:M)</f>
        <v>23417.161027852377</v>
      </c>
      <c r="R13">
        <f ca="1">+$B13*_xlfn.XLOOKUP($C13,'ACTUAL %'!$A:$A,'ACTUAL %'!N:N)+S13+T13+U13</f>
        <v>23417.161027852377</v>
      </c>
      <c r="S13">
        <f ca="1">+$B13*_xlfn.XLOOKUP($C13,'ACTUAL %'!$A:$A,'ACTUAL %'!O:O)</f>
        <v>0</v>
      </c>
      <c r="T13">
        <f ca="1">+$B13*_xlfn.XLOOKUP($C13,'ACTUAL %'!$A:$A,'ACTUAL %'!P:P)</f>
        <v>0</v>
      </c>
      <c r="U13">
        <f ca="1">+$B13*_xlfn.XLOOKUP($C13,'ACTUAL %'!$A:$A,'ACTUAL %'!Q:Q)</f>
        <v>0</v>
      </c>
      <c r="V13">
        <f t="shared" ca="1" si="3"/>
        <v>367947.81754999101</v>
      </c>
      <c r="W13" s="517">
        <f t="shared" ca="1" si="4"/>
        <v>0</v>
      </c>
    </row>
    <row r="14" spans="1:23" x14ac:dyDescent="0.75">
      <c r="A14" t="s">
        <v>1984</v>
      </c>
      <c r="B14">
        <v>113215.77651259999</v>
      </c>
      <c r="C14">
        <f t="shared" si="0"/>
        <v>3402</v>
      </c>
      <c r="D14" t="str">
        <f t="shared" si="1"/>
        <v>070</v>
      </c>
      <c r="E14" t="str">
        <f t="shared" si="2"/>
        <v>0000</v>
      </c>
      <c r="F14" t="s">
        <v>2018</v>
      </c>
      <c r="G14">
        <f ca="1">+$B14*_xlfn.XLOOKUP($C14,'ACTUAL %'!$A:$A,'ACTUAL %'!C:C)</f>
        <v>0</v>
      </c>
      <c r="H14">
        <f ca="1">+$B14*_xlfn.XLOOKUP($C14,'ACTUAL %'!$A:$A,'ACTUAL %'!D:D)</f>
        <v>0</v>
      </c>
      <c r="I14">
        <f ca="1">+$B14*_xlfn.XLOOKUP($C14,'ACTUAL %'!$A:$A,'ACTUAL %'!E:E)</f>
        <v>0</v>
      </c>
      <c r="J14">
        <f ca="1">+$B14*_xlfn.XLOOKUP($C14,'ACTUAL %'!$A:$A,'ACTUAL %'!F:F)</f>
        <v>42245.349993928197</v>
      </c>
      <c r="K14">
        <f ca="1">+$B14*_xlfn.XLOOKUP($C14,'ACTUAL %'!$A:$A,'ACTUAL %'!G:G)</f>
        <v>12365.804220281465</v>
      </c>
      <c r="L14">
        <f ca="1">+$B14*_xlfn.XLOOKUP($C14,'ACTUAL %'!$A:$A,'ACTUAL %'!H:H)</f>
        <v>10430.834997600199</v>
      </c>
      <c r="M14">
        <f ca="1">+$B14*_xlfn.XLOOKUP($C14,'ACTUAL %'!$A:$A,'ACTUAL %'!I:I)</f>
        <v>19815.23265486009</v>
      </c>
      <c r="N14">
        <f ca="1">+$B14*_xlfn.XLOOKUP($C14,'ACTUAL %'!$A:$A,'ACTUAL %'!J:J)</f>
        <v>5617.5657174515363</v>
      </c>
      <c r="O14">
        <f ca="1">+$B14*_xlfn.XLOOKUP($C14,'ACTUAL %'!$A:$A,'ACTUAL %'!K:K)</f>
        <v>5685.2472321196256</v>
      </c>
      <c r="P14">
        <f ca="1">+$B14*_xlfn.XLOOKUP($C14,'ACTUAL %'!$A:$A,'ACTUAL %'!L:L)</f>
        <v>5685.2472321196256</v>
      </c>
      <c r="Q14">
        <f ca="1">+$B14*_xlfn.XLOOKUP($C14,'ACTUAL %'!$A:$A,'ACTUAL %'!M:M)</f>
        <v>5685.2472321196256</v>
      </c>
      <c r="R14">
        <f ca="1">+$B14*_xlfn.XLOOKUP($C14,'ACTUAL %'!$A:$A,'ACTUAL %'!N:N)+S14+T14+U14</f>
        <v>5685.2472321196256</v>
      </c>
      <c r="S14">
        <f ca="1">+$B14*_xlfn.XLOOKUP($C14,'ACTUAL %'!$A:$A,'ACTUAL %'!O:O)</f>
        <v>0</v>
      </c>
      <c r="T14">
        <f ca="1">+$B14*_xlfn.XLOOKUP($C14,'ACTUAL %'!$A:$A,'ACTUAL %'!P:P)</f>
        <v>0</v>
      </c>
      <c r="U14">
        <f ca="1">+$B14*_xlfn.XLOOKUP($C14,'ACTUAL %'!$A:$A,'ACTUAL %'!Q:Q)</f>
        <v>0</v>
      </c>
      <c r="V14">
        <f t="shared" ca="1" si="3"/>
        <v>113215.77651259999</v>
      </c>
      <c r="W14" s="517">
        <f t="shared" ca="1" si="4"/>
        <v>0</v>
      </c>
    </row>
    <row r="15" spans="1:23" x14ac:dyDescent="0.75">
      <c r="A15" t="s">
        <v>1985</v>
      </c>
      <c r="B15">
        <v>18426.032650000048</v>
      </c>
      <c r="C15">
        <f t="shared" si="0"/>
        <v>3501</v>
      </c>
      <c r="D15" t="str">
        <f t="shared" si="1"/>
        <v>070</v>
      </c>
      <c r="E15" t="str">
        <f t="shared" si="2"/>
        <v>0000</v>
      </c>
      <c r="F15" t="s">
        <v>2019</v>
      </c>
      <c r="G15">
        <f ca="1">+$B15*_xlfn.XLOOKUP($C15,'ACTUAL %'!$A:$A,'ACTUAL %'!C:C)</f>
        <v>0</v>
      </c>
      <c r="H15">
        <f ca="1">+$B15*_xlfn.XLOOKUP($C15,'ACTUAL %'!$A:$A,'ACTUAL %'!D:D)</f>
        <v>0</v>
      </c>
      <c r="I15">
        <f ca="1">+$B15*_xlfn.XLOOKUP($C15,'ACTUAL %'!$A:$A,'ACTUAL %'!E:E)</f>
        <v>0</v>
      </c>
      <c r="J15">
        <f ca="1">+$B15*_xlfn.XLOOKUP($C15,'ACTUAL %'!$A:$A,'ACTUAL %'!F:F)</f>
        <v>2469.1154324166696</v>
      </c>
      <c r="K15">
        <f ca="1">+$B15*_xlfn.XLOOKUP($C15,'ACTUAL %'!$A:$A,'ACTUAL %'!G:G)</f>
        <v>60.224667387878867</v>
      </c>
      <c r="L15">
        <f ca="1">+$B15*_xlfn.XLOOKUP($C15,'ACTUAL %'!$A:$A,'ACTUAL %'!H:H)</f>
        <v>7359.3072613863724</v>
      </c>
      <c r="M15">
        <f ca="1">+$B15*_xlfn.XLOOKUP($C15,'ACTUAL %'!$A:$A,'ACTUAL %'!I:I)</f>
        <v>9103.0037351894061</v>
      </c>
      <c r="N15">
        <f ca="1">+$B15*_xlfn.XLOOKUP($C15,'ACTUAL %'!$A:$A,'ACTUAL %'!J:J)</f>
        <v>-112.04374952162993</v>
      </c>
      <c r="O15">
        <f ca="1">+$B15*_xlfn.XLOOKUP($C15,'ACTUAL %'!$A:$A,'ACTUAL %'!K:K)</f>
        <v>-113.39367421466162</v>
      </c>
      <c r="P15">
        <f ca="1">+$B15*_xlfn.XLOOKUP($C15,'ACTUAL %'!$A:$A,'ACTUAL %'!L:L)</f>
        <v>-113.39367421466162</v>
      </c>
      <c r="Q15">
        <f ca="1">+$B15*_xlfn.XLOOKUP($C15,'ACTUAL %'!$A:$A,'ACTUAL %'!M:M)</f>
        <v>-113.39367421466162</v>
      </c>
      <c r="R15">
        <f ca="1">+$B15*_xlfn.XLOOKUP($C15,'ACTUAL %'!$A:$A,'ACTUAL %'!N:N)+S15+T15+U15</f>
        <v>-113.39367421466162</v>
      </c>
      <c r="S15">
        <f ca="1">+$B15*_xlfn.XLOOKUP($C15,'ACTUAL %'!$A:$A,'ACTUAL %'!O:O)</f>
        <v>0</v>
      </c>
      <c r="T15">
        <f ca="1">+$B15*_xlfn.XLOOKUP($C15,'ACTUAL %'!$A:$A,'ACTUAL %'!P:P)</f>
        <v>0</v>
      </c>
      <c r="U15">
        <f ca="1">+$B15*_xlfn.XLOOKUP($C15,'ACTUAL %'!$A:$A,'ACTUAL %'!Q:Q)</f>
        <v>0</v>
      </c>
      <c r="V15">
        <f t="shared" ca="1" si="3"/>
        <v>18426.032650000052</v>
      </c>
      <c r="W15" s="517">
        <f t="shared" ca="1" si="4"/>
        <v>0</v>
      </c>
    </row>
    <row r="16" spans="1:23" x14ac:dyDescent="0.75">
      <c r="A16" t="s">
        <v>1986</v>
      </c>
      <c r="B16">
        <v>5706.1262399999987</v>
      </c>
      <c r="C16">
        <f t="shared" si="0"/>
        <v>3502</v>
      </c>
      <c r="D16" t="str">
        <f t="shared" si="1"/>
        <v>070</v>
      </c>
      <c r="E16" t="str">
        <f t="shared" si="2"/>
        <v>0000</v>
      </c>
      <c r="F16" t="s">
        <v>2020</v>
      </c>
      <c r="G16">
        <f ca="1">+$B16*_xlfn.XLOOKUP($C16,'ACTUAL %'!$A:$A,'ACTUAL %'!C:C)</f>
        <v>0</v>
      </c>
      <c r="H16">
        <f ca="1">+$B16*_xlfn.XLOOKUP($C16,'ACTUAL %'!$A:$A,'ACTUAL %'!D:D)</f>
        <v>0</v>
      </c>
      <c r="I16">
        <f ca="1">+$B16*_xlfn.XLOOKUP($C16,'ACTUAL %'!$A:$A,'ACTUAL %'!E:E)</f>
        <v>0</v>
      </c>
      <c r="J16">
        <f ca="1">+$B16*_xlfn.XLOOKUP($C16,'ACTUAL %'!$A:$A,'ACTUAL %'!F:F)</f>
        <v>864.20348895319125</v>
      </c>
      <c r="K16">
        <f ca="1">+$B16*_xlfn.XLOOKUP($C16,'ACTUAL %'!$A:$A,'ACTUAL %'!G:G)</f>
        <v>0</v>
      </c>
      <c r="L16">
        <f ca="1">+$B16*_xlfn.XLOOKUP($C16,'ACTUAL %'!$A:$A,'ACTUAL %'!H:H)</f>
        <v>2352.8531511319143</v>
      </c>
      <c r="M16">
        <f ca="1">+$B16*_xlfn.XLOOKUP($C16,'ACTUAL %'!$A:$A,'ACTUAL %'!I:I)</f>
        <v>2925.364429940425</v>
      </c>
      <c r="N16">
        <f ca="1">+$B16*_xlfn.XLOOKUP($C16,'ACTUAL %'!$A:$A,'ACTUAL %'!J:J)</f>
        <v>-86.425944849926381</v>
      </c>
      <c r="O16">
        <f ca="1">+$B16*_xlfn.XLOOKUP($C16,'ACTUAL %'!$A:$A,'ACTUAL %'!K:K)</f>
        <v>-87.467221293901403</v>
      </c>
      <c r="P16">
        <f ca="1">+$B16*_xlfn.XLOOKUP($C16,'ACTUAL %'!$A:$A,'ACTUAL %'!L:L)</f>
        <v>-87.467221293901403</v>
      </c>
      <c r="Q16">
        <f ca="1">+$B16*_xlfn.XLOOKUP($C16,'ACTUAL %'!$A:$A,'ACTUAL %'!M:M)</f>
        <v>-87.467221293901403</v>
      </c>
      <c r="R16">
        <f ca="1">+$B16*_xlfn.XLOOKUP($C16,'ACTUAL %'!$A:$A,'ACTUAL %'!N:N)+S16+T16+U16</f>
        <v>-87.467221293901403</v>
      </c>
      <c r="S16">
        <f ca="1">+$B16*_xlfn.XLOOKUP($C16,'ACTUAL %'!$A:$A,'ACTUAL %'!O:O)</f>
        <v>0</v>
      </c>
      <c r="T16">
        <f ca="1">+$B16*_xlfn.XLOOKUP($C16,'ACTUAL %'!$A:$A,'ACTUAL %'!P:P)</f>
        <v>0</v>
      </c>
      <c r="U16">
        <f ca="1">+$B16*_xlfn.XLOOKUP($C16,'ACTUAL %'!$A:$A,'ACTUAL %'!Q:Q)</f>
        <v>0</v>
      </c>
      <c r="V16">
        <f t="shared" ca="1" si="3"/>
        <v>5706.1262399999996</v>
      </c>
      <c r="W16" s="517">
        <f t="shared" ca="1" si="4"/>
        <v>0</v>
      </c>
    </row>
    <row r="17" spans="1:23" x14ac:dyDescent="0.75">
      <c r="A17" t="s">
        <v>1987</v>
      </c>
      <c r="B17">
        <v>31545.965999673594</v>
      </c>
      <c r="C17">
        <f t="shared" si="0"/>
        <v>3601</v>
      </c>
      <c r="D17" t="str">
        <f t="shared" si="1"/>
        <v>070</v>
      </c>
      <c r="E17" t="str">
        <f t="shared" si="2"/>
        <v>0000</v>
      </c>
      <c r="F17" t="s">
        <v>2021</v>
      </c>
      <c r="G17">
        <f ca="1">+$B17*_xlfn.XLOOKUP($C17,'ACTUAL %'!$A:$A,'ACTUAL %'!C:C)</f>
        <v>0</v>
      </c>
      <c r="H17">
        <f ca="1">+$B17*_xlfn.XLOOKUP($C17,'ACTUAL %'!$A:$A,'ACTUAL %'!D:D)</f>
        <v>0</v>
      </c>
      <c r="I17">
        <f ca="1">+$B17*_xlfn.XLOOKUP($C17,'ACTUAL %'!$A:$A,'ACTUAL %'!E:E)</f>
        <v>0</v>
      </c>
      <c r="J17">
        <f ca="1">+$B17*_xlfn.XLOOKUP($C17,'ACTUAL %'!$A:$A,'ACTUAL %'!F:F)</f>
        <v>4010.2096469237576</v>
      </c>
      <c r="K17">
        <f ca="1">+$B17*_xlfn.XLOOKUP($C17,'ACTUAL %'!$A:$A,'ACTUAL %'!G:G)</f>
        <v>0</v>
      </c>
      <c r="L17">
        <f ca="1">+$B17*_xlfn.XLOOKUP($C17,'ACTUAL %'!$A:$A,'ACTUAL %'!H:H)</f>
        <v>0</v>
      </c>
      <c r="M17">
        <f ca="1">+$B17*_xlfn.XLOOKUP($C17,'ACTUAL %'!$A:$A,'ACTUAL %'!I:I)</f>
        <v>877.66171126981283</v>
      </c>
      <c r="N17">
        <f ca="1">+$B17*_xlfn.XLOOKUP($C17,'ACTUAL %'!$A:$A,'ACTUAL %'!J:J)</f>
        <v>5280.720418240674</v>
      </c>
      <c r="O17">
        <f ca="1">+$B17*_xlfn.XLOOKUP($C17,'ACTUAL %'!$A:$A,'ACTUAL %'!K:K)</f>
        <v>5344.3435558098372</v>
      </c>
      <c r="P17">
        <f ca="1">+$B17*_xlfn.XLOOKUP($C17,'ACTUAL %'!$A:$A,'ACTUAL %'!L:L)</f>
        <v>5344.3435558098372</v>
      </c>
      <c r="Q17">
        <f ca="1">+$B17*_xlfn.XLOOKUP($C17,'ACTUAL %'!$A:$A,'ACTUAL %'!M:M)</f>
        <v>5344.3435558098372</v>
      </c>
      <c r="R17">
        <f ca="1">+$B17*_xlfn.XLOOKUP($C17,'ACTUAL %'!$A:$A,'ACTUAL %'!N:N)+S17+T17+U17</f>
        <v>5344.3435558098372</v>
      </c>
      <c r="S17">
        <f ca="1">+$B17*_xlfn.XLOOKUP($C17,'ACTUAL %'!$A:$A,'ACTUAL %'!O:O)</f>
        <v>0</v>
      </c>
      <c r="T17">
        <f ca="1">+$B17*_xlfn.XLOOKUP($C17,'ACTUAL %'!$A:$A,'ACTUAL %'!P:P)</f>
        <v>0</v>
      </c>
      <c r="U17">
        <f ca="1">+$B17*_xlfn.XLOOKUP($C17,'ACTUAL %'!$A:$A,'ACTUAL %'!Q:Q)</f>
        <v>0</v>
      </c>
      <c r="V17">
        <f t="shared" ca="1" si="3"/>
        <v>31545.965999673594</v>
      </c>
      <c r="W17" s="517">
        <f t="shared" ca="1" si="4"/>
        <v>0</v>
      </c>
    </row>
    <row r="18" spans="1:23" x14ac:dyDescent="0.75">
      <c r="A18" t="s">
        <v>1988</v>
      </c>
      <c r="B18">
        <v>9422.3960079352</v>
      </c>
      <c r="C18">
        <f t="shared" si="0"/>
        <v>3602</v>
      </c>
      <c r="D18" t="str">
        <f t="shared" si="1"/>
        <v>070</v>
      </c>
      <c r="E18" t="str">
        <f t="shared" si="2"/>
        <v>0000</v>
      </c>
      <c r="F18" t="s">
        <v>2022</v>
      </c>
      <c r="G18">
        <f ca="1">+$B18*_xlfn.XLOOKUP($C18,'ACTUAL %'!$A:$A,'ACTUAL %'!C:C)</f>
        <v>0</v>
      </c>
      <c r="H18">
        <f ca="1">+$B18*_xlfn.XLOOKUP($C18,'ACTUAL %'!$A:$A,'ACTUAL %'!D:D)</f>
        <v>0</v>
      </c>
      <c r="I18">
        <f ca="1">+$B18*_xlfn.XLOOKUP($C18,'ACTUAL %'!$A:$A,'ACTUAL %'!E:E)</f>
        <v>0</v>
      </c>
      <c r="J18">
        <f ca="1">+$B18*_xlfn.XLOOKUP($C18,'ACTUAL %'!$A:$A,'ACTUAL %'!F:F)</f>
        <v>1586.356365739081</v>
      </c>
      <c r="K18">
        <f ca="1">+$B18*_xlfn.XLOOKUP($C18,'ACTUAL %'!$A:$A,'ACTUAL %'!G:G)</f>
        <v>0</v>
      </c>
      <c r="L18">
        <f ca="1">+$B18*_xlfn.XLOOKUP($C18,'ACTUAL %'!$A:$A,'ACTUAL %'!H:H)</f>
        <v>0</v>
      </c>
      <c r="M18">
        <f ca="1">+$B18*_xlfn.XLOOKUP($C18,'ACTUAL %'!$A:$A,'ACTUAL %'!I:I)</f>
        <v>347.18579335772387</v>
      </c>
      <c r="N18">
        <f ca="1">+$B18*_xlfn.XLOOKUP($C18,'ACTUAL %'!$A:$A,'ACTUAL %'!J:J)</f>
        <v>1483.4722421326653</v>
      </c>
      <c r="O18">
        <f ca="1">+$B18*_xlfn.XLOOKUP($C18,'ACTUAL %'!$A:$A,'ACTUAL %'!K:K)</f>
        <v>1501.3454016764324</v>
      </c>
      <c r="P18">
        <f ca="1">+$B18*_xlfn.XLOOKUP($C18,'ACTUAL %'!$A:$A,'ACTUAL %'!L:L)</f>
        <v>1501.3454016764324</v>
      </c>
      <c r="Q18">
        <f ca="1">+$B18*_xlfn.XLOOKUP($C18,'ACTUAL %'!$A:$A,'ACTUAL %'!M:M)</f>
        <v>1501.3454016764324</v>
      </c>
      <c r="R18">
        <f ca="1">+$B18*_xlfn.XLOOKUP($C18,'ACTUAL %'!$A:$A,'ACTUAL %'!N:N)+S18+T18+U18</f>
        <v>1501.3454016764324</v>
      </c>
      <c r="S18">
        <f ca="1">+$B18*_xlfn.XLOOKUP($C18,'ACTUAL %'!$A:$A,'ACTUAL %'!O:O)</f>
        <v>0</v>
      </c>
      <c r="T18">
        <f ca="1">+$B18*_xlfn.XLOOKUP($C18,'ACTUAL %'!$A:$A,'ACTUAL %'!P:P)</f>
        <v>0</v>
      </c>
      <c r="U18">
        <f ca="1">+$B18*_xlfn.XLOOKUP($C18,'ACTUAL %'!$A:$A,'ACTUAL %'!Q:Q)</f>
        <v>0</v>
      </c>
      <c r="V18">
        <f t="shared" ca="1" si="3"/>
        <v>9422.3960079352</v>
      </c>
      <c r="W18" s="517">
        <f t="shared" ca="1" si="4"/>
        <v>0</v>
      </c>
    </row>
    <row r="19" spans="1:23" x14ac:dyDescent="0.75">
      <c r="A19" t="s">
        <v>1989</v>
      </c>
      <c r="B19">
        <v>23989.41356456</v>
      </c>
      <c r="C19">
        <f t="shared" si="0"/>
        <v>3901</v>
      </c>
      <c r="D19" t="str">
        <f t="shared" si="1"/>
        <v>070</v>
      </c>
      <c r="E19" t="str">
        <f t="shared" si="2"/>
        <v>0000</v>
      </c>
      <c r="F19" t="s">
        <v>2023</v>
      </c>
      <c r="G19">
        <f ca="1">+$B19*_xlfn.XLOOKUP($C19,'ACTUAL %'!$A:$A,'ACTUAL %'!C:C)</f>
        <v>0</v>
      </c>
      <c r="H19">
        <f ca="1">+$B19*_xlfn.XLOOKUP($C19,'ACTUAL %'!$A:$A,'ACTUAL %'!D:D)</f>
        <v>0</v>
      </c>
      <c r="I19">
        <f ca="1">+$B19*_xlfn.XLOOKUP($C19,'ACTUAL %'!$A:$A,'ACTUAL %'!E:E)</f>
        <v>0</v>
      </c>
      <c r="J19">
        <f ca="1">+$B19*_xlfn.XLOOKUP($C19,'ACTUAL %'!$A:$A,'ACTUAL %'!F:F)</f>
        <v>7576.8015280020945</v>
      </c>
      <c r="K19">
        <f ca="1">+$B19*_xlfn.XLOOKUP($C19,'ACTUAL %'!$A:$A,'ACTUAL %'!G:G)</f>
        <v>1941.2773300382862</v>
      </c>
      <c r="L19">
        <f ca="1">+$B19*_xlfn.XLOOKUP($C19,'ACTUAL %'!$A:$A,'ACTUAL %'!H:H)</f>
        <v>2079.6249738847532</v>
      </c>
      <c r="M19">
        <f ca="1">+$B19*_xlfn.XLOOKUP($C19,'ACTUAL %'!$A:$A,'ACTUAL %'!I:I)</f>
        <v>1606.3718175914689</v>
      </c>
      <c r="N19">
        <f ca="1">+$B19*_xlfn.XLOOKUP($C19,'ACTUAL %'!$A:$A,'ACTUAL %'!J:J)</f>
        <v>2136.4750523832981</v>
      </c>
      <c r="O19">
        <f ca="1">+$B19*_xlfn.XLOOKUP($C19,'ACTUAL %'!$A:$A,'ACTUAL %'!K:K)</f>
        <v>2162.2157156650246</v>
      </c>
      <c r="P19">
        <f ca="1">+$B19*_xlfn.XLOOKUP($C19,'ACTUAL %'!$A:$A,'ACTUAL %'!L:L)</f>
        <v>2162.2157156650246</v>
      </c>
      <c r="Q19">
        <f ca="1">+$B19*_xlfn.XLOOKUP($C19,'ACTUAL %'!$A:$A,'ACTUAL %'!M:M)</f>
        <v>2162.2157156650246</v>
      </c>
      <c r="R19">
        <f ca="1">+$B19*_xlfn.XLOOKUP($C19,'ACTUAL %'!$A:$A,'ACTUAL %'!N:N)+S19+T19+U19</f>
        <v>2162.2157156650246</v>
      </c>
      <c r="S19">
        <f ca="1">+$B19*_xlfn.XLOOKUP($C19,'ACTUAL %'!$A:$A,'ACTUAL %'!O:O)</f>
        <v>0</v>
      </c>
      <c r="T19">
        <f ca="1">+$B19*_xlfn.XLOOKUP($C19,'ACTUAL %'!$A:$A,'ACTUAL %'!P:P)</f>
        <v>0</v>
      </c>
      <c r="U19">
        <f ca="1">+$B19*_xlfn.XLOOKUP($C19,'ACTUAL %'!$A:$A,'ACTUAL %'!Q:Q)</f>
        <v>0</v>
      </c>
      <c r="V19">
        <f t="shared" ca="1" si="3"/>
        <v>23989.41356456</v>
      </c>
      <c r="W19" s="517">
        <f t="shared" ca="1" si="4"/>
        <v>0</v>
      </c>
    </row>
    <row r="20" spans="1:23" x14ac:dyDescent="0.75">
      <c r="A20" t="s">
        <v>1682</v>
      </c>
      <c r="B20">
        <v>1041222.507173661</v>
      </c>
      <c r="C20">
        <f t="shared" si="0"/>
        <v>4100</v>
      </c>
      <c r="D20" t="str">
        <f t="shared" si="1"/>
        <v>070</v>
      </c>
      <c r="E20" t="str">
        <f t="shared" si="2"/>
        <v>0000</v>
      </c>
      <c r="F20" t="s">
        <v>1757</v>
      </c>
      <c r="G20">
        <f>+$B20*_xlfn.XLOOKUP($C20,'ACTUAL %'!$A:$A,'ACTUAL %'!C:C)</f>
        <v>-358.04713900656196</v>
      </c>
      <c r="H20">
        <f>+$B20*_xlfn.XLOOKUP($C20,'ACTUAL %'!$A:$A,'ACTUAL %'!D:D)</f>
        <v>474.81665478331263</v>
      </c>
      <c r="I20">
        <f>+$B20*_xlfn.XLOOKUP($C20,'ACTUAL %'!$A:$A,'ACTUAL %'!E:E)</f>
        <v>54560.390297700942</v>
      </c>
      <c r="J20">
        <f>+$B20*_xlfn.XLOOKUP($C20,'ACTUAL %'!$A:$A,'ACTUAL %'!F:F)</f>
        <v>110100.68739274669</v>
      </c>
      <c r="K20">
        <f>+$B20*_xlfn.XLOOKUP($C20,'ACTUAL %'!$A:$A,'ACTUAL %'!G:G)</f>
        <v>101955.51826078718</v>
      </c>
      <c r="L20">
        <f>+$B20*_xlfn.XLOOKUP($C20,'ACTUAL %'!$A:$A,'ACTUAL %'!H:H)</f>
        <v>130186.72067918969</v>
      </c>
      <c r="M20">
        <f>+$B20*_xlfn.XLOOKUP($C20,'ACTUAL %'!$A:$A,'ACTUAL %'!I:I)</f>
        <v>34008.889629483754</v>
      </c>
      <c r="N20">
        <f>+$B20*_xlfn.XLOOKUP($C20,'ACTUAL %'!$A:$A,'ACTUAL %'!J:J)</f>
        <v>305146.76569898799</v>
      </c>
      <c r="O20">
        <f>+$B20*_xlfn.XLOOKUP($C20,'ACTUAL %'!$A:$A,'ACTUAL %'!K:K)</f>
        <v>305146.76569898799</v>
      </c>
      <c r="P20">
        <f>+$B20*_xlfn.XLOOKUP($C20,'ACTUAL %'!$A:$A,'ACTUAL %'!L:L)</f>
        <v>0</v>
      </c>
      <c r="Q20">
        <f>+$B20*_xlfn.XLOOKUP($C20,'ACTUAL %'!$A:$A,'ACTUAL %'!M:M)</f>
        <v>0</v>
      </c>
      <c r="R20">
        <f>+$B20*_xlfn.XLOOKUP($C20,'ACTUAL %'!$A:$A,'ACTUAL %'!N:N)+S20+T20+U20</f>
        <v>0</v>
      </c>
      <c r="S20">
        <f>+$B20*_xlfn.XLOOKUP($C20,'ACTUAL %'!$A:$A,'ACTUAL %'!O:O)</f>
        <v>0</v>
      </c>
      <c r="T20">
        <f>+$B20*_xlfn.XLOOKUP($C20,'ACTUAL %'!$A:$A,'ACTUAL %'!P:P)</f>
        <v>0</v>
      </c>
      <c r="U20">
        <f>+$B20*_xlfn.XLOOKUP($C20,'ACTUAL %'!$A:$A,'ACTUAL %'!Q:Q)</f>
        <v>0</v>
      </c>
      <c r="V20">
        <f t="shared" si="3"/>
        <v>1041222.5071736609</v>
      </c>
      <c r="W20" s="517">
        <f t="shared" si="4"/>
        <v>0</v>
      </c>
    </row>
    <row r="21" spans="1:23" x14ac:dyDescent="0.75">
      <c r="A21" t="s">
        <v>1683</v>
      </c>
      <c r="B21">
        <v>75172.222441753183</v>
      </c>
      <c r="C21">
        <f t="shared" si="0"/>
        <v>4101</v>
      </c>
      <c r="D21" t="str">
        <f t="shared" si="1"/>
        <v>070</v>
      </c>
      <c r="E21" t="str">
        <f t="shared" si="2"/>
        <v>0000</v>
      </c>
      <c r="F21" t="s">
        <v>1758</v>
      </c>
      <c r="G21">
        <f>+$B21*_xlfn.XLOOKUP($C21,'ACTUAL %'!$A:$A,'ACTUAL %'!C:C)</f>
        <v>307154.84130665654</v>
      </c>
      <c r="H21">
        <f>+$B21*_xlfn.XLOOKUP($C21,'ACTUAL %'!$A:$A,'ACTUAL %'!D:D)</f>
        <v>51787.385058665372</v>
      </c>
      <c r="I21">
        <f>+$B21*_xlfn.XLOOKUP($C21,'ACTUAL %'!$A:$A,'ACTUAL %'!E:E)</f>
        <v>0</v>
      </c>
      <c r="J21">
        <f>+$B21*_xlfn.XLOOKUP($C21,'ACTUAL %'!$A:$A,'ACTUAL %'!F:F)</f>
        <v>-1.3168702691078619E-2</v>
      </c>
      <c r="K21">
        <f>+$B21*_xlfn.XLOOKUP($C21,'ACTUAL %'!$A:$A,'ACTUAL %'!G:G)</f>
        <v>0</v>
      </c>
      <c r="L21">
        <f>+$B21*_xlfn.XLOOKUP($C21,'ACTUAL %'!$A:$A,'ACTUAL %'!H:H)</f>
        <v>0</v>
      </c>
      <c r="M21">
        <f>+$B21*_xlfn.XLOOKUP($C21,'ACTUAL %'!$A:$A,'ACTUAL %'!I:I)</f>
        <v>218.61363337459613</v>
      </c>
      <c r="N21">
        <f>+$B21*_xlfn.XLOOKUP($C21,'ACTUAL %'!$A:$A,'ACTUAL %'!J:J)</f>
        <v>-141994.30219412033</v>
      </c>
      <c r="O21">
        <f>+$B21*_xlfn.XLOOKUP($C21,'ACTUAL %'!$A:$A,'ACTUAL %'!K:K)</f>
        <v>-141994.30219412033</v>
      </c>
      <c r="P21">
        <f>+$B21*_xlfn.XLOOKUP($C21,'ACTUAL %'!$A:$A,'ACTUAL %'!L:L)</f>
        <v>0</v>
      </c>
      <c r="Q21">
        <f>+$B21*_xlfn.XLOOKUP($C21,'ACTUAL %'!$A:$A,'ACTUAL %'!M:M)</f>
        <v>0</v>
      </c>
      <c r="R21">
        <f>+$B21*_xlfn.XLOOKUP($C21,'ACTUAL %'!$A:$A,'ACTUAL %'!N:N)+S21+T21+U21</f>
        <v>0</v>
      </c>
      <c r="S21">
        <f>+$B21*_xlfn.XLOOKUP($C21,'ACTUAL %'!$A:$A,'ACTUAL %'!O:O)</f>
        <v>0</v>
      </c>
      <c r="T21">
        <f>+$B21*_xlfn.XLOOKUP($C21,'ACTUAL %'!$A:$A,'ACTUAL %'!P:P)</f>
        <v>0</v>
      </c>
      <c r="U21">
        <f>+$B21*_xlfn.XLOOKUP($C21,'ACTUAL %'!$A:$A,'ACTUAL %'!Q:Q)</f>
        <v>0</v>
      </c>
      <c r="V21">
        <f t="shared" si="3"/>
        <v>75172.222441753082</v>
      </c>
      <c r="W21" s="517">
        <f t="shared" si="4"/>
        <v>0</v>
      </c>
    </row>
    <row r="22" spans="1:23" x14ac:dyDescent="0.75">
      <c r="A22" t="s">
        <v>1684</v>
      </c>
      <c r="B22">
        <v>57010.689790494136</v>
      </c>
      <c r="C22">
        <f t="shared" si="0"/>
        <v>4102</v>
      </c>
      <c r="D22" t="str">
        <f t="shared" si="1"/>
        <v>070</v>
      </c>
      <c r="E22" t="str">
        <f t="shared" si="2"/>
        <v>0000</v>
      </c>
      <c r="F22" t="s">
        <v>1759</v>
      </c>
      <c r="G22">
        <f>+$B22*_xlfn.XLOOKUP($C22,'ACTUAL %'!$A:$A,'ACTUAL %'!C:C)</f>
        <v>31084.570348822141</v>
      </c>
      <c r="H22">
        <f>+$B22*_xlfn.XLOOKUP($C22,'ACTUAL %'!$A:$A,'ACTUAL %'!D:D)</f>
        <v>360.80888176860748</v>
      </c>
      <c r="I22">
        <f>+$B22*_xlfn.XLOOKUP($C22,'ACTUAL %'!$A:$A,'ACTUAL %'!E:E)</f>
        <v>47698.934169809909</v>
      </c>
      <c r="J22">
        <f>+$B22*_xlfn.XLOOKUP($C22,'ACTUAL %'!$A:$A,'ACTUAL %'!F:F)</f>
        <v>267.96072952681919</v>
      </c>
      <c r="K22">
        <f>+$B22*_xlfn.XLOOKUP($C22,'ACTUAL %'!$A:$A,'ACTUAL %'!G:G)</f>
        <v>0</v>
      </c>
      <c r="L22">
        <f>+$B22*_xlfn.XLOOKUP($C22,'ACTUAL %'!$A:$A,'ACTUAL %'!H:H)</f>
        <v>80.445948279128729</v>
      </c>
      <c r="M22">
        <f>+$B22*_xlfn.XLOOKUP($C22,'ACTUAL %'!$A:$A,'ACTUAL %'!I:I)</f>
        <v>9257.3408305284265</v>
      </c>
      <c r="N22">
        <f>+$B22*_xlfn.XLOOKUP($C22,'ACTUAL %'!$A:$A,'ACTUAL %'!J:J)</f>
        <v>-15869.685559120455</v>
      </c>
      <c r="O22">
        <f>+$B22*_xlfn.XLOOKUP($C22,'ACTUAL %'!$A:$A,'ACTUAL %'!K:K)</f>
        <v>-15869.685559120455</v>
      </c>
      <c r="P22">
        <f>+$B22*_xlfn.XLOOKUP($C22,'ACTUAL %'!$A:$A,'ACTUAL %'!L:L)</f>
        <v>0</v>
      </c>
      <c r="Q22">
        <f>+$B22*_xlfn.XLOOKUP($C22,'ACTUAL %'!$A:$A,'ACTUAL %'!M:M)</f>
        <v>0</v>
      </c>
      <c r="R22">
        <f>+$B22*_xlfn.XLOOKUP($C22,'ACTUAL %'!$A:$A,'ACTUAL %'!N:N)+S22+T22+U22</f>
        <v>0</v>
      </c>
      <c r="S22">
        <f>+$B22*_xlfn.XLOOKUP($C22,'ACTUAL %'!$A:$A,'ACTUAL %'!O:O)</f>
        <v>0</v>
      </c>
      <c r="T22">
        <f>+$B22*_xlfn.XLOOKUP($C22,'ACTUAL %'!$A:$A,'ACTUAL %'!P:P)</f>
        <v>0</v>
      </c>
      <c r="U22">
        <f>+$B22*_xlfn.XLOOKUP($C22,'ACTUAL %'!$A:$A,'ACTUAL %'!Q:Q)</f>
        <v>0</v>
      </c>
      <c r="V22">
        <f t="shared" si="3"/>
        <v>57010.689790494129</v>
      </c>
      <c r="W22" s="517">
        <f t="shared" si="4"/>
        <v>0</v>
      </c>
    </row>
    <row r="23" spans="1:23" x14ac:dyDescent="0.75">
      <c r="A23" t="s">
        <v>1685</v>
      </c>
      <c r="B23">
        <v>12956.974952385031</v>
      </c>
      <c r="C23">
        <f t="shared" si="0"/>
        <v>4200</v>
      </c>
      <c r="D23" t="str">
        <f t="shared" si="1"/>
        <v>070</v>
      </c>
      <c r="E23" t="str">
        <f t="shared" si="2"/>
        <v>0000</v>
      </c>
      <c r="F23" t="s">
        <v>1760</v>
      </c>
      <c r="G23">
        <f>+$B23*_xlfn.XLOOKUP($C23,'ACTUAL %'!$A:$A,'ACTUAL %'!C:C)</f>
        <v>0</v>
      </c>
      <c r="H23">
        <f>+$B23*_xlfn.XLOOKUP($C23,'ACTUAL %'!$A:$A,'ACTUAL %'!D:D)</f>
        <v>0</v>
      </c>
      <c r="I23">
        <f>+$B23*_xlfn.XLOOKUP($C23,'ACTUAL %'!$A:$A,'ACTUAL %'!E:E)</f>
        <v>101.54429258980268</v>
      </c>
      <c r="J23">
        <f>+$B23*_xlfn.XLOOKUP($C23,'ACTUAL %'!$A:$A,'ACTUAL %'!F:F)</f>
        <v>187.40584660760749</v>
      </c>
      <c r="K23">
        <f>+$B23*_xlfn.XLOOKUP($C23,'ACTUAL %'!$A:$A,'ACTUAL %'!G:G)</f>
        <v>1455.5049851975305</v>
      </c>
      <c r="L23">
        <f>+$B23*_xlfn.XLOOKUP($C23,'ACTUAL %'!$A:$A,'ACTUAL %'!H:H)</f>
        <v>7.6215805997695947</v>
      </c>
      <c r="M23">
        <f>+$B23*_xlfn.XLOOKUP($C23,'ACTUAL %'!$A:$A,'ACTUAL %'!I:I)</f>
        <v>1852.5374105681249</v>
      </c>
      <c r="N23">
        <f>+$B23*_xlfn.XLOOKUP($C23,'ACTUAL %'!$A:$A,'ACTUAL %'!J:J)</f>
        <v>4676.1804184110979</v>
      </c>
      <c r="O23">
        <f>+$B23*_xlfn.XLOOKUP($C23,'ACTUAL %'!$A:$A,'ACTUAL %'!K:K)</f>
        <v>4676.1804184110979</v>
      </c>
      <c r="P23">
        <f>+$B23*_xlfn.XLOOKUP($C23,'ACTUAL %'!$A:$A,'ACTUAL %'!L:L)</f>
        <v>0</v>
      </c>
      <c r="Q23">
        <f>+$B23*_xlfn.XLOOKUP($C23,'ACTUAL %'!$A:$A,'ACTUAL %'!M:M)</f>
        <v>0</v>
      </c>
      <c r="R23">
        <f>+$B23*_xlfn.XLOOKUP($C23,'ACTUAL %'!$A:$A,'ACTUAL %'!N:N)+S23+T23+U23</f>
        <v>0</v>
      </c>
      <c r="S23">
        <f>+$B23*_xlfn.XLOOKUP($C23,'ACTUAL %'!$A:$A,'ACTUAL %'!O:O)</f>
        <v>0</v>
      </c>
      <c r="T23">
        <f>+$B23*_xlfn.XLOOKUP($C23,'ACTUAL %'!$A:$A,'ACTUAL %'!P:P)</f>
        <v>0</v>
      </c>
      <c r="U23">
        <f>+$B23*_xlfn.XLOOKUP($C23,'ACTUAL %'!$A:$A,'ACTUAL %'!Q:Q)</f>
        <v>0</v>
      </c>
      <c r="V23">
        <f t="shared" si="3"/>
        <v>12956.97495238503</v>
      </c>
      <c r="W23" s="517">
        <f t="shared" si="4"/>
        <v>0</v>
      </c>
    </row>
    <row r="24" spans="1:23" x14ac:dyDescent="0.75">
      <c r="A24" t="s">
        <v>1686</v>
      </c>
      <c r="B24">
        <v>3887.0924857155092</v>
      </c>
      <c r="C24">
        <f t="shared" si="0"/>
        <v>4300</v>
      </c>
      <c r="D24" t="str">
        <f t="shared" si="1"/>
        <v>070</v>
      </c>
      <c r="E24" t="str">
        <f t="shared" si="2"/>
        <v>0000</v>
      </c>
      <c r="F24" t="s">
        <v>1761</v>
      </c>
      <c r="G24">
        <f>+$B24*_xlfn.XLOOKUP($C24,'ACTUAL %'!$A:$A,'ACTUAL %'!C:C)</f>
        <v>13.068034737691187</v>
      </c>
      <c r="H24">
        <f>+$B24*_xlfn.XLOOKUP($C24,'ACTUAL %'!$A:$A,'ACTUAL %'!D:D)</f>
        <v>87.281885272109108</v>
      </c>
      <c r="I24">
        <f>+$B24*_xlfn.XLOOKUP($C24,'ACTUAL %'!$A:$A,'ACTUAL %'!E:E)</f>
        <v>624.71869633282256</v>
      </c>
      <c r="J24">
        <f>+$B24*_xlfn.XLOOKUP($C24,'ACTUAL %'!$A:$A,'ACTUAL %'!F:F)</f>
        <v>21.871373719625929</v>
      </c>
      <c r="K24">
        <f>+$B24*_xlfn.XLOOKUP($C24,'ACTUAL %'!$A:$A,'ACTUAL %'!G:G)</f>
        <v>152.42215134701397</v>
      </c>
      <c r="L24">
        <f>+$B24*_xlfn.XLOOKUP($C24,'ACTUAL %'!$A:$A,'ACTUAL %'!H:H)</f>
        <v>32.768189654581739</v>
      </c>
      <c r="M24">
        <f>+$B24*_xlfn.XLOOKUP($C24,'ACTUAL %'!$A:$A,'ACTUAL %'!I:I)</f>
        <v>299.91139723001277</v>
      </c>
      <c r="N24">
        <f>+$B24*_xlfn.XLOOKUP($C24,'ACTUAL %'!$A:$A,'ACTUAL %'!J:J)</f>
        <v>525.9408421622843</v>
      </c>
      <c r="O24">
        <f>+$B24*_xlfn.XLOOKUP($C24,'ACTUAL %'!$A:$A,'ACTUAL %'!K:K)</f>
        <v>532.27747881484197</v>
      </c>
      <c r="P24">
        <f>+$B24*_xlfn.XLOOKUP($C24,'ACTUAL %'!$A:$A,'ACTUAL %'!L:L)</f>
        <v>532.27747881484197</v>
      </c>
      <c r="Q24">
        <f>+$B24*_xlfn.XLOOKUP($C24,'ACTUAL %'!$A:$A,'ACTUAL %'!M:M)</f>
        <v>532.27747881484197</v>
      </c>
      <c r="R24">
        <f>+$B24*_xlfn.XLOOKUP($C24,'ACTUAL %'!$A:$A,'ACTUAL %'!N:N)+S24+T24+U24</f>
        <v>532.27747881484197</v>
      </c>
      <c r="S24">
        <f>+$B24*_xlfn.XLOOKUP($C24,'ACTUAL %'!$A:$A,'ACTUAL %'!O:O)</f>
        <v>0</v>
      </c>
      <c r="T24">
        <f>+$B24*_xlfn.XLOOKUP($C24,'ACTUAL %'!$A:$A,'ACTUAL %'!P:P)</f>
        <v>0</v>
      </c>
      <c r="U24">
        <f>+$B24*_xlfn.XLOOKUP($C24,'ACTUAL %'!$A:$A,'ACTUAL %'!Q:Q)</f>
        <v>0</v>
      </c>
      <c r="V24">
        <f t="shared" si="3"/>
        <v>3887.0924857155087</v>
      </c>
      <c r="W24" s="517">
        <f t="shared" si="4"/>
        <v>0</v>
      </c>
    </row>
    <row r="25" spans="1:23" x14ac:dyDescent="0.75">
      <c r="A25" s="178" t="s">
        <v>1687</v>
      </c>
      <c r="B25">
        <v>7774.1849714310183</v>
      </c>
      <c r="C25">
        <f t="shared" si="0"/>
        <v>4400</v>
      </c>
      <c r="D25" t="str">
        <f t="shared" si="1"/>
        <v>070</v>
      </c>
      <c r="E25" t="str">
        <f t="shared" si="2"/>
        <v>0000</v>
      </c>
      <c r="F25" t="s">
        <v>1762</v>
      </c>
      <c r="G25">
        <f>+$B25*_xlfn.XLOOKUP($C25,'ACTUAL %'!$A:$A,'ACTUAL %'!C:C)</f>
        <v>624.6414101129966</v>
      </c>
      <c r="H25">
        <f>+$B25*_xlfn.XLOOKUP($C25,'ACTUAL %'!$A:$A,'ACTUAL %'!D:D)</f>
        <v>0</v>
      </c>
      <c r="I25">
        <f>+$B25*_xlfn.XLOOKUP($C25,'ACTUAL %'!$A:$A,'ACTUAL %'!E:E)</f>
        <v>66.29067458946848</v>
      </c>
      <c r="J25">
        <f>+$B25*_xlfn.XLOOKUP($C25,'ACTUAL %'!$A:$A,'ACTUAL %'!F:F)</f>
        <v>12.652785048118268</v>
      </c>
      <c r="K25">
        <f>+$B25*_xlfn.XLOOKUP($C25,'ACTUAL %'!$A:$A,'ACTUAL %'!G:G)</f>
        <v>10.588439931089047</v>
      </c>
      <c r="L25">
        <f>+$B25*_xlfn.XLOOKUP($C25,'ACTUAL %'!$A:$A,'ACTUAL %'!H:H)</f>
        <v>0</v>
      </c>
      <c r="M25">
        <f>+$B25*_xlfn.XLOOKUP($C25,'ACTUAL %'!$A:$A,'ACTUAL %'!I:I)</f>
        <v>440.24930419907196</v>
      </c>
      <c r="N25">
        <f>+$B25*_xlfn.XLOOKUP($C25,'ACTUAL %'!$A:$A,'ACTUAL %'!J:J)</f>
        <v>1323.9524715100549</v>
      </c>
      <c r="O25">
        <f>+$B25*_xlfn.XLOOKUP($C25,'ACTUAL %'!$A:$A,'ACTUAL %'!K:K)</f>
        <v>1323.9524715100549</v>
      </c>
      <c r="P25">
        <f>+$B25*_xlfn.XLOOKUP($C25,'ACTUAL %'!$A:$A,'ACTUAL %'!L:L)</f>
        <v>1323.9524715100549</v>
      </c>
      <c r="Q25">
        <f>+$B25*_xlfn.XLOOKUP($C25,'ACTUAL %'!$A:$A,'ACTUAL %'!M:M)</f>
        <v>1323.9524715100549</v>
      </c>
      <c r="R25">
        <f>+$B25*_xlfn.XLOOKUP($C25,'ACTUAL %'!$A:$A,'ACTUAL %'!N:N)+S25+T25+U25</f>
        <v>1323.9524715100549</v>
      </c>
      <c r="S25">
        <f>+$B25*_xlfn.XLOOKUP($C25,'ACTUAL %'!$A:$A,'ACTUAL %'!O:O)</f>
        <v>0</v>
      </c>
      <c r="T25">
        <f>+$B25*_xlfn.XLOOKUP($C25,'ACTUAL %'!$A:$A,'ACTUAL %'!P:P)</f>
        <v>0</v>
      </c>
      <c r="U25">
        <f>+$B25*_xlfn.XLOOKUP($C25,'ACTUAL %'!$A:$A,'ACTUAL %'!Q:Q)</f>
        <v>0</v>
      </c>
      <c r="V25">
        <f t="shared" si="3"/>
        <v>7774.1849714310201</v>
      </c>
      <c r="W25" s="517">
        <f t="shared" si="4"/>
        <v>0</v>
      </c>
    </row>
    <row r="26" spans="1:23" x14ac:dyDescent="0.75">
      <c r="A26" t="s">
        <v>1688</v>
      </c>
      <c r="B26">
        <v>75150.454723833172</v>
      </c>
      <c r="C26">
        <f t="shared" si="0"/>
        <v>4410</v>
      </c>
      <c r="D26" t="str">
        <f t="shared" si="1"/>
        <v>070</v>
      </c>
      <c r="E26" t="str">
        <f t="shared" si="2"/>
        <v>0000</v>
      </c>
      <c r="F26" t="s">
        <v>1763</v>
      </c>
      <c r="G26">
        <f>+$B26*_xlfn.XLOOKUP($C26,'ACTUAL %'!$A:$A,'ACTUAL %'!C:C)</f>
        <v>0</v>
      </c>
      <c r="H26">
        <f>+$B26*_xlfn.XLOOKUP($C26,'ACTUAL %'!$A:$A,'ACTUAL %'!D:D)</f>
        <v>4099.3130085645598</v>
      </c>
      <c r="I26">
        <f>+$B26*_xlfn.XLOOKUP($C26,'ACTUAL %'!$A:$A,'ACTUAL %'!E:E)</f>
        <v>0</v>
      </c>
      <c r="J26">
        <f>+$B26*_xlfn.XLOOKUP($C26,'ACTUAL %'!$A:$A,'ACTUAL %'!F:F)</f>
        <v>19539.530780950652</v>
      </c>
      <c r="K26">
        <f>+$B26*_xlfn.XLOOKUP($C26,'ACTUAL %'!$A:$A,'ACTUAL %'!G:G)</f>
        <v>0</v>
      </c>
      <c r="L26">
        <f>+$B26*_xlfn.XLOOKUP($C26,'ACTUAL %'!$A:$A,'ACTUAL %'!H:H)</f>
        <v>0</v>
      </c>
      <c r="M26">
        <f>+$B26*_xlfn.XLOOKUP($C26,'ACTUAL %'!$A:$A,'ACTUAL %'!I:I)</f>
        <v>4242.7748392588801</v>
      </c>
      <c r="N26">
        <f>+$B26*_xlfn.XLOOKUP($C26,'ACTUAL %'!$A:$A,'ACTUAL %'!J:J)</f>
        <v>15756.278698353028</v>
      </c>
      <c r="O26">
        <f>+$B26*_xlfn.XLOOKUP($C26,'ACTUAL %'!$A:$A,'ACTUAL %'!K:K)</f>
        <v>15756.278698353028</v>
      </c>
      <c r="P26">
        <f>+$B26*_xlfn.XLOOKUP($C26,'ACTUAL %'!$A:$A,'ACTUAL %'!L:L)</f>
        <v>15756.278698353028</v>
      </c>
      <c r="Q26">
        <f>+$B26*_xlfn.XLOOKUP($C26,'ACTUAL %'!$A:$A,'ACTUAL %'!M:M)</f>
        <v>0</v>
      </c>
      <c r="R26">
        <f>+$B26*_xlfn.XLOOKUP($C26,'ACTUAL %'!$A:$A,'ACTUAL %'!N:N)+S26+T26+U26</f>
        <v>0</v>
      </c>
      <c r="S26">
        <f>+$B26*_xlfn.XLOOKUP($C26,'ACTUAL %'!$A:$A,'ACTUAL %'!O:O)</f>
        <v>0</v>
      </c>
      <c r="T26">
        <f>+$B26*_xlfn.XLOOKUP($C26,'ACTUAL %'!$A:$A,'ACTUAL %'!P:P)</f>
        <v>0</v>
      </c>
      <c r="U26">
        <f>+$B26*_xlfn.XLOOKUP($C26,'ACTUAL %'!$A:$A,'ACTUAL %'!Q:Q)</f>
        <v>0</v>
      </c>
      <c r="V26">
        <f t="shared" si="3"/>
        <v>75150.454723833172</v>
      </c>
      <c r="W26" s="517">
        <f t="shared" si="4"/>
        <v>0</v>
      </c>
    </row>
    <row r="27" spans="1:23" x14ac:dyDescent="0.75">
      <c r="A27" t="s">
        <v>1689</v>
      </c>
      <c r="B27">
        <v>1943.5462428577546</v>
      </c>
      <c r="C27">
        <f t="shared" si="0"/>
        <v>4430</v>
      </c>
      <c r="D27" t="str">
        <f t="shared" si="1"/>
        <v>070</v>
      </c>
      <c r="E27" t="str">
        <f t="shared" si="2"/>
        <v>0000</v>
      </c>
      <c r="F27" t="s">
        <v>1764</v>
      </c>
      <c r="G27">
        <f>+$B27*_xlfn.XLOOKUP($C27,'ACTUAL %'!$A:$A,'ACTUAL %'!C:C)</f>
        <v>0</v>
      </c>
      <c r="H27">
        <f>+$B27*_xlfn.XLOOKUP($C27,'ACTUAL %'!$A:$A,'ACTUAL %'!D:D)</f>
        <v>0</v>
      </c>
      <c r="I27">
        <f>+$B27*_xlfn.XLOOKUP($C27,'ACTUAL %'!$A:$A,'ACTUAL %'!E:E)</f>
        <v>567.4559008296834</v>
      </c>
      <c r="J27">
        <f>+$B27*_xlfn.XLOOKUP($C27,'ACTUAL %'!$A:$A,'ACTUAL %'!F:F)</f>
        <v>18.945688775377391</v>
      </c>
      <c r="K27">
        <f>+$B27*_xlfn.XLOOKUP($C27,'ACTUAL %'!$A:$A,'ACTUAL %'!G:G)</f>
        <v>21.731438390140173</v>
      </c>
      <c r="L27">
        <f>+$B27*_xlfn.XLOOKUP($C27,'ACTUAL %'!$A:$A,'ACTUAL %'!H:H)</f>
        <v>0</v>
      </c>
      <c r="M27">
        <f>+$B27*_xlfn.XLOOKUP($C27,'ACTUAL %'!$A:$A,'ACTUAL %'!I:I)</f>
        <v>0</v>
      </c>
      <c r="N27">
        <f>+$B27*_xlfn.XLOOKUP($C27,'ACTUAL %'!$A:$A,'ACTUAL %'!J:J)</f>
        <v>267.08264297251077</v>
      </c>
      <c r="O27">
        <f>+$B27*_xlfn.XLOOKUP($C27,'ACTUAL %'!$A:$A,'ACTUAL %'!K:K)</f>
        <v>267.08264297251077</v>
      </c>
      <c r="P27">
        <f>+$B27*_xlfn.XLOOKUP($C27,'ACTUAL %'!$A:$A,'ACTUAL %'!L:L)</f>
        <v>267.08264297251077</v>
      </c>
      <c r="Q27">
        <f>+$B27*_xlfn.XLOOKUP($C27,'ACTUAL %'!$A:$A,'ACTUAL %'!M:M)</f>
        <v>267.08264297251077</v>
      </c>
      <c r="R27">
        <f>+$B27*_xlfn.XLOOKUP($C27,'ACTUAL %'!$A:$A,'ACTUAL %'!N:N)+S27+T27+U27</f>
        <v>267.08264297251077</v>
      </c>
      <c r="S27">
        <f>+$B27*_xlfn.XLOOKUP($C27,'ACTUAL %'!$A:$A,'ACTUAL %'!O:O)</f>
        <v>0</v>
      </c>
      <c r="T27">
        <f>+$B27*_xlfn.XLOOKUP($C27,'ACTUAL %'!$A:$A,'ACTUAL %'!P:P)</f>
        <v>0</v>
      </c>
      <c r="U27">
        <f>+$B27*_xlfn.XLOOKUP($C27,'ACTUAL %'!$A:$A,'ACTUAL %'!Q:Q)</f>
        <v>0</v>
      </c>
      <c r="V27">
        <f t="shared" si="3"/>
        <v>1943.5462428577546</v>
      </c>
      <c r="W27" s="517">
        <f t="shared" si="4"/>
        <v>0</v>
      </c>
    </row>
    <row r="28" spans="1:23" x14ac:dyDescent="0.75">
      <c r="A28" t="s">
        <v>1690</v>
      </c>
      <c r="B28">
        <v>25913.949904770063</v>
      </c>
      <c r="C28">
        <f t="shared" si="0"/>
        <v>5200</v>
      </c>
      <c r="D28" t="str">
        <f t="shared" si="1"/>
        <v>070</v>
      </c>
      <c r="E28" t="str">
        <f t="shared" si="2"/>
        <v>0000</v>
      </c>
      <c r="F28" t="s">
        <v>1765</v>
      </c>
      <c r="G28">
        <f>+$B28*_xlfn.XLOOKUP($C28,'ACTUAL %'!$A:$A,'ACTUAL %'!C:C)</f>
        <v>2412.5109942843787</v>
      </c>
      <c r="H28">
        <f>+$B28*_xlfn.XLOOKUP($C28,'ACTUAL %'!$A:$A,'ACTUAL %'!D:D)</f>
        <v>1987.1464635725304</v>
      </c>
      <c r="I28">
        <f>+$B28*_xlfn.XLOOKUP($C28,'ACTUAL %'!$A:$A,'ACTUAL %'!E:E)</f>
        <v>1465.50383477949</v>
      </c>
      <c r="J28">
        <f>+$B28*_xlfn.XLOOKUP($C28,'ACTUAL %'!$A:$A,'ACTUAL %'!F:F)</f>
        <v>5443.8211983447609</v>
      </c>
      <c r="K28">
        <f>+$B28*_xlfn.XLOOKUP($C28,'ACTUAL %'!$A:$A,'ACTUAL %'!G:G)</f>
        <v>2754.7228425418007</v>
      </c>
      <c r="L28">
        <f>+$B28*_xlfn.XLOOKUP($C28,'ACTUAL %'!$A:$A,'ACTUAL %'!H:H)</f>
        <v>1901.0007199041031</v>
      </c>
      <c r="M28">
        <f>+$B28*_xlfn.XLOOKUP($C28,'ACTUAL %'!$A:$A,'ACTUAL %'!I:I)</f>
        <v>4741.9781447039304</v>
      </c>
      <c r="N28">
        <f>+$B28*_xlfn.XLOOKUP($C28,'ACTUAL %'!$A:$A,'ACTUAL %'!J:J)</f>
        <v>1735.7552355463556</v>
      </c>
      <c r="O28">
        <f>+$B28*_xlfn.XLOOKUP($C28,'ACTUAL %'!$A:$A,'ACTUAL %'!K:K)</f>
        <v>1735.7552355463556</v>
      </c>
      <c r="P28">
        <f>+$B28*_xlfn.XLOOKUP($C28,'ACTUAL %'!$A:$A,'ACTUAL %'!L:L)</f>
        <v>1735.7552355463556</v>
      </c>
      <c r="Q28">
        <f>+$B28*_xlfn.XLOOKUP($C28,'ACTUAL %'!$A:$A,'ACTUAL %'!M:M)</f>
        <v>0</v>
      </c>
      <c r="R28">
        <f>+$B28*_xlfn.XLOOKUP($C28,'ACTUAL %'!$A:$A,'ACTUAL %'!N:N)+S28+T28+U28</f>
        <v>0</v>
      </c>
      <c r="S28">
        <f>+$B28*_xlfn.XLOOKUP($C28,'ACTUAL %'!$A:$A,'ACTUAL %'!O:O)</f>
        <v>0</v>
      </c>
      <c r="T28">
        <f>+$B28*_xlfn.XLOOKUP($C28,'ACTUAL %'!$A:$A,'ACTUAL %'!P:P)</f>
        <v>0</v>
      </c>
      <c r="U28">
        <f>+$B28*_xlfn.XLOOKUP($C28,'ACTUAL %'!$A:$A,'ACTUAL %'!Q:Q)</f>
        <v>0</v>
      </c>
      <c r="V28">
        <f t="shared" si="3"/>
        <v>25913.949904770063</v>
      </c>
      <c r="W28" s="517">
        <f t="shared" si="4"/>
        <v>0</v>
      </c>
    </row>
    <row r="29" spans="1:23" x14ac:dyDescent="0.75">
      <c r="A29" t="s">
        <v>1691</v>
      </c>
      <c r="B29">
        <v>97177.312142887735</v>
      </c>
      <c r="C29">
        <f t="shared" si="0"/>
        <v>5210</v>
      </c>
      <c r="D29" t="str">
        <f t="shared" si="1"/>
        <v>070</v>
      </c>
      <c r="E29" t="str">
        <f t="shared" si="2"/>
        <v>0000</v>
      </c>
      <c r="F29" t="s">
        <v>1766</v>
      </c>
      <c r="G29">
        <f>+$B29*_xlfn.XLOOKUP($C29,'ACTUAL %'!$A:$A,'ACTUAL %'!C:C)</f>
        <v>22102.095333359313</v>
      </c>
      <c r="H29">
        <f>+$B29*_xlfn.XLOOKUP($C29,'ACTUAL %'!$A:$A,'ACTUAL %'!D:D)</f>
        <v>864.78333019236152</v>
      </c>
      <c r="I29">
        <f>+$B29*_xlfn.XLOOKUP($C29,'ACTUAL %'!$A:$A,'ACTUAL %'!E:E)</f>
        <v>58250.704685874756</v>
      </c>
      <c r="J29">
        <f>+$B29*_xlfn.XLOOKUP($C29,'ACTUAL %'!$A:$A,'ACTUAL %'!F:F)</f>
        <v>3619.7431234136038</v>
      </c>
      <c r="K29">
        <f>+$B29*_xlfn.XLOOKUP($C29,'ACTUAL %'!$A:$A,'ACTUAL %'!G:G)</f>
        <v>3099.681731451315</v>
      </c>
      <c r="L29">
        <f>+$B29*_xlfn.XLOOKUP($C29,'ACTUAL %'!$A:$A,'ACTUAL %'!H:H)</f>
        <v>2429.4328035721933</v>
      </c>
      <c r="M29">
        <f>+$B29*_xlfn.XLOOKUP($C29,'ACTUAL %'!$A:$A,'ACTUAL %'!I:I)</f>
        <v>502.38240945069384</v>
      </c>
      <c r="N29">
        <f>+$B29*_xlfn.XLOOKUP($C29,'ACTUAL %'!$A:$A,'ACTUAL %'!J:J)</f>
        <v>1261.6977451146965</v>
      </c>
      <c r="O29">
        <f>+$B29*_xlfn.XLOOKUP($C29,'ACTUAL %'!$A:$A,'ACTUAL %'!K:K)</f>
        <v>1261.6977451146965</v>
      </c>
      <c r="P29">
        <f>+$B29*_xlfn.XLOOKUP($C29,'ACTUAL %'!$A:$A,'ACTUAL %'!L:L)</f>
        <v>1261.6977451146965</v>
      </c>
      <c r="Q29">
        <f>+$B29*_xlfn.XLOOKUP($C29,'ACTUAL %'!$A:$A,'ACTUAL %'!M:M)</f>
        <v>1261.6977451146965</v>
      </c>
      <c r="R29">
        <f>+$B29*_xlfn.XLOOKUP($C29,'ACTUAL %'!$A:$A,'ACTUAL %'!N:N)+S29+T29+U29</f>
        <v>1261.6977451146965</v>
      </c>
      <c r="S29">
        <f>+$B29*_xlfn.XLOOKUP($C29,'ACTUAL %'!$A:$A,'ACTUAL %'!O:O)</f>
        <v>0</v>
      </c>
      <c r="T29">
        <f>+$B29*_xlfn.XLOOKUP($C29,'ACTUAL %'!$A:$A,'ACTUAL %'!P:P)</f>
        <v>0</v>
      </c>
      <c r="U29">
        <f>+$B29*_xlfn.XLOOKUP($C29,'ACTUAL %'!$A:$A,'ACTUAL %'!Q:Q)</f>
        <v>0</v>
      </c>
      <c r="V29">
        <f t="shared" si="3"/>
        <v>97177.31214288772</v>
      </c>
      <c r="W29" s="517">
        <f t="shared" si="4"/>
        <v>0</v>
      </c>
    </row>
    <row r="30" spans="1:23" x14ac:dyDescent="0.75">
      <c r="A30" s="178" t="s">
        <v>1692</v>
      </c>
      <c r="B30">
        <v>18139.764933339044</v>
      </c>
      <c r="C30">
        <f t="shared" si="0"/>
        <v>5300</v>
      </c>
      <c r="D30" t="str">
        <f t="shared" si="1"/>
        <v>070</v>
      </c>
      <c r="E30" t="str">
        <f t="shared" si="2"/>
        <v>0000</v>
      </c>
      <c r="F30" t="s">
        <v>1767</v>
      </c>
      <c r="G30">
        <f>+$B30*_xlfn.XLOOKUP($C30,'ACTUAL %'!$A:$A,'ACTUAL %'!C:C)</f>
        <v>9100.5075726669784</v>
      </c>
      <c r="H30">
        <f>+$B30*_xlfn.XLOOKUP($C30,'ACTUAL %'!$A:$A,'ACTUAL %'!D:D)</f>
        <v>25.913949904770064</v>
      </c>
      <c r="I30">
        <f>+$B30*_xlfn.XLOOKUP($C30,'ACTUAL %'!$A:$A,'ACTUAL %'!E:E)</f>
        <v>608.98041415708701</v>
      </c>
      <c r="J30">
        <f>+$B30*_xlfn.XLOOKUP($C30,'ACTUAL %'!$A:$A,'ACTUAL %'!F:F)</f>
        <v>0</v>
      </c>
      <c r="K30">
        <f>+$B30*_xlfn.XLOOKUP($C30,'ACTUAL %'!$A:$A,'ACTUAL %'!G:G)</f>
        <v>6181.5136102838505</v>
      </c>
      <c r="L30">
        <f>+$B30*_xlfn.XLOOKUP($C30,'ACTUAL %'!$A:$A,'ACTUAL %'!H:H)</f>
        <v>0</v>
      </c>
      <c r="M30">
        <f>+$B30*_xlfn.XLOOKUP($C30,'ACTUAL %'!$A:$A,'ACTUAL %'!I:I)</f>
        <v>71.263362238117679</v>
      </c>
      <c r="N30">
        <f>+$B30*_xlfn.XLOOKUP($C30,'ACTUAL %'!$A:$A,'ACTUAL %'!J:J)</f>
        <v>717.19534136274615</v>
      </c>
      <c r="O30">
        <f>+$B30*_xlfn.XLOOKUP($C30,'ACTUAL %'!$A:$A,'ACTUAL %'!K:K)</f>
        <v>717.19534136274615</v>
      </c>
      <c r="P30">
        <f>+$B30*_xlfn.XLOOKUP($C30,'ACTUAL %'!$A:$A,'ACTUAL %'!L:L)</f>
        <v>717.19534136274615</v>
      </c>
      <c r="Q30">
        <f>+$B30*_xlfn.XLOOKUP($C30,'ACTUAL %'!$A:$A,'ACTUAL %'!M:M)</f>
        <v>0</v>
      </c>
      <c r="R30">
        <f>+$B30*_xlfn.XLOOKUP($C30,'ACTUAL %'!$A:$A,'ACTUAL %'!N:N)+S30+T30+U30</f>
        <v>0</v>
      </c>
      <c r="S30">
        <f>+$B30*_xlfn.XLOOKUP($C30,'ACTUAL %'!$A:$A,'ACTUAL %'!O:O)</f>
        <v>0</v>
      </c>
      <c r="T30">
        <f>+$B30*_xlfn.XLOOKUP($C30,'ACTUAL %'!$A:$A,'ACTUAL %'!P:P)</f>
        <v>0</v>
      </c>
      <c r="U30">
        <f>+$B30*_xlfn.XLOOKUP($C30,'ACTUAL %'!$A:$A,'ACTUAL %'!Q:Q)</f>
        <v>0</v>
      </c>
      <c r="V30">
        <f t="shared" si="3"/>
        <v>18139.76493333904</v>
      </c>
      <c r="W30" s="517">
        <f t="shared" si="4"/>
        <v>0</v>
      </c>
    </row>
    <row r="31" spans="1:23" x14ac:dyDescent="0.75">
      <c r="A31" s="178" t="s">
        <v>1693</v>
      </c>
      <c r="B31">
        <v>19435.462428577546</v>
      </c>
      <c r="C31">
        <f t="shared" si="0"/>
        <v>5400</v>
      </c>
      <c r="D31" t="str">
        <f t="shared" si="1"/>
        <v>070</v>
      </c>
      <c r="E31" t="str">
        <f t="shared" si="2"/>
        <v>0000</v>
      </c>
      <c r="F31" t="s">
        <v>1768</v>
      </c>
      <c r="G31">
        <f>+$B31*_xlfn.XLOOKUP($C31,'ACTUAL %'!$A:$A,'ACTUAL %'!C:C)</f>
        <v>0</v>
      </c>
      <c r="H31">
        <f>+$B31*_xlfn.XLOOKUP($C31,'ACTUAL %'!$A:$A,'ACTUAL %'!D:D)</f>
        <v>0</v>
      </c>
      <c r="I31">
        <f>+$B31*_xlfn.XLOOKUP($C31,'ACTUAL %'!$A:$A,'ACTUAL %'!E:E)</f>
        <v>5148.3987597001314</v>
      </c>
      <c r="J31">
        <f>+$B31*_xlfn.XLOOKUP($C31,'ACTUAL %'!$A:$A,'ACTUAL %'!F:F)</f>
        <v>7156.3418500172902</v>
      </c>
      <c r="K31">
        <f>+$B31*_xlfn.XLOOKUP($C31,'ACTUAL %'!$A:$A,'ACTUAL %'!G:G)</f>
        <v>0</v>
      </c>
      <c r="L31">
        <f>+$B31*_xlfn.XLOOKUP($C31,'ACTUAL %'!$A:$A,'ACTUAL %'!H:H)</f>
        <v>0</v>
      </c>
      <c r="M31">
        <f>+$B31*_xlfn.XLOOKUP($C31,'ACTUAL %'!$A:$A,'ACTUAL %'!I:I)</f>
        <v>0</v>
      </c>
      <c r="N31">
        <f>+$B31*_xlfn.XLOOKUP($C31,'ACTUAL %'!$A:$A,'ACTUAL %'!J:J)</f>
        <v>2376.907272953375</v>
      </c>
      <c r="O31">
        <f>+$B31*_xlfn.XLOOKUP($C31,'ACTUAL %'!$A:$A,'ACTUAL %'!K:K)</f>
        <v>2376.907272953375</v>
      </c>
      <c r="P31">
        <f>+$B31*_xlfn.XLOOKUP($C31,'ACTUAL %'!$A:$A,'ACTUAL %'!L:L)</f>
        <v>2376.907272953375</v>
      </c>
      <c r="Q31">
        <f>+$B31*_xlfn.XLOOKUP($C31,'ACTUAL %'!$A:$A,'ACTUAL %'!M:M)</f>
        <v>0</v>
      </c>
      <c r="R31">
        <f>+$B31*_xlfn.XLOOKUP($C31,'ACTUAL %'!$A:$A,'ACTUAL %'!N:N)+S31+T31+U31</f>
        <v>0</v>
      </c>
      <c r="S31">
        <f>+$B31*_xlfn.XLOOKUP($C31,'ACTUAL %'!$A:$A,'ACTUAL %'!O:O)</f>
        <v>0</v>
      </c>
      <c r="T31">
        <f>+$B31*_xlfn.XLOOKUP($C31,'ACTUAL %'!$A:$A,'ACTUAL %'!P:P)</f>
        <v>0</v>
      </c>
      <c r="U31">
        <f>+$B31*_xlfn.XLOOKUP($C31,'ACTUAL %'!$A:$A,'ACTUAL %'!Q:Q)</f>
        <v>0</v>
      </c>
      <c r="V31">
        <f t="shared" si="3"/>
        <v>19435.462428577546</v>
      </c>
      <c r="W31" s="517">
        <f t="shared" si="4"/>
        <v>0</v>
      </c>
    </row>
    <row r="32" spans="1:23" x14ac:dyDescent="0.75">
      <c r="A32" t="s">
        <v>1694</v>
      </c>
      <c r="B32">
        <v>1554.8369942862037</v>
      </c>
      <c r="C32">
        <f t="shared" si="0"/>
        <v>5500</v>
      </c>
      <c r="D32" t="str">
        <f t="shared" si="1"/>
        <v>070</v>
      </c>
      <c r="E32" t="str">
        <f t="shared" si="2"/>
        <v>0000</v>
      </c>
      <c r="F32" t="s">
        <v>1769</v>
      </c>
      <c r="G32">
        <f>+$B32*_xlfn.XLOOKUP($C32,'ACTUAL %'!$A:$A,'ACTUAL %'!C:C)</f>
        <v>0</v>
      </c>
      <c r="H32">
        <f>+$B32*_xlfn.XLOOKUP($C32,'ACTUAL %'!$A:$A,'ACTUAL %'!D:D)</f>
        <v>196.94601927625249</v>
      </c>
      <c r="I32">
        <f>+$B32*_xlfn.XLOOKUP($C32,'ACTUAL %'!$A:$A,'ACTUAL %'!E:E)</f>
        <v>98.475601033116718</v>
      </c>
      <c r="J32">
        <f>+$B32*_xlfn.XLOOKUP($C32,'ACTUAL %'!$A:$A,'ACTUAL %'!F:F)</f>
        <v>0</v>
      </c>
      <c r="K32">
        <f>+$B32*_xlfn.XLOOKUP($C32,'ACTUAL %'!$A:$A,'ACTUAL %'!G:G)</f>
        <v>98.470418243135768</v>
      </c>
      <c r="L32">
        <f>+$B32*_xlfn.XLOOKUP($C32,'ACTUAL %'!$A:$A,'ACTUAL %'!H:H)</f>
        <v>123.09126204765778</v>
      </c>
      <c r="M32">
        <f>+$B32*_xlfn.XLOOKUP($C32,'ACTUAL %'!$A:$A,'ACTUAL %'!I:I)</f>
        <v>98.475601033116718</v>
      </c>
      <c r="N32">
        <f>+$B32*_xlfn.XLOOKUP($C32,'ACTUAL %'!$A:$A,'ACTUAL %'!J:J)</f>
        <v>186.08205653983939</v>
      </c>
      <c r="O32">
        <f>+$B32*_xlfn.XLOOKUP($C32,'ACTUAL %'!$A:$A,'ACTUAL %'!K:K)</f>
        <v>188.32400902827121</v>
      </c>
      <c r="P32">
        <f>+$B32*_xlfn.XLOOKUP($C32,'ACTUAL %'!$A:$A,'ACTUAL %'!L:L)</f>
        <v>188.32400902827121</v>
      </c>
      <c r="Q32">
        <f>+$B32*_xlfn.XLOOKUP($C32,'ACTUAL %'!$A:$A,'ACTUAL %'!M:M)</f>
        <v>188.32400902827121</v>
      </c>
      <c r="R32">
        <f>+$B32*_xlfn.XLOOKUP($C32,'ACTUAL %'!$A:$A,'ACTUAL %'!N:N)+S32+T32+U32</f>
        <v>188.32400902827121</v>
      </c>
      <c r="S32">
        <f>+$B32*_xlfn.XLOOKUP($C32,'ACTUAL %'!$A:$A,'ACTUAL %'!O:O)</f>
        <v>0</v>
      </c>
      <c r="T32">
        <f>+$B32*_xlfn.XLOOKUP($C32,'ACTUAL %'!$A:$A,'ACTUAL %'!P:P)</f>
        <v>0</v>
      </c>
      <c r="U32">
        <f>+$B32*_xlfn.XLOOKUP($C32,'ACTUAL %'!$A:$A,'ACTUAL %'!Q:Q)</f>
        <v>0</v>
      </c>
      <c r="V32">
        <f t="shared" si="3"/>
        <v>1554.8369942862034</v>
      </c>
      <c r="W32" s="517">
        <f t="shared" si="4"/>
        <v>0</v>
      </c>
    </row>
    <row r="33" spans="1:23" x14ac:dyDescent="0.75">
      <c r="A33" t="s">
        <v>1695</v>
      </c>
      <c r="B33">
        <v>647.84874761925153</v>
      </c>
      <c r="C33">
        <f t="shared" si="0"/>
        <v>5501</v>
      </c>
      <c r="D33" t="str">
        <f t="shared" si="1"/>
        <v>070</v>
      </c>
      <c r="E33" t="str">
        <f t="shared" si="2"/>
        <v>0000</v>
      </c>
      <c r="F33" t="s">
        <v>1770</v>
      </c>
      <c r="G33">
        <f>+$B33*_xlfn.XLOOKUP($C33,'ACTUAL %'!$A:$A,'ACTUAL %'!C:C)</f>
        <v>52.949973840416668</v>
      </c>
      <c r="H33">
        <f>+$B33*_xlfn.XLOOKUP($C33,'ACTUAL %'!$A:$A,'ACTUAL %'!D:D)</f>
        <v>54.872788923350605</v>
      </c>
      <c r="I33">
        <f>+$B33*_xlfn.XLOOKUP($C33,'ACTUAL %'!$A:$A,'ACTUAL %'!E:E)</f>
        <v>0</v>
      </c>
      <c r="J33">
        <f>+$B33*_xlfn.XLOOKUP($C33,'ACTUAL %'!$A:$A,'ACTUAL %'!F:F)</f>
        <v>51.954878164073499</v>
      </c>
      <c r="K33">
        <f>+$B33*_xlfn.XLOOKUP($C33,'ACTUAL %'!$A:$A,'ACTUAL %'!G:G)</f>
        <v>43.926736483575731</v>
      </c>
      <c r="L33">
        <f>+$B33*_xlfn.XLOOKUP($C33,'ACTUAL %'!$A:$A,'ACTUAL %'!H:H)</f>
        <v>38.181613789688207</v>
      </c>
      <c r="M33">
        <f>+$B33*_xlfn.XLOOKUP($C33,'ACTUAL %'!$A:$A,'ACTUAL %'!I:I)</f>
        <v>31.008632456047852</v>
      </c>
      <c r="N33">
        <f>+$B33*_xlfn.XLOOKUP($C33,'ACTUAL %'!$A:$A,'ACTUAL %'!J:J)</f>
        <v>74.274921930439646</v>
      </c>
      <c r="O33">
        <f>+$B33*_xlfn.XLOOKUP($C33,'ACTUAL %'!$A:$A,'ACTUAL %'!K:K)</f>
        <v>75.169800507914815</v>
      </c>
      <c r="P33">
        <f>+$B33*_xlfn.XLOOKUP($C33,'ACTUAL %'!$A:$A,'ACTUAL %'!L:L)</f>
        <v>75.169800507914815</v>
      </c>
      <c r="Q33">
        <f>+$B33*_xlfn.XLOOKUP($C33,'ACTUAL %'!$A:$A,'ACTUAL %'!M:M)</f>
        <v>75.169800507914815</v>
      </c>
      <c r="R33">
        <f>+$B33*_xlfn.XLOOKUP($C33,'ACTUAL %'!$A:$A,'ACTUAL %'!N:N)+S33+T33+U33</f>
        <v>75.169800507914815</v>
      </c>
      <c r="S33">
        <f>+$B33*_xlfn.XLOOKUP($C33,'ACTUAL %'!$A:$A,'ACTUAL %'!O:O)</f>
        <v>0</v>
      </c>
      <c r="T33">
        <f>+$B33*_xlfn.XLOOKUP($C33,'ACTUAL %'!$A:$A,'ACTUAL %'!P:P)</f>
        <v>0</v>
      </c>
      <c r="U33">
        <f>+$B33*_xlfn.XLOOKUP($C33,'ACTUAL %'!$A:$A,'ACTUAL %'!Q:Q)</f>
        <v>0</v>
      </c>
      <c r="V33">
        <f t="shared" si="3"/>
        <v>647.84874761925153</v>
      </c>
      <c r="W33" s="517">
        <f t="shared" si="4"/>
        <v>0</v>
      </c>
    </row>
    <row r="34" spans="1:23" x14ac:dyDescent="0.75">
      <c r="A34" t="s">
        <v>1696</v>
      </c>
      <c r="B34">
        <v>22709.923224594386</v>
      </c>
      <c r="C34">
        <f t="shared" si="0"/>
        <v>5600</v>
      </c>
      <c r="D34" t="str">
        <f t="shared" si="1"/>
        <v>070</v>
      </c>
      <c r="E34" t="str">
        <f t="shared" si="2"/>
        <v>0000</v>
      </c>
      <c r="F34" t="s">
        <v>1771</v>
      </c>
      <c r="G34">
        <f>+$B34*_xlfn.XLOOKUP($C34,'ACTUAL %'!$A:$A,'ACTUAL %'!C:C)</f>
        <v>2431.9982111121735</v>
      </c>
      <c r="H34">
        <f>+$B34*_xlfn.XLOOKUP($C34,'ACTUAL %'!$A:$A,'ACTUAL %'!D:D)</f>
        <v>1725.1293205499176</v>
      </c>
      <c r="I34">
        <f>+$B34*_xlfn.XLOOKUP($C34,'ACTUAL %'!$A:$A,'ACTUAL %'!E:E)</f>
        <v>1956.9267676838956</v>
      </c>
      <c r="J34">
        <f>+$B34*_xlfn.XLOOKUP($C34,'ACTUAL %'!$A:$A,'ACTUAL %'!F:F)</f>
        <v>1956.9267676838956</v>
      </c>
      <c r="K34">
        <f>+$B34*_xlfn.XLOOKUP($C34,'ACTUAL %'!$A:$A,'ACTUAL %'!G:G)</f>
        <v>1956.9267676838956</v>
      </c>
      <c r="L34">
        <f>+$B34*_xlfn.XLOOKUP($C34,'ACTUAL %'!$A:$A,'ACTUAL %'!H:H)</f>
        <v>1986.4526113943837</v>
      </c>
      <c r="M34">
        <f>+$B34*_xlfn.XLOOKUP($C34,'ACTUAL %'!$A:$A,'ACTUAL %'!I:I)</f>
        <v>1986.4526113943837</v>
      </c>
      <c r="N34">
        <f>+$B34*_xlfn.XLOOKUP($C34,'ACTUAL %'!$A:$A,'ACTUAL %'!J:J)</f>
        <v>1725.1936607843027</v>
      </c>
      <c r="O34">
        <f>+$B34*_xlfn.XLOOKUP($C34,'ACTUAL %'!$A:$A,'ACTUAL %'!K:K)</f>
        <v>1745.9791265768847</v>
      </c>
      <c r="P34">
        <f>+$B34*_xlfn.XLOOKUP($C34,'ACTUAL %'!$A:$A,'ACTUAL %'!L:L)</f>
        <v>1745.9791265768847</v>
      </c>
      <c r="Q34">
        <f>+$B34*_xlfn.XLOOKUP($C34,'ACTUAL %'!$A:$A,'ACTUAL %'!M:M)</f>
        <v>1745.9791265768847</v>
      </c>
      <c r="R34">
        <f>+$B34*_xlfn.XLOOKUP($C34,'ACTUAL %'!$A:$A,'ACTUAL %'!N:N)+S34+T34+U34</f>
        <v>1745.9791265768847</v>
      </c>
      <c r="S34">
        <f>+$B34*_xlfn.XLOOKUP($C34,'ACTUAL %'!$A:$A,'ACTUAL %'!O:O)</f>
        <v>0</v>
      </c>
      <c r="T34">
        <f>+$B34*_xlfn.XLOOKUP($C34,'ACTUAL %'!$A:$A,'ACTUAL %'!P:P)</f>
        <v>0</v>
      </c>
      <c r="U34">
        <f>+$B34*_xlfn.XLOOKUP($C34,'ACTUAL %'!$A:$A,'ACTUAL %'!Q:Q)</f>
        <v>0</v>
      </c>
      <c r="V34">
        <f t="shared" si="3"/>
        <v>22709.923224594382</v>
      </c>
      <c r="W34" s="517">
        <f t="shared" si="4"/>
        <v>0</v>
      </c>
    </row>
    <row r="35" spans="1:23" x14ac:dyDescent="0.75">
      <c r="A35" t="s">
        <v>1697</v>
      </c>
      <c r="B35">
        <v>12956.974952385031</v>
      </c>
      <c r="C35">
        <f t="shared" si="0"/>
        <v>5602</v>
      </c>
      <c r="D35" t="str">
        <f t="shared" si="1"/>
        <v>070</v>
      </c>
      <c r="E35" t="str">
        <f t="shared" si="2"/>
        <v>0000</v>
      </c>
      <c r="F35" t="s">
        <v>1772</v>
      </c>
      <c r="G35">
        <f>+$B35*_xlfn.XLOOKUP($C35,'ACTUAL %'!$A:$A,'ACTUAL %'!C:C)</f>
        <v>0</v>
      </c>
      <c r="H35">
        <f>+$B35*_xlfn.XLOOKUP($C35,'ACTUAL %'!$A:$A,'ACTUAL %'!D:D)</f>
        <v>0</v>
      </c>
      <c r="I35">
        <f>+$B35*_xlfn.XLOOKUP($C35,'ACTUAL %'!$A:$A,'ACTUAL %'!E:E)</f>
        <v>0</v>
      </c>
      <c r="J35">
        <f>+$B35*_xlfn.XLOOKUP($C35,'ACTUAL %'!$A:$A,'ACTUAL %'!F:F)</f>
        <v>0</v>
      </c>
      <c r="K35">
        <f>+$B35*_xlfn.XLOOKUP($C35,'ACTUAL %'!$A:$A,'ACTUAL %'!G:G)</f>
        <v>0</v>
      </c>
      <c r="L35">
        <f>+$B35*_xlfn.XLOOKUP($C35,'ACTUAL %'!$A:$A,'ACTUAL %'!H:H)</f>
        <v>0</v>
      </c>
      <c r="M35">
        <f>+$B35*_xlfn.XLOOKUP($C35,'ACTUAL %'!$A:$A,'ACTUAL %'!I:I)</f>
        <v>0</v>
      </c>
      <c r="N35">
        <f>+$B35*_xlfn.XLOOKUP($C35,'ACTUAL %'!$A:$A,'ACTUAL %'!J:J)</f>
        <v>2566.6561361526437</v>
      </c>
      <c r="O35">
        <f>+$B35*_xlfn.XLOOKUP($C35,'ACTUAL %'!$A:$A,'ACTUAL %'!K:K)</f>
        <v>2597.5797040580969</v>
      </c>
      <c r="P35">
        <f>+$B35*_xlfn.XLOOKUP($C35,'ACTUAL %'!$A:$A,'ACTUAL %'!L:L)</f>
        <v>2597.5797040580969</v>
      </c>
      <c r="Q35">
        <f>+$B35*_xlfn.XLOOKUP($C35,'ACTUAL %'!$A:$A,'ACTUAL %'!M:M)</f>
        <v>2597.5797040580969</v>
      </c>
      <c r="R35">
        <f>+$B35*_xlfn.XLOOKUP($C35,'ACTUAL %'!$A:$A,'ACTUAL %'!N:N)+S35+T35+U35</f>
        <v>2597.5797040580969</v>
      </c>
      <c r="S35">
        <f>+$B35*_xlfn.XLOOKUP($C35,'ACTUAL %'!$A:$A,'ACTUAL %'!O:O)</f>
        <v>0</v>
      </c>
      <c r="T35">
        <f>+$B35*_xlfn.XLOOKUP($C35,'ACTUAL %'!$A:$A,'ACTUAL %'!P:P)</f>
        <v>0</v>
      </c>
      <c r="U35">
        <f>+$B35*_xlfn.XLOOKUP($C35,'ACTUAL %'!$A:$A,'ACTUAL %'!Q:Q)</f>
        <v>0</v>
      </c>
      <c r="V35">
        <f t="shared" si="3"/>
        <v>12956.97495238503</v>
      </c>
      <c r="W35" s="517">
        <f t="shared" si="4"/>
        <v>0</v>
      </c>
    </row>
    <row r="36" spans="1:23" x14ac:dyDescent="0.75">
      <c r="A36" t="s">
        <v>1698</v>
      </c>
      <c r="B36">
        <v>1295.6974952385031</v>
      </c>
      <c r="C36">
        <f t="shared" si="0"/>
        <v>5603</v>
      </c>
      <c r="D36" t="str">
        <f t="shared" si="1"/>
        <v>070</v>
      </c>
      <c r="E36" t="str">
        <f t="shared" si="2"/>
        <v>0000</v>
      </c>
      <c r="F36" t="s">
        <v>1773</v>
      </c>
      <c r="G36">
        <f>+$B36*_xlfn.XLOOKUP($C36,'ACTUAL %'!$A:$A,'ACTUAL %'!C:C)</f>
        <v>0</v>
      </c>
      <c r="H36">
        <f>+$B36*_xlfn.XLOOKUP($C36,'ACTUAL %'!$A:$A,'ACTUAL %'!D:D)</f>
        <v>0</v>
      </c>
      <c r="I36">
        <f>+$B36*_xlfn.XLOOKUP($C36,'ACTUAL %'!$A:$A,'ACTUAL %'!E:E)</f>
        <v>0</v>
      </c>
      <c r="J36">
        <f>+$B36*_xlfn.XLOOKUP($C36,'ACTUAL %'!$A:$A,'ACTUAL %'!F:F)</f>
        <v>0</v>
      </c>
      <c r="K36">
        <f>+$B36*_xlfn.XLOOKUP($C36,'ACTUAL %'!$A:$A,'ACTUAL %'!G:G)</f>
        <v>0</v>
      </c>
      <c r="L36">
        <f>+$B36*_xlfn.XLOOKUP($C36,'ACTUAL %'!$A:$A,'ACTUAL %'!H:H)</f>
        <v>0</v>
      </c>
      <c r="M36">
        <f>+$B36*_xlfn.XLOOKUP($C36,'ACTUAL %'!$A:$A,'ACTUAL %'!I:I)</f>
        <v>0</v>
      </c>
      <c r="N36">
        <f>+$B36*_xlfn.XLOOKUP($C36,'ACTUAL %'!$A:$A,'ACTUAL %'!J:J)</f>
        <v>0</v>
      </c>
      <c r="O36">
        <f>+$B36*_xlfn.XLOOKUP($C36,'ACTUAL %'!$A:$A,'ACTUAL %'!K:K)</f>
        <v>0</v>
      </c>
      <c r="P36">
        <f>+$B36*_xlfn.XLOOKUP($C36,'ACTUAL %'!$A:$A,'ACTUAL %'!L:L)</f>
        <v>0</v>
      </c>
      <c r="Q36">
        <f>+$B36*_xlfn.XLOOKUP($C36,'ACTUAL %'!$A:$A,'ACTUAL %'!M:M)</f>
        <v>0</v>
      </c>
      <c r="R36">
        <f>+$B36*_xlfn.XLOOKUP($C36,'ACTUAL %'!$A:$A,'ACTUAL %'!N:N)+S36+T36+U36</f>
        <v>0</v>
      </c>
      <c r="S36">
        <f>+$B36*_xlfn.XLOOKUP($C36,'ACTUAL %'!$A:$A,'ACTUAL %'!O:O)</f>
        <v>0</v>
      </c>
      <c r="T36">
        <f>+$B36*_xlfn.XLOOKUP($C36,'ACTUAL %'!$A:$A,'ACTUAL %'!P:P)</f>
        <v>0</v>
      </c>
      <c r="U36">
        <f>+$B36*_xlfn.XLOOKUP($C36,'ACTUAL %'!$A:$A,'ACTUAL %'!Q:Q)</f>
        <v>0</v>
      </c>
      <c r="V36">
        <f t="shared" si="3"/>
        <v>0</v>
      </c>
      <c r="W36" s="517">
        <f t="shared" si="4"/>
        <v>-1295.6974952385031</v>
      </c>
    </row>
    <row r="37" spans="1:23" x14ac:dyDescent="0.75">
      <c r="A37" t="s">
        <v>1699</v>
      </c>
      <c r="B37">
        <v>45349.412333347609</v>
      </c>
      <c r="C37">
        <f t="shared" si="0"/>
        <v>5800</v>
      </c>
      <c r="D37" t="str">
        <f t="shared" si="1"/>
        <v>070</v>
      </c>
      <c r="E37" t="str">
        <f t="shared" si="2"/>
        <v>0000</v>
      </c>
      <c r="F37" t="s">
        <v>1774</v>
      </c>
      <c r="G37">
        <f>+$B37*_xlfn.XLOOKUP($C37,'ACTUAL %'!$A:$A,'ACTUAL %'!C:C)</f>
        <v>6327.8249767461775</v>
      </c>
      <c r="H37">
        <f>+$B37*_xlfn.XLOOKUP($C37,'ACTUAL %'!$A:$A,'ACTUAL %'!D:D)</f>
        <v>2584.9586885006588</v>
      </c>
      <c r="I37">
        <f>+$B37*_xlfn.XLOOKUP($C37,'ACTUAL %'!$A:$A,'ACTUAL %'!E:E)</f>
        <v>231.28516681256119</v>
      </c>
      <c r="J37">
        <f>+$B37*_xlfn.XLOOKUP($C37,'ACTUAL %'!$A:$A,'ACTUAL %'!F:F)</f>
        <v>12128.331205430173</v>
      </c>
      <c r="K37">
        <f>+$B37*_xlfn.XLOOKUP($C37,'ACTUAL %'!$A:$A,'ACTUAL %'!G:G)</f>
        <v>2949.4519535361997</v>
      </c>
      <c r="L37">
        <f>+$B37*_xlfn.XLOOKUP($C37,'ACTUAL %'!$A:$A,'ACTUAL %'!H:H)</f>
        <v>121.28436669179787</v>
      </c>
      <c r="M37">
        <f>+$B37*_xlfn.XLOOKUP($C37,'ACTUAL %'!$A:$A,'ACTUAL %'!I:I)</f>
        <v>16631.634368518702</v>
      </c>
      <c r="N37">
        <f>+$B37*_xlfn.XLOOKUP($C37,'ACTUAL %'!$A:$A,'ACTUAL %'!J:J)</f>
        <v>866.57578374759191</v>
      </c>
      <c r="O37">
        <f>+$B37*_xlfn.XLOOKUP($C37,'ACTUAL %'!$A:$A,'ACTUAL %'!K:K)</f>
        <v>877.01645584093615</v>
      </c>
      <c r="P37">
        <f>+$B37*_xlfn.XLOOKUP($C37,'ACTUAL %'!$A:$A,'ACTUAL %'!L:L)</f>
        <v>877.01645584093615</v>
      </c>
      <c r="Q37">
        <f>+$B37*_xlfn.XLOOKUP($C37,'ACTUAL %'!$A:$A,'ACTUAL %'!M:M)</f>
        <v>877.01645584093615</v>
      </c>
      <c r="R37">
        <f>+$B37*_xlfn.XLOOKUP($C37,'ACTUAL %'!$A:$A,'ACTUAL %'!N:N)+S37+T37+U37</f>
        <v>877.01645584093615</v>
      </c>
      <c r="S37">
        <f>+$B37*_xlfn.XLOOKUP($C37,'ACTUAL %'!$A:$A,'ACTUAL %'!O:O)</f>
        <v>0</v>
      </c>
      <c r="T37">
        <f>+$B37*_xlfn.XLOOKUP($C37,'ACTUAL %'!$A:$A,'ACTUAL %'!P:P)</f>
        <v>0</v>
      </c>
      <c r="U37">
        <f>+$B37*_xlfn.XLOOKUP($C37,'ACTUAL %'!$A:$A,'ACTUAL %'!Q:Q)</f>
        <v>0</v>
      </c>
      <c r="V37">
        <f t="shared" si="3"/>
        <v>45349.412333347609</v>
      </c>
      <c r="W37" s="517">
        <f t="shared" si="4"/>
        <v>0</v>
      </c>
    </row>
    <row r="38" spans="1:23" x14ac:dyDescent="0.75">
      <c r="A38" t="s">
        <v>1700</v>
      </c>
      <c r="B38">
        <v>3109.6739885724073</v>
      </c>
      <c r="C38">
        <f t="shared" si="0"/>
        <v>5803</v>
      </c>
      <c r="D38" t="str">
        <f t="shared" si="1"/>
        <v>070</v>
      </c>
      <c r="E38" t="str">
        <f t="shared" si="2"/>
        <v>0000</v>
      </c>
      <c r="F38" t="s">
        <v>1775</v>
      </c>
      <c r="G38">
        <f>+$B38*_xlfn.XLOOKUP($C38,'ACTUAL %'!$A:$A,'ACTUAL %'!C:C)</f>
        <v>54.813186838569628</v>
      </c>
      <c r="H38">
        <f>+$B38*_xlfn.XLOOKUP($C38,'ACTUAL %'!$A:$A,'ACTUAL %'!D:D)</f>
        <v>158.85769570622142</v>
      </c>
      <c r="I38">
        <f>+$B38*_xlfn.XLOOKUP($C38,'ACTUAL %'!$A:$A,'ACTUAL %'!E:E)</f>
        <v>74.290111586994811</v>
      </c>
      <c r="J38">
        <f>+$B38*_xlfn.XLOOKUP($C38,'ACTUAL %'!$A:$A,'ACTUAL %'!F:F)</f>
        <v>70.480760950993613</v>
      </c>
      <c r="K38">
        <f>+$B38*_xlfn.XLOOKUP($C38,'ACTUAL %'!$A:$A,'ACTUAL %'!G:G)</f>
        <v>77.964709683491208</v>
      </c>
      <c r="L38">
        <f>+$B38*_xlfn.XLOOKUP($C38,'ACTUAL %'!$A:$A,'ACTUAL %'!H:H)</f>
        <v>57.218001389732294</v>
      </c>
      <c r="M38">
        <f>+$B38*_xlfn.XLOOKUP($C38,'ACTUAL %'!$A:$A,'ACTUAL %'!I:I)</f>
        <v>233.33542429052676</v>
      </c>
      <c r="N38">
        <f>+$B38*_xlfn.XLOOKUP($C38,'ACTUAL %'!$A:$A,'ACTUAL %'!J:J)</f>
        <v>471.99348483161776</v>
      </c>
      <c r="O38">
        <f>+$B38*_xlfn.XLOOKUP($C38,'ACTUAL %'!$A:$A,'ACTUAL %'!K:K)</f>
        <v>477.68015332356492</v>
      </c>
      <c r="P38">
        <f>+$B38*_xlfn.XLOOKUP($C38,'ACTUAL %'!$A:$A,'ACTUAL %'!L:L)</f>
        <v>477.68015332356492</v>
      </c>
      <c r="Q38">
        <f>+$B38*_xlfn.XLOOKUP($C38,'ACTUAL %'!$A:$A,'ACTUAL %'!M:M)</f>
        <v>477.68015332356492</v>
      </c>
      <c r="R38">
        <f>+$B38*_xlfn.XLOOKUP($C38,'ACTUAL %'!$A:$A,'ACTUAL %'!N:N)+S38+T38+U38</f>
        <v>477.68015332356492</v>
      </c>
      <c r="S38">
        <f>+$B38*_xlfn.XLOOKUP($C38,'ACTUAL %'!$A:$A,'ACTUAL %'!O:O)</f>
        <v>0</v>
      </c>
      <c r="T38">
        <f>+$B38*_xlfn.XLOOKUP($C38,'ACTUAL %'!$A:$A,'ACTUAL %'!P:P)</f>
        <v>0</v>
      </c>
      <c r="U38">
        <f>+$B38*_xlfn.XLOOKUP($C38,'ACTUAL %'!$A:$A,'ACTUAL %'!Q:Q)</f>
        <v>0</v>
      </c>
      <c r="V38">
        <f t="shared" si="3"/>
        <v>3109.6739885724069</v>
      </c>
      <c r="W38" s="517">
        <f t="shared" si="4"/>
        <v>0</v>
      </c>
    </row>
    <row r="39" spans="1:23" x14ac:dyDescent="0.75">
      <c r="A39" t="s">
        <v>1701</v>
      </c>
      <c r="B39">
        <v>51827.899809540126</v>
      </c>
      <c r="C39">
        <f t="shared" si="0"/>
        <v>5805</v>
      </c>
      <c r="D39" t="str">
        <f t="shared" si="1"/>
        <v>070</v>
      </c>
      <c r="E39" t="str">
        <f t="shared" si="2"/>
        <v>0000</v>
      </c>
      <c r="F39" t="s">
        <v>1776</v>
      </c>
      <c r="G39">
        <f>+$B39*_xlfn.XLOOKUP($C39,'ACTUAL %'!$A:$A,'ACTUAL %'!C:C)</f>
        <v>0</v>
      </c>
      <c r="H39">
        <f>+$B39*_xlfn.XLOOKUP($C39,'ACTUAL %'!$A:$A,'ACTUAL %'!D:D)</f>
        <v>8784.2830971723888</v>
      </c>
      <c r="I39">
        <f>+$B39*_xlfn.XLOOKUP($C39,'ACTUAL %'!$A:$A,'ACTUAL %'!E:E)</f>
        <v>5243.5253691441521</v>
      </c>
      <c r="J39">
        <f>+$B39*_xlfn.XLOOKUP($C39,'ACTUAL %'!$A:$A,'ACTUAL %'!F:F)</f>
        <v>6593.3381021704581</v>
      </c>
      <c r="K39">
        <f>+$B39*_xlfn.XLOOKUP($C39,'ACTUAL %'!$A:$A,'ACTUAL %'!G:G)</f>
        <v>7354.9698210315719</v>
      </c>
      <c r="L39">
        <f>+$B39*_xlfn.XLOOKUP($C39,'ACTUAL %'!$A:$A,'ACTUAL %'!H:H)</f>
        <v>3455.1933206360081</v>
      </c>
      <c r="M39">
        <f>+$B39*_xlfn.XLOOKUP($C39,'ACTUAL %'!$A:$A,'ACTUAL %'!I:I)</f>
        <v>5487.4101896812444</v>
      </c>
      <c r="N39">
        <f>+$B39*_xlfn.XLOOKUP($C39,'ACTUAL %'!$A:$A,'ACTUAL %'!J:J)</f>
        <v>2953.3697673161259</v>
      </c>
      <c r="O39">
        <f>+$B39*_xlfn.XLOOKUP($C39,'ACTUAL %'!$A:$A,'ACTUAL %'!K:K)</f>
        <v>2988.9525355970436</v>
      </c>
      <c r="P39">
        <f>+$B39*_xlfn.XLOOKUP($C39,'ACTUAL %'!$A:$A,'ACTUAL %'!L:L)</f>
        <v>2988.9525355970436</v>
      </c>
      <c r="Q39">
        <f>+$B39*_xlfn.XLOOKUP($C39,'ACTUAL %'!$A:$A,'ACTUAL %'!M:M)</f>
        <v>2988.9525355970436</v>
      </c>
      <c r="R39">
        <f>+$B39*_xlfn.XLOOKUP($C39,'ACTUAL %'!$A:$A,'ACTUAL %'!N:N)+S39+T39+U39</f>
        <v>2988.9525355970436</v>
      </c>
      <c r="S39">
        <f>+$B39*_xlfn.XLOOKUP($C39,'ACTUAL %'!$A:$A,'ACTUAL %'!O:O)</f>
        <v>0</v>
      </c>
      <c r="T39">
        <f>+$B39*_xlfn.XLOOKUP($C39,'ACTUAL %'!$A:$A,'ACTUAL %'!P:P)</f>
        <v>0</v>
      </c>
      <c r="U39">
        <f>+$B39*_xlfn.XLOOKUP($C39,'ACTUAL %'!$A:$A,'ACTUAL %'!Q:Q)</f>
        <v>0</v>
      </c>
      <c r="V39">
        <f t="shared" si="3"/>
        <v>51827.899809540104</v>
      </c>
      <c r="W39" s="517">
        <f t="shared" si="4"/>
        <v>0</v>
      </c>
    </row>
    <row r="40" spans="1:23" x14ac:dyDescent="0.75">
      <c r="A40" t="s">
        <v>1702</v>
      </c>
      <c r="B40">
        <v>5182.7899809540122</v>
      </c>
      <c r="C40">
        <f t="shared" si="0"/>
        <v>5806</v>
      </c>
      <c r="D40" t="str">
        <f t="shared" si="1"/>
        <v>070</v>
      </c>
      <c r="E40" t="str">
        <f t="shared" si="2"/>
        <v>0000</v>
      </c>
      <c r="F40" t="s">
        <v>1777</v>
      </c>
      <c r="G40">
        <f>+$B40*_xlfn.XLOOKUP($C40,'ACTUAL %'!$A:$A,'ACTUAL %'!C:C)</f>
        <v>0</v>
      </c>
      <c r="H40">
        <f>+$B40*_xlfn.XLOOKUP($C40,'ACTUAL %'!$A:$A,'ACTUAL %'!D:D)</f>
        <v>0</v>
      </c>
      <c r="I40">
        <f>+$B40*_xlfn.XLOOKUP($C40,'ACTUAL %'!$A:$A,'ACTUAL %'!E:E)</f>
        <v>1516.0144541379459</v>
      </c>
      <c r="J40">
        <f>+$B40*_xlfn.XLOOKUP($C40,'ACTUAL %'!$A:$A,'ACTUAL %'!F:F)</f>
        <v>1516.0144541379459</v>
      </c>
      <c r="K40">
        <f>+$B40*_xlfn.XLOOKUP($C40,'ACTUAL %'!$A:$A,'ACTUAL %'!G:G)</f>
        <v>0</v>
      </c>
      <c r="L40">
        <f>+$B40*_xlfn.XLOOKUP($C40,'ACTUAL %'!$A:$A,'ACTUAL %'!H:H)</f>
        <v>450.09031532383955</v>
      </c>
      <c r="M40">
        <f>+$B40*_xlfn.XLOOKUP($C40,'ACTUAL %'!$A:$A,'ACTUAL %'!I:I)</f>
        <v>0</v>
      </c>
      <c r="N40">
        <f>+$B40*_xlfn.XLOOKUP($C40,'ACTUAL %'!$A:$A,'ACTUAL %'!J:J)</f>
        <v>340.13415147085624</v>
      </c>
      <c r="O40">
        <f>+$B40*_xlfn.XLOOKUP($C40,'ACTUAL %'!$A:$A,'ACTUAL %'!K:K)</f>
        <v>340.13415147085624</v>
      </c>
      <c r="P40">
        <f>+$B40*_xlfn.XLOOKUP($C40,'ACTUAL %'!$A:$A,'ACTUAL %'!L:L)</f>
        <v>340.13415147085624</v>
      </c>
      <c r="Q40">
        <f>+$B40*_xlfn.XLOOKUP($C40,'ACTUAL %'!$A:$A,'ACTUAL %'!M:M)</f>
        <v>340.13415147085624</v>
      </c>
      <c r="R40">
        <f>+$B40*_xlfn.XLOOKUP($C40,'ACTUAL %'!$A:$A,'ACTUAL %'!N:N)+S40+T40+U40</f>
        <v>340.13415147085624</v>
      </c>
      <c r="S40">
        <f>+$B40*_xlfn.XLOOKUP($C40,'ACTUAL %'!$A:$A,'ACTUAL %'!O:O)</f>
        <v>0</v>
      </c>
      <c r="T40">
        <f>+$B40*_xlfn.XLOOKUP($C40,'ACTUAL %'!$A:$A,'ACTUAL %'!P:P)</f>
        <v>0</v>
      </c>
      <c r="U40">
        <f>+$B40*_xlfn.XLOOKUP($C40,'ACTUAL %'!$A:$A,'ACTUAL %'!Q:Q)</f>
        <v>0</v>
      </c>
      <c r="V40">
        <f t="shared" si="3"/>
        <v>5182.7899809540131</v>
      </c>
      <c r="W40" s="517">
        <f t="shared" si="4"/>
        <v>0</v>
      </c>
    </row>
    <row r="41" spans="1:23" x14ac:dyDescent="0.75">
      <c r="A41" t="s">
        <v>1703</v>
      </c>
      <c r="B41">
        <v>12956.974952385031</v>
      </c>
      <c r="C41">
        <f t="shared" si="0"/>
        <v>5809</v>
      </c>
      <c r="D41" t="str">
        <f t="shared" si="1"/>
        <v>070</v>
      </c>
      <c r="E41" t="str">
        <f t="shared" si="2"/>
        <v>0000</v>
      </c>
      <c r="F41" t="s">
        <v>1778</v>
      </c>
      <c r="G41">
        <f>+$B41*_xlfn.XLOOKUP($C41,'ACTUAL %'!$A:$A,'ACTUAL %'!C:C)</f>
        <v>0</v>
      </c>
      <c r="H41">
        <f>+$B41*_xlfn.XLOOKUP($C41,'ACTUAL %'!$A:$A,'ACTUAL %'!D:D)</f>
        <v>0</v>
      </c>
      <c r="I41">
        <f>+$B41*_xlfn.XLOOKUP($C41,'ACTUAL %'!$A:$A,'ACTUAL %'!E:E)</f>
        <v>963.99893645744623</v>
      </c>
      <c r="J41">
        <f>+$B41*_xlfn.XLOOKUP($C41,'ACTUAL %'!$A:$A,'ACTUAL %'!F:F)</f>
        <v>4988.4353566682375</v>
      </c>
      <c r="K41">
        <f>+$B41*_xlfn.XLOOKUP($C41,'ACTUAL %'!$A:$A,'ACTUAL %'!G:G)</f>
        <v>27.442872949151496</v>
      </c>
      <c r="L41">
        <f>+$B41*_xlfn.XLOOKUP($C41,'ACTUAL %'!$A:$A,'ACTUAL %'!H:H)</f>
        <v>1015.8268362669864</v>
      </c>
      <c r="M41">
        <f>+$B41*_xlfn.XLOOKUP($C41,'ACTUAL %'!$A:$A,'ACTUAL %'!I:I)</f>
        <v>-596.90192210647365</v>
      </c>
      <c r="N41">
        <f>+$B41*_xlfn.XLOOKUP($C41,'ACTUAL %'!$A:$A,'ACTUAL %'!J:J)</f>
        <v>1299.1130033136606</v>
      </c>
      <c r="O41">
        <f>+$B41*_xlfn.XLOOKUP($C41,'ACTUAL %'!$A:$A,'ACTUAL %'!K:K)</f>
        <v>1314.7649672090058</v>
      </c>
      <c r="P41">
        <f>+$B41*_xlfn.XLOOKUP($C41,'ACTUAL %'!$A:$A,'ACTUAL %'!L:L)</f>
        <v>1314.7649672090058</v>
      </c>
      <c r="Q41">
        <f>+$B41*_xlfn.XLOOKUP($C41,'ACTUAL %'!$A:$A,'ACTUAL %'!M:M)</f>
        <v>1314.7649672090058</v>
      </c>
      <c r="R41">
        <f>+$B41*_xlfn.XLOOKUP($C41,'ACTUAL %'!$A:$A,'ACTUAL %'!N:N)+S41+T41+U41</f>
        <v>1314.7649672090058</v>
      </c>
      <c r="S41">
        <f>+$B41*_xlfn.XLOOKUP($C41,'ACTUAL %'!$A:$A,'ACTUAL %'!O:O)</f>
        <v>0</v>
      </c>
      <c r="T41">
        <f>+$B41*_xlfn.XLOOKUP($C41,'ACTUAL %'!$A:$A,'ACTUAL %'!P:P)</f>
        <v>0</v>
      </c>
      <c r="U41">
        <f>+$B41*_xlfn.XLOOKUP($C41,'ACTUAL %'!$A:$A,'ACTUAL %'!Q:Q)</f>
        <v>0</v>
      </c>
      <c r="V41">
        <f t="shared" si="3"/>
        <v>12956.974952385033</v>
      </c>
      <c r="W41" s="517">
        <f t="shared" si="4"/>
        <v>0</v>
      </c>
    </row>
    <row r="42" spans="1:23" x14ac:dyDescent="0.75">
      <c r="A42" t="s">
        <v>1704</v>
      </c>
      <c r="B42">
        <v>285053.44895247067</v>
      </c>
      <c r="C42">
        <f t="shared" si="0"/>
        <v>5810</v>
      </c>
      <c r="D42" t="str">
        <f t="shared" si="1"/>
        <v>070</v>
      </c>
      <c r="E42" t="str">
        <f t="shared" si="2"/>
        <v>0000</v>
      </c>
      <c r="F42" t="s">
        <v>1779</v>
      </c>
      <c r="G42">
        <f>+$B42*_xlfn.XLOOKUP($C42,'ACTUAL %'!$A:$A,'ACTUAL %'!C:C)</f>
        <v>5215.0362204675957</v>
      </c>
      <c r="H42">
        <f>+$B42*_xlfn.XLOOKUP($C42,'ACTUAL %'!$A:$A,'ACTUAL %'!D:D)</f>
        <v>2608.6832662063912</v>
      </c>
      <c r="I42">
        <f>+$B42*_xlfn.XLOOKUP($C42,'ACTUAL %'!$A:$A,'ACTUAL %'!E:E)</f>
        <v>3756.2989499074065</v>
      </c>
      <c r="J42">
        <f>+$B42*_xlfn.XLOOKUP($C42,'ACTUAL %'!$A:$A,'ACTUAL %'!F:F)</f>
        <v>27960.265690160155</v>
      </c>
      <c r="K42">
        <f>+$B42*_xlfn.XLOOKUP($C42,'ACTUAL %'!$A:$A,'ACTUAL %'!G:G)</f>
        <v>14392.523232847729</v>
      </c>
      <c r="L42">
        <f>+$B42*_xlfn.XLOOKUP($C42,'ACTUAL %'!$A:$A,'ACTUAL %'!H:H)</f>
        <v>5311.9876493471465</v>
      </c>
      <c r="M42">
        <f>+$B42*_xlfn.XLOOKUP($C42,'ACTUAL %'!$A:$A,'ACTUAL %'!I:I)</f>
        <v>17083.843493905442</v>
      </c>
      <c r="N42">
        <f>+$B42*_xlfn.XLOOKUP($C42,'ACTUAL %'!$A:$A,'ACTUAL %'!J:J)</f>
        <v>41346.442165439606</v>
      </c>
      <c r="O42">
        <f>+$B42*_xlfn.XLOOKUP($C42,'ACTUAL %'!$A:$A,'ACTUAL %'!K:K)</f>
        <v>41844.5920710473</v>
      </c>
      <c r="P42">
        <f>+$B42*_xlfn.XLOOKUP($C42,'ACTUAL %'!$A:$A,'ACTUAL %'!L:L)</f>
        <v>41844.5920710473</v>
      </c>
      <c r="Q42">
        <f>+$B42*_xlfn.XLOOKUP($C42,'ACTUAL %'!$A:$A,'ACTUAL %'!M:M)</f>
        <v>41844.5920710473</v>
      </c>
      <c r="R42">
        <f>+$B42*_xlfn.XLOOKUP($C42,'ACTUAL %'!$A:$A,'ACTUAL %'!N:N)+S42+T42+U42</f>
        <v>41844.5920710473</v>
      </c>
      <c r="S42">
        <f>+$B42*_xlfn.XLOOKUP($C42,'ACTUAL %'!$A:$A,'ACTUAL %'!O:O)</f>
        <v>0</v>
      </c>
      <c r="T42">
        <f>+$B42*_xlfn.XLOOKUP($C42,'ACTUAL %'!$A:$A,'ACTUAL %'!P:P)</f>
        <v>0</v>
      </c>
      <c r="U42">
        <f>+$B42*_xlfn.XLOOKUP($C42,'ACTUAL %'!$A:$A,'ACTUAL %'!Q:Q)</f>
        <v>0</v>
      </c>
      <c r="V42">
        <f t="shared" si="3"/>
        <v>285053.44895247062</v>
      </c>
      <c r="W42" s="517">
        <f t="shared" si="4"/>
        <v>0</v>
      </c>
    </row>
    <row r="43" spans="1:23" x14ac:dyDescent="0.75">
      <c r="A43" t="s">
        <v>1705</v>
      </c>
      <c r="B43">
        <v>84642.216294952363</v>
      </c>
      <c r="C43">
        <f t="shared" si="0"/>
        <v>5815</v>
      </c>
      <c r="D43" t="str">
        <f t="shared" si="1"/>
        <v>070</v>
      </c>
      <c r="E43" t="str">
        <f t="shared" si="2"/>
        <v>0000</v>
      </c>
      <c r="F43" t="s">
        <v>1780</v>
      </c>
      <c r="G43">
        <f>+$B43*_xlfn.XLOOKUP($C43,'ACTUAL %'!$A:$A,'ACTUAL %'!C:C)</f>
        <v>28576.905065501815</v>
      </c>
      <c r="H43">
        <f>+$B43*_xlfn.XLOOKUP($C43,'ACTUAL %'!$A:$A,'ACTUAL %'!D:D)</f>
        <v>297.9406013582323</v>
      </c>
      <c r="I43">
        <f>+$B43*_xlfn.XLOOKUP($C43,'ACTUAL %'!$A:$A,'ACTUAL %'!E:E)</f>
        <v>446.41997718283773</v>
      </c>
      <c r="J43">
        <f>+$B43*_xlfn.XLOOKUP($C43,'ACTUAL %'!$A:$A,'ACTUAL %'!F:F)</f>
        <v>616.09376396769926</v>
      </c>
      <c r="K43">
        <f>+$B43*_xlfn.XLOOKUP($C43,'ACTUAL %'!$A:$A,'ACTUAL %'!G:G)</f>
        <v>457.91777584434408</v>
      </c>
      <c r="L43">
        <f>+$B43*_xlfn.XLOOKUP($C43,'ACTUAL %'!$A:$A,'ACTUAL %'!H:H)</f>
        <v>495.65804724593744</v>
      </c>
      <c r="M43">
        <f>+$B43*_xlfn.XLOOKUP($C43,'ACTUAL %'!$A:$A,'ACTUAL %'!I:I)</f>
        <v>595.79994618882142</v>
      </c>
      <c r="N43">
        <f>+$B43*_xlfn.XLOOKUP($C43,'ACTUAL %'!$A:$A,'ACTUAL %'!J:J)</f>
        <v>0</v>
      </c>
      <c r="O43">
        <f>+$B43*_xlfn.XLOOKUP($C43,'ACTUAL %'!$A:$A,'ACTUAL %'!K:K)</f>
        <v>0</v>
      </c>
      <c r="P43">
        <f>+$B43*_xlfn.XLOOKUP($C43,'ACTUAL %'!$A:$A,'ACTUAL %'!L:L)</f>
        <v>53155.481117662668</v>
      </c>
      <c r="Q43">
        <f>+$B43*_xlfn.XLOOKUP($C43,'ACTUAL %'!$A:$A,'ACTUAL %'!M:M)</f>
        <v>0</v>
      </c>
      <c r="R43">
        <f>+$B43*_xlfn.XLOOKUP($C43,'ACTUAL %'!$A:$A,'ACTUAL %'!N:N)+S43+T43+U43</f>
        <v>0</v>
      </c>
      <c r="S43">
        <f>+$B43*_xlfn.XLOOKUP($C43,'ACTUAL %'!$A:$A,'ACTUAL %'!O:O)</f>
        <v>0</v>
      </c>
      <c r="T43">
        <f>+$B43*_xlfn.XLOOKUP($C43,'ACTUAL %'!$A:$A,'ACTUAL %'!P:P)</f>
        <v>0</v>
      </c>
      <c r="U43">
        <f>+$B43*_xlfn.XLOOKUP($C43,'ACTUAL %'!$A:$A,'ACTUAL %'!Q:Q)</f>
        <v>0</v>
      </c>
      <c r="V43">
        <f t="shared" si="3"/>
        <v>84642.216294952363</v>
      </c>
      <c r="W43" s="517">
        <f t="shared" si="4"/>
        <v>0</v>
      </c>
    </row>
    <row r="44" spans="1:23" x14ac:dyDescent="0.75">
      <c r="A44" t="s">
        <v>1706</v>
      </c>
      <c r="B44">
        <v>38870.924857155092</v>
      </c>
      <c r="C44">
        <f t="shared" si="0"/>
        <v>5830</v>
      </c>
      <c r="D44" t="str">
        <f t="shared" si="1"/>
        <v>070</v>
      </c>
      <c r="E44" t="str">
        <f t="shared" si="2"/>
        <v>0000</v>
      </c>
      <c r="F44" t="s">
        <v>1781</v>
      </c>
      <c r="G44">
        <f>+$B44*_xlfn.XLOOKUP($C44,'ACTUAL %'!$A:$A,'ACTUAL %'!C:C)</f>
        <v>6021.8556918045697</v>
      </c>
      <c r="H44">
        <f>+$B44*_xlfn.XLOOKUP($C44,'ACTUAL %'!$A:$A,'ACTUAL %'!D:D)</f>
        <v>554.66943966767178</v>
      </c>
      <c r="I44">
        <f>+$B44*_xlfn.XLOOKUP($C44,'ACTUAL %'!$A:$A,'ACTUAL %'!E:E)</f>
        <v>4493.1368493483851</v>
      </c>
      <c r="J44">
        <f>+$B44*_xlfn.XLOOKUP($C44,'ACTUAL %'!$A:$A,'ACTUAL %'!F:F)</f>
        <v>3701.8958513260795</v>
      </c>
      <c r="K44">
        <f>+$B44*_xlfn.XLOOKUP($C44,'ACTUAL %'!$A:$A,'ACTUAL %'!G:G)</f>
        <v>3677.9264842221637</v>
      </c>
      <c r="L44">
        <f>+$B44*_xlfn.XLOOKUP($C44,'ACTUAL %'!$A:$A,'ACTUAL %'!H:H)</f>
        <v>2763.679221907887</v>
      </c>
      <c r="M44">
        <f>+$B44*_xlfn.XLOOKUP($C44,'ACTUAL %'!$A:$A,'ACTUAL %'!I:I)</f>
        <v>-1768.6612874144309</v>
      </c>
      <c r="N44">
        <f>+$B44*_xlfn.XLOOKUP($C44,'ACTUAL %'!$A:$A,'ACTUAL %'!J:J)</f>
        <v>3885.2845212585535</v>
      </c>
      <c r="O44">
        <f>+$B44*_xlfn.XLOOKUP($C44,'ACTUAL %'!$A:$A,'ACTUAL %'!K:K)</f>
        <v>3885.2845212585535</v>
      </c>
      <c r="P44">
        <f>+$B44*_xlfn.XLOOKUP($C44,'ACTUAL %'!$A:$A,'ACTUAL %'!L:L)</f>
        <v>3885.2845212585535</v>
      </c>
      <c r="Q44">
        <f>+$B44*_xlfn.XLOOKUP($C44,'ACTUAL %'!$A:$A,'ACTUAL %'!M:M)</f>
        <v>3885.2845212585535</v>
      </c>
      <c r="R44">
        <f>+$B44*_xlfn.XLOOKUP($C44,'ACTUAL %'!$A:$A,'ACTUAL %'!N:N)+S44+T44+U44</f>
        <v>3885.2845212585535</v>
      </c>
      <c r="S44">
        <f>+$B44*_xlfn.XLOOKUP($C44,'ACTUAL %'!$A:$A,'ACTUAL %'!O:O)</f>
        <v>0</v>
      </c>
      <c r="T44">
        <f>+$B44*_xlfn.XLOOKUP($C44,'ACTUAL %'!$A:$A,'ACTUAL %'!P:P)</f>
        <v>0</v>
      </c>
      <c r="U44">
        <f>+$B44*_xlfn.XLOOKUP($C44,'ACTUAL %'!$A:$A,'ACTUAL %'!Q:Q)</f>
        <v>0</v>
      </c>
      <c r="V44">
        <f t="shared" si="3"/>
        <v>38870.924857155092</v>
      </c>
      <c r="W44" s="517">
        <f t="shared" si="4"/>
        <v>0</v>
      </c>
    </row>
    <row r="45" spans="1:23" x14ac:dyDescent="0.75">
      <c r="A45" t="s">
        <v>1707</v>
      </c>
      <c r="B45">
        <v>141452.77824270001</v>
      </c>
      <c r="C45">
        <f t="shared" si="0"/>
        <v>5873</v>
      </c>
      <c r="D45" t="str">
        <f t="shared" si="1"/>
        <v>070</v>
      </c>
      <c r="E45" t="str">
        <f t="shared" si="2"/>
        <v>0000</v>
      </c>
      <c r="F45" t="s">
        <v>1782</v>
      </c>
      <c r="G45">
        <f>+$B45*_xlfn.XLOOKUP($C45,'ACTUAL %'!$A:$A,'ACTUAL %'!C:C)</f>
        <v>24910.55860333921</v>
      </c>
      <c r="H45">
        <f>+$B45*_xlfn.XLOOKUP($C45,'ACTUAL %'!$A:$A,'ACTUAL %'!D:D)</f>
        <v>12455.277044542407</v>
      </c>
      <c r="I45">
        <f>+$B45*_xlfn.XLOOKUP($C45,'ACTUAL %'!$A:$A,'ACTUAL %'!E:E)</f>
        <v>8217.5229882187177</v>
      </c>
      <c r="J45">
        <f>+$B45*_xlfn.XLOOKUP($C45,'ACTUAL %'!$A:$A,'ACTUAL %'!F:F)</f>
        <v>202.01288418314482</v>
      </c>
      <c r="K45">
        <f>+$B45*_xlfn.XLOOKUP($C45,'ACTUAL %'!$A:$A,'ACTUAL %'!G:G)</f>
        <v>16435.048233564634</v>
      </c>
      <c r="L45">
        <f>+$B45*_xlfn.XLOOKUP($C45,'ACTUAL %'!$A:$A,'ACTUAL %'!H:H)</f>
        <v>8217.5229882187177</v>
      </c>
      <c r="M45">
        <f>+$B45*_xlfn.XLOOKUP($C45,'ACTUAL %'!$A:$A,'ACTUAL %'!I:I)</f>
        <v>0</v>
      </c>
      <c r="N45">
        <f>+$B45*_xlfn.XLOOKUP($C45,'ACTUAL %'!$A:$A,'ACTUAL %'!J:J)</f>
        <v>14202.967100126636</v>
      </c>
      <c r="O45">
        <f>+$B45*_xlfn.XLOOKUP($C45,'ACTUAL %'!$A:$A,'ACTUAL %'!K:K)</f>
        <v>14202.967100126636</v>
      </c>
      <c r="P45">
        <f>+$B45*_xlfn.XLOOKUP($C45,'ACTUAL %'!$A:$A,'ACTUAL %'!L:L)</f>
        <v>14202.967100126636</v>
      </c>
      <c r="Q45">
        <f>+$B45*_xlfn.XLOOKUP($C45,'ACTUAL %'!$A:$A,'ACTUAL %'!M:M)</f>
        <v>14202.967100126636</v>
      </c>
      <c r="R45">
        <f>+$B45*_xlfn.XLOOKUP($C45,'ACTUAL %'!$A:$A,'ACTUAL %'!N:N)+S45+T45+U45</f>
        <v>14202.967100126636</v>
      </c>
      <c r="S45">
        <f>+$B45*_xlfn.XLOOKUP($C45,'ACTUAL %'!$A:$A,'ACTUAL %'!O:O)</f>
        <v>0</v>
      </c>
      <c r="T45">
        <f>+$B45*_xlfn.XLOOKUP($C45,'ACTUAL %'!$A:$A,'ACTUAL %'!P:P)</f>
        <v>0</v>
      </c>
      <c r="U45">
        <f>+$B45*_xlfn.XLOOKUP($C45,'ACTUAL %'!$A:$A,'ACTUAL %'!Q:Q)</f>
        <v>0</v>
      </c>
      <c r="V45">
        <f t="shared" si="3"/>
        <v>141452.77824270001</v>
      </c>
      <c r="W45" s="517">
        <f t="shared" si="4"/>
        <v>0</v>
      </c>
    </row>
    <row r="46" spans="1:23" x14ac:dyDescent="0.75">
      <c r="A46" t="s">
        <v>1709</v>
      </c>
      <c r="B46">
        <v>62867.901441200003</v>
      </c>
      <c r="C46">
        <f t="shared" si="0"/>
        <v>5875</v>
      </c>
      <c r="D46" t="str">
        <f t="shared" si="1"/>
        <v>070</v>
      </c>
      <c r="E46" t="str">
        <f t="shared" si="2"/>
        <v>0000</v>
      </c>
      <c r="F46" t="s">
        <v>1784</v>
      </c>
      <c r="G46">
        <f>+$B46*_xlfn.XLOOKUP($C46,'ACTUAL %'!$A:$A,'ACTUAL %'!C:C)</f>
        <v>0</v>
      </c>
      <c r="H46">
        <f>+$B46*_xlfn.XLOOKUP($C46,'ACTUAL %'!$A:$A,'ACTUAL %'!D:D)</f>
        <v>0</v>
      </c>
      <c r="I46">
        <f>+$B46*_xlfn.XLOOKUP($C46,'ACTUAL %'!$A:$A,'ACTUAL %'!E:E)</f>
        <v>2687.1099287154625</v>
      </c>
      <c r="J46">
        <f>+$B46*_xlfn.XLOOKUP($C46,'ACTUAL %'!$A:$A,'ACTUAL %'!F:F)</f>
        <v>2687.1099287154625</v>
      </c>
      <c r="K46">
        <f>+$B46*_xlfn.XLOOKUP($C46,'ACTUAL %'!$A:$A,'ACTUAL %'!G:G)</f>
        <v>4133.25132420307</v>
      </c>
      <c r="L46">
        <f>+$B46*_xlfn.XLOOKUP($C46,'ACTUAL %'!$A:$A,'ACTUAL %'!H:H)</f>
        <v>2699.2984155823783</v>
      </c>
      <c r="M46">
        <f>+$B46*_xlfn.XLOOKUP($C46,'ACTUAL %'!$A:$A,'ACTUAL %'!I:I)</f>
        <v>5591.5812065575929</v>
      </c>
      <c r="N46">
        <f>+$B46*_xlfn.XLOOKUP($C46,'ACTUAL %'!$A:$A,'ACTUAL %'!J:J)</f>
        <v>9013.9101274852073</v>
      </c>
      <c r="O46">
        <f>+$B46*_xlfn.XLOOKUP($C46,'ACTUAL %'!$A:$A,'ACTUAL %'!K:K)</f>
        <v>9013.9101274852073</v>
      </c>
      <c r="P46">
        <f>+$B46*_xlfn.XLOOKUP($C46,'ACTUAL %'!$A:$A,'ACTUAL %'!L:L)</f>
        <v>9013.9101274852073</v>
      </c>
      <c r="Q46">
        <f>+$B46*_xlfn.XLOOKUP($C46,'ACTUAL %'!$A:$A,'ACTUAL %'!M:M)</f>
        <v>9013.9101274852073</v>
      </c>
      <c r="R46">
        <f>+$B46*_xlfn.XLOOKUP($C46,'ACTUAL %'!$A:$A,'ACTUAL %'!N:N)+S46+T46+U46</f>
        <v>9013.9101274852073</v>
      </c>
      <c r="S46">
        <f>+$B46*_xlfn.XLOOKUP($C46,'ACTUAL %'!$A:$A,'ACTUAL %'!O:O)</f>
        <v>0</v>
      </c>
      <c r="T46">
        <f>+$B46*_xlfn.XLOOKUP($C46,'ACTUAL %'!$A:$A,'ACTUAL %'!P:P)</f>
        <v>0</v>
      </c>
      <c r="U46">
        <f>+$B46*_xlfn.XLOOKUP($C46,'ACTUAL %'!$A:$A,'ACTUAL %'!Q:Q)</f>
        <v>0</v>
      </c>
      <c r="V46">
        <f t="shared" si="3"/>
        <v>62867.901441200003</v>
      </c>
      <c r="W46" s="517">
        <f t="shared" si="4"/>
        <v>0</v>
      </c>
    </row>
    <row r="47" spans="1:23" x14ac:dyDescent="0.75">
      <c r="A47" t="s">
        <v>1708</v>
      </c>
      <c r="B47">
        <v>1295.6974952385031</v>
      </c>
      <c r="C47">
        <f t="shared" si="0"/>
        <v>5874</v>
      </c>
      <c r="D47" t="str">
        <f t="shared" si="1"/>
        <v>070</v>
      </c>
      <c r="E47" t="str">
        <f t="shared" si="2"/>
        <v>0000</v>
      </c>
      <c r="F47" t="s">
        <v>1783</v>
      </c>
      <c r="G47">
        <f>+$B47*_xlfn.XLOOKUP($C47,'ACTUAL %'!$A:$A,'ACTUAL %'!C:C)</f>
        <v>129.3106100248026</v>
      </c>
      <c r="H47">
        <f>+$B47*_xlfn.XLOOKUP($C47,'ACTUAL %'!$A:$A,'ACTUAL %'!D:D)</f>
        <v>140.97188748194912</v>
      </c>
      <c r="I47">
        <f>+$B47*_xlfn.XLOOKUP($C47,'ACTUAL %'!$A:$A,'ACTUAL %'!E:E)</f>
        <v>41.45972845264162</v>
      </c>
      <c r="J47">
        <f>+$B47*_xlfn.XLOOKUP($C47,'ACTUAL %'!$A:$A,'ACTUAL %'!F:F)</f>
        <v>16.584927939052839</v>
      </c>
      <c r="K47">
        <f>+$B47*_xlfn.XLOOKUP($C47,'ACTUAL %'!$A:$A,'ACTUAL %'!G:G)</f>
        <v>0</v>
      </c>
      <c r="L47">
        <f>+$B47*_xlfn.XLOOKUP($C47,'ACTUAL %'!$A:$A,'ACTUAL %'!H:H)</f>
        <v>25.91394990477006</v>
      </c>
      <c r="M47">
        <f>+$B47*_xlfn.XLOOKUP($C47,'ACTUAL %'!$A:$A,'ACTUAL %'!I:I)</f>
        <v>16.584927939052839</v>
      </c>
      <c r="N47">
        <f>+$B47*_xlfn.XLOOKUP($C47,'ACTUAL %'!$A:$A,'ACTUAL %'!J:J)</f>
        <v>184.97429269924683</v>
      </c>
      <c r="O47">
        <f>+$B47*_xlfn.XLOOKUP($C47,'ACTUAL %'!$A:$A,'ACTUAL %'!K:K)</f>
        <v>184.97429269924683</v>
      </c>
      <c r="P47">
        <f>+$B47*_xlfn.XLOOKUP($C47,'ACTUAL %'!$A:$A,'ACTUAL %'!L:L)</f>
        <v>184.97429269924683</v>
      </c>
      <c r="Q47">
        <f>+$B47*_xlfn.XLOOKUP($C47,'ACTUAL %'!$A:$A,'ACTUAL %'!M:M)</f>
        <v>184.97429269924683</v>
      </c>
      <c r="R47">
        <f>+$B47*_xlfn.XLOOKUP($C47,'ACTUAL %'!$A:$A,'ACTUAL %'!N:N)+S47+T47+U47</f>
        <v>184.97429269924683</v>
      </c>
      <c r="S47">
        <f>+$B47*_xlfn.XLOOKUP($C47,'ACTUAL %'!$A:$A,'ACTUAL %'!O:O)</f>
        <v>0</v>
      </c>
      <c r="T47">
        <f>+$B47*_xlfn.XLOOKUP($C47,'ACTUAL %'!$A:$A,'ACTUAL %'!P:P)</f>
        <v>0</v>
      </c>
      <c r="U47">
        <f>+$B47*_xlfn.XLOOKUP($C47,'ACTUAL %'!$A:$A,'ACTUAL %'!Q:Q)</f>
        <v>0</v>
      </c>
      <c r="V47">
        <f t="shared" si="3"/>
        <v>1295.6974952385033</v>
      </c>
      <c r="W47" s="517">
        <f t="shared" si="4"/>
        <v>0</v>
      </c>
    </row>
    <row r="48" spans="1:23" x14ac:dyDescent="0.75">
      <c r="A48" t="s">
        <v>1710</v>
      </c>
      <c r="B48">
        <v>64784.874761925152</v>
      </c>
      <c r="C48">
        <f t="shared" si="0"/>
        <v>5877</v>
      </c>
      <c r="D48" t="str">
        <f t="shared" si="1"/>
        <v>070</v>
      </c>
      <c r="E48" t="str">
        <f t="shared" si="2"/>
        <v>0000</v>
      </c>
      <c r="F48" t="s">
        <v>1785</v>
      </c>
      <c r="G48">
        <f>+$B48*_xlfn.XLOOKUP($C48,'ACTUAL %'!$A:$A,'ACTUAL %'!C:C)</f>
        <v>44112.584657487459</v>
      </c>
      <c r="H48">
        <f>+$B48*_xlfn.XLOOKUP($C48,'ACTUAL %'!$A:$A,'ACTUAL %'!D:D)</f>
        <v>156.82455001838991</v>
      </c>
      <c r="I48">
        <f>+$B48*_xlfn.XLOOKUP($C48,'ACTUAL %'!$A:$A,'ACTUAL %'!E:E)</f>
        <v>1360.8691160709766</v>
      </c>
      <c r="J48">
        <f>+$B48*_xlfn.XLOOKUP($C48,'ACTUAL %'!$A:$A,'ACTUAL %'!F:F)</f>
        <v>100.60305779317741</v>
      </c>
      <c r="K48">
        <f>+$B48*_xlfn.XLOOKUP($C48,'ACTUAL %'!$A:$A,'ACTUAL %'!G:G)</f>
        <v>544.18509528807886</v>
      </c>
      <c r="L48">
        <f>+$B48*_xlfn.XLOOKUP($C48,'ACTUAL %'!$A:$A,'ACTUAL %'!H:H)</f>
        <v>2260.5975304085473</v>
      </c>
      <c r="M48">
        <f>+$B48*_xlfn.XLOOKUP($C48,'ACTUAL %'!$A:$A,'ACTUAL %'!I:I)</f>
        <v>15.605302105531605</v>
      </c>
      <c r="N48">
        <f>+$B48*_xlfn.XLOOKUP($C48,'ACTUAL %'!$A:$A,'ACTUAL %'!J:J)</f>
        <v>3246.721090550599</v>
      </c>
      <c r="O48">
        <f>+$B48*_xlfn.XLOOKUP($C48,'ACTUAL %'!$A:$A,'ACTUAL %'!K:K)</f>
        <v>3246.721090550599</v>
      </c>
      <c r="P48">
        <f>+$B48*_xlfn.XLOOKUP($C48,'ACTUAL %'!$A:$A,'ACTUAL %'!L:L)</f>
        <v>3246.721090550599</v>
      </c>
      <c r="Q48">
        <f>+$B48*_xlfn.XLOOKUP($C48,'ACTUAL %'!$A:$A,'ACTUAL %'!M:M)</f>
        <v>3246.721090550599</v>
      </c>
      <c r="R48">
        <f>+$B48*_xlfn.XLOOKUP($C48,'ACTUAL %'!$A:$A,'ACTUAL %'!N:N)+S48+T48+U48</f>
        <v>3246.721090550599</v>
      </c>
      <c r="S48">
        <f>+$B48*_xlfn.XLOOKUP($C48,'ACTUAL %'!$A:$A,'ACTUAL %'!O:O)</f>
        <v>0</v>
      </c>
      <c r="T48">
        <f>+$B48*_xlfn.XLOOKUP($C48,'ACTUAL %'!$A:$A,'ACTUAL %'!P:P)</f>
        <v>0</v>
      </c>
      <c r="U48">
        <f>+$B48*_xlfn.XLOOKUP($C48,'ACTUAL %'!$A:$A,'ACTUAL %'!Q:Q)</f>
        <v>0</v>
      </c>
      <c r="V48">
        <f t="shared" si="3"/>
        <v>64784.874761925159</v>
      </c>
      <c r="W48" s="517">
        <f t="shared" si="4"/>
        <v>0</v>
      </c>
    </row>
    <row r="49" spans="1:23" x14ac:dyDescent="0.75">
      <c r="A49" t="s">
        <v>1711</v>
      </c>
      <c r="B49">
        <v>777.41849714310183</v>
      </c>
      <c r="C49">
        <f t="shared" si="0"/>
        <v>5890</v>
      </c>
      <c r="D49" t="str">
        <f t="shared" si="1"/>
        <v>070</v>
      </c>
      <c r="E49" t="str">
        <f t="shared" si="2"/>
        <v>0000</v>
      </c>
      <c r="F49" t="s">
        <v>1786</v>
      </c>
      <c r="G49">
        <f>+$B49*_xlfn.XLOOKUP($C49,'ACTUAL %'!$A:$A,'ACTUAL %'!C:C)</f>
        <v>59.705740580590223</v>
      </c>
      <c r="H49">
        <f>+$B49*_xlfn.XLOOKUP($C49,'ACTUAL %'!$A:$A,'ACTUAL %'!D:D)</f>
        <v>0</v>
      </c>
      <c r="I49">
        <f>+$B49*_xlfn.XLOOKUP($C49,'ACTUAL %'!$A:$A,'ACTUAL %'!E:E)</f>
        <v>0</v>
      </c>
      <c r="J49">
        <f>+$B49*_xlfn.XLOOKUP($C49,'ACTUAL %'!$A:$A,'ACTUAL %'!F:F)</f>
        <v>0</v>
      </c>
      <c r="K49">
        <f>+$B49*_xlfn.XLOOKUP($C49,'ACTUAL %'!$A:$A,'ACTUAL %'!G:G)</f>
        <v>0</v>
      </c>
      <c r="L49">
        <f>+$B49*_xlfn.XLOOKUP($C49,'ACTUAL %'!$A:$A,'ACTUAL %'!H:H)</f>
        <v>391.10369754275166</v>
      </c>
      <c r="M49">
        <f>+$B49*_xlfn.XLOOKUP($C49,'ACTUAL %'!$A:$A,'ACTUAL %'!I:I)</f>
        <v>0</v>
      </c>
      <c r="N49">
        <f>+$B49*_xlfn.XLOOKUP($C49,'ACTUAL %'!$A:$A,'ACTUAL %'!J:J)</f>
        <v>65.321811803951988</v>
      </c>
      <c r="O49">
        <f>+$B49*_xlfn.XLOOKUP($C49,'ACTUAL %'!$A:$A,'ACTUAL %'!K:K)</f>
        <v>65.321811803951988</v>
      </c>
      <c r="P49">
        <f>+$B49*_xlfn.XLOOKUP($C49,'ACTUAL %'!$A:$A,'ACTUAL %'!L:L)</f>
        <v>65.321811803951988</v>
      </c>
      <c r="Q49">
        <f>+$B49*_xlfn.XLOOKUP($C49,'ACTUAL %'!$A:$A,'ACTUAL %'!M:M)</f>
        <v>65.321811803951988</v>
      </c>
      <c r="R49">
        <f>+$B49*_xlfn.XLOOKUP($C49,'ACTUAL %'!$A:$A,'ACTUAL %'!N:N)+S49+T49+U49</f>
        <v>65.321811803951988</v>
      </c>
      <c r="S49">
        <f>+$B49*_xlfn.XLOOKUP($C49,'ACTUAL %'!$A:$A,'ACTUAL %'!O:O)</f>
        <v>0</v>
      </c>
      <c r="T49">
        <f>+$B49*_xlfn.XLOOKUP($C49,'ACTUAL %'!$A:$A,'ACTUAL %'!P:P)</f>
        <v>0</v>
      </c>
      <c r="U49">
        <f>+$B49*_xlfn.XLOOKUP($C49,'ACTUAL %'!$A:$A,'ACTUAL %'!Q:Q)</f>
        <v>0</v>
      </c>
      <c r="V49">
        <f t="shared" si="3"/>
        <v>777.41849714310172</v>
      </c>
      <c r="W49" s="517">
        <f t="shared" si="4"/>
        <v>0</v>
      </c>
    </row>
    <row r="50" spans="1:23" x14ac:dyDescent="0.75">
      <c r="A50" t="s">
        <v>1712</v>
      </c>
      <c r="B50">
        <v>28505.344895247068</v>
      </c>
      <c r="C50">
        <f t="shared" si="0"/>
        <v>5900</v>
      </c>
      <c r="D50" t="str">
        <f t="shared" si="1"/>
        <v>070</v>
      </c>
      <c r="E50" t="str">
        <f t="shared" si="2"/>
        <v>0000</v>
      </c>
      <c r="F50" t="s">
        <v>1787</v>
      </c>
      <c r="G50">
        <f>+$B50*_xlfn.XLOOKUP($C50,'ACTUAL %'!$A:$A,'ACTUAL %'!C:C)</f>
        <v>1114.2892809870748</v>
      </c>
      <c r="H50">
        <f>+$B50*_xlfn.XLOOKUP($C50,'ACTUAL %'!$A:$A,'ACTUAL %'!D:D)</f>
        <v>1194.5800666816331</v>
      </c>
      <c r="I50">
        <f>+$B50*_xlfn.XLOOKUP($C50,'ACTUAL %'!$A:$A,'ACTUAL %'!E:E)</f>
        <v>2585.1913902078804</v>
      </c>
      <c r="J50">
        <f>+$B50*_xlfn.XLOOKUP($C50,'ACTUAL %'!$A:$A,'ACTUAL %'!F:F)</f>
        <v>2914.6627446636603</v>
      </c>
      <c r="K50">
        <f>+$B50*_xlfn.XLOOKUP($C50,'ACTUAL %'!$A:$A,'ACTUAL %'!G:G)</f>
        <v>4357.7743353304377</v>
      </c>
      <c r="L50">
        <f>+$B50*_xlfn.XLOOKUP($C50,'ACTUAL %'!$A:$A,'ACTUAL %'!H:H)</f>
        <v>1352.8855959168068</v>
      </c>
      <c r="M50">
        <f>+$B50*_xlfn.XLOOKUP($C50,'ACTUAL %'!$A:$A,'ACTUAL %'!I:I)</f>
        <v>3208.2239427079435</v>
      </c>
      <c r="N50">
        <f>+$B50*_xlfn.XLOOKUP($C50,'ACTUAL %'!$A:$A,'ACTUAL %'!J:J)</f>
        <v>2355.5475077503265</v>
      </c>
      <c r="O50">
        <f>+$B50*_xlfn.XLOOKUP($C50,'ACTUAL %'!$A:$A,'ACTUAL %'!K:K)</f>
        <v>2355.5475077503265</v>
      </c>
      <c r="P50">
        <f>+$B50*_xlfn.XLOOKUP($C50,'ACTUAL %'!$A:$A,'ACTUAL %'!L:L)</f>
        <v>2355.5475077503265</v>
      </c>
      <c r="Q50">
        <f>+$B50*_xlfn.XLOOKUP($C50,'ACTUAL %'!$A:$A,'ACTUAL %'!M:M)</f>
        <v>2355.5475077503265</v>
      </c>
      <c r="R50">
        <f>+$B50*_xlfn.XLOOKUP($C50,'ACTUAL %'!$A:$A,'ACTUAL %'!N:N)+S50+T50+U50</f>
        <v>2355.5475077503265</v>
      </c>
      <c r="S50">
        <f>+$B50*_xlfn.XLOOKUP($C50,'ACTUAL %'!$A:$A,'ACTUAL %'!O:O)</f>
        <v>0</v>
      </c>
      <c r="T50">
        <f>+$B50*_xlfn.XLOOKUP($C50,'ACTUAL %'!$A:$A,'ACTUAL %'!P:P)</f>
        <v>0</v>
      </c>
      <c r="U50">
        <f>+$B50*_xlfn.XLOOKUP($C50,'ACTUAL %'!$A:$A,'ACTUAL %'!Q:Q)</f>
        <v>0</v>
      </c>
      <c r="V50">
        <f t="shared" si="3"/>
        <v>28505.344895247061</v>
      </c>
      <c r="W50" s="517">
        <f t="shared" si="4"/>
        <v>0</v>
      </c>
    </row>
    <row r="51" spans="1:23" x14ac:dyDescent="0.75">
      <c r="A51" t="s">
        <v>1713</v>
      </c>
      <c r="B51">
        <v>194.35462428577546</v>
      </c>
      <c r="C51">
        <f t="shared" si="0"/>
        <v>5901</v>
      </c>
      <c r="D51" t="str">
        <f t="shared" si="1"/>
        <v>070</v>
      </c>
      <c r="E51" t="str">
        <f t="shared" si="2"/>
        <v>0000</v>
      </c>
      <c r="F51" t="s">
        <v>1788</v>
      </c>
      <c r="G51">
        <f>+$B51*_xlfn.XLOOKUP($C51,'ACTUAL %'!$A:$A,'ACTUAL %'!C:C)</f>
        <v>0</v>
      </c>
      <c r="H51">
        <f>+$B51*_xlfn.XLOOKUP($C51,'ACTUAL %'!$A:$A,'ACTUAL %'!D:D)</f>
        <v>0</v>
      </c>
      <c r="I51">
        <f>+$B51*_xlfn.XLOOKUP($C51,'ACTUAL %'!$A:$A,'ACTUAL %'!E:E)</f>
        <v>10.366875659403265</v>
      </c>
      <c r="J51">
        <f>+$B51*_xlfn.XLOOKUP($C51,'ACTUAL %'!$A:$A,'ACTUAL %'!F:F)</f>
        <v>5.1827899809540128</v>
      </c>
      <c r="K51">
        <f>+$B51*_xlfn.XLOOKUP($C51,'ACTUAL %'!$A:$A,'ACTUAL %'!G:G)</f>
        <v>0</v>
      </c>
      <c r="L51">
        <f>+$B51*_xlfn.XLOOKUP($C51,'ACTUAL %'!$A:$A,'ACTUAL %'!H:H)</f>
        <v>0</v>
      </c>
      <c r="M51">
        <f>+$B51*_xlfn.XLOOKUP($C51,'ACTUAL %'!$A:$A,'ACTUAL %'!I:I)</f>
        <v>23.323850611788291</v>
      </c>
      <c r="N51">
        <f>+$B51*_xlfn.XLOOKUP($C51,'ACTUAL %'!$A:$A,'ACTUAL %'!J:J)</f>
        <v>31.096221606725983</v>
      </c>
      <c r="O51">
        <f>+$B51*_xlfn.XLOOKUP($C51,'ACTUAL %'!$A:$A,'ACTUAL %'!K:K)</f>
        <v>31.096221606725983</v>
      </c>
      <c r="P51">
        <f>+$B51*_xlfn.XLOOKUP($C51,'ACTUAL %'!$A:$A,'ACTUAL %'!L:L)</f>
        <v>31.096221606725983</v>
      </c>
      <c r="Q51">
        <f>+$B51*_xlfn.XLOOKUP($C51,'ACTUAL %'!$A:$A,'ACTUAL %'!M:M)</f>
        <v>31.096221606725983</v>
      </c>
      <c r="R51">
        <f>+$B51*_xlfn.XLOOKUP($C51,'ACTUAL %'!$A:$A,'ACTUAL %'!N:N)+S51+T51+U51</f>
        <v>31.096221606725983</v>
      </c>
      <c r="S51">
        <f>+$B51*_xlfn.XLOOKUP($C51,'ACTUAL %'!$A:$A,'ACTUAL %'!O:O)</f>
        <v>0</v>
      </c>
      <c r="T51">
        <f>+$B51*_xlfn.XLOOKUP($C51,'ACTUAL %'!$A:$A,'ACTUAL %'!P:P)</f>
        <v>0</v>
      </c>
      <c r="U51">
        <f>+$B51*_xlfn.XLOOKUP($C51,'ACTUAL %'!$A:$A,'ACTUAL %'!Q:Q)</f>
        <v>0</v>
      </c>
      <c r="V51">
        <f t="shared" si="3"/>
        <v>194.35462428577546</v>
      </c>
      <c r="W51" s="517">
        <f t="shared" si="4"/>
        <v>0</v>
      </c>
    </row>
    <row r="52" spans="1:23" x14ac:dyDescent="0.75">
      <c r="A52" t="s">
        <v>1714</v>
      </c>
      <c r="B52">
        <v>-5010680.2</v>
      </c>
      <c r="C52">
        <f t="shared" si="0"/>
        <v>8011</v>
      </c>
      <c r="D52" t="str">
        <f t="shared" si="1"/>
        <v>070</v>
      </c>
      <c r="E52" t="str">
        <f t="shared" si="2"/>
        <v>0000</v>
      </c>
      <c r="F52" t="s">
        <v>1789</v>
      </c>
      <c r="G52">
        <f>+$B52*_xlfn.XLOOKUP($C52,'ACTUAL %'!$A:$A,'ACTUAL %'!C:C)</f>
        <v>-125741.99247164854</v>
      </c>
      <c r="H52">
        <f>+$B52*_xlfn.XLOOKUP($C52,'ACTUAL %'!$A:$A,'ACTUAL %'!D:D)</f>
        <v>-217773.62621522773</v>
      </c>
      <c r="I52">
        <f>+$B52*_xlfn.XLOOKUP($C52,'ACTUAL %'!$A:$A,'ACTUAL %'!E:E)</f>
        <v>-318367.22019254655</v>
      </c>
      <c r="J52">
        <f>+$B52*_xlfn.XLOOKUP($C52,'ACTUAL %'!$A:$A,'ACTUAL %'!F:F)</f>
        <v>-391992.43338597764</v>
      </c>
      <c r="K52">
        <f>+$B52*_xlfn.XLOOKUP($C52,'ACTUAL %'!$A:$A,'ACTUAL %'!G:G)</f>
        <v>-391992.43338597764</v>
      </c>
      <c r="L52">
        <f>+$B52*_xlfn.XLOOKUP($C52,'ACTUAL %'!$A:$A,'ACTUAL %'!H:H)</f>
        <v>-294679.54450219276</v>
      </c>
      <c r="M52">
        <f>+$B52*_xlfn.XLOOKUP($C52,'ACTUAL %'!$A:$A,'ACTUAL %'!I:I)</f>
        <v>-459907.24988658208</v>
      </c>
      <c r="N52">
        <f>+$B52*_xlfn.XLOOKUP($C52,'ACTUAL %'!$A:$A,'ACTUAL %'!J:J)</f>
        <v>-562045.13999196945</v>
      </c>
      <c r="O52">
        <f>+$B52*_xlfn.XLOOKUP($C52,'ACTUAL %'!$A:$A,'ACTUAL %'!K:K)</f>
        <v>-562045.13999196945</v>
      </c>
      <c r="P52">
        <f>+$B52*_xlfn.XLOOKUP($C52,'ACTUAL %'!$A:$A,'ACTUAL %'!L:L)</f>
        <v>-562045.13999196945</v>
      </c>
      <c r="Q52">
        <f>+$B52*_xlfn.XLOOKUP($C52,'ACTUAL %'!$A:$A,'ACTUAL %'!M:M)</f>
        <v>-562045.13999196945</v>
      </c>
      <c r="R52">
        <f>+$B52*_xlfn.XLOOKUP($C52,'ACTUAL %'!$A:$A,'ACTUAL %'!N:N)+S52+T52+U52</f>
        <v>-562045.13999196945</v>
      </c>
      <c r="S52">
        <f>+$B52*_xlfn.XLOOKUP($C52,'ACTUAL %'!$A:$A,'ACTUAL %'!O:O)</f>
        <v>0</v>
      </c>
      <c r="T52">
        <f>+$B52*_xlfn.XLOOKUP($C52,'ACTUAL %'!$A:$A,'ACTUAL %'!P:P)</f>
        <v>0</v>
      </c>
      <c r="U52">
        <f>+$B52*_xlfn.XLOOKUP($C52,'ACTUAL %'!$A:$A,'ACTUAL %'!Q:Q)</f>
        <v>0</v>
      </c>
      <c r="V52">
        <f t="shared" si="3"/>
        <v>-5010680.2</v>
      </c>
      <c r="W52" s="517">
        <f t="shared" si="4"/>
        <v>0</v>
      </c>
    </row>
    <row r="53" spans="1:23" x14ac:dyDescent="0.75">
      <c r="A53" t="s">
        <v>1898</v>
      </c>
      <c r="B53">
        <v>-133328.79999999999</v>
      </c>
      <c r="C53">
        <f t="shared" si="0"/>
        <v>8012</v>
      </c>
      <c r="D53" t="str">
        <f t="shared" si="1"/>
        <v>070</v>
      </c>
      <c r="E53" t="str">
        <f t="shared" si="2"/>
        <v>1400</v>
      </c>
      <c r="F53" t="s">
        <v>1910</v>
      </c>
      <c r="G53">
        <f>+$B53*_xlfn.XLOOKUP($C53,'ACTUAL %'!$A:$A,'ACTUAL %'!C:C)</f>
        <v>0</v>
      </c>
      <c r="H53">
        <f>+$B53*_xlfn.XLOOKUP($C53,'ACTUAL %'!$A:$A,'ACTUAL %'!D:D)</f>
        <v>0</v>
      </c>
      <c r="I53">
        <f>+$B53*_xlfn.XLOOKUP($C53,'ACTUAL %'!$A:$A,'ACTUAL %'!E:E)</f>
        <v>-37788.675311391446</v>
      </c>
      <c r="J53">
        <f>+$B53*_xlfn.XLOOKUP($C53,'ACTUAL %'!$A:$A,'ACTUAL %'!F:F)</f>
        <v>-3360.6695257425222</v>
      </c>
      <c r="K53">
        <f>+$B53*_xlfn.XLOOKUP($C53,'ACTUAL %'!$A:$A,'ACTUAL %'!G:G)</f>
        <v>0</v>
      </c>
      <c r="L53">
        <f>+$B53*_xlfn.XLOOKUP($C53,'ACTUAL %'!$A:$A,'ACTUAL %'!H:H)</f>
        <v>-37788.675311391446</v>
      </c>
      <c r="M53">
        <f>+$B53*_xlfn.XLOOKUP($C53,'ACTUAL %'!$A:$A,'ACTUAL %'!I:I)</f>
        <v>-3360.623673211916</v>
      </c>
      <c r="N53">
        <f>+$B53*_xlfn.XLOOKUP($C53,'ACTUAL %'!$A:$A,'ACTUAL %'!J:J)</f>
        <v>0</v>
      </c>
      <c r="O53">
        <f>+$B53*_xlfn.XLOOKUP($C53,'ACTUAL %'!$A:$A,'ACTUAL %'!K:K)</f>
        <v>-25515.078089131326</v>
      </c>
      <c r="P53">
        <f>+$B53*_xlfn.XLOOKUP($C53,'ACTUAL %'!$A:$A,'ACTUAL %'!L:L)</f>
        <v>0</v>
      </c>
      <c r="Q53">
        <f>+$B53*_xlfn.XLOOKUP($C53,'ACTUAL %'!$A:$A,'ACTUAL %'!M:M)</f>
        <v>0</v>
      </c>
      <c r="R53">
        <f>+$B53*_xlfn.XLOOKUP($C53,'ACTUAL %'!$A:$A,'ACTUAL %'!N:N)+S53+T53+U53</f>
        <v>-25515.078089131326</v>
      </c>
      <c r="S53">
        <f>+$B53*_xlfn.XLOOKUP($C53,'ACTUAL %'!$A:$A,'ACTUAL %'!O:O)</f>
        <v>0</v>
      </c>
      <c r="T53">
        <f>+$B53*_xlfn.XLOOKUP($C53,'ACTUAL %'!$A:$A,'ACTUAL %'!P:P)</f>
        <v>0</v>
      </c>
      <c r="U53">
        <f>+$B53*_xlfn.XLOOKUP($C53,'ACTUAL %'!$A:$A,'ACTUAL %'!Q:Q)</f>
        <v>0</v>
      </c>
      <c r="V53">
        <f t="shared" si="3"/>
        <v>-133328.79999999999</v>
      </c>
      <c r="W53" s="517">
        <f t="shared" si="4"/>
        <v>0</v>
      </c>
    </row>
    <row r="54" spans="1:23" x14ac:dyDescent="0.75">
      <c r="A54" t="s">
        <v>1715</v>
      </c>
      <c r="B54">
        <v>-1142781.1441200001</v>
      </c>
      <c r="C54">
        <f t="shared" si="0"/>
        <v>8096</v>
      </c>
      <c r="D54" t="str">
        <f t="shared" si="1"/>
        <v>070</v>
      </c>
      <c r="E54" t="str">
        <f t="shared" si="2"/>
        <v>0000</v>
      </c>
      <c r="F54" t="s">
        <v>1790</v>
      </c>
      <c r="G54">
        <f>+$B54*_xlfn.XLOOKUP($C54,'ACTUAL %'!$A:$A,'ACTUAL %'!C:C)</f>
        <v>0</v>
      </c>
      <c r="H54">
        <f>+$B54*_xlfn.XLOOKUP($C54,'ACTUAL %'!$A:$A,'ACTUAL %'!D:D)</f>
        <v>-47831.530508400734</v>
      </c>
      <c r="I54">
        <f>+$B54*_xlfn.XLOOKUP($C54,'ACTUAL %'!$A:$A,'ACTUAL %'!E:E)</f>
        <v>-158389.90558709193</v>
      </c>
      <c r="J54">
        <f>+$B54*_xlfn.XLOOKUP($C54,'ACTUAL %'!$A:$A,'ACTUAL %'!F:F)</f>
        <v>-109815.81310789713</v>
      </c>
      <c r="K54">
        <f>+$B54*_xlfn.XLOOKUP($C54,'ACTUAL %'!$A:$A,'ACTUAL %'!G:G)</f>
        <v>-109843.91867926484</v>
      </c>
      <c r="L54">
        <f>+$B54*_xlfn.XLOOKUP($C54,'ACTUAL %'!$A:$A,'ACTUAL %'!H:H)</f>
        <v>-64724.256426353313</v>
      </c>
      <c r="M54">
        <f>+$B54*_xlfn.XLOOKUP($C54,'ACTUAL %'!$A:$A,'ACTUAL %'!I:I)</f>
        <v>-140717.88882667161</v>
      </c>
      <c r="N54">
        <f>+$B54*_xlfn.XLOOKUP($C54,'ACTUAL %'!$A:$A,'ACTUAL %'!J:J)</f>
        <v>-81833.252957491291</v>
      </c>
      <c r="O54">
        <f>+$B54*_xlfn.XLOOKUP($C54,'ACTUAL %'!$A:$A,'ACTUAL %'!K:K)</f>
        <v>-143208.19267560975</v>
      </c>
      <c r="P54">
        <f>+$B54*_xlfn.XLOOKUP($C54,'ACTUAL %'!$A:$A,'ACTUAL %'!L:L)</f>
        <v>-71604.096337804876</v>
      </c>
      <c r="Q54">
        <f>+$B54*_xlfn.XLOOKUP($C54,'ACTUAL %'!$A:$A,'ACTUAL %'!M:M)</f>
        <v>-71604.096337804876</v>
      </c>
      <c r="R54">
        <f>+$B54*_xlfn.XLOOKUP($C54,'ACTUAL %'!$A:$A,'ACTUAL %'!N:N)+S54+T54+U54</f>
        <v>-143208.19267560975</v>
      </c>
      <c r="S54">
        <f>+$B54*_xlfn.XLOOKUP($C54,'ACTUAL %'!$A:$A,'ACTUAL %'!O:O)</f>
        <v>-71604.096337804876</v>
      </c>
      <c r="T54">
        <f>+$B54*_xlfn.XLOOKUP($C54,'ACTUAL %'!$A:$A,'ACTUAL %'!P:P)</f>
        <v>0</v>
      </c>
      <c r="U54">
        <f>+$B54*_xlfn.XLOOKUP($C54,'ACTUAL %'!$A:$A,'ACTUAL %'!Q:Q)</f>
        <v>0</v>
      </c>
      <c r="V54">
        <f t="shared" si="3"/>
        <v>-1142781.1441200003</v>
      </c>
      <c r="W54" s="517">
        <f t="shared" si="4"/>
        <v>0</v>
      </c>
    </row>
    <row r="55" spans="1:23" x14ac:dyDescent="0.75">
      <c r="A55" t="s">
        <v>1901</v>
      </c>
      <c r="B55">
        <v>-80830.585000000006</v>
      </c>
      <c r="C55">
        <f t="shared" si="0"/>
        <v>8181</v>
      </c>
      <c r="D55" t="str">
        <f t="shared" si="1"/>
        <v>070</v>
      </c>
      <c r="E55" t="str">
        <f t="shared" si="2"/>
        <v>3310</v>
      </c>
      <c r="F55" t="s">
        <v>1911</v>
      </c>
      <c r="G55">
        <f>+$B55*_xlfn.XLOOKUP($C55,'ACTUAL %'!$A:$A,'ACTUAL %'!C:C)</f>
        <v>0</v>
      </c>
      <c r="H55">
        <f>+$B55*_xlfn.XLOOKUP($C55,'ACTUAL %'!$A:$A,'ACTUAL %'!D:D)</f>
        <v>0</v>
      </c>
      <c r="I55">
        <f>+$B55*_xlfn.XLOOKUP($C55,'ACTUAL %'!$A:$A,'ACTUAL %'!E:E)</f>
        <v>0</v>
      </c>
      <c r="J55">
        <f>+$B55*_xlfn.XLOOKUP($C55,'ACTUAL %'!$A:$A,'ACTUAL %'!F:F)</f>
        <v>0</v>
      </c>
      <c r="K55">
        <f>+$B55*_xlfn.XLOOKUP($C55,'ACTUAL %'!$A:$A,'ACTUAL %'!G:G)</f>
        <v>0</v>
      </c>
      <c r="L55">
        <f>+$B55*_xlfn.XLOOKUP($C55,'ACTUAL %'!$A:$A,'ACTUAL %'!H:H)</f>
        <v>0</v>
      </c>
      <c r="M55">
        <f>+$B55*_xlfn.XLOOKUP($C55,'ACTUAL %'!$A:$A,'ACTUAL %'!I:I)</f>
        <v>0</v>
      </c>
      <c r="N55">
        <f>+$B55*_xlfn.XLOOKUP($C55,'ACTUAL %'!$A:$A,'ACTUAL %'!J:J)</f>
        <v>-16166.117000000002</v>
      </c>
      <c r="O55">
        <f>+$B55*_xlfn.XLOOKUP($C55,'ACTUAL %'!$A:$A,'ACTUAL %'!K:K)</f>
        <v>-16166.117000000002</v>
      </c>
      <c r="P55">
        <f>+$B55*_xlfn.XLOOKUP($C55,'ACTUAL %'!$A:$A,'ACTUAL %'!L:L)</f>
        <v>-16166.117000000002</v>
      </c>
      <c r="Q55">
        <f>+$B55*_xlfn.XLOOKUP($C55,'ACTUAL %'!$A:$A,'ACTUAL %'!M:M)</f>
        <v>-16166.117000000002</v>
      </c>
      <c r="R55">
        <f>+$B55*_xlfn.XLOOKUP($C55,'ACTUAL %'!$A:$A,'ACTUAL %'!N:N)+S55+T55+U55</f>
        <v>-16166.117000000002</v>
      </c>
      <c r="S55">
        <f>+$B55*_xlfn.XLOOKUP($C55,'ACTUAL %'!$A:$A,'ACTUAL %'!O:O)</f>
        <v>0</v>
      </c>
      <c r="T55">
        <f>+$B55*_xlfn.XLOOKUP($C55,'ACTUAL %'!$A:$A,'ACTUAL %'!P:P)</f>
        <v>0</v>
      </c>
      <c r="U55">
        <f>+$B55*_xlfn.XLOOKUP($C55,'ACTUAL %'!$A:$A,'ACTUAL %'!Q:Q)</f>
        <v>0</v>
      </c>
      <c r="V55">
        <f t="shared" si="3"/>
        <v>-80830.585000000006</v>
      </c>
      <c r="W55" s="517">
        <f t="shared" si="4"/>
        <v>0</v>
      </c>
    </row>
    <row r="56" spans="1:23" x14ac:dyDescent="0.75">
      <c r="A56" t="s">
        <v>1717</v>
      </c>
      <c r="B56">
        <v>-211908.4</v>
      </c>
      <c r="C56">
        <f t="shared" si="0"/>
        <v>8290</v>
      </c>
      <c r="D56" t="str">
        <f t="shared" si="1"/>
        <v>070</v>
      </c>
      <c r="E56" t="str">
        <f t="shared" si="2"/>
        <v>0000</v>
      </c>
      <c r="F56" t="s">
        <v>1792</v>
      </c>
      <c r="G56">
        <f>+$B56*_xlfn.XLOOKUP($C56,'ACTUAL %'!$A:$A,'ACTUAL %'!C:C)</f>
        <v>-10943.872585208694</v>
      </c>
      <c r="H56">
        <f>+$B56*_xlfn.XLOOKUP($C56,'ACTUAL %'!$A:$A,'ACTUAL %'!D:D)</f>
        <v>-10285.749340358041</v>
      </c>
      <c r="I56">
        <f>+$B56*_xlfn.XLOOKUP($C56,'ACTUAL %'!$A:$A,'ACTUAL %'!E:E)</f>
        <v>-1799.9655855385861</v>
      </c>
      <c r="J56">
        <f>+$B56*_xlfn.XLOOKUP($C56,'ACTUAL %'!$A:$A,'ACTUAL %'!F:F)</f>
        <v>-2430.9839051611552</v>
      </c>
      <c r="K56">
        <f>+$B56*_xlfn.XLOOKUP($C56,'ACTUAL %'!$A:$A,'ACTUAL %'!G:G)</f>
        <v>0</v>
      </c>
      <c r="L56">
        <f>+$B56*_xlfn.XLOOKUP($C56,'ACTUAL %'!$A:$A,'ACTUAL %'!H:H)</f>
        <v>0</v>
      </c>
      <c r="M56">
        <f>+$B56*_xlfn.XLOOKUP($C56,'ACTUAL %'!$A:$A,'ACTUAL %'!I:I)</f>
        <v>-58346.969505170149</v>
      </c>
      <c r="N56">
        <f>+$B56*_xlfn.XLOOKUP($C56,'ACTUAL %'!$A:$A,'ACTUAL %'!J:J)</f>
        <v>0</v>
      </c>
      <c r="O56">
        <f>+$B56*_xlfn.XLOOKUP($C56,'ACTUAL %'!$A:$A,'ACTUAL %'!K:K)</f>
        <v>0</v>
      </c>
      <c r="P56">
        <f>+$B56*_xlfn.XLOOKUP($C56,'ACTUAL %'!$A:$A,'ACTUAL %'!L:L)</f>
        <v>-43823.978105824317</v>
      </c>
      <c r="Q56">
        <f>+$B56*_xlfn.XLOOKUP($C56,'ACTUAL %'!$A:$A,'ACTUAL %'!M:M)</f>
        <v>0</v>
      </c>
      <c r="R56">
        <f>+$B56*_xlfn.XLOOKUP($C56,'ACTUAL %'!$A:$A,'ACTUAL %'!N:N)+S56+T56+U56</f>
        <v>-84276.880972739062</v>
      </c>
      <c r="S56">
        <f>+$B56*_xlfn.XLOOKUP($C56,'ACTUAL %'!$A:$A,'ACTUAL %'!O:O)</f>
        <v>0</v>
      </c>
      <c r="T56">
        <f>+$B56*_xlfn.XLOOKUP($C56,'ACTUAL %'!$A:$A,'ACTUAL %'!P:P)</f>
        <v>0</v>
      </c>
      <c r="U56">
        <f>+$B56*_xlfn.XLOOKUP($C56,'ACTUAL %'!$A:$A,'ACTUAL %'!Q:Q)</f>
        <v>0</v>
      </c>
      <c r="V56">
        <f t="shared" si="3"/>
        <v>-211908.40000000002</v>
      </c>
      <c r="W56" s="517">
        <f t="shared" si="4"/>
        <v>0</v>
      </c>
    </row>
    <row r="57" spans="1:23" x14ac:dyDescent="0.75">
      <c r="A57" s="178" t="s">
        <v>1902</v>
      </c>
      <c r="B57">
        <v>-71912</v>
      </c>
      <c r="C57">
        <f t="shared" si="0"/>
        <v>8291</v>
      </c>
      <c r="D57" t="str">
        <f t="shared" si="1"/>
        <v>070</v>
      </c>
      <c r="E57" t="str">
        <f t="shared" si="2"/>
        <v>3010</v>
      </c>
      <c r="F57" t="s">
        <v>1912</v>
      </c>
      <c r="G57">
        <f>+$B57*_xlfn.XLOOKUP($C57,'ACTUAL %'!$A:$A,'ACTUAL %'!C:C)</f>
        <v>0</v>
      </c>
      <c r="H57">
        <f>+$B57*_xlfn.XLOOKUP($C57,'ACTUAL %'!$A:$A,'ACTUAL %'!D:D)</f>
        <v>0</v>
      </c>
      <c r="I57">
        <f>+$B57*_xlfn.XLOOKUP($C57,'ACTUAL %'!$A:$A,'ACTUAL %'!E:E)</f>
        <v>0</v>
      </c>
      <c r="J57">
        <f>+$B57*_xlfn.XLOOKUP($C57,'ACTUAL %'!$A:$A,'ACTUAL %'!F:F)</f>
        <v>-14781.256010694964</v>
      </c>
      <c r="K57">
        <f>+$B57*_xlfn.XLOOKUP($C57,'ACTUAL %'!$A:$A,'ACTUAL %'!G:G)</f>
        <v>-3416.6198901259586</v>
      </c>
      <c r="L57">
        <f>+$B57*_xlfn.XLOOKUP($C57,'ACTUAL %'!$A:$A,'ACTUAL %'!H:H)</f>
        <v>0</v>
      </c>
      <c r="M57">
        <f>+$B57*_xlfn.XLOOKUP($C57,'ACTUAL %'!$A:$A,'ACTUAL %'!I:I)</f>
        <v>-21119.352536920604</v>
      </c>
      <c r="N57">
        <f>+$B57*_xlfn.XLOOKUP($C57,'ACTUAL %'!$A:$A,'ACTUAL %'!J:J)</f>
        <v>0</v>
      </c>
      <c r="O57">
        <f>+$B57*_xlfn.XLOOKUP($C57,'ACTUAL %'!$A:$A,'ACTUAL %'!K:K)</f>
        <v>0</v>
      </c>
      <c r="P57">
        <f>+$B57*_xlfn.XLOOKUP($C57,'ACTUAL %'!$A:$A,'ACTUAL %'!L:L)</f>
        <v>-21729.847708172314</v>
      </c>
      <c r="Q57">
        <f>+$B57*_xlfn.XLOOKUP($C57,'ACTUAL %'!$A:$A,'ACTUAL %'!M:M)</f>
        <v>0</v>
      </c>
      <c r="R57">
        <f>+$B57*_xlfn.XLOOKUP($C57,'ACTUAL %'!$A:$A,'ACTUAL %'!N:N)+S57+T57+U57</f>
        <v>-10864.923854086157</v>
      </c>
      <c r="S57">
        <f>+$B57*_xlfn.XLOOKUP($C57,'ACTUAL %'!$A:$A,'ACTUAL %'!O:O)</f>
        <v>0</v>
      </c>
      <c r="T57">
        <f>+$B57*_xlfn.XLOOKUP($C57,'ACTUAL %'!$A:$A,'ACTUAL %'!P:P)</f>
        <v>0</v>
      </c>
      <c r="U57">
        <f>+$B57*_xlfn.XLOOKUP($C57,'ACTUAL %'!$A:$A,'ACTUAL %'!Q:Q)</f>
        <v>0</v>
      </c>
      <c r="V57">
        <f t="shared" si="3"/>
        <v>-71912</v>
      </c>
      <c r="W57" s="517">
        <f t="shared" si="4"/>
        <v>0</v>
      </c>
    </row>
    <row r="58" spans="1:23" x14ac:dyDescent="0.75">
      <c r="A58" t="s">
        <v>1903</v>
      </c>
      <c r="B58">
        <v>-14404</v>
      </c>
      <c r="C58">
        <f t="shared" si="0"/>
        <v>8292</v>
      </c>
      <c r="D58" t="str">
        <f t="shared" si="1"/>
        <v>070</v>
      </c>
      <c r="E58" t="str">
        <f t="shared" si="2"/>
        <v>4035</v>
      </c>
      <c r="F58" t="s">
        <v>1913</v>
      </c>
      <c r="G58">
        <f>+$B58*_xlfn.XLOOKUP($C58,'ACTUAL %'!$A:$A,'ACTUAL %'!C:C)</f>
        <v>0</v>
      </c>
      <c r="H58">
        <f>+$B58*_xlfn.XLOOKUP($C58,'ACTUAL %'!$A:$A,'ACTUAL %'!D:D)</f>
        <v>0</v>
      </c>
      <c r="I58">
        <f>+$B58*_xlfn.XLOOKUP($C58,'ACTUAL %'!$A:$A,'ACTUAL %'!E:E)</f>
        <v>0</v>
      </c>
      <c r="J58">
        <f>+$B58*_xlfn.XLOOKUP($C58,'ACTUAL %'!$A:$A,'ACTUAL %'!F:F)</f>
        <v>0</v>
      </c>
      <c r="K58">
        <f>+$B58*_xlfn.XLOOKUP($C58,'ACTUAL %'!$A:$A,'ACTUAL %'!G:G)</f>
        <v>0</v>
      </c>
      <c r="L58">
        <f>+$B58*_xlfn.XLOOKUP($C58,'ACTUAL %'!$A:$A,'ACTUAL %'!H:H)</f>
        <v>0</v>
      </c>
      <c r="M58">
        <f>+$B58*_xlfn.XLOOKUP($C58,'ACTUAL %'!$A:$A,'ACTUAL %'!I:I)</f>
        <v>0</v>
      </c>
      <c r="N58">
        <f>+$B58*_xlfn.XLOOKUP($C58,'ACTUAL %'!$A:$A,'ACTUAL %'!J:J)</f>
        <v>0</v>
      </c>
      <c r="O58">
        <f>+$B58*_xlfn.XLOOKUP($C58,'ACTUAL %'!$A:$A,'ACTUAL %'!K:K)</f>
        <v>0</v>
      </c>
      <c r="P58">
        <f>+$B58*_xlfn.XLOOKUP($C58,'ACTUAL %'!$A:$A,'ACTUAL %'!L:L)</f>
        <v>-9602.6666666666661</v>
      </c>
      <c r="Q58">
        <f>+$B58*_xlfn.XLOOKUP($C58,'ACTUAL %'!$A:$A,'ACTUAL %'!M:M)</f>
        <v>0</v>
      </c>
      <c r="R58">
        <f>+$B58*_xlfn.XLOOKUP($C58,'ACTUAL %'!$A:$A,'ACTUAL %'!N:N)+S58+T58+U58</f>
        <v>-4801.333333333333</v>
      </c>
      <c r="S58">
        <f>+$B58*_xlfn.XLOOKUP($C58,'ACTUAL %'!$A:$A,'ACTUAL %'!O:O)</f>
        <v>0</v>
      </c>
      <c r="T58">
        <f>+$B58*_xlfn.XLOOKUP($C58,'ACTUAL %'!$A:$A,'ACTUAL %'!P:P)</f>
        <v>0</v>
      </c>
      <c r="U58">
        <f>+$B58*_xlfn.XLOOKUP($C58,'ACTUAL %'!$A:$A,'ACTUAL %'!Q:Q)</f>
        <v>0</v>
      </c>
      <c r="V58">
        <f t="shared" si="3"/>
        <v>-14404</v>
      </c>
      <c r="W58" s="517">
        <f t="shared" si="4"/>
        <v>0</v>
      </c>
    </row>
    <row r="59" spans="1:23" x14ac:dyDescent="0.75">
      <c r="A59" t="s">
        <v>1904</v>
      </c>
      <c r="B59">
        <v>-10000</v>
      </c>
      <c r="C59">
        <f t="shared" si="0"/>
        <v>8294</v>
      </c>
      <c r="D59" t="str">
        <f t="shared" si="1"/>
        <v>070</v>
      </c>
      <c r="E59" t="str">
        <f t="shared" si="2"/>
        <v>4127</v>
      </c>
      <c r="F59" t="s">
        <v>1914</v>
      </c>
      <c r="G59">
        <f>+$B59*_xlfn.XLOOKUP($C59,'ACTUAL %'!$A:$A,'ACTUAL %'!C:C)</f>
        <v>0</v>
      </c>
      <c r="H59">
        <f>+$B59*_xlfn.XLOOKUP($C59,'ACTUAL %'!$A:$A,'ACTUAL %'!D:D)</f>
        <v>0</v>
      </c>
      <c r="I59">
        <f>+$B59*_xlfn.XLOOKUP($C59,'ACTUAL %'!$A:$A,'ACTUAL %'!E:E)</f>
        <v>0</v>
      </c>
      <c r="J59">
        <f>+$B59*_xlfn.XLOOKUP($C59,'ACTUAL %'!$A:$A,'ACTUAL %'!F:F)</f>
        <v>-833.33333333333326</v>
      </c>
      <c r="K59">
        <f>+$B59*_xlfn.XLOOKUP($C59,'ACTUAL %'!$A:$A,'ACTUAL %'!G:G)</f>
        <v>0</v>
      </c>
      <c r="L59">
        <f>+$B59*_xlfn.XLOOKUP($C59,'ACTUAL %'!$A:$A,'ACTUAL %'!H:H)</f>
        <v>-833.33333333333326</v>
      </c>
      <c r="M59">
        <f>+$B59*_xlfn.XLOOKUP($C59,'ACTUAL %'!$A:$A,'ACTUAL %'!I:I)</f>
        <v>0</v>
      </c>
      <c r="N59">
        <f>+$B59*_xlfn.XLOOKUP($C59,'ACTUAL %'!$A:$A,'ACTUAL %'!J:J)</f>
        <v>0</v>
      </c>
      <c r="O59">
        <f>+$B59*_xlfn.XLOOKUP($C59,'ACTUAL %'!$A:$A,'ACTUAL %'!K:K)</f>
        <v>0</v>
      </c>
      <c r="P59">
        <f>+$B59*_xlfn.XLOOKUP($C59,'ACTUAL %'!$A:$A,'ACTUAL %'!L:L)</f>
        <v>-5555.5555555555547</v>
      </c>
      <c r="Q59">
        <f>+$B59*_xlfn.XLOOKUP($C59,'ACTUAL %'!$A:$A,'ACTUAL %'!M:M)</f>
        <v>0</v>
      </c>
      <c r="R59">
        <f>+$B59*_xlfn.XLOOKUP($C59,'ACTUAL %'!$A:$A,'ACTUAL %'!N:N)+S59+T59+U59</f>
        <v>-2777.7777777777774</v>
      </c>
      <c r="S59">
        <f>+$B59*_xlfn.XLOOKUP($C59,'ACTUAL %'!$A:$A,'ACTUAL %'!O:O)</f>
        <v>0</v>
      </c>
      <c r="T59">
        <f>+$B59*_xlfn.XLOOKUP($C59,'ACTUAL %'!$A:$A,'ACTUAL %'!P:P)</f>
        <v>0</v>
      </c>
      <c r="U59">
        <f>+$B59*_xlfn.XLOOKUP($C59,'ACTUAL %'!$A:$A,'ACTUAL %'!Q:Q)</f>
        <v>0</v>
      </c>
      <c r="V59">
        <f t="shared" si="3"/>
        <v>-9999.9999999999982</v>
      </c>
      <c r="W59" s="517">
        <f t="shared" si="4"/>
        <v>0</v>
      </c>
    </row>
    <row r="60" spans="1:23" x14ac:dyDescent="0.75">
      <c r="A60" s="178" t="s">
        <v>1716</v>
      </c>
      <c r="B60">
        <v>-14058.409288000003</v>
      </c>
      <c r="C60">
        <f t="shared" si="0"/>
        <v>8550</v>
      </c>
      <c r="D60" t="str">
        <f t="shared" si="1"/>
        <v>070</v>
      </c>
      <c r="E60" t="str">
        <f t="shared" si="2"/>
        <v>0000</v>
      </c>
      <c r="F60" t="s">
        <v>1791</v>
      </c>
      <c r="G60">
        <f>+$B60*_xlfn.XLOOKUP($C60,'ACTUAL %'!$A:$A,'ACTUAL %'!C:C)</f>
        <v>0</v>
      </c>
      <c r="H60">
        <f>+$B60*_xlfn.XLOOKUP($C60,'ACTUAL %'!$A:$A,'ACTUAL %'!D:D)</f>
        <v>0</v>
      </c>
      <c r="I60">
        <f>+$B60*_xlfn.XLOOKUP($C60,'ACTUAL %'!$A:$A,'ACTUAL %'!E:E)</f>
        <v>0</v>
      </c>
      <c r="J60">
        <f>+$B60*_xlfn.XLOOKUP($C60,'ACTUAL %'!$A:$A,'ACTUAL %'!F:F)</f>
        <v>0</v>
      </c>
      <c r="K60">
        <f>+$B60*_xlfn.XLOOKUP($C60,'ACTUAL %'!$A:$A,'ACTUAL %'!G:G)</f>
        <v>0</v>
      </c>
      <c r="L60">
        <f>+$B60*_xlfn.XLOOKUP($C60,'ACTUAL %'!$A:$A,'ACTUAL %'!H:H)</f>
        <v>-11149.656695947499</v>
      </c>
      <c r="M60">
        <f>+$B60*_xlfn.XLOOKUP($C60,'ACTUAL %'!$A:$A,'ACTUAL %'!I:I)</f>
        <v>-2806.2854706416992</v>
      </c>
      <c r="N60">
        <f>+$B60*_xlfn.XLOOKUP($C60,'ACTUAL %'!$A:$A,'ACTUAL %'!J:J)</f>
        <v>-34.1557071369349</v>
      </c>
      <c r="O60">
        <f>+$B60*_xlfn.XLOOKUP($C60,'ACTUAL %'!$A:$A,'ACTUAL %'!K:K)</f>
        <v>0</v>
      </c>
      <c r="P60">
        <f>+$B60*_xlfn.XLOOKUP($C60,'ACTUAL %'!$A:$A,'ACTUAL %'!L:L)</f>
        <v>0</v>
      </c>
      <c r="Q60">
        <f>+$B60*_xlfn.XLOOKUP($C60,'ACTUAL %'!$A:$A,'ACTUAL %'!M:M)</f>
        <v>0</v>
      </c>
      <c r="R60">
        <f>+$B60*_xlfn.XLOOKUP($C60,'ACTUAL %'!$A:$A,'ACTUAL %'!N:N)+S60+T60+U60</f>
        <v>-68.311414273869801</v>
      </c>
      <c r="S60">
        <f>+$B60*_xlfn.XLOOKUP($C60,'ACTUAL %'!$A:$A,'ACTUAL %'!O:O)</f>
        <v>-34.1557071369349</v>
      </c>
      <c r="T60">
        <f>+$B60*_xlfn.XLOOKUP($C60,'ACTUAL %'!$A:$A,'ACTUAL %'!P:P)</f>
        <v>0</v>
      </c>
      <c r="U60">
        <f>+$B60*_xlfn.XLOOKUP($C60,'ACTUAL %'!$A:$A,'ACTUAL %'!Q:Q)</f>
        <v>0</v>
      </c>
      <c r="V60">
        <f t="shared" si="3"/>
        <v>-14058.409288000003</v>
      </c>
      <c r="W60" s="517">
        <f t="shared" si="4"/>
        <v>0</v>
      </c>
    </row>
    <row r="61" spans="1:23" x14ac:dyDescent="0.75">
      <c r="A61" t="s">
        <v>1899</v>
      </c>
      <c r="B61">
        <v>-108662.97199999999</v>
      </c>
      <c r="C61">
        <f t="shared" si="0"/>
        <v>8561</v>
      </c>
      <c r="D61" t="str">
        <f t="shared" si="1"/>
        <v>070</v>
      </c>
      <c r="E61" t="str">
        <f t="shared" si="2"/>
        <v>1100</v>
      </c>
      <c r="F61" t="s">
        <v>1929</v>
      </c>
      <c r="G61">
        <f>+$B61*_xlfn.XLOOKUP($C61,'ACTUAL %'!$A:$A,'ACTUAL %'!C:C)</f>
        <v>0</v>
      </c>
      <c r="H61">
        <f>+$B61*_xlfn.XLOOKUP($C61,'ACTUAL %'!$A:$A,'ACTUAL %'!D:D)</f>
        <v>0</v>
      </c>
      <c r="I61">
        <f>+$B61*_xlfn.XLOOKUP($C61,'ACTUAL %'!$A:$A,'ACTUAL %'!E:E)</f>
        <v>0</v>
      </c>
      <c r="J61">
        <f>+$B61*_xlfn.XLOOKUP($C61,'ACTUAL %'!$A:$A,'ACTUAL %'!F:F)</f>
        <v>0</v>
      </c>
      <c r="K61">
        <f>+$B61*_xlfn.XLOOKUP($C61,'ACTUAL %'!$A:$A,'ACTUAL %'!G:G)</f>
        <v>0</v>
      </c>
      <c r="L61">
        <f>+$B61*_xlfn.XLOOKUP($C61,'ACTUAL %'!$A:$A,'ACTUAL %'!H:H)</f>
        <v>0</v>
      </c>
      <c r="M61">
        <f>+$B61*_xlfn.XLOOKUP($C61,'ACTUAL %'!$A:$A,'ACTUAL %'!I:I)</f>
        <v>-29600.429266951734</v>
      </c>
      <c r="N61">
        <f>+$B61*_xlfn.XLOOKUP($C61,'ACTUAL %'!$A:$A,'ACTUAL %'!J:J)</f>
        <v>0</v>
      </c>
      <c r="O61">
        <f>+$B61*_xlfn.XLOOKUP($C61,'ACTUAL %'!$A:$A,'ACTUAL %'!K:K)</f>
        <v>-39531.271366524132</v>
      </c>
      <c r="P61">
        <f>+$B61*_xlfn.XLOOKUP($C61,'ACTUAL %'!$A:$A,'ACTUAL %'!L:L)</f>
        <v>0</v>
      </c>
      <c r="Q61">
        <f>+$B61*_xlfn.XLOOKUP($C61,'ACTUAL %'!$A:$A,'ACTUAL %'!M:M)</f>
        <v>0</v>
      </c>
      <c r="R61">
        <f>+$B61*_xlfn.XLOOKUP($C61,'ACTUAL %'!$A:$A,'ACTUAL %'!N:N)+S61+T61+U61</f>
        <v>-39531.271366524132</v>
      </c>
      <c r="S61">
        <f>+$B61*_xlfn.XLOOKUP($C61,'ACTUAL %'!$A:$A,'ACTUAL %'!O:O)</f>
        <v>0</v>
      </c>
      <c r="T61">
        <f>+$B61*_xlfn.XLOOKUP($C61,'ACTUAL %'!$A:$A,'ACTUAL %'!P:P)</f>
        <v>0</v>
      </c>
      <c r="U61">
        <f>+$B61*_xlfn.XLOOKUP($C61,'ACTUAL %'!$A:$A,'ACTUAL %'!Q:Q)</f>
        <v>0</v>
      </c>
      <c r="V61">
        <f t="shared" si="3"/>
        <v>-108662.97199999999</v>
      </c>
      <c r="W61" s="517">
        <f t="shared" si="4"/>
        <v>0</v>
      </c>
    </row>
    <row r="62" spans="1:23" x14ac:dyDescent="0.75">
      <c r="A62" s="178" t="s">
        <v>1900</v>
      </c>
      <c r="B62">
        <v>-43331.86</v>
      </c>
      <c r="C62">
        <f t="shared" si="0"/>
        <v>8562</v>
      </c>
      <c r="D62" t="str">
        <f t="shared" si="1"/>
        <v>070</v>
      </c>
      <c r="E62" t="str">
        <f t="shared" si="2"/>
        <v>6300</v>
      </c>
      <c r="F62" t="s">
        <v>1930</v>
      </c>
      <c r="G62">
        <f>+$B62*_xlfn.XLOOKUP($C62,'ACTUAL %'!$A:$A,'ACTUAL %'!C:C)</f>
        <v>0</v>
      </c>
      <c r="H62">
        <f>+$B62*_xlfn.XLOOKUP($C62,'ACTUAL %'!$A:$A,'ACTUAL %'!D:D)</f>
        <v>0</v>
      </c>
      <c r="I62">
        <f>+$B62*_xlfn.XLOOKUP($C62,'ACTUAL %'!$A:$A,'ACTUAL %'!E:E)</f>
        <v>0</v>
      </c>
      <c r="J62">
        <f>+$B62*_xlfn.XLOOKUP($C62,'ACTUAL %'!$A:$A,'ACTUAL %'!F:F)</f>
        <v>0</v>
      </c>
      <c r="K62">
        <f>+$B62*_xlfn.XLOOKUP($C62,'ACTUAL %'!$A:$A,'ACTUAL %'!G:G)</f>
        <v>0</v>
      </c>
      <c r="L62">
        <f>+$B62*_xlfn.XLOOKUP($C62,'ACTUAL %'!$A:$A,'ACTUAL %'!H:H)</f>
        <v>0</v>
      </c>
      <c r="M62">
        <f>+$B62*_xlfn.XLOOKUP($C62,'ACTUAL %'!$A:$A,'ACTUAL %'!I:I)</f>
        <v>0</v>
      </c>
      <c r="N62">
        <f>+$B62*_xlfn.XLOOKUP($C62,'ACTUAL %'!$A:$A,'ACTUAL %'!J:J)</f>
        <v>0</v>
      </c>
      <c r="O62">
        <f>+$B62*_xlfn.XLOOKUP($C62,'ACTUAL %'!$A:$A,'ACTUAL %'!K:K)</f>
        <v>0</v>
      </c>
      <c r="P62">
        <f>+$B62*_xlfn.XLOOKUP($C62,'ACTUAL %'!$A:$A,'ACTUAL %'!L:L)</f>
        <v>0</v>
      </c>
      <c r="Q62">
        <f>+$B62*_xlfn.XLOOKUP($C62,'ACTUAL %'!$A:$A,'ACTUAL %'!M:M)</f>
        <v>0</v>
      </c>
      <c r="R62">
        <f>+$B62*_xlfn.XLOOKUP($C62,'ACTUAL %'!$A:$A,'ACTUAL %'!N:N)+S62+T62+U62</f>
        <v>0</v>
      </c>
      <c r="S62">
        <f>+$B62*_xlfn.XLOOKUP($C62,'ACTUAL %'!$A:$A,'ACTUAL %'!O:O)</f>
        <v>0</v>
      </c>
      <c r="T62">
        <f>+$B62*_xlfn.XLOOKUP($C62,'ACTUAL %'!$A:$A,'ACTUAL %'!P:P)</f>
        <v>0</v>
      </c>
      <c r="U62">
        <f>+$B62*_xlfn.XLOOKUP($C62,'ACTUAL %'!$A:$A,'ACTUAL %'!Q:Q)</f>
        <v>0</v>
      </c>
      <c r="V62">
        <f t="shared" si="3"/>
        <v>0</v>
      </c>
      <c r="W62" s="517">
        <f t="shared" si="4"/>
        <v>43331.86</v>
      </c>
    </row>
    <row r="63" spans="1:23" x14ac:dyDescent="0.75">
      <c r="A63" t="s">
        <v>1990</v>
      </c>
      <c r="B63">
        <v>-89053</v>
      </c>
      <c r="C63">
        <f t="shared" si="0"/>
        <v>8590</v>
      </c>
      <c r="D63" t="str">
        <f t="shared" si="1"/>
        <v>070</v>
      </c>
      <c r="E63" t="str">
        <f t="shared" si="2"/>
        <v>0000</v>
      </c>
      <c r="F63" t="s">
        <v>2024</v>
      </c>
      <c r="G63">
        <f>+$B63*_xlfn.XLOOKUP($C63,'ACTUAL %'!$A:$A,'ACTUAL %'!C:C)</f>
        <v>0</v>
      </c>
      <c r="H63">
        <f>+$B63*_xlfn.XLOOKUP($C63,'ACTUAL %'!$A:$A,'ACTUAL %'!D:D)</f>
        <v>0</v>
      </c>
      <c r="I63">
        <f>+$B63*_xlfn.XLOOKUP($C63,'ACTUAL %'!$A:$A,'ACTUAL %'!E:E)</f>
        <v>-4387.9993481036572</v>
      </c>
      <c r="J63">
        <f>+$B63*_xlfn.XLOOKUP($C63,'ACTUAL %'!$A:$A,'ACTUAL %'!F:F)</f>
        <v>-1511.1791176008996</v>
      </c>
      <c r="K63">
        <f>+$B63*_xlfn.XLOOKUP($C63,'ACTUAL %'!$A:$A,'ACTUAL %'!G:G)</f>
        <v>0</v>
      </c>
      <c r="L63">
        <f>+$B63*_xlfn.XLOOKUP($C63,'ACTUAL %'!$A:$A,'ACTUAL %'!H:H)</f>
        <v>0</v>
      </c>
      <c r="M63">
        <f>+$B63*_xlfn.XLOOKUP($C63,'ACTUAL %'!$A:$A,'ACTUAL %'!I:I)</f>
        <v>-21314.70285505999</v>
      </c>
      <c r="N63">
        <f>+$B63*_xlfn.XLOOKUP($C63,'ACTUAL %'!$A:$A,'ACTUAL %'!J:J)</f>
        <v>0</v>
      </c>
      <c r="O63">
        <f>+$B63*_xlfn.XLOOKUP($C63,'ACTUAL %'!$A:$A,'ACTUAL %'!K:K)</f>
        <v>0</v>
      </c>
      <c r="P63">
        <f>+$B63*_xlfn.XLOOKUP($C63,'ACTUAL %'!$A:$A,'ACTUAL %'!L:L)</f>
        <v>-21155.487969212129</v>
      </c>
      <c r="Q63">
        <f>+$B63*_xlfn.XLOOKUP($C63,'ACTUAL %'!$A:$A,'ACTUAL %'!M:M)</f>
        <v>0</v>
      </c>
      <c r="R63">
        <f>+$B63*_xlfn.XLOOKUP($C63,'ACTUAL %'!$A:$A,'ACTUAL %'!N:N)+S63+T63+U63</f>
        <v>-40683.630710023324</v>
      </c>
      <c r="S63">
        <f>+$B63*_xlfn.XLOOKUP($C63,'ACTUAL %'!$A:$A,'ACTUAL %'!O:O)</f>
        <v>0</v>
      </c>
      <c r="T63">
        <f>+$B63*_xlfn.XLOOKUP($C63,'ACTUAL %'!$A:$A,'ACTUAL %'!P:P)</f>
        <v>0</v>
      </c>
      <c r="U63">
        <f>+$B63*_xlfn.XLOOKUP($C63,'ACTUAL %'!$A:$A,'ACTUAL %'!Q:Q)</f>
        <v>0</v>
      </c>
      <c r="V63">
        <f t="shared" si="3"/>
        <v>-89053</v>
      </c>
      <c r="W63" s="517">
        <f t="shared" si="4"/>
        <v>0</v>
      </c>
    </row>
    <row r="64" spans="1:23" x14ac:dyDescent="0.75">
      <c r="A64" s="178" t="s">
        <v>1991</v>
      </c>
      <c r="B64">
        <v>-3072</v>
      </c>
      <c r="C64">
        <f t="shared" si="0"/>
        <v>8599</v>
      </c>
      <c r="D64" t="str">
        <f t="shared" si="1"/>
        <v>070</v>
      </c>
      <c r="E64" t="str">
        <f t="shared" si="2"/>
        <v>0000</v>
      </c>
      <c r="F64" t="s">
        <v>2025</v>
      </c>
      <c r="G64">
        <f>+$B64*_xlfn.XLOOKUP($C64,'ACTUAL %'!$A:$A,'ACTUAL %'!C:C)</f>
        <v>0</v>
      </c>
      <c r="H64">
        <f>+$B64*_xlfn.XLOOKUP($C64,'ACTUAL %'!$A:$A,'ACTUAL %'!D:D)</f>
        <v>0</v>
      </c>
      <c r="I64">
        <f>+$B64*_xlfn.XLOOKUP($C64,'ACTUAL %'!$A:$A,'ACTUAL %'!E:E)</f>
        <v>0</v>
      </c>
      <c r="J64">
        <f>+$B64*_xlfn.XLOOKUP($C64,'ACTUAL %'!$A:$A,'ACTUAL %'!F:F)</f>
        <v>0</v>
      </c>
      <c r="K64">
        <f>+$B64*_xlfn.XLOOKUP($C64,'ACTUAL %'!$A:$A,'ACTUAL %'!G:G)</f>
        <v>0</v>
      </c>
      <c r="L64">
        <f>+$B64*_xlfn.XLOOKUP($C64,'ACTUAL %'!$A:$A,'ACTUAL %'!H:H)</f>
        <v>0</v>
      </c>
      <c r="M64">
        <f>+$B64*_xlfn.XLOOKUP($C64,'ACTUAL %'!$A:$A,'ACTUAL %'!I:I)</f>
        <v>0</v>
      </c>
      <c r="N64">
        <f>+$B64*_xlfn.XLOOKUP($C64,'ACTUAL %'!$A:$A,'ACTUAL %'!J:J)</f>
        <v>0</v>
      </c>
      <c r="O64">
        <f>+$B64*_xlfn.XLOOKUP($C64,'ACTUAL %'!$A:$A,'ACTUAL %'!K:K)</f>
        <v>0</v>
      </c>
      <c r="P64">
        <f>+$B64*_xlfn.XLOOKUP($C64,'ACTUAL %'!$A:$A,'ACTUAL %'!L:L)</f>
        <v>0</v>
      </c>
      <c r="Q64">
        <f>+$B64*_xlfn.XLOOKUP($C64,'ACTUAL %'!$A:$A,'ACTUAL %'!M:M)</f>
        <v>0</v>
      </c>
      <c r="R64">
        <f>+$B64*_xlfn.XLOOKUP($C64,'ACTUAL %'!$A:$A,'ACTUAL %'!N:N)+S64+T64+U64</f>
        <v>0</v>
      </c>
      <c r="S64">
        <f>+$B64*_xlfn.XLOOKUP($C64,'ACTUAL %'!$A:$A,'ACTUAL %'!O:O)</f>
        <v>0</v>
      </c>
      <c r="T64">
        <f>+$B64*_xlfn.XLOOKUP($C64,'ACTUAL %'!$A:$A,'ACTUAL %'!P:P)</f>
        <v>0</v>
      </c>
      <c r="U64">
        <f>+$B64*_xlfn.XLOOKUP($C64,'ACTUAL %'!$A:$A,'ACTUAL %'!Q:Q)</f>
        <v>0</v>
      </c>
      <c r="V64">
        <f t="shared" si="3"/>
        <v>0</v>
      </c>
      <c r="W64" s="517">
        <f t="shared" si="4"/>
        <v>3072</v>
      </c>
    </row>
    <row r="65" spans="1:23" x14ac:dyDescent="0.75">
      <c r="A65" t="s">
        <v>1905</v>
      </c>
      <c r="B65">
        <v>-476112.94619999995</v>
      </c>
      <c r="C65">
        <f t="shared" si="0"/>
        <v>8792</v>
      </c>
      <c r="D65" t="str">
        <f t="shared" si="1"/>
        <v>070</v>
      </c>
      <c r="E65" t="str">
        <f t="shared" si="2"/>
        <v>6500</v>
      </c>
      <c r="F65" t="s">
        <v>1915</v>
      </c>
      <c r="G65">
        <f>+$B65*_xlfn.XLOOKUP($C65,'ACTUAL %'!$A:$A,'ACTUAL %'!C:C)</f>
        <v>-18887.020155672832</v>
      </c>
      <c r="H65">
        <f>+$B65*_xlfn.XLOOKUP($C65,'ACTUAL %'!$A:$A,'ACTUAL %'!D:D)</f>
        <v>-18887.020155672832</v>
      </c>
      <c r="I65">
        <f>+$B65*_xlfn.XLOOKUP($C65,'ACTUAL %'!$A:$A,'ACTUAL %'!E:E)</f>
        <v>-33996.75865434685</v>
      </c>
      <c r="J65">
        <f>+$B65*_xlfn.XLOOKUP($C65,'ACTUAL %'!$A:$A,'ACTUAL %'!F:F)</f>
        <v>-33996.75865434685</v>
      </c>
      <c r="K65">
        <f>+$B65*_xlfn.XLOOKUP($C65,'ACTUAL %'!$A:$A,'ACTUAL %'!G:G)</f>
        <v>-33996.75865434685</v>
      </c>
      <c r="L65">
        <f>+$B65*_xlfn.XLOOKUP($C65,'ACTUAL %'!$A:$A,'ACTUAL %'!H:H)</f>
        <v>-33996.75865434685</v>
      </c>
      <c r="M65">
        <f>+$B65*_xlfn.XLOOKUP($C65,'ACTUAL %'!$A:$A,'ACTUAL %'!I:I)</f>
        <v>-33996.75865434685</v>
      </c>
      <c r="N65">
        <f>+$B65*_xlfn.XLOOKUP($C65,'ACTUAL %'!$A:$A,'ACTUAL %'!J:J)</f>
        <v>-26656.607853280722</v>
      </c>
      <c r="O65">
        <f>+$B65*_xlfn.XLOOKUP($C65,'ACTUAL %'!$A:$A,'ACTUAL %'!K:K)</f>
        <v>-13059.948814023441</v>
      </c>
      <c r="P65">
        <f>+$B65*_xlfn.XLOOKUP($C65,'ACTUAL %'!$A:$A,'ACTUAL %'!L:L)</f>
        <v>-12582.873058260029</v>
      </c>
      <c r="Q65">
        <f>+$B65*_xlfn.XLOOKUP($C65,'ACTUAL %'!$A:$A,'ACTUAL %'!M:M)</f>
        <v>-12403.969649848746</v>
      </c>
      <c r="R65">
        <f>+$B65*_xlfn.XLOOKUP($C65,'ACTUAL %'!$A:$A,'ACTUAL %'!N:N)+S65+T65+U65</f>
        <v>-203651.71324150707</v>
      </c>
      <c r="S65">
        <f>+$B65*_xlfn.XLOOKUP($C65,'ACTUAL %'!$A:$A,'ACTUAL %'!O:O)</f>
        <v>-53671.022523384003</v>
      </c>
      <c r="T65">
        <f>+$B65*_xlfn.XLOOKUP($C65,'ACTUAL %'!$A:$A,'ACTUAL %'!P:P)</f>
        <v>-39120.2119725999</v>
      </c>
      <c r="U65">
        <f>+$B65*_xlfn.XLOOKUP($C65,'ACTUAL %'!$A:$A,'ACTUAL %'!Q:Q)</f>
        <v>-110860.47874552319</v>
      </c>
      <c r="V65">
        <f t="shared" si="3"/>
        <v>-476112.94619999995</v>
      </c>
      <c r="W65" s="517">
        <f t="shared" si="4"/>
        <v>0</v>
      </c>
    </row>
    <row r="66" spans="1:23" x14ac:dyDescent="0.75">
      <c r="A66" t="s">
        <v>1718</v>
      </c>
      <c r="B66">
        <v>-100</v>
      </c>
      <c r="C66">
        <f t="shared" si="0"/>
        <v>8660</v>
      </c>
      <c r="D66" t="str">
        <f t="shared" si="1"/>
        <v>070</v>
      </c>
      <c r="E66" t="str">
        <f t="shared" si="2"/>
        <v>0000</v>
      </c>
      <c r="F66" t="s">
        <v>1793</v>
      </c>
      <c r="G66">
        <f>+$B66*_xlfn.XLOOKUP($C66,'ACTUAL %'!$A:$A,'ACTUAL %'!C:C)</f>
        <v>-20.142035309483859</v>
      </c>
      <c r="H66">
        <f>+$B66*_xlfn.XLOOKUP($C66,'ACTUAL %'!$A:$A,'ACTUAL %'!D:D)</f>
        <v>-1.6132882629475449</v>
      </c>
      <c r="I66">
        <f>+$B66*_xlfn.XLOOKUP($C66,'ACTUAL %'!$A:$A,'ACTUAL %'!E:E)</f>
        <v>-1.6461126792257159E-2</v>
      </c>
      <c r="J66">
        <f>+$B66*_xlfn.XLOOKUP($C66,'ACTUAL %'!$A:$A,'ACTUAL %'!F:F)</f>
        <v>-14.434549287989004</v>
      </c>
      <c r="K66">
        <f>+$B66*_xlfn.XLOOKUP($C66,'ACTUAL %'!$A:$A,'ACTUAL %'!G:G)</f>
        <v>-2.2845011031156291E-2</v>
      </c>
      <c r="L66">
        <f>+$B66*_xlfn.XLOOKUP($C66,'ACTUAL %'!$A:$A,'ACTUAL %'!H:H)</f>
        <v>-2.3652168808488368E-2</v>
      </c>
      <c r="M66">
        <f>+$B66*_xlfn.XLOOKUP($C66,'ACTUAL %'!$A:$A,'ACTUAL %'!I:I)</f>
        <v>-26.299059294299511</v>
      </c>
      <c r="N66">
        <f>+$B66*_xlfn.XLOOKUP($C66,'ACTUAL %'!$A:$A,'ACTUAL %'!J:J)</f>
        <v>-7.4181219372501177</v>
      </c>
      <c r="O66">
        <f>+$B66*_xlfn.XLOOKUP($C66,'ACTUAL %'!$A:$A,'ACTUAL %'!K:K)</f>
        <v>-7.5074969003495182</v>
      </c>
      <c r="P66">
        <f>+$B66*_xlfn.XLOOKUP($C66,'ACTUAL %'!$A:$A,'ACTUAL %'!L:L)</f>
        <v>-7.5074969003495182</v>
      </c>
      <c r="Q66">
        <f>+$B66*_xlfn.XLOOKUP($C66,'ACTUAL %'!$A:$A,'ACTUAL %'!M:M)</f>
        <v>-7.5074969003495182</v>
      </c>
      <c r="R66">
        <f>+$B66*_xlfn.XLOOKUP($C66,'ACTUAL %'!$A:$A,'ACTUAL %'!N:N)+S66+T66+U66</f>
        <v>-7.5074969003495182</v>
      </c>
      <c r="S66">
        <f>+$B66*_xlfn.XLOOKUP($C66,'ACTUAL %'!$A:$A,'ACTUAL %'!O:O)</f>
        <v>0</v>
      </c>
      <c r="T66">
        <f>+$B66*_xlfn.XLOOKUP($C66,'ACTUAL %'!$A:$A,'ACTUAL %'!P:P)</f>
        <v>0</v>
      </c>
      <c r="U66">
        <f>+$B66*_xlfn.XLOOKUP($C66,'ACTUAL %'!$A:$A,'ACTUAL %'!Q:Q)</f>
        <v>0</v>
      </c>
      <c r="V66">
        <f t="shared" si="3"/>
        <v>-100.00000000000003</v>
      </c>
      <c r="W66" s="517">
        <f t="shared" si="4"/>
        <v>0</v>
      </c>
    </row>
    <row r="67" spans="1:23" x14ac:dyDescent="0.75">
      <c r="A67" t="s">
        <v>1719</v>
      </c>
      <c r="B67">
        <v>-452</v>
      </c>
      <c r="C67">
        <f t="shared" si="0"/>
        <v>8682</v>
      </c>
      <c r="D67" t="str">
        <f t="shared" si="1"/>
        <v>070</v>
      </c>
      <c r="E67" t="str">
        <f t="shared" si="2"/>
        <v>0000</v>
      </c>
      <c r="F67" t="s">
        <v>1794</v>
      </c>
      <c r="G67">
        <f>+$B67*_xlfn.XLOOKUP($C67,'ACTUAL %'!$A:$A,'ACTUAL %'!C:C)</f>
        <v>-17.078386772562741</v>
      </c>
      <c r="H67">
        <f>+$B67*_xlfn.XLOOKUP($C67,'ACTUAL %'!$A:$A,'ACTUAL %'!D:D)</f>
        <v>-145.1662875667833</v>
      </c>
      <c r="I67">
        <f>+$B67*_xlfn.XLOOKUP($C67,'ACTUAL %'!$A:$A,'ACTUAL %'!E:E)</f>
        <v>0</v>
      </c>
      <c r="J67">
        <f>+$B67*_xlfn.XLOOKUP($C67,'ACTUAL %'!$A:$A,'ACTUAL %'!F:F)</f>
        <v>0</v>
      </c>
      <c r="K67">
        <f>+$B67*_xlfn.XLOOKUP($C67,'ACTUAL %'!$A:$A,'ACTUAL %'!G:G)</f>
        <v>0</v>
      </c>
      <c r="L67">
        <f>+$B67*_xlfn.XLOOKUP($C67,'ACTUAL %'!$A:$A,'ACTUAL %'!H:H)</f>
        <v>-55.837785552893884</v>
      </c>
      <c r="M67">
        <f>+$B67*_xlfn.XLOOKUP($C67,'ACTUAL %'!$A:$A,'ACTUAL %'!I:I)</f>
        <v>-8.5374855476041152</v>
      </c>
      <c r="N67">
        <f>+$B67*_xlfn.XLOOKUP($C67,'ACTUAL %'!$A:$A,'ACTUAL %'!J:J)</f>
        <v>-45.076010912031194</v>
      </c>
      <c r="O67">
        <f>+$B67*_xlfn.XLOOKUP($C67,'ACTUAL %'!$A:$A,'ACTUAL %'!K:K)</f>
        <v>-45.076010912031194</v>
      </c>
      <c r="P67">
        <f>+$B67*_xlfn.XLOOKUP($C67,'ACTUAL %'!$A:$A,'ACTUAL %'!L:L)</f>
        <v>-45.076010912031194</v>
      </c>
      <c r="Q67">
        <f>+$B67*_xlfn.XLOOKUP($C67,'ACTUAL %'!$A:$A,'ACTUAL %'!M:M)</f>
        <v>-45.076010912031194</v>
      </c>
      <c r="R67">
        <f>+$B67*_xlfn.XLOOKUP($C67,'ACTUAL %'!$A:$A,'ACTUAL %'!N:N)+S67+T67+U67</f>
        <v>-45.076010912031194</v>
      </c>
      <c r="S67">
        <f>+$B67*_xlfn.XLOOKUP($C67,'ACTUAL %'!$A:$A,'ACTUAL %'!O:O)</f>
        <v>0</v>
      </c>
      <c r="T67">
        <f>+$B67*_xlfn.XLOOKUP($C67,'ACTUAL %'!$A:$A,'ACTUAL %'!P:P)</f>
        <v>0</v>
      </c>
      <c r="U67">
        <f>+$B67*_xlfn.XLOOKUP($C67,'ACTUAL %'!$A:$A,'ACTUAL %'!Q:Q)</f>
        <v>0</v>
      </c>
      <c r="V67">
        <f t="shared" si="3"/>
        <v>-451.99999999999989</v>
      </c>
      <c r="W67" s="517">
        <f t="shared" si="4"/>
        <v>0</v>
      </c>
    </row>
    <row r="68" spans="1:23" x14ac:dyDescent="0.75">
      <c r="A68" t="s">
        <v>1720</v>
      </c>
      <c r="B68">
        <v>-10513.4</v>
      </c>
      <c r="C68">
        <f t="shared" ref="C68:C131" si="5">+LEFT(A68,4)+0</f>
        <v>8699</v>
      </c>
      <c r="D68" t="str">
        <f t="shared" ref="D68:D131" si="6">+MID(A68,5,3)</f>
        <v>070</v>
      </c>
      <c r="E68" t="str">
        <f t="shared" ref="E68:E131" si="7">+RIGHT(A68,4)</f>
        <v>0000</v>
      </c>
      <c r="F68" t="s">
        <v>1795</v>
      </c>
      <c r="G68">
        <f>+$B68*_xlfn.XLOOKUP($C68,'ACTUAL %'!$A:$A,'ACTUAL %'!C:C)</f>
        <v>-224.56031535200324</v>
      </c>
      <c r="H68">
        <f>+$B68*_xlfn.XLOOKUP($C68,'ACTUAL %'!$A:$A,'ACTUAL %'!D:D)</f>
        <v>-1236.3183573708222</v>
      </c>
      <c r="I68">
        <f>+$B68*_xlfn.XLOOKUP($C68,'ACTUAL %'!$A:$A,'ACTUAL %'!E:E)</f>
        <v>-1883.8538367631481</v>
      </c>
      <c r="J68">
        <f>+$B68*_xlfn.XLOOKUP($C68,'ACTUAL %'!$A:$A,'ACTUAL %'!F:F)</f>
        <v>-438.4295772411449</v>
      </c>
      <c r="K68">
        <f>+$B68*_xlfn.XLOOKUP($C68,'ACTUAL %'!$A:$A,'ACTUAL %'!G:G)</f>
        <v>-1441.5592104428401</v>
      </c>
      <c r="L68">
        <f>+$B68*_xlfn.XLOOKUP($C68,'ACTUAL %'!$A:$A,'ACTUAL %'!H:H)</f>
        <v>-1618.0252068541774</v>
      </c>
      <c r="M68">
        <f>+$B68*_xlfn.XLOOKUP($C68,'ACTUAL %'!$A:$A,'ACTUAL %'!I:I)</f>
        <v>-433.52549501800746</v>
      </c>
      <c r="N68">
        <f>+$B68*_xlfn.XLOOKUP($C68,'ACTUAL %'!$A:$A,'ACTUAL %'!J:J)</f>
        <v>-647.42560019157156</v>
      </c>
      <c r="O68">
        <f>+$B68*_xlfn.XLOOKUP($C68,'ACTUAL %'!$A:$A,'ACTUAL %'!K:K)</f>
        <v>-647.42560019157156</v>
      </c>
      <c r="P68">
        <f>+$B68*_xlfn.XLOOKUP($C68,'ACTUAL %'!$A:$A,'ACTUAL %'!L:L)</f>
        <v>-647.42560019157156</v>
      </c>
      <c r="Q68">
        <f>+$B68*_xlfn.XLOOKUP($C68,'ACTUAL %'!$A:$A,'ACTUAL %'!M:M)</f>
        <v>-647.42560019157156</v>
      </c>
      <c r="R68">
        <f>+$B68*_xlfn.XLOOKUP($C68,'ACTUAL %'!$A:$A,'ACTUAL %'!N:N)+S68+T68+U68</f>
        <v>-647.42560019157156</v>
      </c>
      <c r="S68">
        <f>+$B68*_xlfn.XLOOKUP($C68,'ACTUAL %'!$A:$A,'ACTUAL %'!O:O)</f>
        <v>0</v>
      </c>
      <c r="T68">
        <f>+$B68*_xlfn.XLOOKUP($C68,'ACTUAL %'!$A:$A,'ACTUAL %'!P:P)</f>
        <v>0</v>
      </c>
      <c r="U68">
        <f>+$B68*_xlfn.XLOOKUP($C68,'ACTUAL %'!$A:$A,'ACTUAL %'!Q:Q)</f>
        <v>0</v>
      </c>
      <c r="V68">
        <f t="shared" si="3"/>
        <v>-10513.400000000001</v>
      </c>
      <c r="W68" s="517">
        <f t="shared" si="4"/>
        <v>0</v>
      </c>
    </row>
    <row r="69" spans="1:23" x14ac:dyDescent="0.75">
      <c r="A69" t="s">
        <v>1721</v>
      </c>
      <c r="B69">
        <v>-3366.6750000000002</v>
      </c>
      <c r="C69">
        <f t="shared" si="5"/>
        <v>8662</v>
      </c>
      <c r="D69" t="str">
        <f t="shared" si="6"/>
        <v>070</v>
      </c>
      <c r="E69" t="str">
        <f t="shared" si="7"/>
        <v>0000</v>
      </c>
      <c r="F69" t="s">
        <v>1796</v>
      </c>
      <c r="G69">
        <f>+$B69*_xlfn.XLOOKUP($C69,'ACTUAL %'!$A:$A,'ACTUAL %'!C:C)</f>
        <v>-2.2892039369677191</v>
      </c>
      <c r="H69">
        <f>+$B69*_xlfn.XLOOKUP($C69,'ACTUAL %'!$A:$A,'ACTUAL %'!D:D)</f>
        <v>0</v>
      </c>
      <c r="I69">
        <f>+$B69*_xlfn.XLOOKUP($C69,'ACTUAL %'!$A:$A,'ACTUAL %'!E:E)</f>
        <v>0</v>
      </c>
      <c r="J69">
        <f>+$B69*_xlfn.XLOOKUP($C69,'ACTUAL %'!$A:$A,'ACTUAL %'!F:F)</f>
        <v>0</v>
      </c>
      <c r="K69">
        <f>+$B69*_xlfn.XLOOKUP($C69,'ACTUAL %'!$A:$A,'ACTUAL %'!G:G)</f>
        <v>0</v>
      </c>
      <c r="L69">
        <f>+$B69*_xlfn.XLOOKUP($C69,'ACTUAL %'!$A:$A,'ACTUAL %'!H:H)</f>
        <v>0</v>
      </c>
      <c r="M69">
        <f>+$B69*_xlfn.XLOOKUP($C69,'ACTUAL %'!$A:$A,'ACTUAL %'!I:I)</f>
        <v>0</v>
      </c>
      <c r="N69">
        <f>+$B69*_xlfn.XLOOKUP($C69,'ACTUAL %'!$A:$A,'ACTUAL %'!J:J)</f>
        <v>-672.87715921260644</v>
      </c>
      <c r="O69">
        <f>+$B69*_xlfn.XLOOKUP($C69,'ACTUAL %'!$A:$A,'ACTUAL %'!K:K)</f>
        <v>-672.87715921260644</v>
      </c>
      <c r="P69">
        <f>+$B69*_xlfn.XLOOKUP($C69,'ACTUAL %'!$A:$A,'ACTUAL %'!L:L)</f>
        <v>-672.87715921260644</v>
      </c>
      <c r="Q69">
        <f>+$B69*_xlfn.XLOOKUP($C69,'ACTUAL %'!$A:$A,'ACTUAL %'!M:M)</f>
        <v>-672.87715921260644</v>
      </c>
      <c r="R69">
        <f>+$B69*_xlfn.XLOOKUP($C69,'ACTUAL %'!$A:$A,'ACTUAL %'!N:N)+S69+T69+U69</f>
        <v>-672.87715921260644</v>
      </c>
      <c r="S69">
        <f>+$B69*_xlfn.XLOOKUP($C69,'ACTUAL %'!$A:$A,'ACTUAL %'!O:O)</f>
        <v>0</v>
      </c>
      <c r="T69">
        <f>+$B69*_xlfn.XLOOKUP($C69,'ACTUAL %'!$A:$A,'ACTUAL %'!P:P)</f>
        <v>0</v>
      </c>
      <c r="U69">
        <f>+$B69*_xlfn.XLOOKUP($C69,'ACTUAL %'!$A:$A,'ACTUAL %'!Q:Q)</f>
        <v>0</v>
      </c>
      <c r="V69">
        <f t="shared" si="3"/>
        <v>-3366.6749999999997</v>
      </c>
      <c r="W69" s="517">
        <f t="shared" si="4"/>
        <v>0</v>
      </c>
    </row>
    <row r="70" spans="1:23" x14ac:dyDescent="0.75">
      <c r="A70" t="s">
        <v>1579</v>
      </c>
      <c r="B70">
        <v>3768951.781884192</v>
      </c>
      <c r="C70">
        <f t="shared" si="5"/>
        <v>1100</v>
      </c>
      <c r="D70" t="str">
        <f t="shared" si="6"/>
        <v>020</v>
      </c>
      <c r="E70" t="str">
        <f t="shared" si="7"/>
        <v>0000</v>
      </c>
      <c r="F70" t="s">
        <v>1797</v>
      </c>
      <c r="G70">
        <f ca="1">+$B70*_xlfn.XLOOKUP($C70,'ACTUAL %'!$A:$A,'ACTUAL %'!C:C)</f>
        <v>20809.297837329224</v>
      </c>
      <c r="H70">
        <f ca="1">+$B70*_xlfn.XLOOKUP($C70,'ACTUAL %'!$A:$A,'ACTUAL %'!D:D)</f>
        <v>290036.47532213188</v>
      </c>
      <c r="I70">
        <f ca="1">+$B70*_xlfn.XLOOKUP($C70,'ACTUAL %'!$A:$A,'ACTUAL %'!E:E)</f>
        <v>288742.29116819869</v>
      </c>
      <c r="J70">
        <f ca="1">+$B70*_xlfn.XLOOKUP($C70,'ACTUAL %'!$A:$A,'ACTUAL %'!F:F)</f>
        <v>277009.30666439974</v>
      </c>
      <c r="K70">
        <f ca="1">+$B70*_xlfn.XLOOKUP($C70,'ACTUAL %'!$A:$A,'ACTUAL %'!G:G)</f>
        <v>276921.7650086332</v>
      </c>
      <c r="L70">
        <f ca="1">+$B70*_xlfn.XLOOKUP($C70,'ACTUAL %'!$A:$A,'ACTUAL %'!H:H)</f>
        <v>279265.12172892049</v>
      </c>
      <c r="M70">
        <f ca="1">+$B70*_xlfn.XLOOKUP($C70,'ACTUAL %'!$A:$A,'ACTUAL %'!I:I)</f>
        <v>344566.49813672481</v>
      </c>
      <c r="N70">
        <f ca="1">+$B70*_xlfn.XLOOKUP($C70,'ACTUAL %'!$A:$A,'ACTUAL %'!J:J)</f>
        <v>394517.62567895435</v>
      </c>
      <c r="O70">
        <f ca="1">+$B70*_xlfn.XLOOKUP($C70,'ACTUAL %'!$A:$A,'ACTUAL %'!K:K)</f>
        <v>399270.85008472484</v>
      </c>
      <c r="P70">
        <f ca="1">+$B70*_xlfn.XLOOKUP($C70,'ACTUAL %'!$A:$A,'ACTUAL %'!L:L)</f>
        <v>399270.85008472484</v>
      </c>
      <c r="Q70">
        <f ca="1">+$B70*_xlfn.XLOOKUP($C70,'ACTUAL %'!$A:$A,'ACTUAL %'!M:M)</f>
        <v>399270.85008472484</v>
      </c>
      <c r="R70">
        <f ca="1">+$B70*_xlfn.XLOOKUP($C70,'ACTUAL %'!$A:$A,'ACTUAL %'!N:N)+S70+T70+U70</f>
        <v>399270.85008472484</v>
      </c>
      <c r="S70">
        <f ca="1">+$B70*_xlfn.XLOOKUP($C70,'ACTUAL %'!$A:$A,'ACTUAL %'!O:O)</f>
        <v>0</v>
      </c>
      <c r="T70">
        <f ca="1">+$B70*_xlfn.XLOOKUP($C70,'ACTUAL %'!$A:$A,'ACTUAL %'!P:P)</f>
        <v>0</v>
      </c>
      <c r="U70">
        <f ca="1">+$B70*_xlfn.XLOOKUP($C70,'ACTUAL %'!$A:$A,'ACTUAL %'!Q:Q)</f>
        <v>0</v>
      </c>
      <c r="V70">
        <f t="shared" ca="1" si="3"/>
        <v>3768951.7818841916</v>
      </c>
      <c r="W70" s="517">
        <f t="shared" ca="1" si="4"/>
        <v>0</v>
      </c>
    </row>
    <row r="71" spans="1:23" x14ac:dyDescent="0.75">
      <c r="A71" t="s">
        <v>1722</v>
      </c>
      <c r="B71">
        <v>399125.14465607994</v>
      </c>
      <c r="C71">
        <f t="shared" si="5"/>
        <v>1200</v>
      </c>
      <c r="D71" t="str">
        <f t="shared" si="6"/>
        <v>020</v>
      </c>
      <c r="E71" t="str">
        <f t="shared" si="7"/>
        <v>0000</v>
      </c>
      <c r="F71" t="s">
        <v>1798</v>
      </c>
      <c r="G71">
        <f ca="1">+$B71*_xlfn.XLOOKUP($C71,'ACTUAL %'!$A:$A,'ACTUAL %'!C:C)</f>
        <v>8151.0714235604419</v>
      </c>
      <c r="H71">
        <f ca="1">+$B71*_xlfn.XLOOKUP($C71,'ACTUAL %'!$A:$A,'ACTUAL %'!D:D)</f>
        <v>24739.301628617868</v>
      </c>
      <c r="I71">
        <f ca="1">+$B71*_xlfn.XLOOKUP($C71,'ACTUAL %'!$A:$A,'ACTUAL %'!E:E)</f>
        <v>26655.753774345656</v>
      </c>
      <c r="J71">
        <f ca="1">+$B71*_xlfn.XLOOKUP($C71,'ACTUAL %'!$A:$A,'ACTUAL %'!F:F)</f>
        <v>48379.755436021995</v>
      </c>
      <c r="K71">
        <f ca="1">+$B71*_xlfn.XLOOKUP($C71,'ACTUAL %'!$A:$A,'ACTUAL %'!G:G)</f>
        <v>31633.968233222582</v>
      </c>
      <c r="L71">
        <f ca="1">+$B71*_xlfn.XLOOKUP($C71,'ACTUAL %'!$A:$A,'ACTUAL %'!H:H)</f>
        <v>32364.565704841516</v>
      </c>
      <c r="M71">
        <f ca="1">+$B71*_xlfn.XLOOKUP($C71,'ACTUAL %'!$A:$A,'ACTUAL %'!I:I)</f>
        <v>38209.349130780385</v>
      </c>
      <c r="N71">
        <f ca="1">+$B71*_xlfn.XLOOKUP($C71,'ACTUAL %'!$A:$A,'ACTUAL %'!J:J)</f>
        <v>37437.433135917003</v>
      </c>
      <c r="O71">
        <f ca="1">+$B71*_xlfn.XLOOKUP($C71,'ACTUAL %'!$A:$A,'ACTUAL %'!K:K)</f>
        <v>37888.486547193104</v>
      </c>
      <c r="P71">
        <f ca="1">+$B71*_xlfn.XLOOKUP($C71,'ACTUAL %'!$A:$A,'ACTUAL %'!L:L)</f>
        <v>37888.486547193104</v>
      </c>
      <c r="Q71">
        <f ca="1">+$B71*_xlfn.XLOOKUP($C71,'ACTUAL %'!$A:$A,'ACTUAL %'!M:M)</f>
        <v>37888.486547193104</v>
      </c>
      <c r="R71">
        <f ca="1">+$B71*_xlfn.XLOOKUP($C71,'ACTUAL %'!$A:$A,'ACTUAL %'!N:N)+S71+T71+U71</f>
        <v>37888.486547193104</v>
      </c>
      <c r="S71">
        <f ca="1">+$B71*_xlfn.XLOOKUP($C71,'ACTUAL %'!$A:$A,'ACTUAL %'!O:O)</f>
        <v>0</v>
      </c>
      <c r="T71">
        <f ca="1">+$B71*_xlfn.XLOOKUP($C71,'ACTUAL %'!$A:$A,'ACTUAL %'!P:P)</f>
        <v>0</v>
      </c>
      <c r="U71">
        <f ca="1">+$B71*_xlfn.XLOOKUP($C71,'ACTUAL %'!$A:$A,'ACTUAL %'!Q:Q)</f>
        <v>0</v>
      </c>
      <c r="V71">
        <f t="shared" ca="1" si="3"/>
        <v>399125.14465607976</v>
      </c>
      <c r="W71" s="517">
        <f t="shared" ca="1" si="4"/>
        <v>0</v>
      </c>
    </row>
    <row r="72" spans="1:23" x14ac:dyDescent="0.75">
      <c r="A72" t="s">
        <v>1580</v>
      </c>
      <c r="B72">
        <v>479884.39763111994</v>
      </c>
      <c r="C72">
        <f t="shared" si="5"/>
        <v>1300</v>
      </c>
      <c r="D72" t="str">
        <f t="shared" si="6"/>
        <v>020</v>
      </c>
      <c r="E72" t="str">
        <f t="shared" si="7"/>
        <v>0000</v>
      </c>
      <c r="F72" t="s">
        <v>1799</v>
      </c>
      <c r="G72">
        <f ca="1">+$B72*_xlfn.XLOOKUP($C72,'ACTUAL %'!$A:$A,'ACTUAL %'!C:C)</f>
        <v>22730.493114329965</v>
      </c>
      <c r="H72">
        <f ca="1">+$B72*_xlfn.XLOOKUP($C72,'ACTUAL %'!$A:$A,'ACTUAL %'!D:D)</f>
        <v>30130.394179563358</v>
      </c>
      <c r="I72">
        <f ca="1">+$B72*_xlfn.XLOOKUP($C72,'ACTUAL %'!$A:$A,'ACTUAL %'!E:E)</f>
        <v>30411.35503909157</v>
      </c>
      <c r="J72">
        <f ca="1">+$B72*_xlfn.XLOOKUP($C72,'ACTUAL %'!$A:$A,'ACTUAL %'!F:F)</f>
        <v>32590.565471860536</v>
      </c>
      <c r="K72">
        <f ca="1">+$B72*_xlfn.XLOOKUP($C72,'ACTUAL %'!$A:$A,'ACTUAL %'!G:G)</f>
        <v>27162.443881910942</v>
      </c>
      <c r="L72">
        <f ca="1">+$B72*_xlfn.XLOOKUP($C72,'ACTUAL %'!$A:$A,'ACTUAL %'!H:H)</f>
        <v>28447.140154592809</v>
      </c>
      <c r="M72">
        <f ca="1">+$B72*_xlfn.XLOOKUP($C72,'ACTUAL %'!$A:$A,'ACTUAL %'!I:I)</f>
        <v>33294.108808088167</v>
      </c>
      <c r="N72">
        <f ca="1">+$B72*_xlfn.XLOOKUP($C72,'ACTUAL %'!$A:$A,'ACTUAL %'!J:J)</f>
        <v>54498.294628829724</v>
      </c>
      <c r="O72">
        <f ca="1">+$B72*_xlfn.XLOOKUP($C72,'ACTUAL %'!$A:$A,'ACTUAL %'!K:K)</f>
        <v>55154.900588213219</v>
      </c>
      <c r="P72">
        <f ca="1">+$B72*_xlfn.XLOOKUP($C72,'ACTUAL %'!$A:$A,'ACTUAL %'!L:L)</f>
        <v>55154.900588213219</v>
      </c>
      <c r="Q72">
        <f ca="1">+$B72*_xlfn.XLOOKUP($C72,'ACTUAL %'!$A:$A,'ACTUAL %'!M:M)</f>
        <v>55154.900588213219</v>
      </c>
      <c r="R72">
        <f ca="1">+$B72*_xlfn.XLOOKUP($C72,'ACTUAL %'!$A:$A,'ACTUAL %'!N:N)+S72+T72+U72</f>
        <v>55154.900588213219</v>
      </c>
      <c r="S72">
        <f ca="1">+$B72*_xlfn.XLOOKUP($C72,'ACTUAL %'!$A:$A,'ACTUAL %'!O:O)</f>
        <v>0</v>
      </c>
      <c r="T72">
        <f ca="1">+$B72*_xlfn.XLOOKUP($C72,'ACTUAL %'!$A:$A,'ACTUAL %'!P:P)</f>
        <v>0</v>
      </c>
      <c r="U72">
        <f ca="1">+$B72*_xlfn.XLOOKUP($C72,'ACTUAL %'!$A:$A,'ACTUAL %'!Q:Q)</f>
        <v>0</v>
      </c>
      <c r="V72">
        <f t="shared" ref="V72:V135" ca="1" si="8">+SUM(G72:R72)</f>
        <v>479884.39763111999</v>
      </c>
      <c r="W72" s="517">
        <f t="shared" ref="W72:W135" ca="1" si="9">+V72-B72</f>
        <v>0</v>
      </c>
    </row>
    <row r="73" spans="1:23" x14ac:dyDescent="0.75">
      <c r="A73" t="s">
        <v>1581</v>
      </c>
      <c r="B73">
        <v>197061.03159040003</v>
      </c>
      <c r="C73">
        <f t="shared" si="5"/>
        <v>2100</v>
      </c>
      <c r="D73" t="str">
        <f t="shared" si="6"/>
        <v>020</v>
      </c>
      <c r="E73" t="str">
        <f t="shared" si="7"/>
        <v>0000</v>
      </c>
      <c r="F73" t="s">
        <v>1800</v>
      </c>
      <c r="G73">
        <f ca="1">+$B73*_xlfn.XLOOKUP($C73,'ACTUAL %'!$A:$A,'ACTUAL %'!C:C)</f>
        <v>908.41166865669686</v>
      </c>
      <c r="H73">
        <f ca="1">+$B73*_xlfn.XLOOKUP($C73,'ACTUAL %'!$A:$A,'ACTUAL %'!D:D)</f>
        <v>14419.475893857072</v>
      </c>
      <c r="I73">
        <f ca="1">+$B73*_xlfn.XLOOKUP($C73,'ACTUAL %'!$A:$A,'ACTUAL %'!E:E)</f>
        <v>18777.163777990922</v>
      </c>
      <c r="J73">
        <f ca="1">+$B73*_xlfn.XLOOKUP($C73,'ACTUAL %'!$A:$A,'ACTUAL %'!F:F)</f>
        <v>17259.458150979004</v>
      </c>
      <c r="K73">
        <f ca="1">+$B73*_xlfn.XLOOKUP($C73,'ACTUAL %'!$A:$A,'ACTUAL %'!G:G)</f>
        <v>19821.191753832471</v>
      </c>
      <c r="L73">
        <f ca="1">+$B73*_xlfn.XLOOKUP($C73,'ACTUAL %'!$A:$A,'ACTUAL %'!H:H)</f>
        <v>19235.322578341125</v>
      </c>
      <c r="M73">
        <f ca="1">+$B73*_xlfn.XLOOKUP($C73,'ACTUAL %'!$A:$A,'ACTUAL %'!I:I)</f>
        <v>26127.086868604511</v>
      </c>
      <c r="N73">
        <f ca="1">+$B73*_xlfn.XLOOKUP($C73,'ACTUAL %'!$A:$A,'ACTUAL %'!J:J)</f>
        <v>15948.86022564552</v>
      </c>
      <c r="O73">
        <f ca="1">+$B73*_xlfn.XLOOKUP($C73,'ACTUAL %'!$A:$A,'ACTUAL %'!K:K)</f>
        <v>16141.015168123176</v>
      </c>
      <c r="P73">
        <f ca="1">+$B73*_xlfn.XLOOKUP($C73,'ACTUAL %'!$A:$A,'ACTUAL %'!L:L)</f>
        <v>16141.015168123176</v>
      </c>
      <c r="Q73">
        <f ca="1">+$B73*_xlfn.XLOOKUP($C73,'ACTUAL %'!$A:$A,'ACTUAL %'!M:M)</f>
        <v>16141.015168123176</v>
      </c>
      <c r="R73">
        <f ca="1">+$B73*_xlfn.XLOOKUP($C73,'ACTUAL %'!$A:$A,'ACTUAL %'!N:N)+S73+T73+U73</f>
        <v>16141.015168123176</v>
      </c>
      <c r="S73">
        <f ca="1">+$B73*_xlfn.XLOOKUP($C73,'ACTUAL %'!$A:$A,'ACTUAL %'!O:O)</f>
        <v>0</v>
      </c>
      <c r="T73">
        <f ca="1">+$B73*_xlfn.XLOOKUP($C73,'ACTUAL %'!$A:$A,'ACTUAL %'!P:P)</f>
        <v>0</v>
      </c>
      <c r="U73">
        <f ca="1">+$B73*_xlfn.XLOOKUP($C73,'ACTUAL %'!$A:$A,'ACTUAL %'!Q:Q)</f>
        <v>0</v>
      </c>
      <c r="V73">
        <f t="shared" ca="1" si="8"/>
        <v>197061.03159040003</v>
      </c>
      <c r="W73" s="517">
        <f t="shared" ca="1" si="9"/>
        <v>0</v>
      </c>
    </row>
    <row r="74" spans="1:23" x14ac:dyDescent="0.75">
      <c r="A74" t="s">
        <v>1582</v>
      </c>
      <c r="B74">
        <v>597950.96711328009</v>
      </c>
      <c r="C74">
        <f t="shared" si="5"/>
        <v>2200</v>
      </c>
      <c r="D74" t="str">
        <f t="shared" si="6"/>
        <v>020</v>
      </c>
      <c r="E74" t="str">
        <f t="shared" si="7"/>
        <v>0000</v>
      </c>
      <c r="F74" t="s">
        <v>1801</v>
      </c>
      <c r="G74">
        <f ca="1">+$B74*_xlfn.XLOOKUP($C74,'ACTUAL %'!$A:$A,'ACTUAL %'!C:C)</f>
        <v>39332.087161434072</v>
      </c>
      <c r="H74">
        <f ca="1">+$B74*_xlfn.XLOOKUP($C74,'ACTUAL %'!$A:$A,'ACTUAL %'!D:D)</f>
        <v>47764.089651907627</v>
      </c>
      <c r="I74">
        <f ca="1">+$B74*_xlfn.XLOOKUP($C74,'ACTUAL %'!$A:$A,'ACTUAL %'!E:E)</f>
        <v>48371.545003333558</v>
      </c>
      <c r="J74">
        <f ca="1">+$B74*_xlfn.XLOOKUP($C74,'ACTUAL %'!$A:$A,'ACTUAL %'!F:F)</f>
        <v>52450.918857772253</v>
      </c>
      <c r="K74">
        <f ca="1">+$B74*_xlfn.XLOOKUP($C74,'ACTUAL %'!$A:$A,'ACTUAL %'!G:G)</f>
        <v>49238.874084156167</v>
      </c>
      <c r="L74">
        <f ca="1">+$B74*_xlfn.XLOOKUP($C74,'ACTUAL %'!$A:$A,'ACTUAL %'!H:H)</f>
        <v>52077.393170773103</v>
      </c>
      <c r="M74">
        <f ca="1">+$B74*_xlfn.XLOOKUP($C74,'ACTUAL %'!$A:$A,'ACTUAL %'!I:I)</f>
        <v>60442.14245587671</v>
      </c>
      <c r="N74">
        <f ca="1">+$B74*_xlfn.XLOOKUP($C74,'ACTUAL %'!$A:$A,'ACTUAL %'!J:J)</f>
        <v>49180.752001017187</v>
      </c>
      <c r="O74">
        <f ca="1">+$B74*_xlfn.XLOOKUP($C74,'ACTUAL %'!$A:$A,'ACTUAL %'!K:K)</f>
        <v>49773.291181752335</v>
      </c>
      <c r="P74">
        <f ca="1">+$B74*_xlfn.XLOOKUP($C74,'ACTUAL %'!$A:$A,'ACTUAL %'!L:L)</f>
        <v>49773.291181752335</v>
      </c>
      <c r="Q74">
        <f ca="1">+$B74*_xlfn.XLOOKUP($C74,'ACTUAL %'!$A:$A,'ACTUAL %'!M:M)</f>
        <v>49773.291181752335</v>
      </c>
      <c r="R74">
        <f ca="1">+$B74*_xlfn.XLOOKUP($C74,'ACTUAL %'!$A:$A,'ACTUAL %'!N:N)+S74+T74+U74</f>
        <v>49773.291181752335</v>
      </c>
      <c r="S74">
        <f ca="1">+$B74*_xlfn.XLOOKUP($C74,'ACTUAL %'!$A:$A,'ACTUAL %'!O:O)</f>
        <v>0</v>
      </c>
      <c r="T74">
        <f ca="1">+$B74*_xlfn.XLOOKUP($C74,'ACTUAL %'!$A:$A,'ACTUAL %'!P:P)</f>
        <v>0</v>
      </c>
      <c r="U74">
        <f ca="1">+$B74*_xlfn.XLOOKUP($C74,'ACTUAL %'!$A:$A,'ACTUAL %'!Q:Q)</f>
        <v>0</v>
      </c>
      <c r="V74">
        <f t="shared" ca="1" si="8"/>
        <v>597950.96711328009</v>
      </c>
      <c r="W74" s="517">
        <f t="shared" ca="1" si="9"/>
        <v>0</v>
      </c>
    </row>
    <row r="75" spans="1:23" x14ac:dyDescent="0.75">
      <c r="A75" t="s">
        <v>1583</v>
      </c>
      <c r="B75">
        <v>258829.08459839999</v>
      </c>
      <c r="C75">
        <f t="shared" si="5"/>
        <v>2300</v>
      </c>
      <c r="D75" t="str">
        <f t="shared" si="6"/>
        <v>020</v>
      </c>
      <c r="E75" t="str">
        <f t="shared" si="7"/>
        <v>0000</v>
      </c>
      <c r="F75" t="s">
        <v>1802</v>
      </c>
      <c r="G75">
        <f ca="1">+$B75*_xlfn.XLOOKUP($C75,'ACTUAL %'!$A:$A,'ACTUAL %'!C:C)</f>
        <v>30230.983846395942</v>
      </c>
      <c r="H75">
        <f ca="1">+$B75*_xlfn.XLOOKUP($C75,'ACTUAL %'!$A:$A,'ACTUAL %'!D:D)</f>
        <v>29965.533813541497</v>
      </c>
      <c r="I75">
        <f ca="1">+$B75*_xlfn.XLOOKUP($C75,'ACTUAL %'!$A:$A,'ACTUAL %'!E:E)</f>
        <v>31388.432001039157</v>
      </c>
      <c r="J75">
        <f ca="1">+$B75*_xlfn.XLOOKUP($C75,'ACTUAL %'!$A:$A,'ACTUAL %'!F:F)</f>
        <v>9741.7778237587481</v>
      </c>
      <c r="K75">
        <f ca="1">+$B75*_xlfn.XLOOKUP($C75,'ACTUAL %'!$A:$A,'ACTUAL %'!G:G)</f>
        <v>25802.498436975799</v>
      </c>
      <c r="L75">
        <f ca="1">+$B75*_xlfn.XLOOKUP($C75,'ACTUAL %'!$A:$A,'ACTUAL %'!H:H)</f>
        <v>26212.872387639483</v>
      </c>
      <c r="M75">
        <f ca="1">+$B75*_xlfn.XLOOKUP($C75,'ACTUAL %'!$A:$A,'ACTUAL %'!I:I)</f>
        <v>29461.305212548319</v>
      </c>
      <c r="N75">
        <f ca="1">+$B75*_xlfn.XLOOKUP($C75,'ACTUAL %'!$A:$A,'ACTUAL %'!J:J)</f>
        <v>15059.97978365056</v>
      </c>
      <c r="O75">
        <f ca="1">+$B75*_xlfn.XLOOKUP($C75,'ACTUAL %'!$A:$A,'ACTUAL %'!K:K)</f>
        <v>15241.425323212618</v>
      </c>
      <c r="P75">
        <f ca="1">+$B75*_xlfn.XLOOKUP($C75,'ACTUAL %'!$A:$A,'ACTUAL %'!L:L)</f>
        <v>15241.425323212618</v>
      </c>
      <c r="Q75">
        <f ca="1">+$B75*_xlfn.XLOOKUP($C75,'ACTUAL %'!$A:$A,'ACTUAL %'!M:M)</f>
        <v>15241.425323212618</v>
      </c>
      <c r="R75">
        <f ca="1">+$B75*_xlfn.XLOOKUP($C75,'ACTUAL %'!$A:$A,'ACTUAL %'!N:N)+S75+T75+U75</f>
        <v>15241.425323212618</v>
      </c>
      <c r="S75">
        <f ca="1">+$B75*_xlfn.XLOOKUP($C75,'ACTUAL %'!$A:$A,'ACTUAL %'!O:O)</f>
        <v>0</v>
      </c>
      <c r="T75">
        <f ca="1">+$B75*_xlfn.XLOOKUP($C75,'ACTUAL %'!$A:$A,'ACTUAL %'!P:P)</f>
        <v>0</v>
      </c>
      <c r="U75">
        <f ca="1">+$B75*_xlfn.XLOOKUP($C75,'ACTUAL %'!$A:$A,'ACTUAL %'!Q:Q)</f>
        <v>0</v>
      </c>
      <c r="V75">
        <f t="shared" ca="1" si="8"/>
        <v>258829.08459839993</v>
      </c>
      <c r="W75" s="517">
        <f t="shared" ca="1" si="9"/>
        <v>0</v>
      </c>
    </row>
    <row r="76" spans="1:23" x14ac:dyDescent="0.75">
      <c r="A76" t="s">
        <v>1621</v>
      </c>
      <c r="B76">
        <v>236505.04890912003</v>
      </c>
      <c r="C76">
        <f t="shared" si="5"/>
        <v>2400</v>
      </c>
      <c r="D76" t="str">
        <f t="shared" si="6"/>
        <v>020</v>
      </c>
      <c r="E76" t="str">
        <f t="shared" si="7"/>
        <v>0000</v>
      </c>
      <c r="F76" t="s">
        <v>1803</v>
      </c>
      <c r="G76">
        <f ca="1">+$B76*_xlfn.XLOOKUP($C76,'ACTUAL %'!$A:$A,'ACTUAL %'!C:C)</f>
        <v>17651.152983001943</v>
      </c>
      <c r="H76">
        <f ca="1">+$B76*_xlfn.XLOOKUP($C76,'ACTUAL %'!$A:$A,'ACTUAL %'!D:D)</f>
        <v>18793.233048606409</v>
      </c>
      <c r="I76">
        <f ca="1">+$B76*_xlfn.XLOOKUP($C76,'ACTUAL %'!$A:$A,'ACTUAL %'!E:E)</f>
        <v>18627.20901077292</v>
      </c>
      <c r="J76">
        <f ca="1">+$B76*_xlfn.XLOOKUP($C76,'ACTUAL %'!$A:$A,'ACTUAL %'!F:F)</f>
        <v>11531.159201482762</v>
      </c>
      <c r="K76">
        <f ca="1">+$B76*_xlfn.XLOOKUP($C76,'ACTUAL %'!$A:$A,'ACTUAL %'!G:G)</f>
        <v>16930.88180769399</v>
      </c>
      <c r="L76">
        <f ca="1">+$B76*_xlfn.XLOOKUP($C76,'ACTUAL %'!$A:$A,'ACTUAL %'!H:H)</f>
        <v>17641.641726867863</v>
      </c>
      <c r="M76">
        <f ca="1">+$B76*_xlfn.XLOOKUP($C76,'ACTUAL %'!$A:$A,'ACTUAL %'!I:I)</f>
        <v>21936.020495210996</v>
      </c>
      <c r="N76">
        <f ca="1">+$B76*_xlfn.XLOOKUP($C76,'ACTUAL %'!$A:$A,'ACTUAL %'!J:J)</f>
        <v>22462.24654593103</v>
      </c>
      <c r="O76">
        <f ca="1">+$B76*_xlfn.XLOOKUP($C76,'ACTUAL %'!$A:$A,'ACTUAL %'!K:K)</f>
        <v>22732.876022388031</v>
      </c>
      <c r="P76">
        <f ca="1">+$B76*_xlfn.XLOOKUP($C76,'ACTUAL %'!$A:$A,'ACTUAL %'!L:L)</f>
        <v>22732.876022388031</v>
      </c>
      <c r="Q76">
        <f ca="1">+$B76*_xlfn.XLOOKUP($C76,'ACTUAL %'!$A:$A,'ACTUAL %'!M:M)</f>
        <v>22732.876022388031</v>
      </c>
      <c r="R76">
        <f ca="1">+$B76*_xlfn.XLOOKUP($C76,'ACTUAL %'!$A:$A,'ACTUAL %'!N:N)+S76+T76+U76</f>
        <v>22732.876022388031</v>
      </c>
      <c r="S76">
        <f ca="1">+$B76*_xlfn.XLOOKUP($C76,'ACTUAL %'!$A:$A,'ACTUAL %'!O:O)</f>
        <v>0</v>
      </c>
      <c r="T76">
        <f ca="1">+$B76*_xlfn.XLOOKUP($C76,'ACTUAL %'!$A:$A,'ACTUAL %'!P:P)</f>
        <v>0</v>
      </c>
      <c r="U76">
        <f ca="1">+$B76*_xlfn.XLOOKUP($C76,'ACTUAL %'!$A:$A,'ACTUAL %'!Q:Q)</f>
        <v>0</v>
      </c>
      <c r="V76">
        <f t="shared" ca="1" si="8"/>
        <v>236505.04890912</v>
      </c>
      <c r="W76" s="517">
        <f t="shared" ca="1" si="9"/>
        <v>0</v>
      </c>
    </row>
    <row r="77" spans="1:23" x14ac:dyDescent="0.75">
      <c r="A77" t="s">
        <v>1622</v>
      </c>
      <c r="B77">
        <v>27035.199999999997</v>
      </c>
      <c r="C77">
        <f t="shared" si="5"/>
        <v>2900</v>
      </c>
      <c r="D77" t="str">
        <f t="shared" si="6"/>
        <v>020</v>
      </c>
      <c r="E77" t="str">
        <f t="shared" si="7"/>
        <v>0000</v>
      </c>
      <c r="F77" t="s">
        <v>1804</v>
      </c>
      <c r="G77">
        <f ca="1">+$B77*_xlfn.XLOOKUP($C77,'ACTUAL %'!$A:$A,'ACTUAL %'!C:C)</f>
        <v>0</v>
      </c>
      <c r="H77">
        <f ca="1">+$B77*_xlfn.XLOOKUP($C77,'ACTUAL %'!$A:$A,'ACTUAL %'!D:D)</f>
        <v>33.953582777777775</v>
      </c>
      <c r="I77">
        <f ca="1">+$B77*_xlfn.XLOOKUP($C77,'ACTUAL %'!$A:$A,'ACTUAL %'!E:E)</f>
        <v>1413.3683394444445</v>
      </c>
      <c r="J77">
        <f ca="1">+$B77*_xlfn.XLOOKUP($C77,'ACTUAL %'!$A:$A,'ACTUAL %'!F:F)</f>
        <v>657.87530777777783</v>
      </c>
      <c r="K77">
        <f ca="1">+$B77*_xlfn.XLOOKUP($C77,'ACTUAL %'!$A:$A,'ACTUAL %'!G:G)</f>
        <v>1313.6291033333334</v>
      </c>
      <c r="L77">
        <f ca="1">+$B77*_xlfn.XLOOKUP($C77,'ACTUAL %'!$A:$A,'ACTUAL %'!H:H)</f>
        <v>253.59580833333328</v>
      </c>
      <c r="M77">
        <f ca="1">+$B77*_xlfn.XLOOKUP($C77,'ACTUAL %'!$A:$A,'ACTUAL %'!I:I)</f>
        <v>1886.812892222222</v>
      </c>
      <c r="N77">
        <f ca="1">+$B77*_xlfn.XLOOKUP($C77,'ACTUAL %'!$A:$A,'ACTUAL %'!J:J)</f>
        <v>4254.1887641699814</v>
      </c>
      <c r="O77">
        <f ca="1">+$B77*_xlfn.XLOOKUP($C77,'ACTUAL %'!$A:$A,'ACTUAL %'!K:K)</f>
        <v>4305.4440504852819</v>
      </c>
      <c r="P77">
        <f ca="1">+$B77*_xlfn.XLOOKUP($C77,'ACTUAL %'!$A:$A,'ACTUAL %'!L:L)</f>
        <v>4305.4440504852819</v>
      </c>
      <c r="Q77">
        <f ca="1">+$B77*_xlfn.XLOOKUP($C77,'ACTUAL %'!$A:$A,'ACTUAL %'!M:M)</f>
        <v>4305.4440504852819</v>
      </c>
      <c r="R77">
        <f ca="1">+$B77*_xlfn.XLOOKUP($C77,'ACTUAL %'!$A:$A,'ACTUAL %'!N:N)+S77+T77+U77</f>
        <v>4305.4440504852819</v>
      </c>
      <c r="S77">
        <f ca="1">+$B77*_xlfn.XLOOKUP($C77,'ACTUAL %'!$A:$A,'ACTUAL %'!O:O)</f>
        <v>0</v>
      </c>
      <c r="T77">
        <f ca="1">+$B77*_xlfn.XLOOKUP($C77,'ACTUAL %'!$A:$A,'ACTUAL %'!P:P)</f>
        <v>0</v>
      </c>
      <c r="U77">
        <f ca="1">+$B77*_xlfn.XLOOKUP($C77,'ACTUAL %'!$A:$A,'ACTUAL %'!Q:Q)</f>
        <v>0</v>
      </c>
      <c r="V77">
        <f t="shared" ca="1" si="8"/>
        <v>27035.200000000001</v>
      </c>
      <c r="W77" s="517">
        <f t="shared" ca="1" si="9"/>
        <v>0</v>
      </c>
    </row>
    <row r="78" spans="1:23" x14ac:dyDescent="0.75">
      <c r="A78" t="s">
        <v>1584</v>
      </c>
      <c r="B78">
        <v>786435.0560497992</v>
      </c>
      <c r="C78">
        <f t="shared" si="5"/>
        <v>3101</v>
      </c>
      <c r="D78" t="str">
        <f t="shared" si="6"/>
        <v>020</v>
      </c>
      <c r="E78" t="str">
        <f t="shared" si="7"/>
        <v>0000</v>
      </c>
      <c r="F78" t="s">
        <v>1805</v>
      </c>
      <c r="G78">
        <f ca="1">+$B78*_xlfn.XLOOKUP($C78,'ACTUAL %'!$A:$A,'ACTUAL %'!C:C)</f>
        <v>1235.6001689521834</v>
      </c>
      <c r="H78">
        <f ca="1">+$B78*_xlfn.XLOOKUP($C78,'ACTUAL %'!$A:$A,'ACTUAL %'!D:D)</f>
        <v>47034.486971662431</v>
      </c>
      <c r="I78">
        <f ca="1">+$B78*_xlfn.XLOOKUP($C78,'ACTUAL %'!$A:$A,'ACTUAL %'!E:E)</f>
        <v>52690.761151543476</v>
      </c>
      <c r="J78">
        <f ca="1">+$B78*_xlfn.XLOOKUP($C78,'ACTUAL %'!$A:$A,'ACTUAL %'!F:F)</f>
        <v>62399.24948913166</v>
      </c>
      <c r="K78">
        <f ca="1">+$B78*_xlfn.XLOOKUP($C78,'ACTUAL %'!$A:$A,'ACTUAL %'!G:G)</f>
        <v>49930.145577826697</v>
      </c>
      <c r="L78">
        <f ca="1">+$B78*_xlfn.XLOOKUP($C78,'ACTUAL %'!$A:$A,'ACTUAL %'!H:H)</f>
        <v>49777.525602524511</v>
      </c>
      <c r="M78">
        <f ca="1">+$B78*_xlfn.XLOOKUP($C78,'ACTUAL %'!$A:$A,'ACTUAL %'!I:I)</f>
        <v>63121.009537881539</v>
      </c>
      <c r="N78">
        <f ca="1">+$B78*_xlfn.XLOOKUP($C78,'ACTUAL %'!$A:$A,'ACTUAL %'!J:J)</f>
        <v>91170.503667477256</v>
      </c>
      <c r="O78">
        <f ca="1">+$B78*_xlfn.XLOOKUP($C78,'ACTUAL %'!$A:$A,'ACTUAL %'!K:K)</f>
        <v>92268.943470699873</v>
      </c>
      <c r="P78">
        <f ca="1">+$B78*_xlfn.XLOOKUP($C78,'ACTUAL %'!$A:$A,'ACTUAL %'!L:L)</f>
        <v>92268.943470699873</v>
      </c>
      <c r="Q78">
        <f ca="1">+$B78*_xlfn.XLOOKUP($C78,'ACTUAL %'!$A:$A,'ACTUAL %'!M:M)</f>
        <v>92268.943470699873</v>
      </c>
      <c r="R78">
        <f ca="1">+$B78*_xlfn.XLOOKUP($C78,'ACTUAL %'!$A:$A,'ACTUAL %'!N:N)+S78+T78+U78</f>
        <v>92268.943470699873</v>
      </c>
      <c r="S78">
        <f ca="1">+$B78*_xlfn.XLOOKUP($C78,'ACTUAL %'!$A:$A,'ACTUAL %'!O:O)</f>
        <v>0</v>
      </c>
      <c r="T78">
        <f ca="1">+$B78*_xlfn.XLOOKUP($C78,'ACTUAL %'!$A:$A,'ACTUAL %'!P:P)</f>
        <v>0</v>
      </c>
      <c r="U78">
        <f ca="1">+$B78*_xlfn.XLOOKUP($C78,'ACTUAL %'!$A:$A,'ACTUAL %'!Q:Q)</f>
        <v>0</v>
      </c>
      <c r="V78">
        <f t="shared" ca="1" si="8"/>
        <v>786435.0560497992</v>
      </c>
      <c r="W78" s="517">
        <f t="shared" ca="1" si="9"/>
        <v>0</v>
      </c>
    </row>
    <row r="79" spans="1:23" x14ac:dyDescent="0.75">
      <c r="A79" t="s">
        <v>1992</v>
      </c>
      <c r="B79">
        <v>67395.439200485125</v>
      </c>
      <c r="C79">
        <f t="shared" si="5"/>
        <v>3301</v>
      </c>
      <c r="D79" t="str">
        <f t="shared" si="6"/>
        <v>020</v>
      </c>
      <c r="E79" t="str">
        <f t="shared" si="7"/>
        <v>0000</v>
      </c>
      <c r="F79" t="s">
        <v>2026</v>
      </c>
      <c r="G79">
        <f ca="1">+$B79*_xlfn.XLOOKUP($C79,'ACTUAL %'!$A:$A,'ACTUAL %'!C:C)</f>
        <v>0</v>
      </c>
      <c r="H79">
        <f ca="1">+$B79*_xlfn.XLOOKUP($C79,'ACTUAL %'!$A:$A,'ACTUAL %'!D:D)</f>
        <v>0</v>
      </c>
      <c r="I79">
        <f ca="1">+$B79*_xlfn.XLOOKUP($C79,'ACTUAL %'!$A:$A,'ACTUAL %'!E:E)</f>
        <v>0</v>
      </c>
      <c r="J79">
        <f ca="1">+$B79*_xlfn.XLOOKUP($C79,'ACTUAL %'!$A:$A,'ACTUAL %'!F:F)</f>
        <v>16105.795965726995</v>
      </c>
      <c r="K79">
        <f ca="1">+$B79*_xlfn.XLOOKUP($C79,'ACTUAL %'!$A:$A,'ACTUAL %'!G:G)</f>
        <v>4824.7376722547806</v>
      </c>
      <c r="L79">
        <f ca="1">+$B79*_xlfn.XLOOKUP($C79,'ACTUAL %'!$A:$A,'ACTUAL %'!H:H)</f>
        <v>4757.2529744224894</v>
      </c>
      <c r="M79">
        <f ca="1">+$B79*_xlfn.XLOOKUP($C79,'ACTUAL %'!$A:$A,'ACTUAL %'!I:I)</f>
        <v>5839.9322709618873</v>
      </c>
      <c r="N79">
        <f ca="1">+$B79*_xlfn.XLOOKUP($C79,'ACTUAL %'!$A:$A,'ACTUAL %'!J:J)</f>
        <v>7105.0615425319211</v>
      </c>
      <c r="O79">
        <f ca="1">+$B79*_xlfn.XLOOKUP($C79,'ACTUAL %'!$A:$A,'ACTUAL %'!K:K)</f>
        <v>7190.6646936467623</v>
      </c>
      <c r="P79">
        <f ca="1">+$B79*_xlfn.XLOOKUP($C79,'ACTUAL %'!$A:$A,'ACTUAL %'!L:L)</f>
        <v>7190.6646936467623</v>
      </c>
      <c r="Q79">
        <f ca="1">+$B79*_xlfn.XLOOKUP($C79,'ACTUAL %'!$A:$A,'ACTUAL %'!M:M)</f>
        <v>7190.6646936467623</v>
      </c>
      <c r="R79">
        <f ca="1">+$B79*_xlfn.XLOOKUP($C79,'ACTUAL %'!$A:$A,'ACTUAL %'!N:N)+S79+T79+U79</f>
        <v>7190.6646936467623</v>
      </c>
      <c r="S79">
        <f ca="1">+$B79*_xlfn.XLOOKUP($C79,'ACTUAL %'!$A:$A,'ACTUAL %'!O:O)</f>
        <v>0</v>
      </c>
      <c r="T79">
        <f ca="1">+$B79*_xlfn.XLOOKUP($C79,'ACTUAL %'!$A:$A,'ACTUAL %'!P:P)</f>
        <v>0</v>
      </c>
      <c r="U79">
        <f ca="1">+$B79*_xlfn.XLOOKUP($C79,'ACTUAL %'!$A:$A,'ACTUAL %'!Q:Q)</f>
        <v>0</v>
      </c>
      <c r="V79">
        <f t="shared" ca="1" si="8"/>
        <v>67395.439200485111</v>
      </c>
      <c r="W79" s="517">
        <f t="shared" ca="1" si="9"/>
        <v>0</v>
      </c>
    </row>
    <row r="80" spans="1:23" x14ac:dyDescent="0.75">
      <c r="A80" s="178" t="s">
        <v>1993</v>
      </c>
      <c r="B80">
        <v>100779.6719141568</v>
      </c>
      <c r="C80">
        <f t="shared" si="5"/>
        <v>3302</v>
      </c>
      <c r="D80" t="str">
        <f t="shared" si="6"/>
        <v>020</v>
      </c>
      <c r="E80" t="str">
        <f t="shared" si="7"/>
        <v>0000</v>
      </c>
      <c r="F80" t="s">
        <v>2027</v>
      </c>
      <c r="G80">
        <f ca="1">+$B80*_xlfn.XLOOKUP($C80,'ACTUAL %'!$A:$A,'ACTUAL %'!C:C)</f>
        <v>0</v>
      </c>
      <c r="H80">
        <f ca="1">+$B80*_xlfn.XLOOKUP($C80,'ACTUAL %'!$A:$A,'ACTUAL %'!D:D)</f>
        <v>0</v>
      </c>
      <c r="I80">
        <f ca="1">+$B80*_xlfn.XLOOKUP($C80,'ACTUAL %'!$A:$A,'ACTUAL %'!E:E)</f>
        <v>0</v>
      </c>
      <c r="J80">
        <f ca="1">+$B80*_xlfn.XLOOKUP($C80,'ACTUAL %'!$A:$A,'ACTUAL %'!F:F)</f>
        <v>29765.750553581511</v>
      </c>
      <c r="K80">
        <f ca="1">+$B80*_xlfn.XLOOKUP($C80,'ACTUAL %'!$A:$A,'ACTUAL %'!G:G)</f>
        <v>7670.3314684424049</v>
      </c>
      <c r="L80">
        <f ca="1">+$B80*_xlfn.XLOOKUP($C80,'ACTUAL %'!$A:$A,'ACTUAL %'!H:H)</f>
        <v>8178.6487073497674</v>
      </c>
      <c r="M80">
        <f ca="1">+$B80*_xlfn.XLOOKUP($C80,'ACTUAL %'!$A:$A,'ACTUAL %'!I:I)</f>
        <v>10031.535457320042</v>
      </c>
      <c r="N80">
        <f ca="1">+$B80*_xlfn.XLOOKUP($C80,'ACTUAL %'!$A:$A,'ACTUAL %'!J:J)</f>
        <v>8940.5075784712044</v>
      </c>
      <c r="O80">
        <f ca="1">+$B80*_xlfn.XLOOKUP($C80,'ACTUAL %'!$A:$A,'ACTUAL %'!K:K)</f>
        <v>9048.2245372479665</v>
      </c>
      <c r="P80">
        <f ca="1">+$B80*_xlfn.XLOOKUP($C80,'ACTUAL %'!$A:$A,'ACTUAL %'!L:L)</f>
        <v>9048.2245372479665</v>
      </c>
      <c r="Q80">
        <f ca="1">+$B80*_xlfn.XLOOKUP($C80,'ACTUAL %'!$A:$A,'ACTUAL %'!M:M)</f>
        <v>9048.2245372479665</v>
      </c>
      <c r="R80">
        <f ca="1">+$B80*_xlfn.XLOOKUP($C80,'ACTUAL %'!$A:$A,'ACTUAL %'!N:N)+S80+T80+U80</f>
        <v>9048.2245372479665</v>
      </c>
      <c r="S80">
        <f ca="1">+$B80*_xlfn.XLOOKUP($C80,'ACTUAL %'!$A:$A,'ACTUAL %'!O:O)</f>
        <v>0</v>
      </c>
      <c r="T80">
        <f ca="1">+$B80*_xlfn.XLOOKUP($C80,'ACTUAL %'!$A:$A,'ACTUAL %'!P:P)</f>
        <v>0</v>
      </c>
      <c r="U80">
        <f ca="1">+$B80*_xlfn.XLOOKUP($C80,'ACTUAL %'!$A:$A,'ACTUAL %'!Q:Q)</f>
        <v>0</v>
      </c>
      <c r="V80">
        <f t="shared" ca="1" si="8"/>
        <v>100779.67191415679</v>
      </c>
      <c r="W80" s="517">
        <f t="shared" ca="1" si="9"/>
        <v>0</v>
      </c>
    </row>
    <row r="81" spans="1:23" x14ac:dyDescent="0.75">
      <c r="A81" t="s">
        <v>1994</v>
      </c>
      <c r="B81">
        <v>605266.90387099655</v>
      </c>
      <c r="C81">
        <f t="shared" si="5"/>
        <v>3401</v>
      </c>
      <c r="D81" t="str">
        <f t="shared" si="6"/>
        <v>020</v>
      </c>
      <c r="E81" t="str">
        <f t="shared" si="7"/>
        <v>0000</v>
      </c>
      <c r="F81" t="s">
        <v>2028</v>
      </c>
      <c r="G81">
        <f ca="1">+$B81*_xlfn.XLOOKUP($C81,'ACTUAL %'!$A:$A,'ACTUAL %'!C:C)</f>
        <v>0</v>
      </c>
      <c r="H81">
        <f ca="1">+$B81*_xlfn.XLOOKUP($C81,'ACTUAL %'!$A:$A,'ACTUAL %'!D:D)</f>
        <v>0</v>
      </c>
      <c r="I81">
        <f ca="1">+$B81*_xlfn.XLOOKUP($C81,'ACTUAL %'!$A:$A,'ACTUAL %'!E:E)</f>
        <v>0</v>
      </c>
      <c r="J81">
        <f ca="1">+$B81*_xlfn.XLOOKUP($C81,'ACTUAL %'!$A:$A,'ACTUAL %'!F:F)</f>
        <v>196453.77265314118</v>
      </c>
      <c r="K81">
        <f ca="1">+$B81*_xlfn.XLOOKUP($C81,'ACTUAL %'!$A:$A,'ACTUAL %'!G:G)</f>
        <v>63889.802054548352</v>
      </c>
      <c r="L81">
        <f ca="1">+$B81*_xlfn.XLOOKUP($C81,'ACTUAL %'!$A:$A,'ACTUAL %'!H:H)</f>
        <v>52976.14169738449</v>
      </c>
      <c r="M81">
        <f ca="1">+$B81*_xlfn.XLOOKUP($C81,'ACTUAL %'!$A:$A,'ACTUAL %'!I:I)</f>
        <v>99801.927538101547</v>
      </c>
      <c r="N81">
        <f ca="1">+$B81*_xlfn.XLOOKUP($C81,'ACTUAL %'!$A:$A,'ACTUAL %'!J:J)</f>
        <v>38062.187527468115</v>
      </c>
      <c r="O81">
        <f ca="1">+$B81*_xlfn.XLOOKUP($C81,'ACTUAL %'!$A:$A,'ACTUAL %'!K:K)</f>
        <v>38520.768100088215</v>
      </c>
      <c r="P81">
        <f ca="1">+$B81*_xlfn.XLOOKUP($C81,'ACTUAL %'!$A:$A,'ACTUAL %'!L:L)</f>
        <v>38520.768100088215</v>
      </c>
      <c r="Q81">
        <f ca="1">+$B81*_xlfn.XLOOKUP($C81,'ACTUAL %'!$A:$A,'ACTUAL %'!M:M)</f>
        <v>38520.768100088215</v>
      </c>
      <c r="R81">
        <f ca="1">+$B81*_xlfn.XLOOKUP($C81,'ACTUAL %'!$A:$A,'ACTUAL %'!N:N)+S81+T81+U81</f>
        <v>38520.768100088215</v>
      </c>
      <c r="S81">
        <f ca="1">+$B81*_xlfn.XLOOKUP($C81,'ACTUAL %'!$A:$A,'ACTUAL %'!O:O)</f>
        <v>0</v>
      </c>
      <c r="T81">
        <f ca="1">+$B81*_xlfn.XLOOKUP($C81,'ACTUAL %'!$A:$A,'ACTUAL %'!P:P)</f>
        <v>0</v>
      </c>
      <c r="U81">
        <f ca="1">+$B81*_xlfn.XLOOKUP($C81,'ACTUAL %'!$A:$A,'ACTUAL %'!Q:Q)</f>
        <v>0</v>
      </c>
      <c r="V81">
        <f t="shared" ca="1" si="8"/>
        <v>605266.90387099655</v>
      </c>
      <c r="W81" s="517">
        <f t="shared" ca="1" si="9"/>
        <v>0</v>
      </c>
    </row>
    <row r="82" spans="1:23" x14ac:dyDescent="0.75">
      <c r="A82" t="s">
        <v>1995</v>
      </c>
      <c r="B82">
        <v>159671.66711904001</v>
      </c>
      <c r="C82">
        <f t="shared" si="5"/>
        <v>3402</v>
      </c>
      <c r="D82" t="str">
        <f t="shared" si="6"/>
        <v>020</v>
      </c>
      <c r="E82" t="str">
        <f t="shared" si="7"/>
        <v>0000</v>
      </c>
      <c r="F82" t="s">
        <v>2029</v>
      </c>
      <c r="G82">
        <f ca="1">+$B82*_xlfn.XLOOKUP($C82,'ACTUAL %'!$A:$A,'ACTUAL %'!C:C)</f>
        <v>0</v>
      </c>
      <c r="H82">
        <f ca="1">+$B82*_xlfn.XLOOKUP($C82,'ACTUAL %'!$A:$A,'ACTUAL %'!D:D)</f>
        <v>0</v>
      </c>
      <c r="I82">
        <f ca="1">+$B82*_xlfn.XLOOKUP($C82,'ACTUAL %'!$A:$A,'ACTUAL %'!E:E)</f>
        <v>0</v>
      </c>
      <c r="J82">
        <f ca="1">+$B82*_xlfn.XLOOKUP($C82,'ACTUAL %'!$A:$A,'ACTUAL %'!F:F)</f>
        <v>59579.907229688397</v>
      </c>
      <c r="K82">
        <f ca="1">+$B82*_xlfn.XLOOKUP($C82,'ACTUAL %'!$A:$A,'ACTUAL %'!G:G)</f>
        <v>17439.871331892158</v>
      </c>
      <c r="L82">
        <f ca="1">+$B82*_xlfn.XLOOKUP($C82,'ACTUAL %'!$A:$A,'ACTUAL %'!H:H)</f>
        <v>14710.925145004805</v>
      </c>
      <c r="M82">
        <f ca="1">+$B82*_xlfn.XLOOKUP($C82,'ACTUAL %'!$A:$A,'ACTUAL %'!I:I)</f>
        <v>27946.027751715614</v>
      </c>
      <c r="N82">
        <f ca="1">+$B82*_xlfn.XLOOKUP($C82,'ACTUAL %'!$A:$A,'ACTUAL %'!J:J)</f>
        <v>7922.6244864948467</v>
      </c>
      <c r="O82">
        <f ca="1">+$B82*_xlfn.XLOOKUP($C82,'ACTUAL %'!$A:$A,'ACTUAL %'!K:K)</f>
        <v>8018.0777935610486</v>
      </c>
      <c r="P82">
        <f ca="1">+$B82*_xlfn.XLOOKUP($C82,'ACTUAL %'!$A:$A,'ACTUAL %'!L:L)</f>
        <v>8018.0777935610486</v>
      </c>
      <c r="Q82">
        <f ca="1">+$B82*_xlfn.XLOOKUP($C82,'ACTUAL %'!$A:$A,'ACTUAL %'!M:M)</f>
        <v>8018.0777935610486</v>
      </c>
      <c r="R82">
        <f ca="1">+$B82*_xlfn.XLOOKUP($C82,'ACTUAL %'!$A:$A,'ACTUAL %'!N:N)+S82+T82+U82</f>
        <v>8018.0777935610486</v>
      </c>
      <c r="S82">
        <f ca="1">+$B82*_xlfn.XLOOKUP($C82,'ACTUAL %'!$A:$A,'ACTUAL %'!O:O)</f>
        <v>0</v>
      </c>
      <c r="T82">
        <f ca="1">+$B82*_xlfn.XLOOKUP($C82,'ACTUAL %'!$A:$A,'ACTUAL %'!P:P)</f>
        <v>0</v>
      </c>
      <c r="U82">
        <f ca="1">+$B82*_xlfn.XLOOKUP($C82,'ACTUAL %'!$A:$A,'ACTUAL %'!Q:Q)</f>
        <v>0</v>
      </c>
      <c r="V82">
        <f t="shared" ca="1" si="8"/>
        <v>159671.66711903998</v>
      </c>
      <c r="W82" s="517">
        <f t="shared" ca="1" si="9"/>
        <v>0</v>
      </c>
    </row>
    <row r="83" spans="1:23" x14ac:dyDescent="0.75">
      <c r="A83" t="s">
        <v>1996</v>
      </c>
      <c r="B83">
        <v>29618.796560000003</v>
      </c>
      <c r="C83">
        <f t="shared" si="5"/>
        <v>3501</v>
      </c>
      <c r="D83" t="str">
        <f t="shared" si="6"/>
        <v>020</v>
      </c>
      <c r="E83" t="str">
        <f t="shared" si="7"/>
        <v>0000</v>
      </c>
      <c r="F83" t="s">
        <v>2030</v>
      </c>
      <c r="G83">
        <f ca="1">+$B83*_xlfn.XLOOKUP($C83,'ACTUAL %'!$A:$A,'ACTUAL %'!C:C)</f>
        <v>0</v>
      </c>
      <c r="H83">
        <f ca="1">+$B83*_xlfn.XLOOKUP($C83,'ACTUAL %'!$A:$A,'ACTUAL %'!D:D)</f>
        <v>0</v>
      </c>
      <c r="I83">
        <f ca="1">+$B83*_xlfn.XLOOKUP($C83,'ACTUAL %'!$A:$A,'ACTUAL %'!E:E)</f>
        <v>0</v>
      </c>
      <c r="J83">
        <f ca="1">+$B83*_xlfn.XLOOKUP($C83,'ACTUAL %'!$A:$A,'ACTUAL %'!F:F)</f>
        <v>3968.9622321333281</v>
      </c>
      <c r="K83">
        <f ca="1">+$B83*_xlfn.XLOOKUP($C83,'ACTUAL %'!$A:$A,'ACTUAL %'!G:G)</f>
        <v>96.807717924848362</v>
      </c>
      <c r="L83">
        <f ca="1">+$B83*_xlfn.XLOOKUP($C83,'ACTUAL %'!$A:$A,'ACTUAL %'!H:H)</f>
        <v>11829.666686145438</v>
      </c>
      <c r="M83">
        <f ca="1">+$B83*_xlfn.XLOOKUP($C83,'ACTUAL %'!$A:$A,'ACTUAL %'!I:I)</f>
        <v>14632.559316424224</v>
      </c>
      <c r="N83">
        <f ca="1">+$B83*_xlfn.XLOOKUP($C83,'ACTUAL %'!$A:$A,'ACTUAL %'!J:J)</f>
        <v>-180.10393696446349</v>
      </c>
      <c r="O83">
        <f ca="1">+$B83*_xlfn.XLOOKUP($C83,'ACTUAL %'!$A:$A,'ACTUAL %'!K:K)</f>
        <v>-182.27386391584255</v>
      </c>
      <c r="P83">
        <f ca="1">+$B83*_xlfn.XLOOKUP($C83,'ACTUAL %'!$A:$A,'ACTUAL %'!L:L)</f>
        <v>-182.27386391584255</v>
      </c>
      <c r="Q83">
        <f ca="1">+$B83*_xlfn.XLOOKUP($C83,'ACTUAL %'!$A:$A,'ACTUAL %'!M:M)</f>
        <v>-182.27386391584255</v>
      </c>
      <c r="R83">
        <f ca="1">+$B83*_xlfn.XLOOKUP($C83,'ACTUAL %'!$A:$A,'ACTUAL %'!N:N)+S83+T83+U83</f>
        <v>-182.27386391584255</v>
      </c>
      <c r="S83">
        <f ca="1">+$B83*_xlfn.XLOOKUP($C83,'ACTUAL %'!$A:$A,'ACTUAL %'!O:O)</f>
        <v>0</v>
      </c>
      <c r="T83">
        <f ca="1">+$B83*_xlfn.XLOOKUP($C83,'ACTUAL %'!$A:$A,'ACTUAL %'!P:P)</f>
        <v>0</v>
      </c>
      <c r="U83">
        <f ca="1">+$B83*_xlfn.XLOOKUP($C83,'ACTUAL %'!$A:$A,'ACTUAL %'!Q:Q)</f>
        <v>0</v>
      </c>
      <c r="V83">
        <f t="shared" ca="1" si="8"/>
        <v>29618.79656000001</v>
      </c>
      <c r="W83" s="517">
        <f t="shared" ca="1" si="9"/>
        <v>0</v>
      </c>
    </row>
    <row r="84" spans="1:23" x14ac:dyDescent="0.75">
      <c r="A84" s="178" t="s">
        <v>1997</v>
      </c>
      <c r="B84">
        <v>12587.524095999997</v>
      </c>
      <c r="C84">
        <f t="shared" si="5"/>
        <v>3502</v>
      </c>
      <c r="D84" t="str">
        <f t="shared" si="6"/>
        <v>020</v>
      </c>
      <c r="E84" t="str">
        <f t="shared" si="7"/>
        <v>0000</v>
      </c>
      <c r="F84" t="s">
        <v>2031</v>
      </c>
      <c r="G84">
        <f ca="1">+$B84*_xlfn.XLOOKUP($C84,'ACTUAL %'!$A:$A,'ACTUAL %'!C:C)</f>
        <v>0</v>
      </c>
      <c r="H84">
        <f ca="1">+$B84*_xlfn.XLOOKUP($C84,'ACTUAL %'!$A:$A,'ACTUAL %'!D:D)</f>
        <v>0</v>
      </c>
      <c r="I84">
        <f ca="1">+$B84*_xlfn.XLOOKUP($C84,'ACTUAL %'!$A:$A,'ACTUAL %'!E:E)</f>
        <v>0</v>
      </c>
      <c r="J84">
        <f ca="1">+$B84*_xlfn.XLOOKUP($C84,'ACTUAL %'!$A:$A,'ACTUAL %'!F:F)</f>
        <v>1906.404061794042</v>
      </c>
      <c r="K84">
        <f ca="1">+$B84*_xlfn.XLOOKUP($C84,'ACTUAL %'!$A:$A,'ACTUAL %'!G:G)</f>
        <v>0</v>
      </c>
      <c r="L84">
        <f ca="1">+$B84*_xlfn.XLOOKUP($C84,'ACTUAL %'!$A:$A,'ACTUAL %'!H:H)</f>
        <v>5190.3155465804239</v>
      </c>
      <c r="M84">
        <f ca="1">+$B84*_xlfn.XLOOKUP($C84,'ACTUAL %'!$A:$A,'ACTUAL %'!I:I)</f>
        <v>6453.2563253378721</v>
      </c>
      <c r="N84">
        <f ca="1">+$B84*_xlfn.XLOOKUP($C84,'ACTUAL %'!$A:$A,'ACTUAL %'!J:J)</f>
        <v>-190.65275066855435</v>
      </c>
      <c r="O84">
        <f ca="1">+$B84*_xlfn.XLOOKUP($C84,'ACTUAL %'!$A:$A,'ACTUAL %'!K:K)</f>
        <v>-192.94977176094656</v>
      </c>
      <c r="P84">
        <f ca="1">+$B84*_xlfn.XLOOKUP($C84,'ACTUAL %'!$A:$A,'ACTUAL %'!L:L)</f>
        <v>-192.94977176094656</v>
      </c>
      <c r="Q84">
        <f ca="1">+$B84*_xlfn.XLOOKUP($C84,'ACTUAL %'!$A:$A,'ACTUAL %'!M:M)</f>
        <v>-192.94977176094656</v>
      </c>
      <c r="R84">
        <f ca="1">+$B84*_xlfn.XLOOKUP($C84,'ACTUAL %'!$A:$A,'ACTUAL %'!N:N)+S84+T84+U84</f>
        <v>-192.94977176094656</v>
      </c>
      <c r="S84">
        <f ca="1">+$B84*_xlfn.XLOOKUP($C84,'ACTUAL %'!$A:$A,'ACTUAL %'!O:O)</f>
        <v>0</v>
      </c>
      <c r="T84">
        <f ca="1">+$B84*_xlfn.XLOOKUP($C84,'ACTUAL %'!$A:$A,'ACTUAL %'!P:P)</f>
        <v>0</v>
      </c>
      <c r="U84">
        <f ca="1">+$B84*_xlfn.XLOOKUP($C84,'ACTUAL %'!$A:$A,'ACTUAL %'!Q:Q)</f>
        <v>0</v>
      </c>
      <c r="V84">
        <f t="shared" ca="1" si="8"/>
        <v>12587.524095999997</v>
      </c>
      <c r="W84" s="517">
        <f t="shared" ca="1" si="9"/>
        <v>0</v>
      </c>
    </row>
    <row r="85" spans="1:23" x14ac:dyDescent="0.75">
      <c r="A85" s="178" t="s">
        <v>1998</v>
      </c>
      <c r="B85">
        <v>50662.778433468106</v>
      </c>
      <c r="C85">
        <f t="shared" si="5"/>
        <v>3601</v>
      </c>
      <c r="D85" t="str">
        <f t="shared" si="6"/>
        <v>020</v>
      </c>
      <c r="E85" t="str">
        <f t="shared" si="7"/>
        <v>0000</v>
      </c>
      <c r="F85" t="s">
        <v>2032</v>
      </c>
      <c r="G85">
        <f ca="1">+$B85*_xlfn.XLOOKUP($C85,'ACTUAL %'!$A:$A,'ACTUAL %'!C:C)</f>
        <v>0</v>
      </c>
      <c r="H85">
        <f ca="1">+$B85*_xlfn.XLOOKUP($C85,'ACTUAL %'!$A:$A,'ACTUAL %'!D:D)</f>
        <v>0</v>
      </c>
      <c r="I85">
        <f ca="1">+$B85*_xlfn.XLOOKUP($C85,'ACTUAL %'!$A:$A,'ACTUAL %'!E:E)</f>
        <v>0</v>
      </c>
      <c r="J85">
        <f ca="1">+$B85*_xlfn.XLOOKUP($C85,'ACTUAL %'!$A:$A,'ACTUAL %'!F:F)</f>
        <v>6440.3912315114039</v>
      </c>
      <c r="K85">
        <f ca="1">+$B85*_xlfn.XLOOKUP($C85,'ACTUAL %'!$A:$A,'ACTUAL %'!G:G)</f>
        <v>0</v>
      </c>
      <c r="L85">
        <f ca="1">+$B85*_xlfn.XLOOKUP($C85,'ACTUAL %'!$A:$A,'ACTUAL %'!H:H)</f>
        <v>0</v>
      </c>
      <c r="M85">
        <f ca="1">+$B85*_xlfn.XLOOKUP($C85,'ACTUAL %'!$A:$A,'ACTUAL %'!I:I)</f>
        <v>1409.5235130241713</v>
      </c>
      <c r="N85">
        <f ca="1">+$B85*_xlfn.XLOOKUP($C85,'ACTUAL %'!$A:$A,'ACTUAL %'!J:J)</f>
        <v>8480.8297999556107</v>
      </c>
      <c r="O85">
        <f ca="1">+$B85*_xlfn.XLOOKUP($C85,'ACTUAL %'!$A:$A,'ACTUAL %'!K:K)</f>
        <v>8583.0084722442298</v>
      </c>
      <c r="P85">
        <f ca="1">+$B85*_xlfn.XLOOKUP($C85,'ACTUAL %'!$A:$A,'ACTUAL %'!L:L)</f>
        <v>8583.0084722442298</v>
      </c>
      <c r="Q85">
        <f ca="1">+$B85*_xlfn.XLOOKUP($C85,'ACTUAL %'!$A:$A,'ACTUAL %'!M:M)</f>
        <v>8583.0084722442298</v>
      </c>
      <c r="R85">
        <f ca="1">+$B85*_xlfn.XLOOKUP($C85,'ACTUAL %'!$A:$A,'ACTUAL %'!N:N)+S85+T85+U85</f>
        <v>8583.0084722442298</v>
      </c>
      <c r="S85">
        <f ca="1">+$B85*_xlfn.XLOOKUP($C85,'ACTUAL %'!$A:$A,'ACTUAL %'!O:O)</f>
        <v>0</v>
      </c>
      <c r="T85">
        <f ca="1">+$B85*_xlfn.XLOOKUP($C85,'ACTUAL %'!$A:$A,'ACTUAL %'!P:P)</f>
        <v>0</v>
      </c>
      <c r="U85">
        <f ca="1">+$B85*_xlfn.XLOOKUP($C85,'ACTUAL %'!$A:$A,'ACTUAL %'!Q:Q)</f>
        <v>0</v>
      </c>
      <c r="V85">
        <f t="shared" ca="1" si="8"/>
        <v>50662.778433468106</v>
      </c>
      <c r="W85" s="517">
        <f t="shared" ca="1" si="9"/>
        <v>0</v>
      </c>
    </row>
    <row r="86" spans="1:23" x14ac:dyDescent="0.75">
      <c r="A86" t="s">
        <v>1999</v>
      </c>
      <c r="B86">
        <v>14359.45652110208</v>
      </c>
      <c r="C86">
        <f t="shared" si="5"/>
        <v>3602</v>
      </c>
      <c r="D86" t="str">
        <f t="shared" si="6"/>
        <v>020</v>
      </c>
      <c r="E86" t="str">
        <f t="shared" si="7"/>
        <v>0000</v>
      </c>
      <c r="F86" t="s">
        <v>2033</v>
      </c>
      <c r="G86">
        <f ca="1">+$B86*_xlfn.XLOOKUP($C86,'ACTUAL %'!$A:$A,'ACTUAL %'!C:C)</f>
        <v>0</v>
      </c>
      <c r="H86">
        <f ca="1">+$B86*_xlfn.XLOOKUP($C86,'ACTUAL %'!$A:$A,'ACTUAL %'!D:D)</f>
        <v>0</v>
      </c>
      <c r="I86">
        <f ca="1">+$B86*_xlfn.XLOOKUP($C86,'ACTUAL %'!$A:$A,'ACTUAL %'!E:E)</f>
        <v>0</v>
      </c>
      <c r="J86">
        <f ca="1">+$B86*_xlfn.XLOOKUP($C86,'ACTUAL %'!$A:$A,'ACTUAL %'!F:F)</f>
        <v>2417.5608031778766</v>
      </c>
      <c r="K86">
        <f ca="1">+$B86*_xlfn.XLOOKUP($C86,'ACTUAL %'!$A:$A,'ACTUAL %'!G:G)</f>
        <v>0</v>
      </c>
      <c r="L86">
        <f ca="1">+$B86*_xlfn.XLOOKUP($C86,'ACTUAL %'!$A:$A,'ACTUAL %'!H:H)</f>
        <v>0</v>
      </c>
      <c r="M86">
        <f ca="1">+$B86*_xlfn.XLOOKUP($C86,'ACTUAL %'!$A:$A,'ACTUAL %'!I:I)</f>
        <v>529.10101637269804</v>
      </c>
      <c r="N86">
        <f ca="1">+$B86*_xlfn.XLOOKUP($C86,'ACTUAL %'!$A:$A,'ACTUAL %'!J:J)</f>
        <v>2260.7684015006562</v>
      </c>
      <c r="O86">
        <f ca="1">+$B86*_xlfn.XLOOKUP($C86,'ACTUAL %'!$A:$A,'ACTUAL %'!K:K)</f>
        <v>2288.0065750127119</v>
      </c>
      <c r="P86">
        <f ca="1">+$B86*_xlfn.XLOOKUP($C86,'ACTUAL %'!$A:$A,'ACTUAL %'!L:L)</f>
        <v>2288.0065750127119</v>
      </c>
      <c r="Q86">
        <f ca="1">+$B86*_xlfn.XLOOKUP($C86,'ACTUAL %'!$A:$A,'ACTUAL %'!M:M)</f>
        <v>2288.0065750127119</v>
      </c>
      <c r="R86">
        <f ca="1">+$B86*_xlfn.XLOOKUP($C86,'ACTUAL %'!$A:$A,'ACTUAL %'!N:N)+S86+T86+U86</f>
        <v>2288.0065750127119</v>
      </c>
      <c r="S86">
        <f ca="1">+$B86*_xlfn.XLOOKUP($C86,'ACTUAL %'!$A:$A,'ACTUAL %'!O:O)</f>
        <v>0</v>
      </c>
      <c r="T86">
        <f ca="1">+$B86*_xlfn.XLOOKUP($C86,'ACTUAL %'!$A:$A,'ACTUAL %'!P:P)</f>
        <v>0</v>
      </c>
      <c r="U86">
        <f ca="1">+$B86*_xlfn.XLOOKUP($C86,'ACTUAL %'!$A:$A,'ACTUAL %'!Q:Q)</f>
        <v>0</v>
      </c>
      <c r="V86">
        <f t="shared" ca="1" si="8"/>
        <v>14359.45652110208</v>
      </c>
      <c r="W86" s="517">
        <f t="shared" ca="1" si="9"/>
        <v>0</v>
      </c>
    </row>
    <row r="87" spans="1:23" x14ac:dyDescent="0.75">
      <c r="A87" t="s">
        <v>2000</v>
      </c>
      <c r="B87">
        <v>33833.002564224</v>
      </c>
      <c r="C87">
        <f t="shared" si="5"/>
        <v>3901</v>
      </c>
      <c r="D87" t="str">
        <f t="shared" si="6"/>
        <v>020</v>
      </c>
      <c r="E87" t="str">
        <f t="shared" si="7"/>
        <v>0000</v>
      </c>
      <c r="F87" t="s">
        <v>2034</v>
      </c>
      <c r="G87">
        <f ca="1">+$B87*_xlfn.XLOOKUP($C87,'ACTUAL %'!$A:$A,'ACTUAL %'!C:C)</f>
        <v>0</v>
      </c>
      <c r="H87">
        <f ca="1">+$B87*_xlfn.XLOOKUP($C87,'ACTUAL %'!$A:$A,'ACTUAL %'!D:D)</f>
        <v>0</v>
      </c>
      <c r="I87">
        <f ca="1">+$B87*_xlfn.XLOOKUP($C87,'ACTUAL %'!$A:$A,'ACTUAL %'!E:E)</f>
        <v>0</v>
      </c>
      <c r="J87">
        <f ca="1">+$B87*_xlfn.XLOOKUP($C87,'ACTUAL %'!$A:$A,'ACTUAL %'!F:F)</f>
        <v>10685.79458333303</v>
      </c>
      <c r="K87">
        <f ca="1">+$B87*_xlfn.XLOOKUP($C87,'ACTUAL %'!$A:$A,'ACTUAL %'!G:G)</f>
        <v>2737.8427033366252</v>
      </c>
      <c r="L87">
        <f ca="1">+$B87*_xlfn.XLOOKUP($C87,'ACTUAL %'!$A:$A,'ACTUAL %'!H:H)</f>
        <v>2932.9586104602063</v>
      </c>
      <c r="M87">
        <f ca="1">+$B87*_xlfn.XLOOKUP($C87,'ACTUAL %'!$A:$A,'ACTUAL %'!I:I)</f>
        <v>2265.5152314335519</v>
      </c>
      <c r="N87">
        <f ca="1">+$B87*_xlfn.XLOOKUP($C87,'ACTUAL %'!$A:$A,'ACTUAL %'!J:J)</f>
        <v>3013.1360123146264</v>
      </c>
      <c r="O87">
        <f ca="1">+$B87*_xlfn.XLOOKUP($C87,'ACTUAL %'!$A:$A,'ACTUAL %'!K:K)</f>
        <v>3049.4388558364894</v>
      </c>
      <c r="P87">
        <f ca="1">+$B87*_xlfn.XLOOKUP($C87,'ACTUAL %'!$A:$A,'ACTUAL %'!L:L)</f>
        <v>3049.4388558364894</v>
      </c>
      <c r="Q87">
        <f ca="1">+$B87*_xlfn.XLOOKUP($C87,'ACTUAL %'!$A:$A,'ACTUAL %'!M:M)</f>
        <v>3049.4388558364894</v>
      </c>
      <c r="R87">
        <f ca="1">+$B87*_xlfn.XLOOKUP($C87,'ACTUAL %'!$A:$A,'ACTUAL %'!N:N)+S87+T87+U87</f>
        <v>3049.4388558364894</v>
      </c>
      <c r="S87">
        <f ca="1">+$B87*_xlfn.XLOOKUP($C87,'ACTUAL %'!$A:$A,'ACTUAL %'!O:O)</f>
        <v>0</v>
      </c>
      <c r="T87">
        <f ca="1">+$B87*_xlfn.XLOOKUP($C87,'ACTUAL %'!$A:$A,'ACTUAL %'!P:P)</f>
        <v>0</v>
      </c>
      <c r="U87">
        <f ca="1">+$B87*_xlfn.XLOOKUP($C87,'ACTUAL %'!$A:$A,'ACTUAL %'!Q:Q)</f>
        <v>0</v>
      </c>
      <c r="V87">
        <f t="shared" ca="1" si="8"/>
        <v>33833.002564223993</v>
      </c>
      <c r="W87" s="517">
        <f t="shared" ca="1" si="9"/>
        <v>0</v>
      </c>
    </row>
    <row r="88" spans="1:23" x14ac:dyDescent="0.75">
      <c r="A88" t="s">
        <v>1585</v>
      </c>
      <c r="B88">
        <v>1490009.80143877</v>
      </c>
      <c r="C88">
        <f t="shared" si="5"/>
        <v>4100</v>
      </c>
      <c r="D88" t="str">
        <f t="shared" si="6"/>
        <v>020</v>
      </c>
      <c r="E88" t="str">
        <f t="shared" si="7"/>
        <v>0000</v>
      </c>
      <c r="F88" t="s">
        <v>1806</v>
      </c>
      <c r="G88">
        <f>+$B88*_xlfn.XLOOKUP($C88,'ACTUAL %'!$A:$A,'ACTUAL %'!C:C)</f>
        <v>-512.37246872911476</v>
      </c>
      <c r="H88">
        <f>+$B88*_xlfn.XLOOKUP($C88,'ACTUAL %'!$A:$A,'ACTUAL %'!D:D)</f>
        <v>679.47193288581764</v>
      </c>
      <c r="I88">
        <f>+$B88*_xlfn.XLOOKUP($C88,'ACTUAL %'!$A:$A,'ACTUAL %'!E:E)</f>
        <v>78076.987150970454</v>
      </c>
      <c r="J88">
        <f>+$B88*_xlfn.XLOOKUP($C88,'ACTUAL %'!$A:$A,'ACTUAL %'!F:F)</f>
        <v>157556.24012166809</v>
      </c>
      <c r="K88">
        <f>+$B88*_xlfn.XLOOKUP($C88,'ACTUAL %'!$A:$A,'ACTUAL %'!G:G)</f>
        <v>145900.34356028878</v>
      </c>
      <c r="L88">
        <f>+$B88*_xlfn.XLOOKUP($C88,'ACTUAL %'!$A:$A,'ACTUAL %'!H:H)</f>
        <v>186299.74716519553</v>
      </c>
      <c r="M88">
        <f>+$B88*_xlfn.XLOOKUP($C88,'ACTUAL %'!$A:$A,'ACTUAL %'!I:I)</f>
        <v>48667.38716735068</v>
      </c>
      <c r="N88">
        <f>+$B88*_xlfn.XLOOKUP($C88,'ACTUAL %'!$A:$A,'ACTUAL %'!J:J)</f>
        <v>436670.99840456992</v>
      </c>
      <c r="O88">
        <f>+$B88*_xlfn.XLOOKUP($C88,'ACTUAL %'!$A:$A,'ACTUAL %'!K:K)</f>
        <v>436670.99840456992</v>
      </c>
      <c r="P88">
        <f>+$B88*_xlfn.XLOOKUP($C88,'ACTUAL %'!$A:$A,'ACTUAL %'!L:L)</f>
        <v>0</v>
      </c>
      <c r="Q88">
        <f>+$B88*_xlfn.XLOOKUP($C88,'ACTUAL %'!$A:$A,'ACTUAL %'!M:M)</f>
        <v>0</v>
      </c>
      <c r="R88">
        <f>+$B88*_xlfn.XLOOKUP($C88,'ACTUAL %'!$A:$A,'ACTUAL %'!N:N)+S88+T88+U88</f>
        <v>0</v>
      </c>
      <c r="S88">
        <f>+$B88*_xlfn.XLOOKUP($C88,'ACTUAL %'!$A:$A,'ACTUAL %'!O:O)</f>
        <v>0</v>
      </c>
      <c r="T88">
        <f>+$B88*_xlfn.XLOOKUP($C88,'ACTUAL %'!$A:$A,'ACTUAL %'!P:P)</f>
        <v>0</v>
      </c>
      <c r="U88">
        <f>+$B88*_xlfn.XLOOKUP($C88,'ACTUAL %'!$A:$A,'ACTUAL %'!Q:Q)</f>
        <v>0</v>
      </c>
      <c r="V88">
        <f t="shared" si="8"/>
        <v>1490009.80143877</v>
      </c>
      <c r="W88" s="517">
        <f t="shared" si="9"/>
        <v>0</v>
      </c>
    </row>
    <row r="89" spans="1:23" x14ac:dyDescent="0.75">
      <c r="A89" t="s">
        <v>1723</v>
      </c>
      <c r="B89">
        <v>107572.92265817923</v>
      </c>
      <c r="C89">
        <f t="shared" si="5"/>
        <v>4101</v>
      </c>
      <c r="D89" t="str">
        <f t="shared" si="6"/>
        <v>020</v>
      </c>
      <c r="E89" t="str">
        <f t="shared" si="7"/>
        <v>0000</v>
      </c>
      <c r="F89" t="s">
        <v>1807</v>
      </c>
      <c r="G89">
        <f>+$B89*_xlfn.XLOOKUP($C89,'ACTUAL %'!$A:$A,'ACTUAL %'!C:C)</f>
        <v>439544.59392987023</v>
      </c>
      <c r="H89">
        <f>+$B89*_xlfn.XLOOKUP($C89,'ACTUAL %'!$A:$A,'ACTUAL %'!D:D)</f>
        <v>74108.762341059642</v>
      </c>
      <c r="I89">
        <f>+$B89*_xlfn.XLOOKUP($C89,'ACTUAL %'!$A:$A,'ACTUAL %'!E:E)</f>
        <v>0</v>
      </c>
      <c r="J89">
        <f>+$B89*_xlfn.XLOOKUP($C89,'ACTUAL %'!$A:$A,'ACTUAL %'!F:F)</f>
        <v>-1.8844671476802473E-2</v>
      </c>
      <c r="K89">
        <f>+$B89*_xlfn.XLOOKUP($C89,'ACTUAL %'!$A:$A,'ACTUAL %'!G:G)</f>
        <v>0</v>
      </c>
      <c r="L89">
        <f>+$B89*_xlfn.XLOOKUP($C89,'ACTUAL %'!$A:$A,'ACTUAL %'!H:H)</f>
        <v>0</v>
      </c>
      <c r="M89">
        <f>+$B89*_xlfn.XLOOKUP($C89,'ACTUAL %'!$A:$A,'ACTUAL %'!I:I)</f>
        <v>312.84039118639782</v>
      </c>
      <c r="N89">
        <f>+$B89*_xlfn.XLOOKUP($C89,'ACTUAL %'!$A:$A,'ACTUAL %'!J:J)</f>
        <v>-203196.6275796328</v>
      </c>
      <c r="O89">
        <f>+$B89*_xlfn.XLOOKUP($C89,'ACTUAL %'!$A:$A,'ACTUAL %'!K:K)</f>
        <v>-203196.6275796328</v>
      </c>
      <c r="P89">
        <f>+$B89*_xlfn.XLOOKUP($C89,'ACTUAL %'!$A:$A,'ACTUAL %'!L:L)</f>
        <v>0</v>
      </c>
      <c r="Q89">
        <f>+$B89*_xlfn.XLOOKUP($C89,'ACTUAL %'!$A:$A,'ACTUAL %'!M:M)</f>
        <v>0</v>
      </c>
      <c r="R89">
        <f>+$B89*_xlfn.XLOOKUP($C89,'ACTUAL %'!$A:$A,'ACTUAL %'!N:N)+S89+T89+U89</f>
        <v>0</v>
      </c>
      <c r="S89">
        <f>+$B89*_xlfn.XLOOKUP($C89,'ACTUAL %'!$A:$A,'ACTUAL %'!O:O)</f>
        <v>0</v>
      </c>
      <c r="T89">
        <f>+$B89*_xlfn.XLOOKUP($C89,'ACTUAL %'!$A:$A,'ACTUAL %'!P:P)</f>
        <v>0</v>
      </c>
      <c r="U89">
        <f>+$B89*_xlfn.XLOOKUP($C89,'ACTUAL %'!$A:$A,'ACTUAL %'!Q:Q)</f>
        <v>0</v>
      </c>
      <c r="V89">
        <f t="shared" si="8"/>
        <v>107572.92265817919</v>
      </c>
      <c r="W89" s="517">
        <f t="shared" si="9"/>
        <v>0</v>
      </c>
    </row>
    <row r="90" spans="1:23" x14ac:dyDescent="0.75">
      <c r="A90" t="s">
        <v>1724</v>
      </c>
      <c r="B90">
        <v>81583.413717404037</v>
      </c>
      <c r="C90">
        <f t="shared" si="5"/>
        <v>4102</v>
      </c>
      <c r="D90" t="str">
        <f t="shared" si="6"/>
        <v>020</v>
      </c>
      <c r="E90" t="str">
        <f t="shared" si="7"/>
        <v>0000</v>
      </c>
      <c r="F90" t="s">
        <v>1808</v>
      </c>
      <c r="G90">
        <f>+$B90*_xlfn.XLOOKUP($C90,'ACTUAL %'!$A:$A,'ACTUAL %'!C:C)</f>
        <v>44482.629000194145</v>
      </c>
      <c r="H90">
        <f>+$B90*_xlfn.XLOOKUP($C90,'ACTUAL %'!$A:$A,'ACTUAL %'!D:D)</f>
        <v>516.32457671386283</v>
      </c>
      <c r="I90">
        <f>+$B90*_xlfn.XLOOKUP($C90,'ACTUAL %'!$A:$A,'ACTUAL %'!E:E)</f>
        <v>68258.109041572665</v>
      </c>
      <c r="J90">
        <f>+$B90*_xlfn.XLOOKUP($C90,'ACTUAL %'!$A:$A,'ACTUAL %'!F:F)</f>
        <v>383.45705230616215</v>
      </c>
      <c r="K90">
        <f>+$B90*_xlfn.XLOOKUP($C90,'ACTUAL %'!$A:$A,'ACTUAL %'!G:G)</f>
        <v>0</v>
      </c>
      <c r="L90">
        <f>+$B90*_xlfn.XLOOKUP($C90,'ACTUAL %'!$A:$A,'ACTUAL %'!H:H)</f>
        <v>115.11972762412285</v>
      </c>
      <c r="M90">
        <f>+$B90*_xlfn.XLOOKUP($C90,'ACTUAL %'!$A:$A,'ACTUAL %'!I:I)</f>
        <v>13247.436045335231</v>
      </c>
      <c r="N90">
        <f>+$B90*_xlfn.XLOOKUP($C90,'ACTUAL %'!$A:$A,'ACTUAL %'!J:J)</f>
        <v>-22709.830863171086</v>
      </c>
      <c r="O90">
        <f>+$B90*_xlfn.XLOOKUP($C90,'ACTUAL %'!$A:$A,'ACTUAL %'!K:K)</f>
        <v>-22709.830863171086</v>
      </c>
      <c r="P90">
        <f>+$B90*_xlfn.XLOOKUP($C90,'ACTUAL %'!$A:$A,'ACTUAL %'!L:L)</f>
        <v>0</v>
      </c>
      <c r="Q90">
        <f>+$B90*_xlfn.XLOOKUP($C90,'ACTUAL %'!$A:$A,'ACTUAL %'!M:M)</f>
        <v>0</v>
      </c>
      <c r="R90">
        <f>+$B90*_xlfn.XLOOKUP($C90,'ACTUAL %'!$A:$A,'ACTUAL %'!N:N)+S90+T90+U90</f>
        <v>0</v>
      </c>
      <c r="S90">
        <f>+$B90*_xlfn.XLOOKUP($C90,'ACTUAL %'!$A:$A,'ACTUAL %'!O:O)</f>
        <v>0</v>
      </c>
      <c r="T90">
        <f>+$B90*_xlfn.XLOOKUP($C90,'ACTUAL %'!$A:$A,'ACTUAL %'!P:P)</f>
        <v>0</v>
      </c>
      <c r="U90">
        <f>+$B90*_xlfn.XLOOKUP($C90,'ACTUAL %'!$A:$A,'ACTUAL %'!Q:Q)</f>
        <v>0</v>
      </c>
      <c r="V90">
        <f t="shared" si="8"/>
        <v>81583.413717404022</v>
      </c>
      <c r="W90" s="517">
        <f t="shared" si="9"/>
        <v>0</v>
      </c>
    </row>
    <row r="91" spans="1:23" x14ac:dyDescent="0.75">
      <c r="A91" t="s">
        <v>1586</v>
      </c>
      <c r="B91">
        <v>18541.684935773646</v>
      </c>
      <c r="C91">
        <f t="shared" si="5"/>
        <v>4200</v>
      </c>
      <c r="D91" t="str">
        <f t="shared" si="6"/>
        <v>020</v>
      </c>
      <c r="E91" t="str">
        <f t="shared" si="7"/>
        <v>0000</v>
      </c>
      <c r="F91" t="s">
        <v>1809</v>
      </c>
      <c r="G91">
        <f>+$B91*_xlfn.XLOOKUP($C91,'ACTUAL %'!$A:$A,'ACTUAL %'!C:C)</f>
        <v>0</v>
      </c>
      <c r="H91">
        <f>+$B91*_xlfn.XLOOKUP($C91,'ACTUAL %'!$A:$A,'ACTUAL %'!D:D)</f>
        <v>0</v>
      </c>
      <c r="I91">
        <f>+$B91*_xlfn.XLOOKUP($C91,'ACTUAL %'!$A:$A,'ACTUAL %'!E:E)</f>
        <v>145.31187157072975</v>
      </c>
      <c r="J91">
        <f>+$B91*_xlfn.XLOOKUP($C91,'ACTUAL %'!$A:$A,'ACTUAL %'!F:F)</f>
        <v>268.18143707845644</v>
      </c>
      <c r="K91">
        <f>+$B91*_xlfn.XLOOKUP($C91,'ACTUAL %'!$A:$A,'ACTUAL %'!G:G)</f>
        <v>2082.8561417426231</v>
      </c>
      <c r="L91">
        <f>+$B91*_xlfn.XLOOKUP($C91,'ACTUAL %'!$A:$A,'ACTUAL %'!H:H)</f>
        <v>10.906631116665075</v>
      </c>
      <c r="M91">
        <f>+$B91*_xlfn.XLOOKUP($C91,'ACTUAL %'!$A:$A,'ACTUAL %'!I:I)</f>
        <v>2651.0173188353165</v>
      </c>
      <c r="N91">
        <f>+$B91*_xlfn.XLOOKUP($C91,'ACTUAL %'!$A:$A,'ACTUAL %'!J:J)</f>
        <v>6691.7057677149269</v>
      </c>
      <c r="O91">
        <f>+$B91*_xlfn.XLOOKUP($C91,'ACTUAL %'!$A:$A,'ACTUAL %'!K:K)</f>
        <v>6691.7057677149269</v>
      </c>
      <c r="P91">
        <f>+$B91*_xlfn.XLOOKUP($C91,'ACTUAL %'!$A:$A,'ACTUAL %'!L:L)</f>
        <v>0</v>
      </c>
      <c r="Q91">
        <f>+$B91*_xlfn.XLOOKUP($C91,'ACTUAL %'!$A:$A,'ACTUAL %'!M:M)</f>
        <v>0</v>
      </c>
      <c r="R91">
        <f>+$B91*_xlfn.XLOOKUP($C91,'ACTUAL %'!$A:$A,'ACTUAL %'!N:N)+S91+T91+U91</f>
        <v>0</v>
      </c>
      <c r="S91">
        <f>+$B91*_xlfn.XLOOKUP($C91,'ACTUAL %'!$A:$A,'ACTUAL %'!O:O)</f>
        <v>0</v>
      </c>
      <c r="T91">
        <f>+$B91*_xlfn.XLOOKUP($C91,'ACTUAL %'!$A:$A,'ACTUAL %'!P:P)</f>
        <v>0</v>
      </c>
      <c r="U91">
        <f>+$B91*_xlfn.XLOOKUP($C91,'ACTUAL %'!$A:$A,'ACTUAL %'!Q:Q)</f>
        <v>0</v>
      </c>
      <c r="V91">
        <f t="shared" si="8"/>
        <v>18541.684935773646</v>
      </c>
      <c r="W91" s="517">
        <f t="shared" si="9"/>
        <v>0</v>
      </c>
    </row>
    <row r="92" spans="1:23" x14ac:dyDescent="0.75">
      <c r="A92" t="s">
        <v>1587</v>
      </c>
      <c r="B92">
        <v>5562.505480732093</v>
      </c>
      <c r="C92">
        <f t="shared" si="5"/>
        <v>4300</v>
      </c>
      <c r="D92" t="str">
        <f t="shared" si="6"/>
        <v>020</v>
      </c>
      <c r="E92" t="str">
        <f t="shared" si="7"/>
        <v>0000</v>
      </c>
      <c r="F92" t="s">
        <v>1810</v>
      </c>
      <c r="G92">
        <f>+$B92*_xlfn.XLOOKUP($C92,'ACTUAL %'!$A:$A,'ACTUAL %'!C:C)</f>
        <v>18.700613663794559</v>
      </c>
      <c r="H92">
        <f>+$B92*_xlfn.XLOOKUP($C92,'ACTUAL %'!$A:$A,'ACTUAL %'!D:D)</f>
        <v>124.90208735163863</v>
      </c>
      <c r="I92">
        <f>+$B92*_xlfn.XLOOKUP($C92,'ACTUAL %'!$A:$A,'ACTUAL %'!E:E)</f>
        <v>893.98469036619258</v>
      </c>
      <c r="J92">
        <f>+$B92*_xlfn.XLOOKUP($C92,'ACTUAL %'!$A:$A,'ACTUAL %'!F:F)</f>
        <v>31.298364171585906</v>
      </c>
      <c r="K92">
        <f>+$B92*_xlfn.XLOOKUP($C92,'ACTUAL %'!$A:$A,'ACTUAL %'!G:G)</f>
        <v>218.11908396017381</v>
      </c>
      <c r="L92">
        <f>+$B92*_xlfn.XLOOKUP($C92,'ACTUAL %'!$A:$A,'ACTUAL %'!H:H)</f>
        <v>46.891921202571545</v>
      </c>
      <c r="M92">
        <f>+$B92*_xlfn.XLOOKUP($C92,'ACTUAL %'!$A:$A,'ACTUAL %'!I:I)</f>
        <v>429.17908358408516</v>
      </c>
      <c r="N92">
        <f>+$B92*_xlfn.XLOOKUP($C92,'ACTUAL %'!$A:$A,'ACTUAL %'!J:J)</f>
        <v>752.63164635766168</v>
      </c>
      <c r="O92">
        <f>+$B92*_xlfn.XLOOKUP($C92,'ACTUAL %'!$A:$A,'ACTUAL %'!K:K)</f>
        <v>761.69949751859735</v>
      </c>
      <c r="P92">
        <f>+$B92*_xlfn.XLOOKUP($C92,'ACTUAL %'!$A:$A,'ACTUAL %'!L:L)</f>
        <v>761.69949751859735</v>
      </c>
      <c r="Q92">
        <f>+$B92*_xlfn.XLOOKUP($C92,'ACTUAL %'!$A:$A,'ACTUAL %'!M:M)</f>
        <v>761.69949751859735</v>
      </c>
      <c r="R92">
        <f>+$B92*_xlfn.XLOOKUP($C92,'ACTUAL %'!$A:$A,'ACTUAL %'!N:N)+S92+T92+U92</f>
        <v>761.69949751859735</v>
      </c>
      <c r="S92">
        <f>+$B92*_xlfn.XLOOKUP($C92,'ACTUAL %'!$A:$A,'ACTUAL %'!O:O)</f>
        <v>0</v>
      </c>
      <c r="T92">
        <f>+$B92*_xlfn.XLOOKUP($C92,'ACTUAL %'!$A:$A,'ACTUAL %'!P:P)</f>
        <v>0</v>
      </c>
      <c r="U92">
        <f>+$B92*_xlfn.XLOOKUP($C92,'ACTUAL %'!$A:$A,'ACTUAL %'!Q:Q)</f>
        <v>0</v>
      </c>
      <c r="V92">
        <f t="shared" si="8"/>
        <v>5562.505480732093</v>
      </c>
      <c r="W92" s="517">
        <f t="shared" si="9"/>
        <v>0</v>
      </c>
    </row>
    <row r="93" spans="1:23" x14ac:dyDescent="0.75">
      <c r="A93" t="s">
        <v>1725</v>
      </c>
      <c r="B93">
        <v>2500</v>
      </c>
      <c r="C93">
        <f t="shared" si="5"/>
        <v>4315</v>
      </c>
      <c r="D93" t="str">
        <f t="shared" si="6"/>
        <v>020</v>
      </c>
      <c r="E93" t="str">
        <f t="shared" si="7"/>
        <v>0000</v>
      </c>
      <c r="F93" t="s">
        <v>1811</v>
      </c>
      <c r="G93">
        <f>+$B93*_xlfn.XLOOKUP($C93,'ACTUAL %'!$A:$A,'ACTUAL %'!C:C)</f>
        <v>242.57499999999999</v>
      </c>
      <c r="H93">
        <f>+$B93*_xlfn.XLOOKUP($C93,'ACTUAL %'!$A:$A,'ACTUAL %'!D:D)</f>
        <v>0</v>
      </c>
      <c r="I93">
        <f>+$B93*_xlfn.XLOOKUP($C93,'ACTUAL %'!$A:$A,'ACTUAL %'!E:E)</f>
        <v>524.4083333333333</v>
      </c>
      <c r="J93">
        <f>+$B93*_xlfn.XLOOKUP($C93,'ACTUAL %'!$A:$A,'ACTUAL %'!F:F)</f>
        <v>544.84166666666658</v>
      </c>
      <c r="K93">
        <f>+$B93*_xlfn.XLOOKUP($C93,'ACTUAL %'!$A:$A,'ACTUAL %'!G:G)</f>
        <v>98.60833333333332</v>
      </c>
      <c r="L93">
        <f>+$B93*_xlfn.XLOOKUP($C93,'ACTUAL %'!$A:$A,'ACTUAL %'!H:H)</f>
        <v>82.474999999999994</v>
      </c>
      <c r="M93">
        <f>+$B93*_xlfn.XLOOKUP($C93,'ACTUAL %'!$A:$A,'ACTUAL %'!I:I)</f>
        <v>103.70833333333334</v>
      </c>
      <c r="N93">
        <f>+$B93*_xlfn.XLOOKUP($C93,'ACTUAL %'!$A:$A,'ACTUAL %'!J:J)</f>
        <v>451.69166666666678</v>
      </c>
      <c r="O93">
        <f>+$B93*_xlfn.XLOOKUP($C93,'ACTUAL %'!$A:$A,'ACTUAL %'!K:K)</f>
        <v>451.69166666666678</v>
      </c>
      <c r="P93">
        <f>+$B93*_xlfn.XLOOKUP($C93,'ACTUAL %'!$A:$A,'ACTUAL %'!L:L)</f>
        <v>0</v>
      </c>
      <c r="Q93">
        <f>+$B93*_xlfn.XLOOKUP($C93,'ACTUAL %'!$A:$A,'ACTUAL %'!M:M)</f>
        <v>0</v>
      </c>
      <c r="R93">
        <f>+$B93*_xlfn.XLOOKUP($C93,'ACTUAL %'!$A:$A,'ACTUAL %'!N:N)+S93+T93+U93</f>
        <v>0</v>
      </c>
      <c r="S93">
        <f>+$B93*_xlfn.XLOOKUP($C93,'ACTUAL %'!$A:$A,'ACTUAL %'!O:O)</f>
        <v>0</v>
      </c>
      <c r="T93">
        <f>+$B93*_xlfn.XLOOKUP($C93,'ACTUAL %'!$A:$A,'ACTUAL %'!P:P)</f>
        <v>0</v>
      </c>
      <c r="U93">
        <f>+$B93*_xlfn.XLOOKUP($C93,'ACTUAL %'!$A:$A,'ACTUAL %'!Q:Q)</f>
        <v>0</v>
      </c>
      <c r="V93">
        <f t="shared" si="8"/>
        <v>2499.9999999999995</v>
      </c>
      <c r="W93" s="517">
        <f t="shared" si="9"/>
        <v>0</v>
      </c>
    </row>
    <row r="94" spans="1:23" x14ac:dyDescent="0.75">
      <c r="A94" t="s">
        <v>1588</v>
      </c>
      <c r="B94">
        <v>11125.010961464186</v>
      </c>
      <c r="C94">
        <f t="shared" si="5"/>
        <v>4400</v>
      </c>
      <c r="D94" t="str">
        <f t="shared" si="6"/>
        <v>020</v>
      </c>
      <c r="E94" t="str">
        <f t="shared" si="7"/>
        <v>0000</v>
      </c>
      <c r="F94" t="s">
        <v>1812</v>
      </c>
      <c r="G94">
        <f>+$B94*_xlfn.XLOOKUP($C94,'ACTUAL %'!$A:$A,'ACTUAL %'!C:C)</f>
        <v>893.87409227187231</v>
      </c>
      <c r="H94">
        <f>+$B94*_xlfn.XLOOKUP($C94,'ACTUAL %'!$A:$A,'ACTUAL %'!D:D)</f>
        <v>0</v>
      </c>
      <c r="I94">
        <f>+$B94*_xlfn.XLOOKUP($C94,'ACTUAL %'!$A:$A,'ACTUAL %'!E:E)</f>
        <v>94.863253725096442</v>
      </c>
      <c r="J94">
        <f>+$B94*_xlfn.XLOOKUP($C94,'ACTUAL %'!$A:$A,'ACTUAL %'!F:F)</f>
        <v>18.106383224819943</v>
      </c>
      <c r="K94">
        <f>+$B94*_xlfn.XLOOKUP($C94,'ACTUAL %'!$A:$A,'ACTUAL %'!G:G)</f>
        <v>15.152264929514221</v>
      </c>
      <c r="L94">
        <f>+$B94*_xlfn.XLOOKUP($C94,'ACTUAL %'!$A:$A,'ACTUAL %'!H:H)</f>
        <v>0</v>
      </c>
      <c r="M94">
        <f>+$B94*_xlfn.XLOOKUP($C94,'ACTUAL %'!$A:$A,'ACTUAL %'!I:I)</f>
        <v>630.00537715403846</v>
      </c>
      <c r="N94">
        <f>+$B94*_xlfn.XLOOKUP($C94,'ACTUAL %'!$A:$A,'ACTUAL %'!J:J)</f>
        <v>1894.6019180317692</v>
      </c>
      <c r="O94">
        <f>+$B94*_xlfn.XLOOKUP($C94,'ACTUAL %'!$A:$A,'ACTUAL %'!K:K)</f>
        <v>1894.6019180317692</v>
      </c>
      <c r="P94">
        <f>+$B94*_xlfn.XLOOKUP($C94,'ACTUAL %'!$A:$A,'ACTUAL %'!L:L)</f>
        <v>1894.6019180317692</v>
      </c>
      <c r="Q94">
        <f>+$B94*_xlfn.XLOOKUP($C94,'ACTUAL %'!$A:$A,'ACTUAL %'!M:M)</f>
        <v>1894.6019180317692</v>
      </c>
      <c r="R94">
        <f>+$B94*_xlfn.XLOOKUP($C94,'ACTUAL %'!$A:$A,'ACTUAL %'!N:N)+S94+T94+U94</f>
        <v>1894.6019180317692</v>
      </c>
      <c r="S94">
        <f>+$B94*_xlfn.XLOOKUP($C94,'ACTUAL %'!$A:$A,'ACTUAL %'!O:O)</f>
        <v>0</v>
      </c>
      <c r="T94">
        <f>+$B94*_xlfn.XLOOKUP($C94,'ACTUAL %'!$A:$A,'ACTUAL %'!P:P)</f>
        <v>0</v>
      </c>
      <c r="U94">
        <f>+$B94*_xlfn.XLOOKUP($C94,'ACTUAL %'!$A:$A,'ACTUAL %'!Q:Q)</f>
        <v>0</v>
      </c>
      <c r="V94">
        <f t="shared" si="8"/>
        <v>11125.010961464186</v>
      </c>
      <c r="W94" s="517">
        <f t="shared" si="9"/>
        <v>0</v>
      </c>
    </row>
    <row r="95" spans="1:23" x14ac:dyDescent="0.75">
      <c r="A95" t="s">
        <v>1589</v>
      </c>
      <c r="B95">
        <v>107541.77262748714</v>
      </c>
      <c r="C95">
        <f t="shared" si="5"/>
        <v>4410</v>
      </c>
      <c r="D95" t="str">
        <f t="shared" si="6"/>
        <v>020</v>
      </c>
      <c r="E95" t="str">
        <f t="shared" si="7"/>
        <v>0000</v>
      </c>
      <c r="F95" t="s">
        <v>1813</v>
      </c>
      <c r="G95">
        <f>+$B95*_xlfn.XLOOKUP($C95,'ACTUAL %'!$A:$A,'ACTUAL %'!C:C)</f>
        <v>0</v>
      </c>
      <c r="H95">
        <f>+$B95*_xlfn.XLOOKUP($C95,'ACTUAL %'!$A:$A,'ACTUAL %'!D:D)</f>
        <v>5866.197205539198</v>
      </c>
      <c r="I95">
        <f>+$B95*_xlfn.XLOOKUP($C95,'ACTUAL %'!$A:$A,'ACTUAL %'!E:E)</f>
        <v>0</v>
      </c>
      <c r="J95">
        <f>+$B95*_xlfn.XLOOKUP($C95,'ACTUAL %'!$A:$A,'ACTUAL %'!F:F)</f>
        <v>27961.451254218042</v>
      </c>
      <c r="K95">
        <f>+$B95*_xlfn.XLOOKUP($C95,'ACTUAL %'!$A:$A,'ACTUAL %'!G:G)</f>
        <v>0</v>
      </c>
      <c r="L95">
        <f>+$B95*_xlfn.XLOOKUP($C95,'ACTUAL %'!$A:$A,'ACTUAL %'!H:H)</f>
        <v>0</v>
      </c>
      <c r="M95">
        <f>+$B95*_xlfn.XLOOKUP($C95,'ACTUAL %'!$A:$A,'ACTUAL %'!I:I)</f>
        <v>6071.4938951460372</v>
      </c>
      <c r="N95">
        <f>+$B95*_xlfn.XLOOKUP($C95,'ACTUAL %'!$A:$A,'ACTUAL %'!J:J)</f>
        <v>22547.54342419462</v>
      </c>
      <c r="O95">
        <f>+$B95*_xlfn.XLOOKUP($C95,'ACTUAL %'!$A:$A,'ACTUAL %'!K:K)</f>
        <v>22547.54342419462</v>
      </c>
      <c r="P95">
        <f>+$B95*_xlfn.XLOOKUP($C95,'ACTUAL %'!$A:$A,'ACTUAL %'!L:L)</f>
        <v>22547.54342419462</v>
      </c>
      <c r="Q95">
        <f>+$B95*_xlfn.XLOOKUP($C95,'ACTUAL %'!$A:$A,'ACTUAL %'!M:M)</f>
        <v>0</v>
      </c>
      <c r="R95">
        <f>+$B95*_xlfn.XLOOKUP($C95,'ACTUAL %'!$A:$A,'ACTUAL %'!N:N)+S95+T95+U95</f>
        <v>0</v>
      </c>
      <c r="S95">
        <f>+$B95*_xlfn.XLOOKUP($C95,'ACTUAL %'!$A:$A,'ACTUAL %'!O:O)</f>
        <v>0</v>
      </c>
      <c r="T95">
        <f>+$B95*_xlfn.XLOOKUP($C95,'ACTUAL %'!$A:$A,'ACTUAL %'!P:P)</f>
        <v>0</v>
      </c>
      <c r="U95">
        <f>+$B95*_xlfn.XLOOKUP($C95,'ACTUAL %'!$A:$A,'ACTUAL %'!Q:Q)</f>
        <v>0</v>
      </c>
      <c r="V95">
        <f t="shared" si="8"/>
        <v>107541.77262748714</v>
      </c>
      <c r="W95" s="517">
        <f t="shared" si="9"/>
        <v>0</v>
      </c>
    </row>
    <row r="96" spans="1:23" x14ac:dyDescent="0.75">
      <c r="A96" t="s">
        <v>1590</v>
      </c>
      <c r="B96">
        <v>2781.2527403660465</v>
      </c>
      <c r="C96">
        <f t="shared" si="5"/>
        <v>4430</v>
      </c>
      <c r="D96" t="str">
        <f t="shared" si="6"/>
        <v>020</v>
      </c>
      <c r="E96" t="str">
        <f t="shared" si="7"/>
        <v>0000</v>
      </c>
      <c r="F96" t="s">
        <v>1814</v>
      </c>
      <c r="G96">
        <f>+$B96*_xlfn.XLOOKUP($C96,'ACTUAL %'!$A:$A,'ACTUAL %'!C:C)</f>
        <v>0</v>
      </c>
      <c r="H96">
        <f>+$B96*_xlfn.XLOOKUP($C96,'ACTUAL %'!$A:$A,'ACTUAL %'!D:D)</f>
        <v>0</v>
      </c>
      <c r="I96">
        <f>+$B96*_xlfn.XLOOKUP($C96,'ACTUAL %'!$A:$A,'ACTUAL %'!E:E)</f>
        <v>812.04050843618109</v>
      </c>
      <c r="J96">
        <f>+$B96*_xlfn.XLOOKUP($C96,'ACTUAL %'!$A:$A,'ACTUAL %'!F:F)</f>
        <v>27.111651713088222</v>
      </c>
      <c r="K96">
        <f>+$B96*_xlfn.XLOOKUP($C96,'ACTUAL %'!$A:$A,'ACTUAL %'!G:G)</f>
        <v>31.098113974279553</v>
      </c>
      <c r="L96">
        <f>+$B96*_xlfn.XLOOKUP($C96,'ACTUAL %'!$A:$A,'ACTUAL %'!H:H)</f>
        <v>0</v>
      </c>
      <c r="M96">
        <f>+$B96*_xlfn.XLOOKUP($C96,'ACTUAL %'!$A:$A,'ACTUAL %'!I:I)</f>
        <v>0</v>
      </c>
      <c r="N96">
        <f>+$B96*_xlfn.XLOOKUP($C96,'ACTUAL %'!$A:$A,'ACTUAL %'!J:J)</f>
        <v>382.20049324849958</v>
      </c>
      <c r="O96">
        <f>+$B96*_xlfn.XLOOKUP($C96,'ACTUAL %'!$A:$A,'ACTUAL %'!K:K)</f>
        <v>382.20049324849958</v>
      </c>
      <c r="P96">
        <f>+$B96*_xlfn.XLOOKUP($C96,'ACTUAL %'!$A:$A,'ACTUAL %'!L:L)</f>
        <v>382.20049324849958</v>
      </c>
      <c r="Q96">
        <f>+$B96*_xlfn.XLOOKUP($C96,'ACTUAL %'!$A:$A,'ACTUAL %'!M:M)</f>
        <v>382.20049324849958</v>
      </c>
      <c r="R96">
        <f>+$B96*_xlfn.XLOOKUP($C96,'ACTUAL %'!$A:$A,'ACTUAL %'!N:N)+S96+T96+U96</f>
        <v>382.20049324849958</v>
      </c>
      <c r="S96">
        <f>+$B96*_xlfn.XLOOKUP($C96,'ACTUAL %'!$A:$A,'ACTUAL %'!O:O)</f>
        <v>0</v>
      </c>
      <c r="T96">
        <f>+$B96*_xlfn.XLOOKUP($C96,'ACTUAL %'!$A:$A,'ACTUAL %'!P:P)</f>
        <v>0</v>
      </c>
      <c r="U96">
        <f>+$B96*_xlfn.XLOOKUP($C96,'ACTUAL %'!$A:$A,'ACTUAL %'!Q:Q)</f>
        <v>0</v>
      </c>
      <c r="V96">
        <f t="shared" si="8"/>
        <v>2781.252740366047</v>
      </c>
      <c r="W96" s="517">
        <f t="shared" si="9"/>
        <v>0</v>
      </c>
    </row>
    <row r="97" spans="1:23" x14ac:dyDescent="0.75">
      <c r="A97" t="s">
        <v>1591</v>
      </c>
      <c r="B97">
        <v>500</v>
      </c>
      <c r="C97">
        <f t="shared" si="5"/>
        <v>4700</v>
      </c>
      <c r="D97" t="str">
        <f t="shared" si="6"/>
        <v>020</v>
      </c>
      <c r="E97" t="str">
        <f t="shared" si="7"/>
        <v>0000</v>
      </c>
      <c r="F97" t="s">
        <v>1815</v>
      </c>
      <c r="G97">
        <f>+$B97*_xlfn.XLOOKUP($C97,'ACTUAL %'!$A:$A,'ACTUAL %'!C:C)</f>
        <v>0</v>
      </c>
      <c r="H97">
        <f>+$B97*_xlfn.XLOOKUP($C97,'ACTUAL %'!$A:$A,'ACTUAL %'!D:D)</f>
        <v>0</v>
      </c>
      <c r="I97">
        <f>+$B97*_xlfn.XLOOKUP($C97,'ACTUAL %'!$A:$A,'ACTUAL %'!E:E)</f>
        <v>0</v>
      </c>
      <c r="J97">
        <f>+$B97*_xlfn.XLOOKUP($C97,'ACTUAL %'!$A:$A,'ACTUAL %'!F:F)</f>
        <v>0</v>
      </c>
      <c r="K97">
        <f>+$B97*_xlfn.XLOOKUP($C97,'ACTUAL %'!$A:$A,'ACTUAL %'!G:G)</f>
        <v>0</v>
      </c>
      <c r="L97">
        <f>+$B97*_xlfn.XLOOKUP($C97,'ACTUAL %'!$A:$A,'ACTUAL %'!H:H)</f>
        <v>0</v>
      </c>
      <c r="M97">
        <f>+$B97*_xlfn.XLOOKUP($C97,'ACTUAL %'!$A:$A,'ACTUAL %'!I:I)</f>
        <v>0</v>
      </c>
      <c r="N97">
        <f>+$B97*_xlfn.XLOOKUP($C97,'ACTUAL %'!$A:$A,'ACTUAL %'!J:J)</f>
        <v>0</v>
      </c>
      <c r="O97">
        <f>+$B97*_xlfn.XLOOKUP($C97,'ACTUAL %'!$A:$A,'ACTUAL %'!K:K)</f>
        <v>0</v>
      </c>
      <c r="P97">
        <f>+$B97*_xlfn.XLOOKUP($C97,'ACTUAL %'!$A:$A,'ACTUAL %'!L:L)</f>
        <v>0</v>
      </c>
      <c r="Q97">
        <f>+$B97*_xlfn.XLOOKUP($C97,'ACTUAL %'!$A:$A,'ACTUAL %'!M:M)</f>
        <v>0</v>
      </c>
      <c r="R97">
        <f>+$B97*_xlfn.XLOOKUP($C97,'ACTUAL %'!$A:$A,'ACTUAL %'!N:N)+S97+T97+U97</f>
        <v>0</v>
      </c>
      <c r="S97">
        <f>+$B97*_xlfn.XLOOKUP($C97,'ACTUAL %'!$A:$A,'ACTUAL %'!O:O)</f>
        <v>0</v>
      </c>
      <c r="T97">
        <f>+$B97*_xlfn.XLOOKUP($C97,'ACTUAL %'!$A:$A,'ACTUAL %'!P:P)</f>
        <v>0</v>
      </c>
      <c r="U97">
        <f>+$B97*_xlfn.XLOOKUP($C97,'ACTUAL %'!$A:$A,'ACTUAL %'!Q:Q)</f>
        <v>0</v>
      </c>
      <c r="V97">
        <f t="shared" si="8"/>
        <v>0</v>
      </c>
      <c r="W97" s="517">
        <f t="shared" si="9"/>
        <v>-500</v>
      </c>
    </row>
    <row r="98" spans="1:23" x14ac:dyDescent="0.75">
      <c r="A98" t="s">
        <v>1592</v>
      </c>
      <c r="B98">
        <v>37083.369871547293</v>
      </c>
      <c r="C98">
        <f t="shared" si="5"/>
        <v>5200</v>
      </c>
      <c r="D98" t="str">
        <f t="shared" si="6"/>
        <v>020</v>
      </c>
      <c r="E98" t="str">
        <f t="shared" si="7"/>
        <v>0000</v>
      </c>
      <c r="F98" t="s">
        <v>1816</v>
      </c>
      <c r="G98">
        <f>+$B98*_xlfn.XLOOKUP($C98,'ACTUAL %'!$A:$A,'ACTUAL %'!C:C)</f>
        <v>3452.3504849314386</v>
      </c>
      <c r="H98">
        <f>+$B98*_xlfn.XLOOKUP($C98,'ACTUAL %'!$A:$A,'ACTUAL %'!D:D)</f>
        <v>2843.6455101749252</v>
      </c>
      <c r="I98">
        <f>+$B98*_xlfn.XLOOKUP($C98,'ACTUAL %'!$A:$A,'ACTUAL %'!E:E)</f>
        <v>2097.1646913346526</v>
      </c>
      <c r="J98">
        <f>+$B98*_xlfn.XLOOKUP($C98,'ACTUAL %'!$A:$A,'ACTUAL %'!F:F)</f>
        <v>7790.2147590255536</v>
      </c>
      <c r="K98">
        <f>+$B98*_xlfn.XLOOKUP($C98,'ACTUAL %'!$A:$A,'ACTUAL %'!G:G)</f>
        <v>3942.0623424441305</v>
      </c>
      <c r="L98">
        <f>+$B98*_xlfn.XLOOKUP($C98,'ACTUAL %'!$A:$A,'ACTUAL %'!H:H)</f>
        <v>2720.3692637109407</v>
      </c>
      <c r="M98">
        <f>+$B98*_xlfn.XLOOKUP($C98,'ACTUAL %'!$A:$A,'ACTUAL %'!I:I)</f>
        <v>6785.8636027725161</v>
      </c>
      <c r="N98">
        <f>+$B98*_xlfn.XLOOKUP($C98,'ACTUAL %'!$A:$A,'ACTUAL %'!J:J)</f>
        <v>2483.8997390510444</v>
      </c>
      <c r="O98">
        <f>+$B98*_xlfn.XLOOKUP($C98,'ACTUAL %'!$A:$A,'ACTUAL %'!K:K)</f>
        <v>2483.8997390510444</v>
      </c>
      <c r="P98">
        <f>+$B98*_xlfn.XLOOKUP($C98,'ACTUAL %'!$A:$A,'ACTUAL %'!L:L)</f>
        <v>2483.8997390510444</v>
      </c>
      <c r="Q98">
        <f>+$B98*_xlfn.XLOOKUP($C98,'ACTUAL %'!$A:$A,'ACTUAL %'!M:M)</f>
        <v>0</v>
      </c>
      <c r="R98">
        <f>+$B98*_xlfn.XLOOKUP($C98,'ACTUAL %'!$A:$A,'ACTUAL %'!N:N)+S98+T98+U98</f>
        <v>0</v>
      </c>
      <c r="S98">
        <f>+$B98*_xlfn.XLOOKUP($C98,'ACTUAL %'!$A:$A,'ACTUAL %'!O:O)</f>
        <v>0</v>
      </c>
      <c r="T98">
        <f>+$B98*_xlfn.XLOOKUP($C98,'ACTUAL %'!$A:$A,'ACTUAL %'!P:P)</f>
        <v>0</v>
      </c>
      <c r="U98">
        <f>+$B98*_xlfn.XLOOKUP($C98,'ACTUAL %'!$A:$A,'ACTUAL %'!Q:Q)</f>
        <v>0</v>
      </c>
      <c r="V98">
        <f t="shared" si="8"/>
        <v>37083.369871547286</v>
      </c>
      <c r="W98" s="517">
        <f t="shared" si="9"/>
        <v>0</v>
      </c>
    </row>
    <row r="99" spans="1:23" x14ac:dyDescent="0.75">
      <c r="A99" t="s">
        <v>1726</v>
      </c>
      <c r="B99">
        <v>139062.63701830234</v>
      </c>
      <c r="C99">
        <f t="shared" si="5"/>
        <v>5210</v>
      </c>
      <c r="D99" t="str">
        <f t="shared" si="6"/>
        <v>020</v>
      </c>
      <c r="E99" t="str">
        <f t="shared" si="7"/>
        <v>0000</v>
      </c>
      <c r="F99" t="s">
        <v>1817</v>
      </c>
      <c r="G99">
        <f>+$B99*_xlfn.XLOOKUP($C99,'ACTUAL %'!$A:$A,'ACTUAL %'!C:C)</f>
        <v>31628.531319816</v>
      </c>
      <c r="H99">
        <f>+$B99*_xlfn.XLOOKUP($C99,'ACTUAL %'!$A:$A,'ACTUAL %'!D:D)</f>
        <v>1237.5218833917979</v>
      </c>
      <c r="I99">
        <f>+$B99*_xlfn.XLOOKUP($C99,'ACTUAL %'!$A:$A,'ACTUAL %'!E:E)</f>
        <v>83357.899319969903</v>
      </c>
      <c r="J99">
        <f>+$B99*_xlfn.XLOOKUP($C99,'ACTUAL %'!$A:$A,'ACTUAL %'!F:F)</f>
        <v>5179.9233068991907</v>
      </c>
      <c r="K99">
        <f>+$B99*_xlfn.XLOOKUP($C99,'ACTUAL %'!$A:$A,'ACTUAL %'!G:G)</f>
        <v>4435.7052689342681</v>
      </c>
      <c r="L99">
        <f>+$B99*_xlfn.XLOOKUP($C99,'ACTUAL %'!$A:$A,'ACTUAL %'!H:H)</f>
        <v>3476.5659254575585</v>
      </c>
      <c r="M99">
        <f>+$B99*_xlfn.XLOOKUP($C99,'ACTUAL %'!$A:$A,'ACTUAL %'!I:I)</f>
        <v>718.91906772536845</v>
      </c>
      <c r="N99">
        <f>+$B99*_xlfn.XLOOKUP($C99,'ACTUAL %'!$A:$A,'ACTUAL %'!J:J)</f>
        <v>1805.5141852216468</v>
      </c>
      <c r="O99">
        <f>+$B99*_xlfn.XLOOKUP($C99,'ACTUAL %'!$A:$A,'ACTUAL %'!K:K)</f>
        <v>1805.5141852216468</v>
      </c>
      <c r="P99">
        <f>+$B99*_xlfn.XLOOKUP($C99,'ACTUAL %'!$A:$A,'ACTUAL %'!L:L)</f>
        <v>1805.5141852216468</v>
      </c>
      <c r="Q99">
        <f>+$B99*_xlfn.XLOOKUP($C99,'ACTUAL %'!$A:$A,'ACTUAL %'!M:M)</f>
        <v>1805.5141852216468</v>
      </c>
      <c r="R99">
        <f>+$B99*_xlfn.XLOOKUP($C99,'ACTUAL %'!$A:$A,'ACTUAL %'!N:N)+S99+T99+U99</f>
        <v>1805.5141852216468</v>
      </c>
      <c r="S99">
        <f>+$B99*_xlfn.XLOOKUP($C99,'ACTUAL %'!$A:$A,'ACTUAL %'!O:O)</f>
        <v>0</v>
      </c>
      <c r="T99">
        <f>+$B99*_xlfn.XLOOKUP($C99,'ACTUAL %'!$A:$A,'ACTUAL %'!P:P)</f>
        <v>0</v>
      </c>
      <c r="U99">
        <f>+$B99*_xlfn.XLOOKUP($C99,'ACTUAL %'!$A:$A,'ACTUAL %'!Q:Q)</f>
        <v>0</v>
      </c>
      <c r="V99">
        <f t="shared" si="8"/>
        <v>139062.63701830225</v>
      </c>
      <c r="W99" s="517">
        <f t="shared" si="9"/>
        <v>0</v>
      </c>
    </row>
    <row r="100" spans="1:23" x14ac:dyDescent="0.75">
      <c r="A100" t="s">
        <v>1593</v>
      </c>
      <c r="B100">
        <v>25958.358910083101</v>
      </c>
      <c r="C100">
        <f t="shared" si="5"/>
        <v>5300</v>
      </c>
      <c r="D100" t="str">
        <f t="shared" si="6"/>
        <v>020</v>
      </c>
      <c r="E100" t="str">
        <f t="shared" si="7"/>
        <v>0000</v>
      </c>
      <c r="F100" t="s">
        <v>1818</v>
      </c>
      <c r="G100">
        <f>+$B100*_xlfn.XLOOKUP($C100,'ACTUAL %'!$A:$A,'ACTUAL %'!C:C)</f>
        <v>13023.004581555744</v>
      </c>
      <c r="H100">
        <f>+$B100*_xlfn.XLOOKUP($C100,'ACTUAL %'!$A:$A,'ACTUAL %'!D:D)</f>
        <v>37.083369871547291</v>
      </c>
      <c r="I100">
        <f>+$B100*_xlfn.XLOOKUP($C100,'ACTUAL %'!$A:$A,'ACTUAL %'!E:E)</f>
        <v>871.46290031834849</v>
      </c>
      <c r="J100">
        <f>+$B100*_xlfn.XLOOKUP($C100,'ACTUAL %'!$A:$A,'ACTUAL %'!F:F)</f>
        <v>0</v>
      </c>
      <c r="K100">
        <f>+$B100*_xlfn.XLOOKUP($C100,'ACTUAL %'!$A:$A,'ACTUAL %'!G:G)</f>
        <v>8845.8670491588891</v>
      </c>
      <c r="L100">
        <f>+$B100*_xlfn.XLOOKUP($C100,'ACTUAL %'!$A:$A,'ACTUAL %'!H:H)</f>
        <v>0</v>
      </c>
      <c r="M100">
        <f>+$B100*_xlfn.XLOOKUP($C100,'ACTUAL %'!$A:$A,'ACTUAL %'!I:I)</f>
        <v>101.97926714675505</v>
      </c>
      <c r="N100">
        <f>+$B100*_xlfn.XLOOKUP($C100,'ACTUAL %'!$A:$A,'ACTUAL %'!J:J)</f>
        <v>1026.3205806772714</v>
      </c>
      <c r="O100">
        <f>+$B100*_xlfn.XLOOKUP($C100,'ACTUAL %'!$A:$A,'ACTUAL %'!K:K)</f>
        <v>1026.3205806772714</v>
      </c>
      <c r="P100">
        <f>+$B100*_xlfn.XLOOKUP($C100,'ACTUAL %'!$A:$A,'ACTUAL %'!L:L)</f>
        <v>1026.3205806772714</v>
      </c>
      <c r="Q100">
        <f>+$B100*_xlfn.XLOOKUP($C100,'ACTUAL %'!$A:$A,'ACTUAL %'!M:M)</f>
        <v>0</v>
      </c>
      <c r="R100">
        <f>+$B100*_xlfn.XLOOKUP($C100,'ACTUAL %'!$A:$A,'ACTUAL %'!N:N)+S100+T100+U100</f>
        <v>0</v>
      </c>
      <c r="S100">
        <f>+$B100*_xlfn.XLOOKUP($C100,'ACTUAL %'!$A:$A,'ACTUAL %'!O:O)</f>
        <v>0</v>
      </c>
      <c r="T100">
        <f>+$B100*_xlfn.XLOOKUP($C100,'ACTUAL %'!$A:$A,'ACTUAL %'!P:P)</f>
        <v>0</v>
      </c>
      <c r="U100">
        <f>+$B100*_xlfn.XLOOKUP($C100,'ACTUAL %'!$A:$A,'ACTUAL %'!Q:Q)</f>
        <v>0</v>
      </c>
      <c r="V100">
        <f t="shared" si="8"/>
        <v>25958.358910083098</v>
      </c>
      <c r="W100" s="517">
        <f t="shared" si="9"/>
        <v>0</v>
      </c>
    </row>
    <row r="101" spans="1:23" x14ac:dyDescent="0.75">
      <c r="A101" t="s">
        <v>1594</v>
      </c>
      <c r="B101">
        <v>27812.527403660468</v>
      </c>
      <c r="C101">
        <f t="shared" si="5"/>
        <v>5400</v>
      </c>
      <c r="D101" t="str">
        <f t="shared" si="6"/>
        <v>020</v>
      </c>
      <c r="E101" t="str">
        <f t="shared" si="7"/>
        <v>0000</v>
      </c>
      <c r="F101" t="s">
        <v>1819</v>
      </c>
      <c r="G101">
        <f>+$B101*_xlfn.XLOOKUP($C101,'ACTUAL %'!$A:$A,'ACTUAL %'!C:C)</f>
        <v>0</v>
      </c>
      <c r="H101">
        <f>+$B101*_xlfn.XLOOKUP($C101,'ACTUAL %'!$A:$A,'ACTUAL %'!D:D)</f>
        <v>0</v>
      </c>
      <c r="I101">
        <f>+$B101*_xlfn.XLOOKUP($C101,'ACTUAL %'!$A:$A,'ACTUAL %'!E:E)</f>
        <v>7367.4594630991423</v>
      </c>
      <c r="J101">
        <f>+$B101*_xlfn.XLOOKUP($C101,'ACTUAL %'!$A:$A,'ACTUAL %'!F:F)</f>
        <v>10240.865353474139</v>
      </c>
      <c r="K101">
        <f>+$B101*_xlfn.XLOOKUP($C101,'ACTUAL %'!$A:$A,'ACTUAL %'!G:G)</f>
        <v>0</v>
      </c>
      <c r="L101">
        <f>+$B101*_xlfn.XLOOKUP($C101,'ACTUAL %'!$A:$A,'ACTUAL %'!H:H)</f>
        <v>0</v>
      </c>
      <c r="M101">
        <f>+$B101*_xlfn.XLOOKUP($C101,'ACTUAL %'!$A:$A,'ACTUAL %'!I:I)</f>
        <v>0</v>
      </c>
      <c r="N101">
        <f>+$B101*_xlfn.XLOOKUP($C101,'ACTUAL %'!$A:$A,'ACTUAL %'!J:J)</f>
        <v>3401.4008623623959</v>
      </c>
      <c r="O101">
        <f>+$B101*_xlfn.XLOOKUP($C101,'ACTUAL %'!$A:$A,'ACTUAL %'!K:K)</f>
        <v>3401.4008623623959</v>
      </c>
      <c r="P101">
        <f>+$B101*_xlfn.XLOOKUP($C101,'ACTUAL %'!$A:$A,'ACTUAL %'!L:L)</f>
        <v>3401.4008623623959</v>
      </c>
      <c r="Q101">
        <f>+$B101*_xlfn.XLOOKUP($C101,'ACTUAL %'!$A:$A,'ACTUAL %'!M:M)</f>
        <v>0</v>
      </c>
      <c r="R101">
        <f>+$B101*_xlfn.XLOOKUP($C101,'ACTUAL %'!$A:$A,'ACTUAL %'!N:N)+S101+T101+U101</f>
        <v>0</v>
      </c>
      <c r="S101">
        <f>+$B101*_xlfn.XLOOKUP($C101,'ACTUAL %'!$A:$A,'ACTUAL %'!O:O)</f>
        <v>0</v>
      </c>
      <c r="T101">
        <f>+$B101*_xlfn.XLOOKUP($C101,'ACTUAL %'!$A:$A,'ACTUAL %'!P:P)</f>
        <v>0</v>
      </c>
      <c r="U101">
        <f>+$B101*_xlfn.XLOOKUP($C101,'ACTUAL %'!$A:$A,'ACTUAL %'!Q:Q)</f>
        <v>0</v>
      </c>
      <c r="V101">
        <f t="shared" si="8"/>
        <v>27812.527403660468</v>
      </c>
      <c r="W101" s="517">
        <f t="shared" si="9"/>
        <v>0</v>
      </c>
    </row>
    <row r="102" spans="1:23" x14ac:dyDescent="0.75">
      <c r="A102" t="s">
        <v>1595</v>
      </c>
      <c r="B102">
        <v>2225.0021922928372</v>
      </c>
      <c r="C102">
        <f t="shared" si="5"/>
        <v>5500</v>
      </c>
      <c r="D102" t="str">
        <f t="shared" si="6"/>
        <v>020</v>
      </c>
      <c r="E102" t="str">
        <f t="shared" si="7"/>
        <v>0000</v>
      </c>
      <c r="F102" t="s">
        <v>1820</v>
      </c>
      <c r="G102">
        <f>+$B102*_xlfn.XLOOKUP($C102,'ACTUAL %'!$A:$A,'ACTUAL %'!C:C)</f>
        <v>0</v>
      </c>
      <c r="H102">
        <f>+$B102*_xlfn.XLOOKUP($C102,'ACTUAL %'!$A:$A,'ACTUAL %'!D:D)</f>
        <v>281.83361102375943</v>
      </c>
      <c r="I102">
        <f>+$B102*_xlfn.XLOOKUP($C102,'ACTUAL %'!$A:$A,'ACTUAL %'!E:E)</f>
        <v>140.92051384886685</v>
      </c>
      <c r="J102">
        <f>+$B102*_xlfn.XLOOKUP($C102,'ACTUAL %'!$A:$A,'ACTUAL %'!F:F)</f>
        <v>0</v>
      </c>
      <c r="K102">
        <f>+$B102*_xlfn.XLOOKUP($C102,'ACTUAL %'!$A:$A,'ACTUAL %'!G:G)</f>
        <v>140.91309717489256</v>
      </c>
      <c r="L102">
        <f>+$B102*_xlfn.XLOOKUP($C102,'ACTUAL %'!$A:$A,'ACTUAL %'!H:H)</f>
        <v>176.14600688984962</v>
      </c>
      <c r="M102">
        <f>+$B102*_xlfn.XLOOKUP($C102,'ACTUAL %'!$A:$A,'ACTUAL %'!I:I)</f>
        <v>140.92051384886685</v>
      </c>
      <c r="N102">
        <f>+$B102*_xlfn.XLOOKUP($C102,'ACTUAL %'!$A:$A,'ACTUAL %'!J:J)</f>
        <v>266.28706756336027</v>
      </c>
      <c r="O102">
        <f>+$B102*_xlfn.XLOOKUP($C102,'ACTUAL %'!$A:$A,'ACTUAL %'!K:K)</f>
        <v>269.49534548581039</v>
      </c>
      <c r="P102">
        <f>+$B102*_xlfn.XLOOKUP($C102,'ACTUAL %'!$A:$A,'ACTUAL %'!L:L)</f>
        <v>269.49534548581039</v>
      </c>
      <c r="Q102">
        <f>+$B102*_xlfn.XLOOKUP($C102,'ACTUAL %'!$A:$A,'ACTUAL %'!M:M)</f>
        <v>269.49534548581039</v>
      </c>
      <c r="R102">
        <f>+$B102*_xlfn.XLOOKUP($C102,'ACTUAL %'!$A:$A,'ACTUAL %'!N:N)+S102+T102+U102</f>
        <v>269.49534548581039</v>
      </c>
      <c r="S102">
        <f>+$B102*_xlfn.XLOOKUP($C102,'ACTUAL %'!$A:$A,'ACTUAL %'!O:O)</f>
        <v>0</v>
      </c>
      <c r="T102">
        <f>+$B102*_xlfn.XLOOKUP($C102,'ACTUAL %'!$A:$A,'ACTUAL %'!P:P)</f>
        <v>0</v>
      </c>
      <c r="U102">
        <f>+$B102*_xlfn.XLOOKUP($C102,'ACTUAL %'!$A:$A,'ACTUAL %'!Q:Q)</f>
        <v>0</v>
      </c>
      <c r="V102">
        <f t="shared" si="8"/>
        <v>2225.0021922928377</v>
      </c>
      <c r="W102" s="517">
        <f t="shared" si="9"/>
        <v>0</v>
      </c>
    </row>
    <row r="103" spans="1:23" x14ac:dyDescent="0.75">
      <c r="A103" t="s">
        <v>1727</v>
      </c>
      <c r="B103">
        <v>927.08424678868221</v>
      </c>
      <c r="C103">
        <f t="shared" si="5"/>
        <v>5501</v>
      </c>
      <c r="D103" t="str">
        <f t="shared" si="6"/>
        <v>020</v>
      </c>
      <c r="E103" t="str">
        <f t="shared" si="7"/>
        <v>0000</v>
      </c>
      <c r="F103" t="s">
        <v>1821</v>
      </c>
      <c r="G103">
        <f>+$B103*_xlfn.XLOOKUP($C103,'ACTUAL %'!$A:$A,'ACTUAL %'!C:C)</f>
        <v>75.77244965853258</v>
      </c>
      <c r="H103">
        <f>+$B103*_xlfn.XLOOKUP($C103,'ACTUAL %'!$A:$A,'ACTUAL %'!D:D)</f>
        <v>78.524035703001374</v>
      </c>
      <c r="I103">
        <f>+$B103*_xlfn.XLOOKUP($C103,'ACTUAL %'!$A:$A,'ACTUAL %'!E:E)</f>
        <v>0</v>
      </c>
      <c r="J103">
        <f>+$B103*_xlfn.XLOOKUP($C103,'ACTUAL %'!$A:$A,'ACTUAL %'!F:F)</f>
        <v>74.348448255465158</v>
      </c>
      <c r="K103">
        <f>+$B103*_xlfn.XLOOKUP($C103,'ACTUAL %'!$A:$A,'ACTUAL %'!G:G)</f>
        <v>62.860020269259813</v>
      </c>
      <c r="L103">
        <f>+$B103*_xlfn.XLOOKUP($C103,'ACTUAL %'!$A:$A,'ACTUAL %'!H:H)</f>
        <v>54.638637168737773</v>
      </c>
      <c r="M103">
        <f>+$B103*_xlfn.XLOOKUP($C103,'ACTUAL %'!$A:$A,'ACTUAL %'!I:I)</f>
        <v>44.373960388293483</v>
      </c>
      <c r="N103">
        <f>+$B103*_xlfn.XLOOKUP($C103,'ACTUAL %'!$A:$A,'ACTUAL %'!J:J)</f>
        <v>106.2888680517125</v>
      </c>
      <c r="O103">
        <f>+$B103*_xlfn.XLOOKUP($C103,'ACTUAL %'!$A:$A,'ACTUAL %'!K:K)</f>
        <v>107.56945682341987</v>
      </c>
      <c r="P103">
        <f>+$B103*_xlfn.XLOOKUP($C103,'ACTUAL %'!$A:$A,'ACTUAL %'!L:L)</f>
        <v>107.56945682341987</v>
      </c>
      <c r="Q103">
        <f>+$B103*_xlfn.XLOOKUP($C103,'ACTUAL %'!$A:$A,'ACTUAL %'!M:M)</f>
        <v>107.56945682341987</v>
      </c>
      <c r="R103">
        <f>+$B103*_xlfn.XLOOKUP($C103,'ACTUAL %'!$A:$A,'ACTUAL %'!N:N)+S103+T103+U103</f>
        <v>107.56945682341987</v>
      </c>
      <c r="S103">
        <f>+$B103*_xlfn.XLOOKUP($C103,'ACTUAL %'!$A:$A,'ACTUAL %'!O:O)</f>
        <v>0</v>
      </c>
      <c r="T103">
        <f>+$B103*_xlfn.XLOOKUP($C103,'ACTUAL %'!$A:$A,'ACTUAL %'!P:P)</f>
        <v>0</v>
      </c>
      <c r="U103">
        <f>+$B103*_xlfn.XLOOKUP($C103,'ACTUAL %'!$A:$A,'ACTUAL %'!Q:Q)</f>
        <v>0</v>
      </c>
      <c r="V103">
        <f t="shared" si="8"/>
        <v>927.08424678868198</v>
      </c>
      <c r="W103" s="517">
        <f t="shared" si="9"/>
        <v>0</v>
      </c>
    </row>
    <row r="104" spans="1:23" x14ac:dyDescent="0.75">
      <c r="A104" t="s">
        <v>1596</v>
      </c>
      <c r="B104">
        <v>76373.344937259302</v>
      </c>
      <c r="C104">
        <f t="shared" si="5"/>
        <v>5600</v>
      </c>
      <c r="D104" t="str">
        <f t="shared" si="6"/>
        <v>020</v>
      </c>
      <c r="E104" t="str">
        <f t="shared" si="7"/>
        <v>0000</v>
      </c>
      <c r="F104" t="s">
        <v>1822</v>
      </c>
      <c r="G104">
        <f>+$B104*_xlfn.XLOOKUP($C104,'ACTUAL %'!$A:$A,'ACTUAL %'!C:C)</f>
        <v>8178.7963978193957</v>
      </c>
      <c r="H104">
        <f>+$B104*_xlfn.XLOOKUP($C104,'ACTUAL %'!$A:$A,'ACTUAL %'!D:D)</f>
        <v>5801.6002677213737</v>
      </c>
      <c r="I104">
        <f>+$B104*_xlfn.XLOOKUP($C104,'ACTUAL %'!$A:$A,'ACTUAL %'!E:E)</f>
        <v>6581.133787516248</v>
      </c>
      <c r="J104">
        <f>+$B104*_xlfn.XLOOKUP($C104,'ACTUAL %'!$A:$A,'ACTUAL %'!F:F)</f>
        <v>6581.133787516248</v>
      </c>
      <c r="K104">
        <f>+$B104*_xlfn.XLOOKUP($C104,'ACTUAL %'!$A:$A,'ACTUAL %'!G:G)</f>
        <v>6581.133787516248</v>
      </c>
      <c r="L104">
        <f>+$B104*_xlfn.XLOOKUP($C104,'ACTUAL %'!$A:$A,'ACTUAL %'!H:H)</f>
        <v>6680.4290349710082</v>
      </c>
      <c r="M104">
        <f>+$B104*_xlfn.XLOOKUP($C104,'ACTUAL %'!$A:$A,'ACTUAL %'!I:I)</f>
        <v>6680.4290349710082</v>
      </c>
      <c r="N104">
        <f>+$B104*_xlfn.XLOOKUP($C104,'ACTUAL %'!$A:$A,'ACTUAL %'!J:J)</f>
        <v>5801.8166435701796</v>
      </c>
      <c r="O104">
        <f>+$B104*_xlfn.XLOOKUP($C104,'ACTUAL %'!$A:$A,'ACTUAL %'!K:K)</f>
        <v>5871.7180489143984</v>
      </c>
      <c r="P104">
        <f>+$B104*_xlfn.XLOOKUP($C104,'ACTUAL %'!$A:$A,'ACTUAL %'!L:L)</f>
        <v>5871.7180489143984</v>
      </c>
      <c r="Q104">
        <f>+$B104*_xlfn.XLOOKUP($C104,'ACTUAL %'!$A:$A,'ACTUAL %'!M:M)</f>
        <v>5871.7180489143984</v>
      </c>
      <c r="R104">
        <f>+$B104*_xlfn.XLOOKUP($C104,'ACTUAL %'!$A:$A,'ACTUAL %'!N:N)+S104+T104+U104</f>
        <v>5871.7180489143984</v>
      </c>
      <c r="S104">
        <f>+$B104*_xlfn.XLOOKUP($C104,'ACTUAL %'!$A:$A,'ACTUAL %'!O:O)</f>
        <v>0</v>
      </c>
      <c r="T104">
        <f>+$B104*_xlfn.XLOOKUP($C104,'ACTUAL %'!$A:$A,'ACTUAL %'!P:P)</f>
        <v>0</v>
      </c>
      <c r="U104">
        <f>+$B104*_xlfn.XLOOKUP($C104,'ACTUAL %'!$A:$A,'ACTUAL %'!Q:Q)</f>
        <v>0</v>
      </c>
      <c r="V104">
        <f t="shared" si="8"/>
        <v>76373.344937259302</v>
      </c>
      <c r="W104" s="517">
        <f t="shared" si="9"/>
        <v>0</v>
      </c>
    </row>
    <row r="105" spans="1:23" x14ac:dyDescent="0.75">
      <c r="A105" t="s">
        <v>1597</v>
      </c>
      <c r="B105">
        <v>18541.684935773646</v>
      </c>
      <c r="C105">
        <f t="shared" si="5"/>
        <v>5602</v>
      </c>
      <c r="D105" t="str">
        <f t="shared" si="6"/>
        <v>020</v>
      </c>
      <c r="E105" t="str">
        <f t="shared" si="7"/>
        <v>0000</v>
      </c>
      <c r="F105" t="s">
        <v>1823</v>
      </c>
      <c r="G105">
        <f>+$B105*_xlfn.XLOOKUP($C105,'ACTUAL %'!$A:$A,'ACTUAL %'!C:C)</f>
        <v>0</v>
      </c>
      <c r="H105">
        <f>+$B105*_xlfn.XLOOKUP($C105,'ACTUAL %'!$A:$A,'ACTUAL %'!D:D)</f>
        <v>0</v>
      </c>
      <c r="I105">
        <f>+$B105*_xlfn.XLOOKUP($C105,'ACTUAL %'!$A:$A,'ACTUAL %'!E:E)</f>
        <v>0</v>
      </c>
      <c r="J105">
        <f>+$B105*_xlfn.XLOOKUP($C105,'ACTUAL %'!$A:$A,'ACTUAL %'!F:F)</f>
        <v>0</v>
      </c>
      <c r="K105">
        <f>+$B105*_xlfn.XLOOKUP($C105,'ACTUAL %'!$A:$A,'ACTUAL %'!G:G)</f>
        <v>0</v>
      </c>
      <c r="L105">
        <f>+$B105*_xlfn.XLOOKUP($C105,'ACTUAL %'!$A:$A,'ACTUAL %'!H:H)</f>
        <v>0</v>
      </c>
      <c r="M105">
        <f>+$B105*_xlfn.XLOOKUP($C105,'ACTUAL %'!$A:$A,'ACTUAL %'!I:I)</f>
        <v>0</v>
      </c>
      <c r="N105">
        <f>+$B105*_xlfn.XLOOKUP($C105,'ACTUAL %'!$A:$A,'ACTUAL %'!J:J)</f>
        <v>3672.9352020744932</v>
      </c>
      <c r="O105">
        <f>+$B105*_xlfn.XLOOKUP($C105,'ACTUAL %'!$A:$A,'ACTUAL %'!K:K)</f>
        <v>3717.1874334247882</v>
      </c>
      <c r="P105">
        <f>+$B105*_xlfn.XLOOKUP($C105,'ACTUAL %'!$A:$A,'ACTUAL %'!L:L)</f>
        <v>3717.1874334247882</v>
      </c>
      <c r="Q105">
        <f>+$B105*_xlfn.XLOOKUP($C105,'ACTUAL %'!$A:$A,'ACTUAL %'!M:M)</f>
        <v>3717.1874334247882</v>
      </c>
      <c r="R105">
        <f>+$B105*_xlfn.XLOOKUP($C105,'ACTUAL %'!$A:$A,'ACTUAL %'!N:N)+S105+T105+U105</f>
        <v>3717.1874334247882</v>
      </c>
      <c r="S105">
        <f>+$B105*_xlfn.XLOOKUP($C105,'ACTUAL %'!$A:$A,'ACTUAL %'!O:O)</f>
        <v>0</v>
      </c>
      <c r="T105">
        <f>+$B105*_xlfn.XLOOKUP($C105,'ACTUAL %'!$A:$A,'ACTUAL %'!P:P)</f>
        <v>0</v>
      </c>
      <c r="U105">
        <f>+$B105*_xlfn.XLOOKUP($C105,'ACTUAL %'!$A:$A,'ACTUAL %'!Q:Q)</f>
        <v>0</v>
      </c>
      <c r="V105">
        <f t="shared" si="8"/>
        <v>18541.684935773646</v>
      </c>
      <c r="W105" s="517">
        <f t="shared" si="9"/>
        <v>0</v>
      </c>
    </row>
    <row r="106" spans="1:23" x14ac:dyDescent="0.75">
      <c r="A106" s="178" t="s">
        <v>1728</v>
      </c>
      <c r="B106">
        <v>1854.1684935773644</v>
      </c>
      <c r="C106">
        <f t="shared" si="5"/>
        <v>5603</v>
      </c>
      <c r="D106" t="str">
        <f t="shared" si="6"/>
        <v>020</v>
      </c>
      <c r="E106" t="str">
        <f t="shared" si="7"/>
        <v>0000</v>
      </c>
      <c r="F106" t="s">
        <v>1824</v>
      </c>
      <c r="G106">
        <f>+$B106*_xlfn.XLOOKUP($C106,'ACTUAL %'!$A:$A,'ACTUAL %'!C:C)</f>
        <v>0</v>
      </c>
      <c r="H106">
        <f>+$B106*_xlfn.XLOOKUP($C106,'ACTUAL %'!$A:$A,'ACTUAL %'!D:D)</f>
        <v>0</v>
      </c>
      <c r="I106">
        <f>+$B106*_xlfn.XLOOKUP($C106,'ACTUAL %'!$A:$A,'ACTUAL %'!E:E)</f>
        <v>0</v>
      </c>
      <c r="J106">
        <f>+$B106*_xlfn.XLOOKUP($C106,'ACTUAL %'!$A:$A,'ACTUAL %'!F:F)</f>
        <v>0</v>
      </c>
      <c r="K106">
        <f>+$B106*_xlfn.XLOOKUP($C106,'ACTUAL %'!$A:$A,'ACTUAL %'!G:G)</f>
        <v>0</v>
      </c>
      <c r="L106">
        <f>+$B106*_xlfn.XLOOKUP($C106,'ACTUAL %'!$A:$A,'ACTUAL %'!H:H)</f>
        <v>0</v>
      </c>
      <c r="M106">
        <f>+$B106*_xlfn.XLOOKUP($C106,'ACTUAL %'!$A:$A,'ACTUAL %'!I:I)</f>
        <v>0</v>
      </c>
      <c r="N106">
        <f>+$B106*_xlfn.XLOOKUP($C106,'ACTUAL %'!$A:$A,'ACTUAL %'!J:J)</f>
        <v>0</v>
      </c>
      <c r="O106">
        <f>+$B106*_xlfn.XLOOKUP($C106,'ACTUAL %'!$A:$A,'ACTUAL %'!K:K)</f>
        <v>0</v>
      </c>
      <c r="P106">
        <f>+$B106*_xlfn.XLOOKUP($C106,'ACTUAL %'!$A:$A,'ACTUAL %'!L:L)</f>
        <v>0</v>
      </c>
      <c r="Q106">
        <f>+$B106*_xlfn.XLOOKUP($C106,'ACTUAL %'!$A:$A,'ACTUAL %'!M:M)</f>
        <v>0</v>
      </c>
      <c r="R106">
        <f>+$B106*_xlfn.XLOOKUP($C106,'ACTUAL %'!$A:$A,'ACTUAL %'!N:N)+S106+T106+U106</f>
        <v>0</v>
      </c>
      <c r="S106">
        <f>+$B106*_xlfn.XLOOKUP($C106,'ACTUAL %'!$A:$A,'ACTUAL %'!O:O)</f>
        <v>0</v>
      </c>
      <c r="T106">
        <f>+$B106*_xlfn.XLOOKUP($C106,'ACTUAL %'!$A:$A,'ACTUAL %'!P:P)</f>
        <v>0</v>
      </c>
      <c r="U106">
        <f>+$B106*_xlfn.XLOOKUP($C106,'ACTUAL %'!$A:$A,'ACTUAL %'!Q:Q)</f>
        <v>0</v>
      </c>
      <c r="V106">
        <f t="shared" si="8"/>
        <v>0</v>
      </c>
      <c r="W106" s="517">
        <f t="shared" si="9"/>
        <v>-1854.1684935773644</v>
      </c>
    </row>
    <row r="107" spans="1:23" x14ac:dyDescent="0.75">
      <c r="A107" s="178" t="s">
        <v>1598</v>
      </c>
      <c r="B107">
        <v>266614.89727520774</v>
      </c>
      <c r="C107">
        <f t="shared" si="5"/>
        <v>5800</v>
      </c>
      <c r="D107" t="str">
        <f t="shared" si="6"/>
        <v>020</v>
      </c>
      <c r="E107" t="str">
        <f t="shared" si="7"/>
        <v>0000</v>
      </c>
      <c r="F107" t="s">
        <v>1825</v>
      </c>
      <c r="G107">
        <f>+$B107*_xlfn.XLOOKUP($C107,'ACTUAL %'!$A:$A,'ACTUAL %'!C:C)</f>
        <v>37202.078689563867</v>
      </c>
      <c r="H107">
        <f>+$B107*_xlfn.XLOOKUP($C107,'ACTUAL %'!$A:$A,'ACTUAL %'!D:D)</f>
        <v>15197.297158544772</v>
      </c>
      <c r="I107">
        <f>+$B107*_xlfn.XLOOKUP($C107,'ACTUAL %'!$A:$A,'ACTUAL %'!E:E)</f>
        <v>1359.7545771429043</v>
      </c>
      <c r="J107">
        <f>+$B107*_xlfn.XLOOKUP($C107,'ACTUAL %'!$A:$A,'ACTUAL %'!F:F)</f>
        <v>71303.984154997408</v>
      </c>
      <c r="K107">
        <f>+$B107*_xlfn.XLOOKUP($C107,'ACTUAL %'!$A:$A,'ACTUAL %'!G:G)</f>
        <v>17340.198894528134</v>
      </c>
      <c r="L107">
        <f>+$B107*_xlfn.XLOOKUP($C107,'ACTUAL %'!$A:$A,'ACTUAL %'!H:H)</f>
        <v>713.04604189642248</v>
      </c>
      <c r="M107">
        <f>+$B107*_xlfn.XLOOKUP($C107,'ACTUAL %'!$A:$A,'ACTUAL %'!I:I)</f>
        <v>97779.46968941683</v>
      </c>
      <c r="N107">
        <f>+$B107*_xlfn.XLOOKUP($C107,'ACTUAL %'!$A:$A,'ACTUAL %'!J:J)</f>
        <v>5094.7079945984333</v>
      </c>
      <c r="O107">
        <f>+$B107*_xlfn.XLOOKUP($C107,'ACTUAL %'!$A:$A,'ACTUAL %'!K:K)</f>
        <v>5156.0900186297386</v>
      </c>
      <c r="P107">
        <f>+$B107*_xlfn.XLOOKUP($C107,'ACTUAL %'!$A:$A,'ACTUAL %'!L:L)</f>
        <v>5156.0900186297386</v>
      </c>
      <c r="Q107">
        <f>+$B107*_xlfn.XLOOKUP($C107,'ACTUAL %'!$A:$A,'ACTUAL %'!M:M)</f>
        <v>5156.0900186297386</v>
      </c>
      <c r="R107">
        <f>+$B107*_xlfn.XLOOKUP($C107,'ACTUAL %'!$A:$A,'ACTUAL %'!N:N)+S107+T107+U107</f>
        <v>5156.0900186297386</v>
      </c>
      <c r="S107">
        <f>+$B107*_xlfn.XLOOKUP($C107,'ACTUAL %'!$A:$A,'ACTUAL %'!O:O)</f>
        <v>0</v>
      </c>
      <c r="T107">
        <f>+$B107*_xlfn.XLOOKUP($C107,'ACTUAL %'!$A:$A,'ACTUAL %'!P:P)</f>
        <v>0</v>
      </c>
      <c r="U107">
        <f>+$B107*_xlfn.XLOOKUP($C107,'ACTUAL %'!$A:$A,'ACTUAL %'!Q:Q)</f>
        <v>0</v>
      </c>
      <c r="V107">
        <f t="shared" si="8"/>
        <v>266614.89727520774</v>
      </c>
      <c r="W107" s="517">
        <f t="shared" si="9"/>
        <v>0</v>
      </c>
    </row>
    <row r="108" spans="1:23" x14ac:dyDescent="0.75">
      <c r="A108" t="s">
        <v>1599</v>
      </c>
      <c r="B108">
        <v>4450.0043845856744</v>
      </c>
      <c r="C108">
        <f t="shared" si="5"/>
        <v>5803</v>
      </c>
      <c r="D108" t="str">
        <f t="shared" si="6"/>
        <v>020</v>
      </c>
      <c r="E108" t="str">
        <f t="shared" si="7"/>
        <v>0000</v>
      </c>
      <c r="F108" t="s">
        <v>1826</v>
      </c>
      <c r="G108">
        <f>+$B108*_xlfn.XLOOKUP($C108,'ACTUAL %'!$A:$A,'ACTUAL %'!C:C)</f>
        <v>78.438743952296818</v>
      </c>
      <c r="H108">
        <f>+$B108*_xlfn.XLOOKUP($C108,'ACTUAL %'!$A:$A,'ACTUAL %'!D:D)</f>
        <v>227.32847398655917</v>
      </c>
      <c r="I108">
        <f>+$B108*_xlfn.XLOOKUP($C108,'ACTUAL %'!$A:$A,'ACTUAL %'!E:E)</f>
        <v>106.31060474775177</v>
      </c>
      <c r="J108">
        <f>+$B108*_xlfn.XLOOKUP($C108,'ACTUAL %'!$A:$A,'ACTUAL %'!F:F)</f>
        <v>100.85934937663431</v>
      </c>
      <c r="K108">
        <f>+$B108*_xlfn.XLOOKUP($C108,'ACTUAL %'!$A:$A,'ACTUAL %'!G:G)</f>
        <v>111.56902659553717</v>
      </c>
      <c r="L108">
        <f>+$B108*_xlfn.XLOOKUP($C108,'ACTUAL %'!$A:$A,'ACTUAL %'!H:H)</f>
        <v>81.880080676376409</v>
      </c>
      <c r="M108">
        <f>+$B108*_xlfn.XLOOKUP($C108,'ACTUAL %'!$A:$A,'ACTUAL %'!I:I)</f>
        <v>333.90756233218093</v>
      </c>
      <c r="N108">
        <f>+$B108*_xlfn.XLOOKUP($C108,'ACTUAL %'!$A:$A,'ACTUAL %'!J:J)</f>
        <v>675.43192138955146</v>
      </c>
      <c r="O108">
        <f>+$B108*_xlfn.XLOOKUP($C108,'ACTUAL %'!$A:$A,'ACTUAL %'!K:K)</f>
        <v>683.56965538219663</v>
      </c>
      <c r="P108">
        <f>+$B108*_xlfn.XLOOKUP($C108,'ACTUAL %'!$A:$A,'ACTUAL %'!L:L)</f>
        <v>683.56965538219663</v>
      </c>
      <c r="Q108">
        <f>+$B108*_xlfn.XLOOKUP($C108,'ACTUAL %'!$A:$A,'ACTUAL %'!M:M)</f>
        <v>683.56965538219663</v>
      </c>
      <c r="R108">
        <f>+$B108*_xlfn.XLOOKUP($C108,'ACTUAL %'!$A:$A,'ACTUAL %'!N:N)+S108+T108+U108</f>
        <v>683.56965538219663</v>
      </c>
      <c r="S108">
        <f>+$B108*_xlfn.XLOOKUP($C108,'ACTUAL %'!$A:$A,'ACTUAL %'!O:O)</f>
        <v>0</v>
      </c>
      <c r="T108">
        <f>+$B108*_xlfn.XLOOKUP($C108,'ACTUAL %'!$A:$A,'ACTUAL %'!P:P)</f>
        <v>0</v>
      </c>
      <c r="U108">
        <f>+$B108*_xlfn.XLOOKUP($C108,'ACTUAL %'!$A:$A,'ACTUAL %'!Q:Q)</f>
        <v>0</v>
      </c>
      <c r="V108">
        <f t="shared" si="8"/>
        <v>4450.0043845856744</v>
      </c>
      <c r="W108" s="517">
        <f t="shared" si="9"/>
        <v>0</v>
      </c>
    </row>
    <row r="109" spans="1:23" x14ac:dyDescent="0.75">
      <c r="A109" t="s">
        <v>1600</v>
      </c>
      <c r="B109">
        <v>74166.739743094586</v>
      </c>
      <c r="C109">
        <f t="shared" si="5"/>
        <v>5805</v>
      </c>
      <c r="D109" t="str">
        <f t="shared" si="6"/>
        <v>020</v>
      </c>
      <c r="E109" t="str">
        <f t="shared" si="7"/>
        <v>0000</v>
      </c>
      <c r="F109" t="s">
        <v>1827</v>
      </c>
      <c r="G109">
        <f>+$B109*_xlfn.XLOOKUP($C109,'ACTUAL %'!$A:$A,'ACTUAL %'!C:C)</f>
        <v>0</v>
      </c>
      <c r="H109">
        <f>+$B109*_xlfn.XLOOKUP($C109,'ACTUAL %'!$A:$A,'ACTUAL %'!D:D)</f>
        <v>12570.481163462569</v>
      </c>
      <c r="I109">
        <f>+$B109*_xlfn.XLOOKUP($C109,'ACTUAL %'!$A:$A,'ACTUAL %'!E:E)</f>
        <v>7503.5875043897331</v>
      </c>
      <c r="J109">
        <f>+$B109*_xlfn.XLOOKUP($C109,'ACTUAL %'!$A:$A,'ACTUAL %'!F:F)</f>
        <v>9435.1959631575228</v>
      </c>
      <c r="K109">
        <f>+$B109*_xlfn.XLOOKUP($C109,'ACTUAL %'!$A:$A,'ACTUAL %'!G:G)</f>
        <v>10525.105870378193</v>
      </c>
      <c r="L109">
        <f>+$B109*_xlfn.XLOOKUP($C109,'ACTUAL %'!$A:$A,'ACTUAL %'!H:H)</f>
        <v>4944.4493162063054</v>
      </c>
      <c r="M109">
        <f>+$B109*_xlfn.XLOOKUP($C109,'ACTUAL %'!$A:$A,'ACTUAL %'!I:I)</f>
        <v>7852.5914593741545</v>
      </c>
      <c r="N109">
        <f>+$B109*_xlfn.XLOOKUP($C109,'ACTUAL %'!$A:$A,'ACTUAL %'!J:J)</f>
        <v>4226.3299825500399</v>
      </c>
      <c r="O109">
        <f>+$B109*_xlfn.XLOOKUP($C109,'ACTUAL %'!$A:$A,'ACTUAL %'!K:K)</f>
        <v>4277.2496208940165</v>
      </c>
      <c r="P109">
        <f>+$B109*_xlfn.XLOOKUP($C109,'ACTUAL %'!$A:$A,'ACTUAL %'!L:L)</f>
        <v>4277.2496208940165</v>
      </c>
      <c r="Q109">
        <f>+$B109*_xlfn.XLOOKUP($C109,'ACTUAL %'!$A:$A,'ACTUAL %'!M:M)</f>
        <v>4277.2496208940165</v>
      </c>
      <c r="R109">
        <f>+$B109*_xlfn.XLOOKUP($C109,'ACTUAL %'!$A:$A,'ACTUAL %'!N:N)+S109+T109+U109</f>
        <v>4277.2496208940165</v>
      </c>
      <c r="S109">
        <f>+$B109*_xlfn.XLOOKUP($C109,'ACTUAL %'!$A:$A,'ACTUAL %'!O:O)</f>
        <v>0</v>
      </c>
      <c r="T109">
        <f>+$B109*_xlfn.XLOOKUP($C109,'ACTUAL %'!$A:$A,'ACTUAL %'!P:P)</f>
        <v>0</v>
      </c>
      <c r="U109">
        <f>+$B109*_xlfn.XLOOKUP($C109,'ACTUAL %'!$A:$A,'ACTUAL %'!Q:Q)</f>
        <v>0</v>
      </c>
      <c r="V109">
        <f t="shared" si="8"/>
        <v>74166.739743094571</v>
      </c>
      <c r="W109" s="517">
        <f t="shared" si="9"/>
        <v>0</v>
      </c>
    </row>
    <row r="110" spans="1:23" x14ac:dyDescent="0.75">
      <c r="A110" t="s">
        <v>1601</v>
      </c>
      <c r="B110">
        <v>7416.6739743094577</v>
      </c>
      <c r="C110">
        <f t="shared" si="5"/>
        <v>5806</v>
      </c>
      <c r="D110" t="str">
        <f t="shared" si="6"/>
        <v>020</v>
      </c>
      <c r="E110" t="str">
        <f t="shared" si="7"/>
        <v>0000</v>
      </c>
      <c r="F110" t="s">
        <v>1828</v>
      </c>
      <c r="G110">
        <f>+$B110*_xlfn.XLOOKUP($C110,'ACTUAL %'!$A:$A,'ACTUAL %'!C:C)</f>
        <v>0</v>
      </c>
      <c r="H110">
        <f>+$B110*_xlfn.XLOOKUP($C110,'ACTUAL %'!$A:$A,'ACTUAL %'!D:D)</f>
        <v>0</v>
      </c>
      <c r="I110">
        <f>+$B110*_xlfn.XLOOKUP($C110,'ACTUAL %'!$A:$A,'ACTUAL %'!E:E)</f>
        <v>2169.4463769516246</v>
      </c>
      <c r="J110">
        <f>+$B110*_xlfn.XLOOKUP($C110,'ACTUAL %'!$A:$A,'ACTUAL %'!F:F)</f>
        <v>2169.4463769516246</v>
      </c>
      <c r="K110">
        <f>+$B110*_xlfn.XLOOKUP($C110,'ACTUAL %'!$A:$A,'ACTUAL %'!G:G)</f>
        <v>0</v>
      </c>
      <c r="L110">
        <f>+$B110*_xlfn.XLOOKUP($C110,'ACTUAL %'!$A:$A,'ACTUAL %'!H:H)</f>
        <v>644.08805682235845</v>
      </c>
      <c r="M110">
        <f>+$B110*_xlfn.XLOOKUP($C110,'ACTUAL %'!$A:$A,'ACTUAL %'!I:I)</f>
        <v>0</v>
      </c>
      <c r="N110">
        <f>+$B110*_xlfn.XLOOKUP($C110,'ACTUAL %'!$A:$A,'ACTUAL %'!J:J)</f>
        <v>486.73863271676998</v>
      </c>
      <c r="O110">
        <f>+$B110*_xlfn.XLOOKUP($C110,'ACTUAL %'!$A:$A,'ACTUAL %'!K:K)</f>
        <v>486.73863271676998</v>
      </c>
      <c r="P110">
        <f>+$B110*_xlfn.XLOOKUP($C110,'ACTUAL %'!$A:$A,'ACTUAL %'!L:L)</f>
        <v>486.73863271676998</v>
      </c>
      <c r="Q110">
        <f>+$B110*_xlfn.XLOOKUP($C110,'ACTUAL %'!$A:$A,'ACTUAL %'!M:M)</f>
        <v>486.73863271676998</v>
      </c>
      <c r="R110">
        <f>+$B110*_xlfn.XLOOKUP($C110,'ACTUAL %'!$A:$A,'ACTUAL %'!N:N)+S110+T110+U110</f>
        <v>486.73863271676998</v>
      </c>
      <c r="S110">
        <f>+$B110*_xlfn.XLOOKUP($C110,'ACTUAL %'!$A:$A,'ACTUAL %'!O:O)</f>
        <v>0</v>
      </c>
      <c r="T110">
        <f>+$B110*_xlfn.XLOOKUP($C110,'ACTUAL %'!$A:$A,'ACTUAL %'!P:P)</f>
        <v>0</v>
      </c>
      <c r="U110">
        <f>+$B110*_xlfn.XLOOKUP($C110,'ACTUAL %'!$A:$A,'ACTUAL %'!Q:Q)</f>
        <v>0</v>
      </c>
      <c r="V110">
        <f t="shared" si="8"/>
        <v>7416.6739743094558</v>
      </c>
      <c r="W110" s="517">
        <f t="shared" si="9"/>
        <v>0</v>
      </c>
    </row>
    <row r="111" spans="1:23" x14ac:dyDescent="0.75">
      <c r="A111" t="s">
        <v>1729</v>
      </c>
      <c r="B111">
        <v>18541.684935773646</v>
      </c>
      <c r="C111">
        <f t="shared" si="5"/>
        <v>5809</v>
      </c>
      <c r="D111" t="str">
        <f t="shared" si="6"/>
        <v>020</v>
      </c>
      <c r="E111" t="str">
        <f t="shared" si="7"/>
        <v>0000</v>
      </c>
      <c r="F111" t="s">
        <v>1829</v>
      </c>
      <c r="G111">
        <f>+$B111*_xlfn.XLOOKUP($C111,'ACTUAL %'!$A:$A,'ACTUAL %'!C:C)</f>
        <v>0</v>
      </c>
      <c r="H111">
        <f>+$B111*_xlfn.XLOOKUP($C111,'ACTUAL %'!$A:$A,'ACTUAL %'!D:D)</f>
        <v>0</v>
      </c>
      <c r="I111">
        <f>+$B111*_xlfn.XLOOKUP($C111,'ACTUAL %'!$A:$A,'ACTUAL %'!E:E)</f>
        <v>1379.5013592215591</v>
      </c>
      <c r="J111">
        <f>+$B111*_xlfn.XLOOKUP($C111,'ACTUAL %'!$A:$A,'ACTUAL %'!F:F)</f>
        <v>7138.5487002728541</v>
      </c>
      <c r="K111">
        <f>+$B111*_xlfn.XLOOKUP($C111,'ACTUAL %'!$A:$A,'ACTUAL %'!G:G)</f>
        <v>39.271288693968586</v>
      </c>
      <c r="L111">
        <f>+$B111*_xlfn.XLOOKUP($C111,'ACTUAL %'!$A:$A,'ACTUAL %'!H:H)</f>
        <v>1453.6680989646538</v>
      </c>
      <c r="M111">
        <f>+$B111*_xlfn.XLOOKUP($C111,'ACTUAL %'!$A:$A,'ACTUAL %'!I:I)</f>
        <v>-854.1783416212204</v>
      </c>
      <c r="N111">
        <f>+$B111*_xlfn.XLOOKUP($C111,'ACTUAL %'!$A:$A,'ACTUAL %'!J:J)</f>
        <v>1859.0561525300047</v>
      </c>
      <c r="O111">
        <f>+$B111*_xlfn.XLOOKUP($C111,'ACTUAL %'!$A:$A,'ACTUAL %'!K:K)</f>
        <v>1881.4544194279567</v>
      </c>
      <c r="P111">
        <f>+$B111*_xlfn.XLOOKUP($C111,'ACTUAL %'!$A:$A,'ACTUAL %'!L:L)</f>
        <v>1881.4544194279567</v>
      </c>
      <c r="Q111">
        <f>+$B111*_xlfn.XLOOKUP($C111,'ACTUAL %'!$A:$A,'ACTUAL %'!M:M)</f>
        <v>1881.4544194279567</v>
      </c>
      <c r="R111">
        <f>+$B111*_xlfn.XLOOKUP($C111,'ACTUAL %'!$A:$A,'ACTUAL %'!N:N)+S111+T111+U111</f>
        <v>1881.4544194279567</v>
      </c>
      <c r="S111">
        <f>+$B111*_xlfn.XLOOKUP($C111,'ACTUAL %'!$A:$A,'ACTUAL %'!O:O)</f>
        <v>0</v>
      </c>
      <c r="T111">
        <f>+$B111*_xlfn.XLOOKUP($C111,'ACTUAL %'!$A:$A,'ACTUAL %'!P:P)</f>
        <v>0</v>
      </c>
      <c r="U111">
        <f>+$B111*_xlfn.XLOOKUP($C111,'ACTUAL %'!$A:$A,'ACTUAL %'!Q:Q)</f>
        <v>0</v>
      </c>
      <c r="V111">
        <f t="shared" si="8"/>
        <v>18541.684935773646</v>
      </c>
      <c r="W111" s="517">
        <f t="shared" si="9"/>
        <v>0</v>
      </c>
    </row>
    <row r="112" spans="1:23" x14ac:dyDescent="0.75">
      <c r="A112" t="s">
        <v>1602</v>
      </c>
      <c r="B112">
        <v>407917.06858702016</v>
      </c>
      <c r="C112">
        <f t="shared" si="5"/>
        <v>5810</v>
      </c>
      <c r="D112" t="str">
        <f t="shared" si="6"/>
        <v>020</v>
      </c>
      <c r="E112" t="str">
        <f t="shared" si="7"/>
        <v>0000</v>
      </c>
      <c r="F112" t="s">
        <v>1830</v>
      </c>
      <c r="G112">
        <f>+$B112*_xlfn.XLOOKUP($C112,'ACTUAL %'!$A:$A,'ACTUAL %'!C:C)</f>
        <v>7462.8189746372</v>
      </c>
      <c r="H112">
        <f>+$B112*_xlfn.XLOOKUP($C112,'ACTUAL %'!$A:$A,'ACTUAL %'!D:D)</f>
        <v>3733.0768483364495</v>
      </c>
      <c r="I112">
        <f>+$B112*_xlfn.XLOOKUP($C112,'ACTUAL %'!$A:$A,'ACTUAL %'!E:E)</f>
        <v>5375.3373692321729</v>
      </c>
      <c r="J112">
        <f>+$B112*_xlfn.XLOOKUP($C112,'ACTUAL %'!$A:$A,'ACTUAL %'!F:F)</f>
        <v>40011.68784014992</v>
      </c>
      <c r="K112">
        <f>+$B112*_xlfn.XLOOKUP($C112,'ACTUAL %'!$A:$A,'ACTUAL %'!G:G)</f>
        <v>20595.982642163159</v>
      </c>
      <c r="L112">
        <f>+$B112*_xlfn.XLOOKUP($C112,'ACTUAL %'!$A:$A,'ACTUAL %'!H:H)</f>
        <v>7601.5583682814549</v>
      </c>
      <c r="M112">
        <f>+$B112*_xlfn.XLOOKUP($C112,'ACTUAL %'!$A:$A,'ACTUAL %'!I:I)</f>
        <v>24447.314648682986</v>
      </c>
      <c r="N112">
        <f>+$B112*_xlfn.XLOOKUP($C112,'ACTUAL %'!$A:$A,'ACTUAL %'!J:J)</f>
        <v>59167.568561645727</v>
      </c>
      <c r="O112">
        <f>+$B112*_xlfn.XLOOKUP($C112,'ACTUAL %'!$A:$A,'ACTUAL %'!K:K)</f>
        <v>59880.430833472776</v>
      </c>
      <c r="P112">
        <f>+$B112*_xlfn.XLOOKUP($C112,'ACTUAL %'!$A:$A,'ACTUAL %'!L:L)</f>
        <v>59880.430833472776</v>
      </c>
      <c r="Q112">
        <f>+$B112*_xlfn.XLOOKUP($C112,'ACTUAL %'!$A:$A,'ACTUAL %'!M:M)</f>
        <v>59880.430833472776</v>
      </c>
      <c r="R112">
        <f>+$B112*_xlfn.XLOOKUP($C112,'ACTUAL %'!$A:$A,'ACTUAL %'!N:N)+S112+T112+U112</f>
        <v>59880.430833472776</v>
      </c>
      <c r="S112">
        <f>+$B112*_xlfn.XLOOKUP($C112,'ACTUAL %'!$A:$A,'ACTUAL %'!O:O)</f>
        <v>0</v>
      </c>
      <c r="T112">
        <f>+$B112*_xlfn.XLOOKUP($C112,'ACTUAL %'!$A:$A,'ACTUAL %'!P:P)</f>
        <v>0</v>
      </c>
      <c r="U112">
        <f>+$B112*_xlfn.XLOOKUP($C112,'ACTUAL %'!$A:$A,'ACTUAL %'!Q:Q)</f>
        <v>0</v>
      </c>
      <c r="V112">
        <f t="shared" si="8"/>
        <v>407917.0685870201</v>
      </c>
      <c r="W112" s="517">
        <f t="shared" si="9"/>
        <v>0</v>
      </c>
    </row>
    <row r="113" spans="1:23" x14ac:dyDescent="0.75">
      <c r="A113" t="s">
        <v>1603</v>
      </c>
      <c r="B113">
        <v>121124.66934403748</v>
      </c>
      <c r="C113">
        <f t="shared" si="5"/>
        <v>5815</v>
      </c>
      <c r="D113" t="str">
        <f t="shared" si="6"/>
        <v>020</v>
      </c>
      <c r="E113" t="str">
        <f t="shared" si="7"/>
        <v>0000</v>
      </c>
      <c r="F113" t="s">
        <v>1831</v>
      </c>
      <c r="G113">
        <f>+$B113*_xlfn.XLOOKUP($C113,'ACTUAL %'!$A:$A,'ACTUAL %'!C:C)</f>
        <v>40894.110863933929</v>
      </c>
      <c r="H113">
        <f>+$B113*_xlfn.XLOOKUP($C113,'ACTUAL %'!$A:$A,'ACTUAL %'!D:D)</f>
        <v>426.35883609101194</v>
      </c>
      <c r="I113">
        <f>+$B113*_xlfn.XLOOKUP($C113,'ACTUAL %'!$A:$A,'ACTUAL %'!E:E)</f>
        <v>638.83573105432242</v>
      </c>
      <c r="J113">
        <f>+$B113*_xlfn.XLOOKUP($C113,'ACTUAL %'!$A:$A,'ACTUAL %'!F:F)</f>
        <v>881.64224322138</v>
      </c>
      <c r="K113">
        <f>+$B113*_xlfn.XLOOKUP($C113,'ACTUAL %'!$A:$A,'ACTUAL %'!G:G)</f>
        <v>655.28930613801651</v>
      </c>
      <c r="L113">
        <f>+$B113*_xlfn.XLOOKUP($C113,'ACTUAL %'!$A:$A,'ACTUAL %'!H:H)</f>
        <v>709.29637370513592</v>
      </c>
      <c r="M113">
        <f>+$B113*_xlfn.XLOOKUP($C113,'ACTUAL %'!$A:$A,'ACTUAL %'!I:I)</f>
        <v>852.6013924994536</v>
      </c>
      <c r="N113">
        <f>+$B113*_xlfn.XLOOKUP($C113,'ACTUAL %'!$A:$A,'ACTUAL %'!J:J)</f>
        <v>0</v>
      </c>
      <c r="O113">
        <f>+$B113*_xlfn.XLOOKUP($C113,'ACTUAL %'!$A:$A,'ACTUAL %'!K:K)</f>
        <v>0</v>
      </c>
      <c r="P113">
        <f>+$B113*_xlfn.XLOOKUP($C113,'ACTUAL %'!$A:$A,'ACTUAL %'!L:L)</f>
        <v>76066.534597394217</v>
      </c>
      <c r="Q113">
        <f>+$B113*_xlfn.XLOOKUP($C113,'ACTUAL %'!$A:$A,'ACTUAL %'!M:M)</f>
        <v>0</v>
      </c>
      <c r="R113">
        <f>+$B113*_xlfn.XLOOKUP($C113,'ACTUAL %'!$A:$A,'ACTUAL %'!N:N)+S113+T113+U113</f>
        <v>0</v>
      </c>
      <c r="S113">
        <f>+$B113*_xlfn.XLOOKUP($C113,'ACTUAL %'!$A:$A,'ACTUAL %'!O:O)</f>
        <v>0</v>
      </c>
      <c r="T113">
        <f>+$B113*_xlfn.XLOOKUP($C113,'ACTUAL %'!$A:$A,'ACTUAL %'!P:P)</f>
        <v>0</v>
      </c>
      <c r="U113">
        <f>+$B113*_xlfn.XLOOKUP($C113,'ACTUAL %'!$A:$A,'ACTUAL %'!Q:Q)</f>
        <v>0</v>
      </c>
      <c r="V113">
        <f t="shared" si="8"/>
        <v>121124.66934403748</v>
      </c>
      <c r="W113" s="517">
        <f t="shared" si="9"/>
        <v>0</v>
      </c>
    </row>
    <row r="114" spans="1:23" x14ac:dyDescent="0.75">
      <c r="A114" s="178" t="s">
        <v>1730</v>
      </c>
      <c r="B114">
        <v>55625.054807320936</v>
      </c>
      <c r="C114">
        <f t="shared" si="5"/>
        <v>5830</v>
      </c>
      <c r="D114" t="str">
        <f t="shared" si="6"/>
        <v>020</v>
      </c>
      <c r="E114" t="str">
        <f t="shared" si="7"/>
        <v>0000</v>
      </c>
      <c r="F114" t="s">
        <v>1832</v>
      </c>
      <c r="G114">
        <f>+$B114*_xlfn.XLOOKUP($C114,'ACTUAL %'!$A:$A,'ACTUAL %'!C:C)</f>
        <v>8617.3934407106972</v>
      </c>
      <c r="H114">
        <f>+$B114*_xlfn.XLOOKUP($C114,'ACTUAL %'!$A:$A,'ACTUAL %'!D:D)</f>
        <v>793.74283207416227</v>
      </c>
      <c r="I114">
        <f>+$B114*_xlfn.XLOOKUP($C114,'ACTUAL %'!$A:$A,'ACTUAL %'!E:E)</f>
        <v>6429.766835243995</v>
      </c>
      <c r="J114">
        <f>+$B114*_xlfn.XLOOKUP($C114,'ACTUAL %'!$A:$A,'ACTUAL %'!F:F)</f>
        <v>5297.4854696080938</v>
      </c>
      <c r="K114">
        <f>+$B114*_xlfn.XLOOKUP($C114,'ACTUAL %'!$A:$A,'ACTUAL %'!G:G)</f>
        <v>5263.1848358117077</v>
      </c>
      <c r="L114">
        <f>+$B114*_xlfn.XLOOKUP($C114,'ACTUAL %'!$A:$A,'ACTUAL %'!H:H)</f>
        <v>3954.8790967391346</v>
      </c>
      <c r="M114">
        <f>+$B114*_xlfn.XLOOKUP($C114,'ACTUAL %'!$A:$A,'ACTUAL %'!I:I)</f>
        <v>-2530.9889437813331</v>
      </c>
      <c r="N114">
        <f>+$B114*_xlfn.XLOOKUP($C114,'ACTUAL %'!$A:$A,'ACTUAL %'!J:J)</f>
        <v>5559.9182481828957</v>
      </c>
      <c r="O114">
        <f>+$B114*_xlfn.XLOOKUP($C114,'ACTUAL %'!$A:$A,'ACTUAL %'!K:K)</f>
        <v>5559.9182481828957</v>
      </c>
      <c r="P114">
        <f>+$B114*_xlfn.XLOOKUP($C114,'ACTUAL %'!$A:$A,'ACTUAL %'!L:L)</f>
        <v>5559.9182481828957</v>
      </c>
      <c r="Q114">
        <f>+$B114*_xlfn.XLOOKUP($C114,'ACTUAL %'!$A:$A,'ACTUAL %'!M:M)</f>
        <v>5559.9182481828957</v>
      </c>
      <c r="R114">
        <f>+$B114*_xlfn.XLOOKUP($C114,'ACTUAL %'!$A:$A,'ACTUAL %'!N:N)+S114+T114+U114</f>
        <v>5559.9182481828957</v>
      </c>
      <c r="S114">
        <f>+$B114*_xlfn.XLOOKUP($C114,'ACTUAL %'!$A:$A,'ACTUAL %'!O:O)</f>
        <v>0</v>
      </c>
      <c r="T114">
        <f>+$B114*_xlfn.XLOOKUP($C114,'ACTUAL %'!$A:$A,'ACTUAL %'!P:P)</f>
        <v>0</v>
      </c>
      <c r="U114">
        <f>+$B114*_xlfn.XLOOKUP($C114,'ACTUAL %'!$A:$A,'ACTUAL %'!Q:Q)</f>
        <v>0</v>
      </c>
      <c r="V114">
        <f t="shared" si="8"/>
        <v>55625.054807320943</v>
      </c>
      <c r="W114" s="517">
        <f t="shared" si="9"/>
        <v>0</v>
      </c>
    </row>
    <row r="115" spans="1:23" x14ac:dyDescent="0.75">
      <c r="A115" t="s">
        <v>1604</v>
      </c>
      <c r="B115">
        <v>192566.90522173501</v>
      </c>
      <c r="C115">
        <f t="shared" si="5"/>
        <v>5873</v>
      </c>
      <c r="D115" t="str">
        <f t="shared" si="6"/>
        <v>020</v>
      </c>
      <c r="E115" t="str">
        <f t="shared" si="7"/>
        <v>0000</v>
      </c>
      <c r="F115" t="s">
        <v>1833</v>
      </c>
      <c r="G115">
        <f>+$B115*_xlfn.XLOOKUP($C115,'ACTUAL %'!$A:$A,'ACTUAL %'!C:C)</f>
        <v>33912.018110801968</v>
      </c>
      <c r="H115">
        <f>+$B115*_xlfn.XLOOKUP($C115,'ACTUAL %'!$A:$A,'ACTUAL %'!D:D)</f>
        <v>16956.005982658233</v>
      </c>
      <c r="I115">
        <f>+$B115*_xlfn.XLOOKUP($C115,'ACTUAL %'!$A:$A,'ACTUAL %'!E:E)</f>
        <v>11186.934538073714</v>
      </c>
      <c r="J115">
        <f>+$B115*_xlfn.XLOOKUP($C115,'ACTUAL %'!$A:$A,'ACTUAL %'!F:F)</f>
        <v>275.01047632532135</v>
      </c>
      <c r="K115">
        <f>+$B115*_xlfn.XLOOKUP($C115,'ACTUAL %'!$A:$A,'ACTUAL %'!G:G)</f>
        <v>22373.872148890179</v>
      </c>
      <c r="L115">
        <f>+$B115*_xlfn.XLOOKUP($C115,'ACTUAL %'!$A:$A,'ACTUAL %'!H:H)</f>
        <v>11186.934538073714</v>
      </c>
      <c r="M115">
        <f>+$B115*_xlfn.XLOOKUP($C115,'ACTUAL %'!$A:$A,'ACTUAL %'!I:I)</f>
        <v>0</v>
      </c>
      <c r="N115">
        <f>+$B115*_xlfn.XLOOKUP($C115,'ACTUAL %'!$A:$A,'ACTUAL %'!J:J)</f>
        <v>19335.225885382377</v>
      </c>
      <c r="O115">
        <f>+$B115*_xlfn.XLOOKUP($C115,'ACTUAL %'!$A:$A,'ACTUAL %'!K:K)</f>
        <v>19335.225885382377</v>
      </c>
      <c r="P115">
        <f>+$B115*_xlfn.XLOOKUP($C115,'ACTUAL %'!$A:$A,'ACTUAL %'!L:L)</f>
        <v>19335.225885382377</v>
      </c>
      <c r="Q115">
        <f>+$B115*_xlfn.XLOOKUP($C115,'ACTUAL %'!$A:$A,'ACTUAL %'!M:M)</f>
        <v>19335.225885382377</v>
      </c>
      <c r="R115">
        <f>+$B115*_xlfn.XLOOKUP($C115,'ACTUAL %'!$A:$A,'ACTUAL %'!N:N)+S115+T115+U115</f>
        <v>19335.225885382377</v>
      </c>
      <c r="S115">
        <f>+$B115*_xlfn.XLOOKUP($C115,'ACTUAL %'!$A:$A,'ACTUAL %'!O:O)</f>
        <v>0</v>
      </c>
      <c r="T115">
        <f>+$B115*_xlfn.XLOOKUP($C115,'ACTUAL %'!$A:$A,'ACTUAL %'!P:P)</f>
        <v>0</v>
      </c>
      <c r="U115">
        <f>+$B115*_xlfn.XLOOKUP($C115,'ACTUAL %'!$A:$A,'ACTUAL %'!Q:Q)</f>
        <v>0</v>
      </c>
      <c r="V115">
        <f t="shared" si="8"/>
        <v>192566.90522173504</v>
      </c>
      <c r="W115" s="517">
        <f t="shared" si="9"/>
        <v>0</v>
      </c>
    </row>
    <row r="116" spans="1:23" x14ac:dyDescent="0.75">
      <c r="A116" t="s">
        <v>1605</v>
      </c>
      <c r="B116">
        <v>85585.291209660005</v>
      </c>
      <c r="C116">
        <f t="shared" si="5"/>
        <v>5875</v>
      </c>
      <c r="D116" t="str">
        <f t="shared" si="6"/>
        <v>020</v>
      </c>
      <c r="E116" t="str">
        <f t="shared" si="7"/>
        <v>0000</v>
      </c>
      <c r="F116" t="s">
        <v>1835</v>
      </c>
      <c r="G116">
        <f>+$B116*_xlfn.XLOOKUP($C116,'ACTUAL %'!$A:$A,'ACTUAL %'!C:C)</f>
        <v>0</v>
      </c>
      <c r="H116">
        <f>+$B116*_xlfn.XLOOKUP($C116,'ACTUAL %'!$A:$A,'ACTUAL %'!D:D)</f>
        <v>0</v>
      </c>
      <c r="I116">
        <f>+$B116*_xlfn.XLOOKUP($C116,'ACTUAL %'!$A:$A,'ACTUAL %'!E:E)</f>
        <v>3658.1002465396095</v>
      </c>
      <c r="J116">
        <f>+$B116*_xlfn.XLOOKUP($C116,'ACTUAL %'!$A:$A,'ACTUAL %'!F:F)</f>
        <v>3658.1002465396095</v>
      </c>
      <c r="K116">
        <f>+$B116*_xlfn.XLOOKUP($C116,'ACTUAL %'!$A:$A,'ACTUAL %'!G:G)</f>
        <v>5626.8065278986414</v>
      </c>
      <c r="L116">
        <f>+$B116*_xlfn.XLOOKUP($C116,'ACTUAL %'!$A:$A,'ACTUAL %'!H:H)</f>
        <v>3674.6930574016956</v>
      </c>
      <c r="M116">
        <f>+$B116*_xlfn.XLOOKUP($C116,'ACTUAL %'!$A:$A,'ACTUAL %'!I:I)</f>
        <v>7612.1056201197589</v>
      </c>
      <c r="N116">
        <f>+$B116*_xlfn.XLOOKUP($C116,'ACTUAL %'!$A:$A,'ACTUAL %'!J:J)</f>
        <v>12271.097102232137</v>
      </c>
      <c r="O116">
        <f>+$B116*_xlfn.XLOOKUP($C116,'ACTUAL %'!$A:$A,'ACTUAL %'!K:K)</f>
        <v>12271.097102232137</v>
      </c>
      <c r="P116">
        <f>+$B116*_xlfn.XLOOKUP($C116,'ACTUAL %'!$A:$A,'ACTUAL %'!L:L)</f>
        <v>12271.097102232137</v>
      </c>
      <c r="Q116">
        <f>+$B116*_xlfn.XLOOKUP($C116,'ACTUAL %'!$A:$A,'ACTUAL %'!M:M)</f>
        <v>12271.097102232137</v>
      </c>
      <c r="R116">
        <f>+$B116*_xlfn.XLOOKUP($C116,'ACTUAL %'!$A:$A,'ACTUAL %'!N:N)+S116+T116+U116</f>
        <v>12271.097102232137</v>
      </c>
      <c r="S116">
        <f>+$B116*_xlfn.XLOOKUP($C116,'ACTUAL %'!$A:$A,'ACTUAL %'!O:O)</f>
        <v>0</v>
      </c>
      <c r="T116">
        <f>+$B116*_xlfn.XLOOKUP($C116,'ACTUAL %'!$A:$A,'ACTUAL %'!P:P)</f>
        <v>0</v>
      </c>
      <c r="U116">
        <f>+$B116*_xlfn.XLOOKUP($C116,'ACTUAL %'!$A:$A,'ACTUAL %'!Q:Q)</f>
        <v>0</v>
      </c>
      <c r="V116">
        <f t="shared" si="8"/>
        <v>85585.291209660005</v>
      </c>
      <c r="W116" s="517">
        <f t="shared" si="9"/>
        <v>0</v>
      </c>
    </row>
    <row r="117" spans="1:23" x14ac:dyDescent="0.75">
      <c r="A117" t="s">
        <v>1623</v>
      </c>
      <c r="B117">
        <v>1854.1684935773644</v>
      </c>
      <c r="C117">
        <f t="shared" si="5"/>
        <v>5874</v>
      </c>
      <c r="D117" t="str">
        <f t="shared" si="6"/>
        <v>020</v>
      </c>
      <c r="E117" t="str">
        <f t="shared" si="7"/>
        <v>0000</v>
      </c>
      <c r="F117" t="s">
        <v>1834</v>
      </c>
      <c r="G117">
        <f>+$B117*_xlfn.XLOOKUP($C117,'ACTUAL %'!$A:$A,'ACTUAL %'!C:C)</f>
        <v>185.04601565902098</v>
      </c>
      <c r="H117">
        <f>+$B117*_xlfn.XLOOKUP($C117,'ACTUAL %'!$A:$A,'ACTUAL %'!D:D)</f>
        <v>201.73353210121724</v>
      </c>
      <c r="I117">
        <f>+$B117*_xlfn.XLOOKUP($C117,'ACTUAL %'!$A:$A,'ACTUAL %'!E:E)</f>
        <v>59.329683457488507</v>
      </c>
      <c r="J117">
        <f>+$B117*_xlfn.XLOOKUP($C117,'ACTUAL %'!$A:$A,'ACTUAL %'!F:F)</f>
        <v>23.733356717790265</v>
      </c>
      <c r="K117">
        <f>+$B117*_xlfn.XLOOKUP($C117,'ACTUAL %'!$A:$A,'ACTUAL %'!G:G)</f>
        <v>0</v>
      </c>
      <c r="L117">
        <f>+$B117*_xlfn.XLOOKUP($C117,'ACTUAL %'!$A:$A,'ACTUAL %'!H:H)</f>
        <v>37.083369871547291</v>
      </c>
      <c r="M117">
        <f>+$B117*_xlfn.XLOOKUP($C117,'ACTUAL %'!$A:$A,'ACTUAL %'!I:I)</f>
        <v>23.733356717790265</v>
      </c>
      <c r="N117">
        <f>+$B117*_xlfn.XLOOKUP($C117,'ACTUAL %'!$A:$A,'ACTUAL %'!J:J)</f>
        <v>264.70183581050202</v>
      </c>
      <c r="O117">
        <f>+$B117*_xlfn.XLOOKUP($C117,'ACTUAL %'!$A:$A,'ACTUAL %'!K:K)</f>
        <v>264.70183581050202</v>
      </c>
      <c r="P117">
        <f>+$B117*_xlfn.XLOOKUP($C117,'ACTUAL %'!$A:$A,'ACTUAL %'!L:L)</f>
        <v>264.70183581050202</v>
      </c>
      <c r="Q117">
        <f>+$B117*_xlfn.XLOOKUP($C117,'ACTUAL %'!$A:$A,'ACTUAL %'!M:M)</f>
        <v>264.70183581050202</v>
      </c>
      <c r="R117">
        <f>+$B117*_xlfn.XLOOKUP($C117,'ACTUAL %'!$A:$A,'ACTUAL %'!N:N)+S117+T117+U117</f>
        <v>264.70183581050202</v>
      </c>
      <c r="S117">
        <f>+$B117*_xlfn.XLOOKUP($C117,'ACTUAL %'!$A:$A,'ACTUAL %'!O:O)</f>
        <v>0</v>
      </c>
      <c r="T117">
        <f>+$B117*_xlfn.XLOOKUP($C117,'ACTUAL %'!$A:$A,'ACTUAL %'!P:P)</f>
        <v>0</v>
      </c>
      <c r="U117">
        <f>+$B117*_xlfn.XLOOKUP($C117,'ACTUAL %'!$A:$A,'ACTUAL %'!Q:Q)</f>
        <v>0</v>
      </c>
      <c r="V117">
        <f t="shared" si="8"/>
        <v>1854.1684935773644</v>
      </c>
      <c r="W117" s="517">
        <f t="shared" si="9"/>
        <v>0</v>
      </c>
    </row>
    <row r="118" spans="1:23" x14ac:dyDescent="0.75">
      <c r="A118" t="s">
        <v>1606</v>
      </c>
      <c r="B118">
        <v>92708.424678868221</v>
      </c>
      <c r="C118">
        <f t="shared" si="5"/>
        <v>5877</v>
      </c>
      <c r="D118" t="str">
        <f t="shared" si="6"/>
        <v>020</v>
      </c>
      <c r="E118" t="str">
        <f t="shared" si="7"/>
        <v>0000</v>
      </c>
      <c r="F118" t="s">
        <v>1836</v>
      </c>
      <c r="G118">
        <f>+$B118*_xlfn.XLOOKUP($C118,'ACTUAL %'!$A:$A,'ACTUAL %'!C:C)</f>
        <v>63125.972646201451</v>
      </c>
      <c r="H118">
        <f>+$B118*_xlfn.XLOOKUP($C118,'ACTUAL %'!$A:$A,'ACTUAL %'!D:D)</f>
        <v>224.41900268551606</v>
      </c>
      <c r="I118">
        <f>+$B118*_xlfn.XLOOKUP($C118,'ACTUAL %'!$A:$A,'ACTUAL %'!E:E)</f>
        <v>1947.4303594581033</v>
      </c>
      <c r="J118">
        <f>+$B118*_xlfn.XLOOKUP($C118,'ACTUAL %'!$A:$A,'ACTUAL %'!F:F)</f>
        <v>143.96494614147281</v>
      </c>
      <c r="K118">
        <f>+$B118*_xlfn.XLOOKUP($C118,'ACTUAL %'!$A:$A,'ACTUAL %'!G:G)</f>
        <v>778.73952991768351</v>
      </c>
      <c r="L118">
        <f>+$B118*_xlfn.XLOOKUP($C118,'ACTUAL %'!$A:$A,'ACTUAL %'!H:H)</f>
        <v>3234.9593427058207</v>
      </c>
      <c r="M118">
        <f>+$B118*_xlfn.XLOOKUP($C118,'ACTUAL %'!$A:$A,'ACTUAL %'!I:I)</f>
        <v>22.331492962797679</v>
      </c>
      <c r="N118">
        <f>+$B118*_xlfn.XLOOKUP($C118,'ACTUAL %'!$A:$A,'ACTUAL %'!J:J)</f>
        <v>4646.1214717590756</v>
      </c>
      <c r="O118">
        <f>+$B118*_xlfn.XLOOKUP($C118,'ACTUAL %'!$A:$A,'ACTUAL %'!K:K)</f>
        <v>4646.1214717590756</v>
      </c>
      <c r="P118">
        <f>+$B118*_xlfn.XLOOKUP($C118,'ACTUAL %'!$A:$A,'ACTUAL %'!L:L)</f>
        <v>4646.1214717590756</v>
      </c>
      <c r="Q118">
        <f>+$B118*_xlfn.XLOOKUP($C118,'ACTUAL %'!$A:$A,'ACTUAL %'!M:M)</f>
        <v>4646.1214717590756</v>
      </c>
      <c r="R118">
        <f>+$B118*_xlfn.XLOOKUP($C118,'ACTUAL %'!$A:$A,'ACTUAL %'!N:N)+S118+T118+U118</f>
        <v>4646.1214717590756</v>
      </c>
      <c r="S118">
        <f>+$B118*_xlfn.XLOOKUP($C118,'ACTUAL %'!$A:$A,'ACTUAL %'!O:O)</f>
        <v>0</v>
      </c>
      <c r="T118">
        <f>+$B118*_xlfn.XLOOKUP($C118,'ACTUAL %'!$A:$A,'ACTUAL %'!P:P)</f>
        <v>0</v>
      </c>
      <c r="U118">
        <f>+$B118*_xlfn.XLOOKUP($C118,'ACTUAL %'!$A:$A,'ACTUAL %'!Q:Q)</f>
        <v>0</v>
      </c>
      <c r="V118">
        <f t="shared" si="8"/>
        <v>92708.424678868221</v>
      </c>
      <c r="W118" s="517">
        <f t="shared" si="9"/>
        <v>0</v>
      </c>
    </row>
    <row r="119" spans="1:23" x14ac:dyDescent="0.75">
      <c r="A119" t="s">
        <v>1731</v>
      </c>
      <c r="B119">
        <v>1112.5010961464186</v>
      </c>
      <c r="C119">
        <f t="shared" si="5"/>
        <v>5890</v>
      </c>
      <c r="D119" t="str">
        <f t="shared" si="6"/>
        <v>020</v>
      </c>
      <c r="E119" t="str">
        <f t="shared" si="7"/>
        <v>0000</v>
      </c>
      <c r="F119" t="s">
        <v>1837</v>
      </c>
      <c r="G119">
        <f>+$B119*_xlfn.XLOOKUP($C119,'ACTUAL %'!$A:$A,'ACTUAL %'!C:C)</f>
        <v>85.440084184044963</v>
      </c>
      <c r="H119">
        <f>+$B119*_xlfn.XLOOKUP($C119,'ACTUAL %'!$A:$A,'ACTUAL %'!D:D)</f>
        <v>0</v>
      </c>
      <c r="I119">
        <f>+$B119*_xlfn.XLOOKUP($C119,'ACTUAL %'!$A:$A,'ACTUAL %'!E:E)</f>
        <v>0</v>
      </c>
      <c r="J119">
        <f>+$B119*_xlfn.XLOOKUP($C119,'ACTUAL %'!$A:$A,'ACTUAL %'!F:F)</f>
        <v>0</v>
      </c>
      <c r="K119">
        <f>+$B119*_xlfn.XLOOKUP($C119,'ACTUAL %'!$A:$A,'ACTUAL %'!G:G)</f>
        <v>0</v>
      </c>
      <c r="L119">
        <f>+$B119*_xlfn.XLOOKUP($C119,'ACTUAL %'!$A:$A,'ACTUAL %'!H:H)</f>
        <v>559.67705144934018</v>
      </c>
      <c r="M119">
        <f>+$B119*_xlfn.XLOOKUP($C119,'ACTUAL %'!$A:$A,'ACTUAL %'!I:I)</f>
        <v>0</v>
      </c>
      <c r="N119">
        <f>+$B119*_xlfn.XLOOKUP($C119,'ACTUAL %'!$A:$A,'ACTUAL %'!J:J)</f>
        <v>93.47679210260668</v>
      </c>
      <c r="O119">
        <f>+$B119*_xlfn.XLOOKUP($C119,'ACTUAL %'!$A:$A,'ACTUAL %'!K:K)</f>
        <v>93.47679210260668</v>
      </c>
      <c r="P119">
        <f>+$B119*_xlfn.XLOOKUP($C119,'ACTUAL %'!$A:$A,'ACTUAL %'!L:L)</f>
        <v>93.47679210260668</v>
      </c>
      <c r="Q119">
        <f>+$B119*_xlfn.XLOOKUP($C119,'ACTUAL %'!$A:$A,'ACTUAL %'!M:M)</f>
        <v>93.47679210260668</v>
      </c>
      <c r="R119">
        <f>+$B119*_xlfn.XLOOKUP($C119,'ACTUAL %'!$A:$A,'ACTUAL %'!N:N)+S119+T119+U119</f>
        <v>93.47679210260668</v>
      </c>
      <c r="S119">
        <f>+$B119*_xlfn.XLOOKUP($C119,'ACTUAL %'!$A:$A,'ACTUAL %'!O:O)</f>
        <v>0</v>
      </c>
      <c r="T119">
        <f>+$B119*_xlfn.XLOOKUP($C119,'ACTUAL %'!$A:$A,'ACTUAL %'!P:P)</f>
        <v>0</v>
      </c>
      <c r="U119">
        <f>+$B119*_xlfn.XLOOKUP($C119,'ACTUAL %'!$A:$A,'ACTUAL %'!Q:Q)</f>
        <v>0</v>
      </c>
      <c r="V119">
        <f t="shared" si="8"/>
        <v>1112.5010961464184</v>
      </c>
      <c r="W119" s="517">
        <f t="shared" si="9"/>
        <v>0</v>
      </c>
    </row>
    <row r="120" spans="1:23" x14ac:dyDescent="0.75">
      <c r="A120" s="178" t="s">
        <v>1607</v>
      </c>
      <c r="B120">
        <v>40791.706858702019</v>
      </c>
      <c r="C120">
        <f t="shared" si="5"/>
        <v>5900</v>
      </c>
      <c r="D120" t="str">
        <f t="shared" si="6"/>
        <v>020</v>
      </c>
      <c r="E120" t="str">
        <f t="shared" si="7"/>
        <v>0000</v>
      </c>
      <c r="F120" t="s">
        <v>1838</v>
      </c>
      <c r="G120">
        <f>+$B120*_xlfn.XLOOKUP($C120,'ACTUAL %'!$A:$A,'ACTUAL %'!C:C)</f>
        <v>1594.5697858718938</v>
      </c>
      <c r="H120">
        <f>+$B120*_xlfn.XLOOKUP($C120,'ACTUAL %'!$A:$A,'ACTUAL %'!D:D)</f>
        <v>1709.4674727984388</v>
      </c>
      <c r="I120">
        <f>+$B120*_xlfn.XLOOKUP($C120,'ACTUAL %'!$A:$A,'ACTUAL %'!E:E)</f>
        <v>3699.4595136641719</v>
      </c>
      <c r="J120">
        <f>+$B120*_xlfn.XLOOKUP($C120,'ACTUAL %'!$A:$A,'ACTUAL %'!F:F)</f>
        <v>4170.9394750078636</v>
      </c>
      <c r="K120">
        <f>+$B120*_xlfn.XLOOKUP($C120,'ACTUAL %'!$A:$A,'ACTUAL %'!G:G)</f>
        <v>6236.0604264365111</v>
      </c>
      <c r="L120">
        <f>+$B120*_xlfn.XLOOKUP($C120,'ACTUAL %'!$A:$A,'ACTUAL %'!H:H)</f>
        <v>1936.0057857500428</v>
      </c>
      <c r="M120">
        <f>+$B120*_xlfn.XLOOKUP($C120,'ACTUAL %'!$A:$A,'ACTUAL %'!I:I)</f>
        <v>4591.0312991804039</v>
      </c>
      <c r="N120">
        <f>+$B120*_xlfn.XLOOKUP($C120,'ACTUAL %'!$A:$A,'ACTUAL %'!J:J)</f>
        <v>3370.834619998539</v>
      </c>
      <c r="O120">
        <f>+$B120*_xlfn.XLOOKUP($C120,'ACTUAL %'!$A:$A,'ACTUAL %'!K:K)</f>
        <v>3370.834619998539</v>
      </c>
      <c r="P120">
        <f>+$B120*_xlfn.XLOOKUP($C120,'ACTUAL %'!$A:$A,'ACTUAL %'!L:L)</f>
        <v>3370.834619998539</v>
      </c>
      <c r="Q120">
        <f>+$B120*_xlfn.XLOOKUP($C120,'ACTUAL %'!$A:$A,'ACTUAL %'!M:M)</f>
        <v>3370.834619998539</v>
      </c>
      <c r="R120">
        <f>+$B120*_xlfn.XLOOKUP($C120,'ACTUAL %'!$A:$A,'ACTUAL %'!N:N)+S120+T120+U120</f>
        <v>3370.834619998539</v>
      </c>
      <c r="S120">
        <f>+$B120*_xlfn.XLOOKUP($C120,'ACTUAL %'!$A:$A,'ACTUAL %'!O:O)</f>
        <v>0</v>
      </c>
      <c r="T120">
        <f>+$B120*_xlfn.XLOOKUP($C120,'ACTUAL %'!$A:$A,'ACTUAL %'!P:P)</f>
        <v>0</v>
      </c>
      <c r="U120">
        <f>+$B120*_xlfn.XLOOKUP($C120,'ACTUAL %'!$A:$A,'ACTUAL %'!Q:Q)</f>
        <v>0</v>
      </c>
      <c r="V120">
        <f t="shared" si="8"/>
        <v>40791.706858702019</v>
      </c>
      <c r="W120" s="517">
        <f t="shared" si="9"/>
        <v>0</v>
      </c>
    </row>
    <row r="121" spans="1:23" x14ac:dyDescent="0.75">
      <c r="A121" t="s">
        <v>1732</v>
      </c>
      <c r="B121">
        <v>278.12527403660465</v>
      </c>
      <c r="C121">
        <f t="shared" si="5"/>
        <v>5901</v>
      </c>
      <c r="D121" t="str">
        <f t="shared" si="6"/>
        <v>020</v>
      </c>
      <c r="E121" t="str">
        <f t="shared" si="7"/>
        <v>0000</v>
      </c>
      <c r="F121" t="s">
        <v>1839</v>
      </c>
      <c r="G121">
        <f>+$B121*_xlfn.XLOOKUP($C121,'ACTUAL %'!$A:$A,'ACTUAL %'!C:C)</f>
        <v>0</v>
      </c>
      <c r="H121">
        <f>+$B121*_xlfn.XLOOKUP($C121,'ACTUAL %'!$A:$A,'ACTUAL %'!D:D)</f>
        <v>0</v>
      </c>
      <c r="I121">
        <f>+$B121*_xlfn.XLOOKUP($C121,'ACTUAL %'!$A:$A,'ACTUAL %'!E:E)</f>
        <v>14.835202117112493</v>
      </c>
      <c r="J121">
        <f>+$B121*_xlfn.XLOOKUP($C121,'ACTUAL %'!$A:$A,'ACTUAL %'!F:F)</f>
        <v>7.4166739743094574</v>
      </c>
      <c r="K121">
        <f>+$B121*_xlfn.XLOOKUP($C121,'ACTUAL %'!$A:$A,'ACTUAL %'!G:G)</f>
        <v>0</v>
      </c>
      <c r="L121">
        <f>+$B121*_xlfn.XLOOKUP($C121,'ACTUAL %'!$A:$A,'ACTUAL %'!H:H)</f>
        <v>0</v>
      </c>
      <c r="M121">
        <f>+$B121*_xlfn.XLOOKUP($C121,'ACTUAL %'!$A:$A,'ACTUAL %'!I:I)</f>
        <v>33.376887052886133</v>
      </c>
      <c r="N121">
        <f>+$B121*_xlfn.XLOOKUP($C121,'ACTUAL %'!$A:$A,'ACTUAL %'!J:J)</f>
        <v>44.499302178459317</v>
      </c>
      <c r="O121">
        <f>+$B121*_xlfn.XLOOKUP($C121,'ACTUAL %'!$A:$A,'ACTUAL %'!K:K)</f>
        <v>44.499302178459317</v>
      </c>
      <c r="P121">
        <f>+$B121*_xlfn.XLOOKUP($C121,'ACTUAL %'!$A:$A,'ACTUAL %'!L:L)</f>
        <v>44.499302178459317</v>
      </c>
      <c r="Q121">
        <f>+$B121*_xlfn.XLOOKUP($C121,'ACTUAL %'!$A:$A,'ACTUAL %'!M:M)</f>
        <v>44.499302178459317</v>
      </c>
      <c r="R121">
        <f>+$B121*_xlfn.XLOOKUP($C121,'ACTUAL %'!$A:$A,'ACTUAL %'!N:N)+S121+T121+U121</f>
        <v>44.499302178459317</v>
      </c>
      <c r="S121">
        <f>+$B121*_xlfn.XLOOKUP($C121,'ACTUAL %'!$A:$A,'ACTUAL %'!O:O)</f>
        <v>0</v>
      </c>
      <c r="T121">
        <f>+$B121*_xlfn.XLOOKUP($C121,'ACTUAL %'!$A:$A,'ACTUAL %'!P:P)</f>
        <v>0</v>
      </c>
      <c r="U121">
        <f>+$B121*_xlfn.XLOOKUP($C121,'ACTUAL %'!$A:$A,'ACTUAL %'!Q:Q)</f>
        <v>0</v>
      </c>
      <c r="V121">
        <f t="shared" si="8"/>
        <v>278.12527403660465</v>
      </c>
      <c r="W121" s="517">
        <f t="shared" si="9"/>
        <v>0</v>
      </c>
    </row>
    <row r="122" spans="1:23" x14ac:dyDescent="0.75">
      <c r="A122" t="s">
        <v>1608</v>
      </c>
      <c r="B122">
        <v>-3495492.7238939991</v>
      </c>
      <c r="C122">
        <f t="shared" si="5"/>
        <v>8011</v>
      </c>
      <c r="D122" t="str">
        <f t="shared" si="6"/>
        <v>020</v>
      </c>
      <c r="E122" t="str">
        <f t="shared" si="7"/>
        <v>0000</v>
      </c>
      <c r="F122" t="s">
        <v>1840</v>
      </c>
      <c r="G122">
        <f>+$B122*_xlfn.XLOOKUP($C122,'ACTUAL %'!$A:$A,'ACTUAL %'!C:C)</f>
        <v>-87718.673359473527</v>
      </c>
      <c r="H122">
        <f>+$B122*_xlfn.XLOOKUP($C122,'ACTUAL %'!$A:$A,'ACTUAL %'!D:D)</f>
        <v>-151920.71645109978</v>
      </c>
      <c r="I122">
        <f>+$B122*_xlfn.XLOOKUP($C122,'ACTUAL %'!$A:$A,'ACTUAL %'!E:E)</f>
        <v>-222095.65513867859</v>
      </c>
      <c r="J122">
        <f>+$B122*_xlfn.XLOOKUP($C122,'ACTUAL %'!$A:$A,'ACTUAL %'!F:F)</f>
        <v>-273457.22417531017</v>
      </c>
      <c r="K122">
        <f>+$B122*_xlfn.XLOOKUP($C122,'ACTUAL %'!$A:$A,'ACTUAL %'!G:G)</f>
        <v>-273457.22417531017</v>
      </c>
      <c r="L122">
        <f>+$B122*_xlfn.XLOOKUP($C122,'ACTUAL %'!$A:$A,'ACTUAL %'!H:H)</f>
        <v>-205570.9330018333</v>
      </c>
      <c r="M122">
        <f>+$B122*_xlfn.XLOOKUP($C122,'ACTUAL %'!$A:$A,'ACTUAL %'!I:I)</f>
        <v>-320835.17236734583</v>
      </c>
      <c r="N122">
        <f>+$B122*_xlfn.XLOOKUP($C122,'ACTUAL %'!$A:$A,'ACTUAL %'!J:J)</f>
        <v>-392087.42504498956</v>
      </c>
      <c r="O122">
        <f>+$B122*_xlfn.XLOOKUP($C122,'ACTUAL %'!$A:$A,'ACTUAL %'!K:K)</f>
        <v>-392087.42504498956</v>
      </c>
      <c r="P122">
        <f>+$B122*_xlfn.XLOOKUP($C122,'ACTUAL %'!$A:$A,'ACTUAL %'!L:L)</f>
        <v>-392087.42504498956</v>
      </c>
      <c r="Q122">
        <f>+$B122*_xlfn.XLOOKUP($C122,'ACTUAL %'!$A:$A,'ACTUAL %'!M:M)</f>
        <v>-392087.42504498956</v>
      </c>
      <c r="R122">
        <f>+$B122*_xlfn.XLOOKUP($C122,'ACTUAL %'!$A:$A,'ACTUAL %'!N:N)+S122+T122+U122</f>
        <v>-392087.42504498956</v>
      </c>
      <c r="S122">
        <f>+$B122*_xlfn.XLOOKUP($C122,'ACTUAL %'!$A:$A,'ACTUAL %'!O:O)</f>
        <v>0</v>
      </c>
      <c r="T122">
        <f>+$B122*_xlfn.XLOOKUP($C122,'ACTUAL %'!$A:$A,'ACTUAL %'!P:P)</f>
        <v>0</v>
      </c>
      <c r="U122">
        <f>+$B122*_xlfn.XLOOKUP($C122,'ACTUAL %'!$A:$A,'ACTUAL %'!Q:Q)</f>
        <v>0</v>
      </c>
      <c r="V122">
        <f t="shared" si="8"/>
        <v>-3495492.7238939996</v>
      </c>
      <c r="W122" s="517">
        <f t="shared" si="9"/>
        <v>0</v>
      </c>
    </row>
    <row r="123" spans="1:23" x14ac:dyDescent="0.75">
      <c r="A123" t="s">
        <v>1609</v>
      </c>
      <c r="B123">
        <v>-3364911.2761060009</v>
      </c>
      <c r="C123">
        <f t="shared" si="5"/>
        <v>8012</v>
      </c>
      <c r="D123" t="str">
        <f t="shared" si="6"/>
        <v>020</v>
      </c>
      <c r="E123" t="str">
        <f t="shared" si="7"/>
        <v>1400</v>
      </c>
      <c r="F123" t="s">
        <v>1916</v>
      </c>
      <c r="G123">
        <f>+$B123*_xlfn.XLOOKUP($C123,'ACTUAL %'!$A:$A,'ACTUAL %'!C:C)</f>
        <v>0</v>
      </c>
      <c r="H123">
        <f>+$B123*_xlfn.XLOOKUP($C123,'ACTUAL %'!$A:$A,'ACTUAL %'!D:D)</f>
        <v>0</v>
      </c>
      <c r="I123">
        <f>+$B123*_xlfn.XLOOKUP($C123,'ACTUAL %'!$A:$A,'ACTUAL %'!E:E)</f>
        <v>-953698.97324816196</v>
      </c>
      <c r="J123">
        <f>+$B123*_xlfn.XLOOKUP($C123,'ACTUAL %'!$A:$A,'ACTUAL %'!F:F)</f>
        <v>-84815.544596792432</v>
      </c>
      <c r="K123">
        <f>+$B123*_xlfn.XLOOKUP($C123,'ACTUAL %'!$A:$A,'ACTUAL %'!G:G)</f>
        <v>0</v>
      </c>
      <c r="L123">
        <f>+$B123*_xlfn.XLOOKUP($C123,'ACTUAL %'!$A:$A,'ACTUAL %'!H:H)</f>
        <v>-953698.97324816196</v>
      </c>
      <c r="M123">
        <f>+$B123*_xlfn.XLOOKUP($C123,'ACTUAL %'!$A:$A,'ACTUAL %'!I:I)</f>
        <v>-84814.387384717673</v>
      </c>
      <c r="N123">
        <f>+$B123*_xlfn.XLOOKUP($C123,'ACTUAL %'!$A:$A,'ACTUAL %'!J:J)</f>
        <v>0</v>
      </c>
      <c r="O123">
        <f>+$B123*_xlfn.XLOOKUP($C123,'ACTUAL %'!$A:$A,'ACTUAL %'!K:K)</f>
        <v>-643941.69881408336</v>
      </c>
      <c r="P123">
        <f>+$B123*_xlfn.XLOOKUP($C123,'ACTUAL %'!$A:$A,'ACTUAL %'!L:L)</f>
        <v>0</v>
      </c>
      <c r="Q123">
        <f>+$B123*_xlfn.XLOOKUP($C123,'ACTUAL %'!$A:$A,'ACTUAL %'!M:M)</f>
        <v>0</v>
      </c>
      <c r="R123">
        <f>+$B123*_xlfn.XLOOKUP($C123,'ACTUAL %'!$A:$A,'ACTUAL %'!N:N)+S123+T123+U123</f>
        <v>-643941.69881408336</v>
      </c>
      <c r="S123">
        <f>+$B123*_xlfn.XLOOKUP($C123,'ACTUAL %'!$A:$A,'ACTUAL %'!O:O)</f>
        <v>0</v>
      </c>
      <c r="T123">
        <f>+$B123*_xlfn.XLOOKUP($C123,'ACTUAL %'!$A:$A,'ACTUAL %'!P:P)</f>
        <v>0</v>
      </c>
      <c r="U123">
        <f>+$B123*_xlfn.XLOOKUP($C123,'ACTUAL %'!$A:$A,'ACTUAL %'!Q:Q)</f>
        <v>0</v>
      </c>
      <c r="V123">
        <f t="shared" si="8"/>
        <v>-3364911.2761060004</v>
      </c>
      <c r="W123" s="517">
        <f t="shared" si="9"/>
        <v>0</v>
      </c>
    </row>
    <row r="124" spans="1:23" x14ac:dyDescent="0.75">
      <c r="A124" t="s">
        <v>1610</v>
      </c>
      <c r="B124">
        <v>-1698125.1209659998</v>
      </c>
      <c r="C124">
        <f t="shared" si="5"/>
        <v>8096</v>
      </c>
      <c r="D124" t="str">
        <f t="shared" si="6"/>
        <v>020</v>
      </c>
      <c r="E124" t="str">
        <f t="shared" si="7"/>
        <v>0000</v>
      </c>
      <c r="F124" t="s">
        <v>1841</v>
      </c>
      <c r="G124">
        <f>+$B124*_xlfn.XLOOKUP($C124,'ACTUAL %'!$A:$A,'ACTUAL %'!C:C)</f>
        <v>0</v>
      </c>
      <c r="H124">
        <f>+$B124*_xlfn.XLOOKUP($C124,'ACTUAL %'!$A:$A,'ACTUAL %'!D:D)</f>
        <v>-71075.659542066976</v>
      </c>
      <c r="I124">
        <f>+$B124*_xlfn.XLOOKUP($C124,'ACTUAL %'!$A:$A,'ACTUAL %'!E:E)</f>
        <v>-235360.7941194998</v>
      </c>
      <c r="J124">
        <f>+$B124*_xlfn.XLOOKUP($C124,'ACTUAL %'!$A:$A,'ACTUAL %'!F:F)</f>
        <v>-163181.7184570606</v>
      </c>
      <c r="K124">
        <f>+$B124*_xlfn.XLOOKUP($C124,'ACTUAL %'!$A:$A,'ACTUAL %'!G:G)</f>
        <v>-163223.48216398223</v>
      </c>
      <c r="L124">
        <f>+$B124*_xlfn.XLOOKUP($C124,'ACTUAL %'!$A:$A,'ACTUAL %'!H:H)</f>
        <v>-96177.54575227249</v>
      </c>
      <c r="M124">
        <f>+$B124*_xlfn.XLOOKUP($C124,'ACTUAL %'!$A:$A,'ACTUAL %'!I:I)</f>
        <v>-209100.91421737679</v>
      </c>
      <c r="N124">
        <f>+$B124*_xlfn.XLOOKUP($C124,'ACTUAL %'!$A:$A,'ACTUAL %'!J:J)</f>
        <v>-121600.80107419856</v>
      </c>
      <c r="O124">
        <f>+$B124*_xlfn.XLOOKUP($C124,'ACTUAL %'!$A:$A,'ACTUAL %'!K:K)</f>
        <v>-212801.40187984746</v>
      </c>
      <c r="P124">
        <f>+$B124*_xlfn.XLOOKUP($C124,'ACTUAL %'!$A:$A,'ACTUAL %'!L:L)</f>
        <v>-106400.70093992373</v>
      </c>
      <c r="Q124">
        <f>+$B124*_xlfn.XLOOKUP($C124,'ACTUAL %'!$A:$A,'ACTUAL %'!M:M)</f>
        <v>-106400.70093992373</v>
      </c>
      <c r="R124">
        <f>+$B124*_xlfn.XLOOKUP($C124,'ACTUAL %'!$A:$A,'ACTUAL %'!N:N)+S124+T124+U124</f>
        <v>-212801.40187984746</v>
      </c>
      <c r="S124">
        <f>+$B124*_xlfn.XLOOKUP($C124,'ACTUAL %'!$A:$A,'ACTUAL %'!O:O)</f>
        <v>-106400.70093992373</v>
      </c>
      <c r="T124">
        <f>+$B124*_xlfn.XLOOKUP($C124,'ACTUAL %'!$A:$A,'ACTUAL %'!P:P)</f>
        <v>0</v>
      </c>
      <c r="U124">
        <f>+$B124*_xlfn.XLOOKUP($C124,'ACTUAL %'!$A:$A,'ACTUAL %'!Q:Q)</f>
        <v>0</v>
      </c>
      <c r="V124">
        <f t="shared" si="8"/>
        <v>-1698125.120966</v>
      </c>
      <c r="W124" s="517">
        <f t="shared" si="9"/>
        <v>0</v>
      </c>
    </row>
    <row r="125" spans="1:23" x14ac:dyDescent="0.75">
      <c r="A125" t="s">
        <v>1611</v>
      </c>
      <c r="B125">
        <v>-105815.91774999999</v>
      </c>
      <c r="C125">
        <f t="shared" si="5"/>
        <v>8181</v>
      </c>
      <c r="D125" t="str">
        <f t="shared" si="6"/>
        <v>020</v>
      </c>
      <c r="E125" t="str">
        <f t="shared" si="7"/>
        <v>3310</v>
      </c>
      <c r="F125" t="s">
        <v>1917</v>
      </c>
      <c r="G125">
        <f>+$B125*_xlfn.XLOOKUP($C125,'ACTUAL %'!$A:$A,'ACTUAL %'!C:C)</f>
        <v>0</v>
      </c>
      <c r="H125">
        <f>+$B125*_xlfn.XLOOKUP($C125,'ACTUAL %'!$A:$A,'ACTUAL %'!D:D)</f>
        <v>0</v>
      </c>
      <c r="I125">
        <f>+$B125*_xlfn.XLOOKUP($C125,'ACTUAL %'!$A:$A,'ACTUAL %'!E:E)</f>
        <v>0</v>
      </c>
      <c r="J125">
        <f>+$B125*_xlfn.XLOOKUP($C125,'ACTUAL %'!$A:$A,'ACTUAL %'!F:F)</f>
        <v>0</v>
      </c>
      <c r="K125">
        <f>+$B125*_xlfn.XLOOKUP($C125,'ACTUAL %'!$A:$A,'ACTUAL %'!G:G)</f>
        <v>0</v>
      </c>
      <c r="L125">
        <f>+$B125*_xlfn.XLOOKUP($C125,'ACTUAL %'!$A:$A,'ACTUAL %'!H:H)</f>
        <v>0</v>
      </c>
      <c r="M125">
        <f>+$B125*_xlfn.XLOOKUP($C125,'ACTUAL %'!$A:$A,'ACTUAL %'!I:I)</f>
        <v>0</v>
      </c>
      <c r="N125">
        <f>+$B125*_xlfn.XLOOKUP($C125,'ACTUAL %'!$A:$A,'ACTUAL %'!J:J)</f>
        <v>-21163.183550000002</v>
      </c>
      <c r="O125">
        <f>+$B125*_xlfn.XLOOKUP($C125,'ACTUAL %'!$A:$A,'ACTUAL %'!K:K)</f>
        <v>-21163.183550000002</v>
      </c>
      <c r="P125">
        <f>+$B125*_xlfn.XLOOKUP($C125,'ACTUAL %'!$A:$A,'ACTUAL %'!L:L)</f>
        <v>-21163.183550000002</v>
      </c>
      <c r="Q125">
        <f>+$B125*_xlfn.XLOOKUP($C125,'ACTUAL %'!$A:$A,'ACTUAL %'!M:M)</f>
        <v>-21163.183550000002</v>
      </c>
      <c r="R125">
        <f>+$B125*_xlfn.XLOOKUP($C125,'ACTUAL %'!$A:$A,'ACTUAL %'!N:N)+S125+T125+U125</f>
        <v>-21163.183550000002</v>
      </c>
      <c r="S125">
        <f>+$B125*_xlfn.XLOOKUP($C125,'ACTUAL %'!$A:$A,'ACTUAL %'!O:O)</f>
        <v>0</v>
      </c>
      <c r="T125">
        <f>+$B125*_xlfn.XLOOKUP($C125,'ACTUAL %'!$A:$A,'ACTUAL %'!P:P)</f>
        <v>0</v>
      </c>
      <c r="U125">
        <f>+$B125*_xlfn.XLOOKUP($C125,'ACTUAL %'!$A:$A,'ACTUAL %'!Q:Q)</f>
        <v>0</v>
      </c>
      <c r="V125">
        <f t="shared" si="8"/>
        <v>-105815.91775000001</v>
      </c>
      <c r="W125" s="517">
        <f t="shared" si="9"/>
        <v>0</v>
      </c>
    </row>
    <row r="126" spans="1:23" x14ac:dyDescent="0.75">
      <c r="A126" t="s">
        <v>1733</v>
      </c>
      <c r="B126">
        <v>-599768.41999999993</v>
      </c>
      <c r="C126">
        <f t="shared" si="5"/>
        <v>8290</v>
      </c>
      <c r="D126" t="str">
        <f t="shared" si="6"/>
        <v>020</v>
      </c>
      <c r="E126" t="str">
        <f t="shared" si="7"/>
        <v>0000</v>
      </c>
      <c r="F126" t="s">
        <v>1843</v>
      </c>
      <c r="G126">
        <f>+$B126*_xlfn.XLOOKUP($C126,'ACTUAL %'!$A:$A,'ACTUAL %'!C:C)</f>
        <v>-30974.653053451082</v>
      </c>
      <c r="H126">
        <f>+$B126*_xlfn.XLOOKUP($C126,'ACTUAL %'!$A:$A,'ACTUAL %'!D:D)</f>
        <v>-29111.954176344989</v>
      </c>
      <c r="I126">
        <f>+$B126*_xlfn.XLOOKUP($C126,'ACTUAL %'!$A:$A,'ACTUAL %'!E:E)</f>
        <v>-5094.4772141776948</v>
      </c>
      <c r="J126">
        <f>+$B126*_xlfn.XLOOKUP($C126,'ACTUAL %'!$A:$A,'ACTUAL %'!F:F)</f>
        <v>-6880.4605001214486</v>
      </c>
      <c r="K126">
        <f>+$B126*_xlfn.XLOOKUP($C126,'ACTUAL %'!$A:$A,'ACTUAL %'!G:G)</f>
        <v>0</v>
      </c>
      <c r="L126">
        <f>+$B126*_xlfn.XLOOKUP($C126,'ACTUAL %'!$A:$A,'ACTUAL %'!H:H)</f>
        <v>0</v>
      </c>
      <c r="M126">
        <f>+$B126*_xlfn.XLOOKUP($C126,'ACTUAL %'!$A:$A,'ACTUAL %'!I:I)</f>
        <v>-165140.54993527429</v>
      </c>
      <c r="N126">
        <f>+$B126*_xlfn.XLOOKUP($C126,'ACTUAL %'!$A:$A,'ACTUAL %'!J:J)</f>
        <v>0</v>
      </c>
      <c r="O126">
        <f>+$B126*_xlfn.XLOOKUP($C126,'ACTUAL %'!$A:$A,'ACTUAL %'!K:K)</f>
        <v>0</v>
      </c>
      <c r="P126">
        <f>+$B126*_xlfn.XLOOKUP($C126,'ACTUAL %'!$A:$A,'ACTUAL %'!L:L)</f>
        <v>-124035.8480675841</v>
      </c>
      <c r="Q126">
        <f>+$B126*_xlfn.XLOOKUP($C126,'ACTUAL %'!$A:$A,'ACTUAL %'!M:M)</f>
        <v>0</v>
      </c>
      <c r="R126">
        <f>+$B126*_xlfn.XLOOKUP($C126,'ACTUAL %'!$A:$A,'ACTUAL %'!N:N)+S126+T126+U126</f>
        <v>-238530.47705304637</v>
      </c>
      <c r="S126">
        <f>+$B126*_xlfn.XLOOKUP($C126,'ACTUAL %'!$A:$A,'ACTUAL %'!O:O)</f>
        <v>0</v>
      </c>
      <c r="T126">
        <f>+$B126*_xlfn.XLOOKUP($C126,'ACTUAL %'!$A:$A,'ACTUAL %'!P:P)</f>
        <v>0</v>
      </c>
      <c r="U126">
        <f>+$B126*_xlfn.XLOOKUP($C126,'ACTUAL %'!$A:$A,'ACTUAL %'!Q:Q)</f>
        <v>0</v>
      </c>
      <c r="V126">
        <f t="shared" si="8"/>
        <v>-599768.41999999993</v>
      </c>
      <c r="W126" s="517">
        <f t="shared" si="9"/>
        <v>0</v>
      </c>
    </row>
    <row r="127" spans="1:23" x14ac:dyDescent="0.75">
      <c r="A127" t="s">
        <v>1612</v>
      </c>
      <c r="B127">
        <v>-159904</v>
      </c>
      <c r="C127">
        <f t="shared" si="5"/>
        <v>8291</v>
      </c>
      <c r="D127" t="str">
        <f t="shared" si="6"/>
        <v>020</v>
      </c>
      <c r="E127" t="str">
        <f t="shared" si="7"/>
        <v>3010</v>
      </c>
      <c r="F127" t="s">
        <v>1918</v>
      </c>
      <c r="G127">
        <f>+$B127*_xlfn.XLOOKUP($C127,'ACTUAL %'!$A:$A,'ACTUAL %'!C:C)</f>
        <v>0</v>
      </c>
      <c r="H127">
        <f>+$B127*_xlfn.XLOOKUP($C127,'ACTUAL %'!$A:$A,'ACTUAL %'!D:D)</f>
        <v>0</v>
      </c>
      <c r="I127">
        <f>+$B127*_xlfn.XLOOKUP($C127,'ACTUAL %'!$A:$A,'ACTUAL %'!E:E)</f>
        <v>0</v>
      </c>
      <c r="J127">
        <f>+$B127*_xlfn.XLOOKUP($C127,'ACTUAL %'!$A:$A,'ACTUAL %'!F:F)</f>
        <v>-32867.69886992668</v>
      </c>
      <c r="K127">
        <f>+$B127*_xlfn.XLOOKUP($C127,'ACTUAL %'!$A:$A,'ACTUAL %'!G:G)</f>
        <v>-7597.218640987614</v>
      </c>
      <c r="L127">
        <f>+$B127*_xlfn.XLOOKUP($C127,'ACTUAL %'!$A:$A,'ACTUAL %'!H:H)</f>
        <v>0</v>
      </c>
      <c r="M127">
        <f>+$B127*_xlfn.XLOOKUP($C127,'ACTUAL %'!$A:$A,'ACTUAL %'!I:I)</f>
        <v>-46961.13232928791</v>
      </c>
      <c r="N127">
        <f>+$B127*_xlfn.XLOOKUP($C127,'ACTUAL %'!$A:$A,'ACTUAL %'!J:J)</f>
        <v>0</v>
      </c>
      <c r="O127">
        <f>+$B127*_xlfn.XLOOKUP($C127,'ACTUAL %'!$A:$A,'ACTUAL %'!K:K)</f>
        <v>0</v>
      </c>
      <c r="P127">
        <f>+$B127*_xlfn.XLOOKUP($C127,'ACTUAL %'!$A:$A,'ACTUAL %'!L:L)</f>
        <v>-48318.633439865196</v>
      </c>
      <c r="Q127">
        <f>+$B127*_xlfn.XLOOKUP($C127,'ACTUAL %'!$A:$A,'ACTUAL %'!M:M)</f>
        <v>0</v>
      </c>
      <c r="R127">
        <f>+$B127*_xlfn.XLOOKUP($C127,'ACTUAL %'!$A:$A,'ACTUAL %'!N:N)+S127+T127+U127</f>
        <v>-24159.316719932598</v>
      </c>
      <c r="S127">
        <f>+$B127*_xlfn.XLOOKUP($C127,'ACTUAL %'!$A:$A,'ACTUAL %'!O:O)</f>
        <v>0</v>
      </c>
      <c r="T127">
        <f>+$B127*_xlfn.XLOOKUP($C127,'ACTUAL %'!$A:$A,'ACTUAL %'!P:P)</f>
        <v>0</v>
      </c>
      <c r="U127">
        <f>+$B127*_xlfn.XLOOKUP($C127,'ACTUAL %'!$A:$A,'ACTUAL %'!Q:Q)</f>
        <v>0</v>
      </c>
      <c r="V127">
        <f t="shared" si="8"/>
        <v>-159904</v>
      </c>
      <c r="W127" s="517">
        <f t="shared" si="9"/>
        <v>0</v>
      </c>
    </row>
    <row r="128" spans="1:23" x14ac:dyDescent="0.75">
      <c r="A128" t="s">
        <v>1613</v>
      </c>
      <c r="B128">
        <v>-26785</v>
      </c>
      <c r="C128">
        <f t="shared" si="5"/>
        <v>8292</v>
      </c>
      <c r="D128" t="str">
        <f t="shared" si="6"/>
        <v>020</v>
      </c>
      <c r="E128" t="str">
        <f t="shared" si="7"/>
        <v>4035</v>
      </c>
      <c r="F128" t="s">
        <v>1919</v>
      </c>
      <c r="G128">
        <f>+$B128*_xlfn.XLOOKUP($C128,'ACTUAL %'!$A:$A,'ACTUAL %'!C:C)</f>
        <v>0</v>
      </c>
      <c r="H128">
        <f>+$B128*_xlfn.XLOOKUP($C128,'ACTUAL %'!$A:$A,'ACTUAL %'!D:D)</f>
        <v>0</v>
      </c>
      <c r="I128">
        <f>+$B128*_xlfn.XLOOKUP($C128,'ACTUAL %'!$A:$A,'ACTUAL %'!E:E)</f>
        <v>0</v>
      </c>
      <c r="J128">
        <f>+$B128*_xlfn.XLOOKUP($C128,'ACTUAL %'!$A:$A,'ACTUAL %'!F:F)</f>
        <v>0</v>
      </c>
      <c r="K128">
        <f>+$B128*_xlfn.XLOOKUP($C128,'ACTUAL %'!$A:$A,'ACTUAL %'!G:G)</f>
        <v>0</v>
      </c>
      <c r="L128">
        <f>+$B128*_xlfn.XLOOKUP($C128,'ACTUAL %'!$A:$A,'ACTUAL %'!H:H)</f>
        <v>0</v>
      </c>
      <c r="M128">
        <f>+$B128*_xlfn.XLOOKUP($C128,'ACTUAL %'!$A:$A,'ACTUAL %'!I:I)</f>
        <v>0</v>
      </c>
      <c r="N128">
        <f>+$B128*_xlfn.XLOOKUP($C128,'ACTUAL %'!$A:$A,'ACTUAL %'!J:J)</f>
        <v>0</v>
      </c>
      <c r="O128">
        <f>+$B128*_xlfn.XLOOKUP($C128,'ACTUAL %'!$A:$A,'ACTUAL %'!K:K)</f>
        <v>0</v>
      </c>
      <c r="P128">
        <f>+$B128*_xlfn.XLOOKUP($C128,'ACTUAL %'!$A:$A,'ACTUAL %'!L:L)</f>
        <v>-17856.666666666664</v>
      </c>
      <c r="Q128">
        <f>+$B128*_xlfn.XLOOKUP($C128,'ACTUAL %'!$A:$A,'ACTUAL %'!M:M)</f>
        <v>0</v>
      </c>
      <c r="R128">
        <f>+$B128*_xlfn.XLOOKUP($C128,'ACTUAL %'!$A:$A,'ACTUAL %'!N:N)+S128+T128+U128</f>
        <v>-8928.3333333333321</v>
      </c>
      <c r="S128">
        <f>+$B128*_xlfn.XLOOKUP($C128,'ACTUAL %'!$A:$A,'ACTUAL %'!O:O)</f>
        <v>0</v>
      </c>
      <c r="T128">
        <f>+$B128*_xlfn.XLOOKUP($C128,'ACTUAL %'!$A:$A,'ACTUAL %'!P:P)</f>
        <v>0</v>
      </c>
      <c r="U128">
        <f>+$B128*_xlfn.XLOOKUP($C128,'ACTUAL %'!$A:$A,'ACTUAL %'!Q:Q)</f>
        <v>0</v>
      </c>
      <c r="V128">
        <f t="shared" si="8"/>
        <v>-26784.999999999996</v>
      </c>
      <c r="W128" s="517">
        <f t="shared" si="9"/>
        <v>0</v>
      </c>
    </row>
    <row r="129" spans="1:23" x14ac:dyDescent="0.75">
      <c r="A129" t="s">
        <v>1614</v>
      </c>
      <c r="B129">
        <v>-10000</v>
      </c>
      <c r="C129">
        <f t="shared" si="5"/>
        <v>8294</v>
      </c>
      <c r="D129" t="str">
        <f t="shared" si="6"/>
        <v>020</v>
      </c>
      <c r="E129" t="str">
        <f t="shared" si="7"/>
        <v>4127</v>
      </c>
      <c r="F129" t="s">
        <v>1920</v>
      </c>
      <c r="G129">
        <f>+$B129*_xlfn.XLOOKUP($C129,'ACTUAL %'!$A:$A,'ACTUAL %'!C:C)</f>
        <v>0</v>
      </c>
      <c r="H129">
        <f>+$B129*_xlfn.XLOOKUP($C129,'ACTUAL %'!$A:$A,'ACTUAL %'!D:D)</f>
        <v>0</v>
      </c>
      <c r="I129">
        <f>+$B129*_xlfn.XLOOKUP($C129,'ACTUAL %'!$A:$A,'ACTUAL %'!E:E)</f>
        <v>0</v>
      </c>
      <c r="J129">
        <f>+$B129*_xlfn.XLOOKUP($C129,'ACTUAL %'!$A:$A,'ACTUAL %'!F:F)</f>
        <v>-833.33333333333326</v>
      </c>
      <c r="K129">
        <f>+$B129*_xlfn.XLOOKUP($C129,'ACTUAL %'!$A:$A,'ACTUAL %'!G:G)</f>
        <v>0</v>
      </c>
      <c r="L129">
        <f>+$B129*_xlfn.XLOOKUP($C129,'ACTUAL %'!$A:$A,'ACTUAL %'!H:H)</f>
        <v>-833.33333333333326</v>
      </c>
      <c r="M129">
        <f>+$B129*_xlfn.XLOOKUP($C129,'ACTUAL %'!$A:$A,'ACTUAL %'!I:I)</f>
        <v>0</v>
      </c>
      <c r="N129">
        <f>+$B129*_xlfn.XLOOKUP($C129,'ACTUAL %'!$A:$A,'ACTUAL %'!J:J)</f>
        <v>0</v>
      </c>
      <c r="O129">
        <f>+$B129*_xlfn.XLOOKUP($C129,'ACTUAL %'!$A:$A,'ACTUAL %'!K:K)</f>
        <v>0</v>
      </c>
      <c r="P129">
        <f>+$B129*_xlfn.XLOOKUP($C129,'ACTUAL %'!$A:$A,'ACTUAL %'!L:L)</f>
        <v>-5555.5555555555547</v>
      </c>
      <c r="Q129">
        <f>+$B129*_xlfn.XLOOKUP($C129,'ACTUAL %'!$A:$A,'ACTUAL %'!M:M)</f>
        <v>0</v>
      </c>
      <c r="R129">
        <f>+$B129*_xlfn.XLOOKUP($C129,'ACTUAL %'!$A:$A,'ACTUAL %'!N:N)+S129+T129+U129</f>
        <v>-2777.7777777777774</v>
      </c>
      <c r="S129">
        <f>+$B129*_xlfn.XLOOKUP($C129,'ACTUAL %'!$A:$A,'ACTUAL %'!O:O)</f>
        <v>0</v>
      </c>
      <c r="T129">
        <f>+$B129*_xlfn.XLOOKUP($C129,'ACTUAL %'!$A:$A,'ACTUAL %'!P:P)</f>
        <v>0</v>
      </c>
      <c r="U129">
        <f>+$B129*_xlfn.XLOOKUP($C129,'ACTUAL %'!$A:$A,'ACTUAL %'!Q:Q)</f>
        <v>0</v>
      </c>
      <c r="V129">
        <f t="shared" si="8"/>
        <v>-9999.9999999999982</v>
      </c>
      <c r="W129" s="517">
        <f t="shared" si="9"/>
        <v>0</v>
      </c>
    </row>
    <row r="130" spans="1:23" x14ac:dyDescent="0.75">
      <c r="A130" t="s">
        <v>2001</v>
      </c>
      <c r="B130">
        <v>-79158</v>
      </c>
      <c r="C130">
        <f t="shared" si="5"/>
        <v>8299</v>
      </c>
      <c r="D130" t="str">
        <f t="shared" si="6"/>
        <v>020</v>
      </c>
      <c r="E130" t="str">
        <f t="shared" si="7"/>
        <v>0000</v>
      </c>
      <c r="F130" t="s">
        <v>2035</v>
      </c>
      <c r="G130">
        <f>+$B130*_xlfn.XLOOKUP($C130,'ACTUAL %'!$A:$A,'ACTUAL %'!C:C)</f>
        <v>0</v>
      </c>
      <c r="H130">
        <f>+$B130*_xlfn.XLOOKUP($C130,'ACTUAL %'!$A:$A,'ACTUAL %'!D:D)</f>
        <v>0</v>
      </c>
      <c r="I130">
        <f>+$B130*_xlfn.XLOOKUP($C130,'ACTUAL %'!$A:$A,'ACTUAL %'!E:E)</f>
        <v>0</v>
      </c>
      <c r="J130">
        <f>+$B130*_xlfn.XLOOKUP($C130,'ACTUAL %'!$A:$A,'ACTUAL %'!F:F)</f>
        <v>0</v>
      </c>
      <c r="K130">
        <f>+$B130*_xlfn.XLOOKUP($C130,'ACTUAL %'!$A:$A,'ACTUAL %'!G:G)</f>
        <v>0</v>
      </c>
      <c r="L130">
        <f>+$B130*_xlfn.XLOOKUP($C130,'ACTUAL %'!$A:$A,'ACTUAL %'!H:H)</f>
        <v>0</v>
      </c>
      <c r="M130">
        <f>+$B130*_xlfn.XLOOKUP($C130,'ACTUAL %'!$A:$A,'ACTUAL %'!I:I)</f>
        <v>0</v>
      </c>
      <c r="N130">
        <f>+$B130*_xlfn.XLOOKUP($C130,'ACTUAL %'!$A:$A,'ACTUAL %'!J:J)</f>
        <v>0</v>
      </c>
      <c r="O130">
        <f>+$B130*_xlfn.XLOOKUP($C130,'ACTUAL %'!$A:$A,'ACTUAL %'!K:K)</f>
        <v>0</v>
      </c>
      <c r="P130">
        <f>+$B130*_xlfn.XLOOKUP($C130,'ACTUAL %'!$A:$A,'ACTUAL %'!L:L)</f>
        <v>0</v>
      </c>
      <c r="Q130">
        <f>+$B130*_xlfn.XLOOKUP($C130,'ACTUAL %'!$A:$A,'ACTUAL %'!M:M)</f>
        <v>0</v>
      </c>
      <c r="R130">
        <f>+$B130*_xlfn.XLOOKUP($C130,'ACTUAL %'!$A:$A,'ACTUAL %'!N:N)+S130+T130+U130</f>
        <v>0</v>
      </c>
      <c r="S130">
        <f>+$B130*_xlfn.XLOOKUP($C130,'ACTUAL %'!$A:$A,'ACTUAL %'!O:O)</f>
        <v>0</v>
      </c>
      <c r="T130">
        <f>+$B130*_xlfn.XLOOKUP($C130,'ACTUAL %'!$A:$A,'ACTUAL %'!P:P)</f>
        <v>0</v>
      </c>
      <c r="U130">
        <f>+$B130*_xlfn.XLOOKUP($C130,'ACTUAL %'!$A:$A,'ACTUAL %'!Q:Q)</f>
        <v>0</v>
      </c>
      <c r="V130">
        <f t="shared" si="8"/>
        <v>0</v>
      </c>
      <c r="W130" s="517">
        <f t="shared" si="9"/>
        <v>79158</v>
      </c>
    </row>
    <row r="131" spans="1:23" x14ac:dyDescent="0.75">
      <c r="A131" t="s">
        <v>1615</v>
      </c>
      <c r="B131">
        <v>-21279.309004000002</v>
      </c>
      <c r="C131">
        <f t="shared" si="5"/>
        <v>8550</v>
      </c>
      <c r="D131" t="str">
        <f t="shared" si="6"/>
        <v>020</v>
      </c>
      <c r="E131" t="str">
        <f t="shared" si="7"/>
        <v>0000</v>
      </c>
      <c r="F131" t="s">
        <v>1842</v>
      </c>
      <c r="G131">
        <f>+$B131*_xlfn.XLOOKUP($C131,'ACTUAL %'!$A:$A,'ACTUAL %'!C:C)</f>
        <v>0</v>
      </c>
      <c r="H131">
        <f>+$B131*_xlfn.XLOOKUP($C131,'ACTUAL %'!$A:$A,'ACTUAL %'!D:D)</f>
        <v>0</v>
      </c>
      <c r="I131">
        <f>+$B131*_xlfn.XLOOKUP($C131,'ACTUAL %'!$A:$A,'ACTUAL %'!E:E)</f>
        <v>0</v>
      </c>
      <c r="J131">
        <f>+$B131*_xlfn.XLOOKUP($C131,'ACTUAL %'!$A:$A,'ACTUAL %'!F:F)</f>
        <v>0</v>
      </c>
      <c r="K131">
        <f>+$B131*_xlfn.XLOOKUP($C131,'ACTUAL %'!$A:$A,'ACTUAL %'!G:G)</f>
        <v>0</v>
      </c>
      <c r="L131">
        <f>+$B131*_xlfn.XLOOKUP($C131,'ACTUAL %'!$A:$A,'ACTUAL %'!H:H)</f>
        <v>-16876.5174822519</v>
      </c>
      <c r="M131">
        <f>+$B131*_xlfn.XLOOKUP($C131,'ACTUAL %'!$A:$A,'ACTUAL %'!I:I)</f>
        <v>-4247.6936373016688</v>
      </c>
      <c r="N131">
        <f>+$B131*_xlfn.XLOOKUP($C131,'ACTUAL %'!$A:$A,'ACTUAL %'!J:J)</f>
        <v>-51.699294815477977</v>
      </c>
      <c r="O131">
        <f>+$B131*_xlfn.XLOOKUP($C131,'ACTUAL %'!$A:$A,'ACTUAL %'!K:K)</f>
        <v>0</v>
      </c>
      <c r="P131">
        <f>+$B131*_xlfn.XLOOKUP($C131,'ACTUAL %'!$A:$A,'ACTUAL %'!L:L)</f>
        <v>0</v>
      </c>
      <c r="Q131">
        <f>+$B131*_xlfn.XLOOKUP($C131,'ACTUAL %'!$A:$A,'ACTUAL %'!M:M)</f>
        <v>0</v>
      </c>
      <c r="R131">
        <f>+$B131*_xlfn.XLOOKUP($C131,'ACTUAL %'!$A:$A,'ACTUAL %'!N:N)+S131+T131+U131</f>
        <v>-103.39858963095595</v>
      </c>
      <c r="S131">
        <f>+$B131*_xlfn.XLOOKUP($C131,'ACTUAL %'!$A:$A,'ACTUAL %'!O:O)</f>
        <v>-51.699294815477977</v>
      </c>
      <c r="T131">
        <f>+$B131*_xlfn.XLOOKUP($C131,'ACTUAL %'!$A:$A,'ACTUAL %'!P:P)</f>
        <v>0</v>
      </c>
      <c r="U131">
        <f>+$B131*_xlfn.XLOOKUP($C131,'ACTUAL %'!$A:$A,'ACTUAL %'!Q:Q)</f>
        <v>0</v>
      </c>
      <c r="V131">
        <f t="shared" si="8"/>
        <v>-21279.309004000002</v>
      </c>
      <c r="W131" s="517">
        <f t="shared" si="9"/>
        <v>0</v>
      </c>
    </row>
    <row r="132" spans="1:23" x14ac:dyDescent="0.75">
      <c r="A132" t="s">
        <v>1906</v>
      </c>
      <c r="B132">
        <v>-142251.5018</v>
      </c>
      <c r="C132">
        <f t="shared" ref="C132:C195" si="10">+LEFT(A132,4)+0</f>
        <v>8561</v>
      </c>
      <c r="D132" t="str">
        <f t="shared" ref="D132:D195" si="11">+MID(A132,5,3)</f>
        <v>020</v>
      </c>
      <c r="E132" t="str">
        <f t="shared" ref="E132:E195" si="12">+RIGHT(A132,4)</f>
        <v>1100</v>
      </c>
      <c r="F132" t="s">
        <v>1931</v>
      </c>
      <c r="G132">
        <f>+$B132*_xlfn.XLOOKUP($C132,'ACTUAL %'!$A:$A,'ACTUAL %'!C:C)</f>
        <v>0</v>
      </c>
      <c r="H132">
        <f>+$B132*_xlfn.XLOOKUP($C132,'ACTUAL %'!$A:$A,'ACTUAL %'!D:D)</f>
        <v>0</v>
      </c>
      <c r="I132">
        <f>+$B132*_xlfn.XLOOKUP($C132,'ACTUAL %'!$A:$A,'ACTUAL %'!E:E)</f>
        <v>0</v>
      </c>
      <c r="J132">
        <f>+$B132*_xlfn.XLOOKUP($C132,'ACTUAL %'!$A:$A,'ACTUAL %'!F:F)</f>
        <v>0</v>
      </c>
      <c r="K132">
        <f>+$B132*_xlfn.XLOOKUP($C132,'ACTUAL %'!$A:$A,'ACTUAL %'!G:G)</f>
        <v>0</v>
      </c>
      <c r="L132">
        <f>+$B132*_xlfn.XLOOKUP($C132,'ACTUAL %'!$A:$A,'ACTUAL %'!H:H)</f>
        <v>0</v>
      </c>
      <c r="M132">
        <f>+$B132*_xlfn.XLOOKUP($C132,'ACTUAL %'!$A:$A,'ACTUAL %'!I:I)</f>
        <v>-38750.141282244309</v>
      </c>
      <c r="N132">
        <f>+$B132*_xlfn.XLOOKUP($C132,'ACTUAL %'!$A:$A,'ACTUAL %'!J:J)</f>
        <v>0</v>
      </c>
      <c r="O132">
        <f>+$B132*_xlfn.XLOOKUP($C132,'ACTUAL %'!$A:$A,'ACTUAL %'!K:K)</f>
        <v>-51750.680258877845</v>
      </c>
      <c r="P132">
        <f>+$B132*_xlfn.XLOOKUP($C132,'ACTUAL %'!$A:$A,'ACTUAL %'!L:L)</f>
        <v>0</v>
      </c>
      <c r="Q132">
        <f>+$B132*_xlfn.XLOOKUP($C132,'ACTUAL %'!$A:$A,'ACTUAL %'!M:M)</f>
        <v>0</v>
      </c>
      <c r="R132">
        <f>+$B132*_xlfn.XLOOKUP($C132,'ACTUAL %'!$A:$A,'ACTUAL %'!N:N)+S132+T132+U132</f>
        <v>-51750.680258877845</v>
      </c>
      <c r="S132">
        <f>+$B132*_xlfn.XLOOKUP($C132,'ACTUAL %'!$A:$A,'ACTUAL %'!O:O)</f>
        <v>0</v>
      </c>
      <c r="T132">
        <f>+$B132*_xlfn.XLOOKUP($C132,'ACTUAL %'!$A:$A,'ACTUAL %'!P:P)</f>
        <v>0</v>
      </c>
      <c r="U132">
        <f>+$B132*_xlfn.XLOOKUP($C132,'ACTUAL %'!$A:$A,'ACTUAL %'!Q:Q)</f>
        <v>0</v>
      </c>
      <c r="V132">
        <f t="shared" si="8"/>
        <v>-142251.5018</v>
      </c>
      <c r="W132" s="517">
        <f t="shared" si="9"/>
        <v>0</v>
      </c>
    </row>
    <row r="133" spans="1:23" x14ac:dyDescent="0.75">
      <c r="A133" t="s">
        <v>1907</v>
      </c>
      <c r="B133">
        <v>-56726.058999999994</v>
      </c>
      <c r="C133">
        <f t="shared" si="10"/>
        <v>8562</v>
      </c>
      <c r="D133" t="str">
        <f t="shared" si="11"/>
        <v>020</v>
      </c>
      <c r="E133" t="str">
        <f t="shared" si="12"/>
        <v>6300</v>
      </c>
      <c r="F133" t="s">
        <v>1932</v>
      </c>
      <c r="G133">
        <f>+$B133*_xlfn.XLOOKUP($C133,'ACTUAL %'!$A:$A,'ACTUAL %'!C:C)</f>
        <v>0</v>
      </c>
      <c r="H133">
        <f>+$B133*_xlfn.XLOOKUP($C133,'ACTUAL %'!$A:$A,'ACTUAL %'!D:D)</f>
        <v>0</v>
      </c>
      <c r="I133">
        <f>+$B133*_xlfn.XLOOKUP($C133,'ACTUAL %'!$A:$A,'ACTUAL %'!E:E)</f>
        <v>0</v>
      </c>
      <c r="J133">
        <f>+$B133*_xlfn.XLOOKUP($C133,'ACTUAL %'!$A:$A,'ACTUAL %'!F:F)</f>
        <v>0</v>
      </c>
      <c r="K133">
        <f>+$B133*_xlfn.XLOOKUP($C133,'ACTUAL %'!$A:$A,'ACTUAL %'!G:G)</f>
        <v>0</v>
      </c>
      <c r="L133">
        <f>+$B133*_xlfn.XLOOKUP($C133,'ACTUAL %'!$A:$A,'ACTUAL %'!H:H)</f>
        <v>0</v>
      </c>
      <c r="M133">
        <f>+$B133*_xlfn.XLOOKUP($C133,'ACTUAL %'!$A:$A,'ACTUAL %'!I:I)</f>
        <v>0</v>
      </c>
      <c r="N133">
        <f>+$B133*_xlfn.XLOOKUP($C133,'ACTUAL %'!$A:$A,'ACTUAL %'!J:J)</f>
        <v>0</v>
      </c>
      <c r="O133">
        <f>+$B133*_xlfn.XLOOKUP($C133,'ACTUAL %'!$A:$A,'ACTUAL %'!K:K)</f>
        <v>0</v>
      </c>
      <c r="P133">
        <f>+$B133*_xlfn.XLOOKUP($C133,'ACTUAL %'!$A:$A,'ACTUAL %'!L:L)</f>
        <v>0</v>
      </c>
      <c r="Q133">
        <f>+$B133*_xlfn.XLOOKUP($C133,'ACTUAL %'!$A:$A,'ACTUAL %'!M:M)</f>
        <v>0</v>
      </c>
      <c r="R133">
        <f>+$B133*_xlfn.XLOOKUP($C133,'ACTUAL %'!$A:$A,'ACTUAL %'!N:N)+S133+T133+U133</f>
        <v>0</v>
      </c>
      <c r="S133">
        <f>+$B133*_xlfn.XLOOKUP($C133,'ACTUAL %'!$A:$A,'ACTUAL %'!O:O)</f>
        <v>0</v>
      </c>
      <c r="T133">
        <f>+$B133*_xlfn.XLOOKUP($C133,'ACTUAL %'!$A:$A,'ACTUAL %'!P:P)</f>
        <v>0</v>
      </c>
      <c r="U133">
        <f>+$B133*_xlfn.XLOOKUP($C133,'ACTUAL %'!$A:$A,'ACTUAL %'!Q:Q)</f>
        <v>0</v>
      </c>
      <c r="V133">
        <f t="shared" si="8"/>
        <v>0</v>
      </c>
      <c r="W133" s="517">
        <f t="shared" si="9"/>
        <v>56726.058999999994</v>
      </c>
    </row>
    <row r="134" spans="1:23" x14ac:dyDescent="0.75">
      <c r="A134" t="s">
        <v>2002</v>
      </c>
      <c r="B134">
        <v>-166303</v>
      </c>
      <c r="C134">
        <f t="shared" si="10"/>
        <v>8590</v>
      </c>
      <c r="D134" t="str">
        <f t="shared" si="11"/>
        <v>020</v>
      </c>
      <c r="E134" t="str">
        <f t="shared" si="12"/>
        <v>0000</v>
      </c>
      <c r="F134" t="s">
        <v>2036</v>
      </c>
      <c r="G134">
        <f>+$B134*_xlfn.XLOOKUP($C134,'ACTUAL %'!$A:$A,'ACTUAL %'!C:C)</f>
        <v>0</v>
      </c>
      <c r="H134">
        <f>+$B134*_xlfn.XLOOKUP($C134,'ACTUAL %'!$A:$A,'ACTUAL %'!D:D)</f>
        <v>0</v>
      </c>
      <c r="I134">
        <f>+$B134*_xlfn.XLOOKUP($C134,'ACTUAL %'!$A:$A,'ACTUAL %'!E:E)</f>
        <v>-8194.4174321772698</v>
      </c>
      <c r="J134">
        <f>+$B134*_xlfn.XLOOKUP($C134,'ACTUAL %'!$A:$A,'ACTUAL %'!F:F)</f>
        <v>-2822.067990908587</v>
      </c>
      <c r="K134">
        <f>+$B134*_xlfn.XLOOKUP($C134,'ACTUAL %'!$A:$A,'ACTUAL %'!G:G)</f>
        <v>0</v>
      </c>
      <c r="L134">
        <f>+$B134*_xlfn.XLOOKUP($C134,'ACTUAL %'!$A:$A,'ACTUAL %'!H:H)</f>
        <v>0</v>
      </c>
      <c r="M134">
        <f>+$B134*_xlfn.XLOOKUP($C134,'ACTUAL %'!$A:$A,'ACTUAL %'!I:I)</f>
        <v>-39804.375247381235</v>
      </c>
      <c r="N134">
        <f>+$B134*_xlfn.XLOOKUP($C134,'ACTUAL %'!$A:$A,'ACTUAL %'!J:J)</f>
        <v>0</v>
      </c>
      <c r="O134">
        <f>+$B134*_xlfn.XLOOKUP($C134,'ACTUAL %'!$A:$A,'ACTUAL %'!K:K)</f>
        <v>0</v>
      </c>
      <c r="P134">
        <f>+$B134*_xlfn.XLOOKUP($C134,'ACTUAL %'!$A:$A,'ACTUAL %'!L:L)</f>
        <v>-39507.047665366517</v>
      </c>
      <c r="Q134">
        <f>+$B134*_xlfn.XLOOKUP($C134,'ACTUAL %'!$A:$A,'ACTUAL %'!M:M)</f>
        <v>0</v>
      </c>
      <c r="R134">
        <f>+$B134*_xlfn.XLOOKUP($C134,'ACTUAL %'!$A:$A,'ACTUAL %'!N:N)+S134+T134+U134</f>
        <v>-75975.091664166379</v>
      </c>
      <c r="S134">
        <f>+$B134*_xlfn.XLOOKUP($C134,'ACTUAL %'!$A:$A,'ACTUAL %'!O:O)</f>
        <v>0</v>
      </c>
      <c r="T134">
        <f>+$B134*_xlfn.XLOOKUP($C134,'ACTUAL %'!$A:$A,'ACTUAL %'!P:P)</f>
        <v>0</v>
      </c>
      <c r="U134">
        <f>+$B134*_xlfn.XLOOKUP($C134,'ACTUAL %'!$A:$A,'ACTUAL %'!Q:Q)</f>
        <v>0</v>
      </c>
      <c r="V134">
        <f t="shared" si="8"/>
        <v>-166303</v>
      </c>
      <c r="W134" s="517">
        <f t="shared" si="9"/>
        <v>0</v>
      </c>
    </row>
    <row r="135" spans="1:23" x14ac:dyDescent="0.75">
      <c r="A135" t="s">
        <v>2003</v>
      </c>
      <c r="B135">
        <v>-5775</v>
      </c>
      <c r="C135">
        <f t="shared" si="10"/>
        <v>8599</v>
      </c>
      <c r="D135" t="str">
        <f t="shared" si="11"/>
        <v>020</v>
      </c>
      <c r="E135" t="str">
        <f t="shared" si="12"/>
        <v>0000</v>
      </c>
      <c r="F135" t="s">
        <v>2037</v>
      </c>
      <c r="G135">
        <f>+$B135*_xlfn.XLOOKUP($C135,'ACTUAL %'!$A:$A,'ACTUAL %'!C:C)</f>
        <v>0</v>
      </c>
      <c r="H135">
        <f>+$B135*_xlfn.XLOOKUP($C135,'ACTUAL %'!$A:$A,'ACTUAL %'!D:D)</f>
        <v>0</v>
      </c>
      <c r="I135">
        <f>+$B135*_xlfn.XLOOKUP($C135,'ACTUAL %'!$A:$A,'ACTUAL %'!E:E)</f>
        <v>0</v>
      </c>
      <c r="J135">
        <f>+$B135*_xlfn.XLOOKUP($C135,'ACTUAL %'!$A:$A,'ACTUAL %'!F:F)</f>
        <v>0</v>
      </c>
      <c r="K135">
        <f>+$B135*_xlfn.XLOOKUP($C135,'ACTUAL %'!$A:$A,'ACTUAL %'!G:G)</f>
        <v>0</v>
      </c>
      <c r="L135">
        <f>+$B135*_xlfn.XLOOKUP($C135,'ACTUAL %'!$A:$A,'ACTUAL %'!H:H)</f>
        <v>0</v>
      </c>
      <c r="M135">
        <f>+$B135*_xlfn.XLOOKUP($C135,'ACTUAL %'!$A:$A,'ACTUAL %'!I:I)</f>
        <v>0</v>
      </c>
      <c r="N135">
        <f>+$B135*_xlfn.XLOOKUP($C135,'ACTUAL %'!$A:$A,'ACTUAL %'!J:J)</f>
        <v>0</v>
      </c>
      <c r="O135">
        <f>+$B135*_xlfn.XLOOKUP($C135,'ACTUAL %'!$A:$A,'ACTUAL %'!K:K)</f>
        <v>0</v>
      </c>
      <c r="P135">
        <f>+$B135*_xlfn.XLOOKUP($C135,'ACTUAL %'!$A:$A,'ACTUAL %'!L:L)</f>
        <v>0</v>
      </c>
      <c r="Q135">
        <f>+$B135*_xlfn.XLOOKUP($C135,'ACTUAL %'!$A:$A,'ACTUAL %'!M:M)</f>
        <v>0</v>
      </c>
      <c r="R135">
        <f>+$B135*_xlfn.XLOOKUP($C135,'ACTUAL %'!$A:$A,'ACTUAL %'!N:N)+S135+T135+U135</f>
        <v>0</v>
      </c>
      <c r="S135">
        <f>+$B135*_xlfn.XLOOKUP($C135,'ACTUAL %'!$A:$A,'ACTUAL %'!O:O)</f>
        <v>0</v>
      </c>
      <c r="T135">
        <f>+$B135*_xlfn.XLOOKUP($C135,'ACTUAL %'!$A:$A,'ACTUAL %'!P:P)</f>
        <v>0</v>
      </c>
      <c r="U135">
        <f>+$B135*_xlfn.XLOOKUP($C135,'ACTUAL %'!$A:$A,'ACTUAL %'!Q:Q)</f>
        <v>0</v>
      </c>
      <c r="V135">
        <f t="shared" si="8"/>
        <v>0</v>
      </c>
      <c r="W135" s="517">
        <f t="shared" si="9"/>
        <v>5775</v>
      </c>
    </row>
    <row r="136" spans="1:23" x14ac:dyDescent="0.75">
      <c r="A136" t="s">
        <v>1616</v>
      </c>
      <c r="B136">
        <v>-635658.04952999996</v>
      </c>
      <c r="C136">
        <f t="shared" si="10"/>
        <v>8792</v>
      </c>
      <c r="D136" t="str">
        <f t="shared" si="11"/>
        <v>020</v>
      </c>
      <c r="E136" t="str">
        <f t="shared" si="12"/>
        <v>6500</v>
      </c>
      <c r="F136" t="s">
        <v>1921</v>
      </c>
      <c r="G136">
        <f>+$B136*_xlfn.XLOOKUP($C136,'ACTUAL %'!$A:$A,'ACTUAL %'!C:C)</f>
        <v>-25216.046926280345</v>
      </c>
      <c r="H136">
        <f>+$B136*_xlfn.XLOOKUP($C136,'ACTUAL %'!$A:$A,'ACTUAL %'!D:D)</f>
        <v>-25216.046926280345</v>
      </c>
      <c r="I136">
        <f>+$B136*_xlfn.XLOOKUP($C136,'ACTUAL %'!$A:$A,'ACTUAL %'!E:E)</f>
        <v>-45389.047848924609</v>
      </c>
      <c r="J136">
        <f>+$B136*_xlfn.XLOOKUP($C136,'ACTUAL %'!$A:$A,'ACTUAL %'!F:F)</f>
        <v>-45389.047848924609</v>
      </c>
      <c r="K136">
        <f>+$B136*_xlfn.XLOOKUP($C136,'ACTUAL %'!$A:$A,'ACTUAL %'!G:G)</f>
        <v>-45389.047848924609</v>
      </c>
      <c r="L136">
        <f>+$B136*_xlfn.XLOOKUP($C136,'ACTUAL %'!$A:$A,'ACTUAL %'!H:H)</f>
        <v>-45389.047848924609</v>
      </c>
      <c r="M136">
        <f>+$B136*_xlfn.XLOOKUP($C136,'ACTUAL %'!$A:$A,'ACTUAL %'!I:I)</f>
        <v>-45389.047848924609</v>
      </c>
      <c r="N136">
        <f>+$B136*_xlfn.XLOOKUP($C136,'ACTUAL %'!$A:$A,'ACTUAL %'!J:J)</f>
        <v>-35589.217832326409</v>
      </c>
      <c r="O136">
        <f>+$B136*_xlfn.XLOOKUP($C136,'ACTUAL %'!$A:$A,'ACTUAL %'!K:K)</f>
        <v>-17436.328199730389</v>
      </c>
      <c r="P136">
        <f>+$B136*_xlfn.XLOOKUP($C136,'ACTUAL %'!$A:$A,'ACTUAL %'!L:L)</f>
        <v>-16799.384703849828</v>
      </c>
      <c r="Q136">
        <f>+$B136*_xlfn.XLOOKUP($C136,'ACTUAL %'!$A:$A,'ACTUAL %'!M:M)</f>
        <v>-16560.530892894614</v>
      </c>
      <c r="R136">
        <f>+$B136*_xlfn.XLOOKUP($C136,'ACTUAL %'!$A:$A,'ACTUAL %'!N:N)+S136+T136+U136</f>
        <v>-271895.25480401498</v>
      </c>
      <c r="S136">
        <f>+$B136*_xlfn.XLOOKUP($C136,'ACTUAL %'!$A:$A,'ACTUAL %'!O:O)</f>
        <v>-71656.143286563238</v>
      </c>
      <c r="T136">
        <f>+$B136*_xlfn.XLOOKUP($C136,'ACTUAL %'!$A:$A,'ACTUAL %'!P:P)</f>
        <v>-52229.366662206099</v>
      </c>
      <c r="U136">
        <f>+$B136*_xlfn.XLOOKUP($C136,'ACTUAL %'!$A:$A,'ACTUAL %'!Q:Q)</f>
        <v>-148009.74485524563</v>
      </c>
      <c r="V136">
        <f t="shared" ref="V136:V197" si="13">+SUM(G136:R136)</f>
        <v>-635658.04952999996</v>
      </c>
      <c r="W136" s="517">
        <f t="shared" ref="W136:W197" si="14">+V136-B136</f>
        <v>0</v>
      </c>
    </row>
    <row r="137" spans="1:23" x14ac:dyDescent="0.75">
      <c r="A137" t="s">
        <v>1624</v>
      </c>
      <c r="B137">
        <v>-30000</v>
      </c>
      <c r="C137">
        <f t="shared" si="10"/>
        <v>8660</v>
      </c>
      <c r="D137" t="str">
        <f t="shared" si="11"/>
        <v>020</v>
      </c>
      <c r="E137" t="str">
        <f t="shared" si="12"/>
        <v>0000</v>
      </c>
      <c r="F137" t="s">
        <v>1844</v>
      </c>
      <c r="G137">
        <f>+$B137*_xlfn.XLOOKUP($C137,'ACTUAL %'!$A:$A,'ACTUAL %'!C:C)</f>
        <v>-6042.610592845158</v>
      </c>
      <c r="H137">
        <f>+$B137*_xlfn.XLOOKUP($C137,'ACTUAL %'!$A:$A,'ACTUAL %'!D:D)</f>
        <v>-483.98647888426348</v>
      </c>
      <c r="I137">
        <f>+$B137*_xlfn.XLOOKUP($C137,'ACTUAL %'!$A:$A,'ACTUAL %'!E:E)</f>
        <v>-4.9383380376771475</v>
      </c>
      <c r="J137">
        <f>+$B137*_xlfn.XLOOKUP($C137,'ACTUAL %'!$A:$A,'ACTUAL %'!F:F)</f>
        <v>-4330.3647863967017</v>
      </c>
      <c r="K137">
        <f>+$B137*_xlfn.XLOOKUP($C137,'ACTUAL %'!$A:$A,'ACTUAL %'!G:G)</f>
        <v>-6.8535033093468876</v>
      </c>
      <c r="L137">
        <f>+$B137*_xlfn.XLOOKUP($C137,'ACTUAL %'!$A:$A,'ACTUAL %'!H:H)</f>
        <v>-7.0956506425465102</v>
      </c>
      <c r="M137">
        <f>+$B137*_xlfn.XLOOKUP($C137,'ACTUAL %'!$A:$A,'ACTUAL %'!I:I)</f>
        <v>-7889.7177882898532</v>
      </c>
      <c r="N137">
        <f>+$B137*_xlfn.XLOOKUP($C137,'ACTUAL %'!$A:$A,'ACTUAL %'!J:J)</f>
        <v>-2225.4365811750354</v>
      </c>
      <c r="O137">
        <f>+$B137*_xlfn.XLOOKUP($C137,'ACTUAL %'!$A:$A,'ACTUAL %'!K:K)</f>
        <v>-2252.2490701048555</v>
      </c>
      <c r="P137">
        <f>+$B137*_xlfn.XLOOKUP($C137,'ACTUAL %'!$A:$A,'ACTUAL %'!L:L)</f>
        <v>-2252.2490701048555</v>
      </c>
      <c r="Q137">
        <f>+$B137*_xlfn.XLOOKUP($C137,'ACTUAL %'!$A:$A,'ACTUAL %'!M:M)</f>
        <v>-2252.2490701048555</v>
      </c>
      <c r="R137">
        <f>+$B137*_xlfn.XLOOKUP($C137,'ACTUAL %'!$A:$A,'ACTUAL %'!N:N)+S137+T137+U137</f>
        <v>-2252.2490701048555</v>
      </c>
      <c r="S137">
        <f>+$B137*_xlfn.XLOOKUP($C137,'ACTUAL %'!$A:$A,'ACTUAL %'!O:O)</f>
        <v>0</v>
      </c>
      <c r="T137">
        <f>+$B137*_xlfn.XLOOKUP($C137,'ACTUAL %'!$A:$A,'ACTUAL %'!P:P)</f>
        <v>0</v>
      </c>
      <c r="U137">
        <f>+$B137*_xlfn.XLOOKUP($C137,'ACTUAL %'!$A:$A,'ACTUAL %'!Q:Q)</f>
        <v>0</v>
      </c>
      <c r="V137">
        <f t="shared" si="13"/>
        <v>-30000.000000000004</v>
      </c>
      <c r="W137" s="517">
        <f t="shared" si="14"/>
        <v>0</v>
      </c>
    </row>
    <row r="138" spans="1:23" x14ac:dyDescent="0.75">
      <c r="A138" t="s">
        <v>1734</v>
      </c>
      <c r="B138">
        <v>-1898</v>
      </c>
      <c r="C138">
        <f t="shared" si="10"/>
        <v>8682</v>
      </c>
      <c r="D138" t="str">
        <f t="shared" si="11"/>
        <v>020</v>
      </c>
      <c r="E138" t="str">
        <f t="shared" si="12"/>
        <v>0000</v>
      </c>
      <c r="F138" t="s">
        <v>1845</v>
      </c>
      <c r="G138">
        <f>+$B138*_xlfn.XLOOKUP($C138,'ACTUAL %'!$A:$A,'ACTUAL %'!C:C)</f>
        <v>-71.714110828150623</v>
      </c>
      <c r="H138">
        <f>+$B138*_xlfn.XLOOKUP($C138,'ACTUAL %'!$A:$A,'ACTUAL %'!D:D)</f>
        <v>-609.56994203928036</v>
      </c>
      <c r="I138">
        <f>+$B138*_xlfn.XLOOKUP($C138,'ACTUAL %'!$A:$A,'ACTUAL %'!E:E)</f>
        <v>0</v>
      </c>
      <c r="J138">
        <f>+$B138*_xlfn.XLOOKUP($C138,'ACTUAL %'!$A:$A,'ACTUAL %'!F:F)</f>
        <v>0</v>
      </c>
      <c r="K138">
        <f>+$B138*_xlfn.XLOOKUP($C138,'ACTUAL %'!$A:$A,'ACTUAL %'!G:G)</f>
        <v>0</v>
      </c>
      <c r="L138">
        <f>+$B138*_xlfn.XLOOKUP($C138,'ACTUAL %'!$A:$A,'ACTUAL %'!H:H)</f>
        <v>-234.46928535263848</v>
      </c>
      <c r="M138">
        <f>+$B138*_xlfn.XLOOKUP($C138,'ACTUAL %'!$A:$A,'ACTUAL %'!I:I)</f>
        <v>-35.849884002992503</v>
      </c>
      <c r="N138">
        <f>+$B138*_xlfn.XLOOKUP($C138,'ACTUAL %'!$A:$A,'ACTUAL %'!J:J)</f>
        <v>-189.27935555538761</v>
      </c>
      <c r="O138">
        <f>+$B138*_xlfn.XLOOKUP($C138,'ACTUAL %'!$A:$A,'ACTUAL %'!K:K)</f>
        <v>-189.27935555538761</v>
      </c>
      <c r="P138">
        <f>+$B138*_xlfn.XLOOKUP($C138,'ACTUAL %'!$A:$A,'ACTUAL %'!L:L)</f>
        <v>-189.27935555538761</v>
      </c>
      <c r="Q138">
        <f>+$B138*_xlfn.XLOOKUP($C138,'ACTUAL %'!$A:$A,'ACTUAL %'!M:M)</f>
        <v>-189.27935555538761</v>
      </c>
      <c r="R138">
        <f>+$B138*_xlfn.XLOOKUP($C138,'ACTUAL %'!$A:$A,'ACTUAL %'!N:N)+S138+T138+U138</f>
        <v>-189.27935555538761</v>
      </c>
      <c r="S138">
        <f>+$B138*_xlfn.XLOOKUP($C138,'ACTUAL %'!$A:$A,'ACTUAL %'!O:O)</f>
        <v>0</v>
      </c>
      <c r="T138">
        <f>+$B138*_xlfn.XLOOKUP($C138,'ACTUAL %'!$A:$A,'ACTUAL %'!P:P)</f>
        <v>0</v>
      </c>
      <c r="U138">
        <f>+$B138*_xlfn.XLOOKUP($C138,'ACTUAL %'!$A:$A,'ACTUAL %'!Q:Q)</f>
        <v>0</v>
      </c>
      <c r="V138">
        <f t="shared" si="13"/>
        <v>-1898</v>
      </c>
      <c r="W138" s="517">
        <f t="shared" si="14"/>
        <v>0</v>
      </c>
    </row>
    <row r="139" spans="1:23" x14ac:dyDescent="0.75">
      <c r="A139" t="s">
        <v>1625</v>
      </c>
      <c r="B139">
        <v>-18310</v>
      </c>
      <c r="C139">
        <f t="shared" si="10"/>
        <v>8699</v>
      </c>
      <c r="D139" t="str">
        <f t="shared" si="11"/>
        <v>020</v>
      </c>
      <c r="E139" t="str">
        <f t="shared" si="12"/>
        <v>0000</v>
      </c>
      <c r="F139" t="s">
        <v>1846</v>
      </c>
      <c r="G139">
        <f>+$B139*_xlfn.XLOOKUP($C139,'ACTUAL %'!$A:$A,'ACTUAL %'!C:C)</f>
        <v>-391.09130957589167</v>
      </c>
      <c r="H139">
        <f>+$B139*_xlfn.XLOOKUP($C139,'ACTUAL %'!$A:$A,'ACTUAL %'!D:D)</f>
        <v>-2153.1558890044853</v>
      </c>
      <c r="I139">
        <f>+$B139*_xlfn.XLOOKUP($C139,'ACTUAL %'!$A:$A,'ACTUAL %'!E:E)</f>
        <v>-3280.8952147862005</v>
      </c>
      <c r="J139">
        <f>+$B139*_xlfn.XLOOKUP($C139,'ACTUAL %'!$A:$A,'ACTUAL %'!F:F)</f>
        <v>-763.5632202032989</v>
      </c>
      <c r="K139">
        <f>+$B139*_xlfn.XLOOKUP($C139,'ACTUAL %'!$A:$A,'ACTUAL %'!G:G)</f>
        <v>-2510.6006756338011</v>
      </c>
      <c r="L139">
        <f>+$B139*_xlfn.XLOOKUP($C139,'ACTUAL %'!$A:$A,'ACTUAL %'!H:H)</f>
        <v>-2817.9315480719833</v>
      </c>
      <c r="M139">
        <f>+$B139*_xlfn.XLOOKUP($C139,'ACTUAL %'!$A:$A,'ACTUAL %'!I:I)</f>
        <v>-755.0223347137669</v>
      </c>
      <c r="N139">
        <f>+$B139*_xlfn.XLOOKUP($C139,'ACTUAL %'!$A:$A,'ACTUAL %'!J:J)</f>
        <v>-1127.547961602115</v>
      </c>
      <c r="O139">
        <f>+$B139*_xlfn.XLOOKUP($C139,'ACTUAL %'!$A:$A,'ACTUAL %'!K:K)</f>
        <v>-1127.547961602115</v>
      </c>
      <c r="P139">
        <f>+$B139*_xlfn.XLOOKUP($C139,'ACTUAL %'!$A:$A,'ACTUAL %'!L:L)</f>
        <v>-1127.547961602115</v>
      </c>
      <c r="Q139">
        <f>+$B139*_xlfn.XLOOKUP($C139,'ACTUAL %'!$A:$A,'ACTUAL %'!M:M)</f>
        <v>-1127.547961602115</v>
      </c>
      <c r="R139">
        <f>+$B139*_xlfn.XLOOKUP($C139,'ACTUAL %'!$A:$A,'ACTUAL %'!N:N)+S139+T139+U139</f>
        <v>-1127.547961602115</v>
      </c>
      <c r="S139">
        <f>+$B139*_xlfn.XLOOKUP($C139,'ACTUAL %'!$A:$A,'ACTUAL %'!O:O)</f>
        <v>0</v>
      </c>
      <c r="T139">
        <f>+$B139*_xlfn.XLOOKUP($C139,'ACTUAL %'!$A:$A,'ACTUAL %'!P:P)</f>
        <v>0</v>
      </c>
      <c r="U139">
        <f>+$B139*_xlfn.XLOOKUP($C139,'ACTUAL %'!$A:$A,'ACTUAL %'!Q:Q)</f>
        <v>0</v>
      </c>
      <c r="V139">
        <f t="shared" si="13"/>
        <v>-18310.000000000004</v>
      </c>
      <c r="W139" s="517">
        <f t="shared" si="14"/>
        <v>0</v>
      </c>
    </row>
    <row r="140" spans="1:23" x14ac:dyDescent="0.75">
      <c r="A140" t="s">
        <v>1735</v>
      </c>
      <c r="B140">
        <v>-6541.41</v>
      </c>
      <c r="C140">
        <f t="shared" si="10"/>
        <v>8662</v>
      </c>
      <c r="D140" t="str">
        <f t="shared" si="11"/>
        <v>020</v>
      </c>
      <c r="E140" t="str">
        <f t="shared" si="12"/>
        <v>0000</v>
      </c>
      <c r="F140" t="s">
        <v>1847</v>
      </c>
      <c r="G140">
        <f>+$B140*_xlfn.XLOOKUP($C140,'ACTUAL %'!$A:$A,'ACTUAL %'!C:C)</f>
        <v>-4.4478963741139275</v>
      </c>
      <c r="H140">
        <f>+$B140*_xlfn.XLOOKUP($C140,'ACTUAL %'!$A:$A,'ACTUAL %'!D:D)</f>
        <v>0</v>
      </c>
      <c r="I140">
        <f>+$B140*_xlfn.XLOOKUP($C140,'ACTUAL %'!$A:$A,'ACTUAL %'!E:E)</f>
        <v>0</v>
      </c>
      <c r="J140">
        <f>+$B140*_xlfn.XLOOKUP($C140,'ACTUAL %'!$A:$A,'ACTUAL %'!F:F)</f>
        <v>0</v>
      </c>
      <c r="K140">
        <f>+$B140*_xlfn.XLOOKUP($C140,'ACTUAL %'!$A:$A,'ACTUAL %'!G:G)</f>
        <v>0</v>
      </c>
      <c r="L140">
        <f>+$B140*_xlfn.XLOOKUP($C140,'ACTUAL %'!$A:$A,'ACTUAL %'!H:H)</f>
        <v>0</v>
      </c>
      <c r="M140">
        <f>+$B140*_xlfn.XLOOKUP($C140,'ACTUAL %'!$A:$A,'ACTUAL %'!I:I)</f>
        <v>0</v>
      </c>
      <c r="N140">
        <f>+$B140*_xlfn.XLOOKUP($C140,'ACTUAL %'!$A:$A,'ACTUAL %'!J:J)</f>
        <v>-1307.3924207251771</v>
      </c>
      <c r="O140">
        <f>+$B140*_xlfn.XLOOKUP($C140,'ACTUAL %'!$A:$A,'ACTUAL %'!K:K)</f>
        <v>-1307.3924207251771</v>
      </c>
      <c r="P140">
        <f>+$B140*_xlfn.XLOOKUP($C140,'ACTUAL %'!$A:$A,'ACTUAL %'!L:L)</f>
        <v>-1307.3924207251771</v>
      </c>
      <c r="Q140">
        <f>+$B140*_xlfn.XLOOKUP($C140,'ACTUAL %'!$A:$A,'ACTUAL %'!M:M)</f>
        <v>-1307.3924207251771</v>
      </c>
      <c r="R140">
        <f>+$B140*_xlfn.XLOOKUP($C140,'ACTUAL %'!$A:$A,'ACTUAL %'!N:N)+S140+T140+U140</f>
        <v>-1307.3924207251771</v>
      </c>
      <c r="S140">
        <f>+$B140*_xlfn.XLOOKUP($C140,'ACTUAL %'!$A:$A,'ACTUAL %'!O:O)</f>
        <v>0</v>
      </c>
      <c r="T140">
        <f>+$B140*_xlfn.XLOOKUP($C140,'ACTUAL %'!$A:$A,'ACTUAL %'!P:P)</f>
        <v>0</v>
      </c>
      <c r="U140">
        <f>+$B140*_xlfn.XLOOKUP($C140,'ACTUAL %'!$A:$A,'ACTUAL %'!Q:Q)</f>
        <v>0</v>
      </c>
      <c r="V140">
        <f t="shared" si="13"/>
        <v>-6541.41</v>
      </c>
      <c r="W140" s="517">
        <f t="shared" si="14"/>
        <v>0</v>
      </c>
    </row>
    <row r="141" spans="1:23" x14ac:dyDescent="0.75">
      <c r="A141" t="s">
        <v>1541</v>
      </c>
      <c r="B141">
        <v>3199012.6438776096</v>
      </c>
      <c r="C141">
        <f t="shared" si="10"/>
        <v>1100</v>
      </c>
      <c r="D141" t="str">
        <f t="shared" si="11"/>
        <v>040</v>
      </c>
      <c r="E141" t="str">
        <f t="shared" si="12"/>
        <v>0000</v>
      </c>
      <c r="F141" t="s">
        <v>1848</v>
      </c>
      <c r="G141">
        <f ca="1">+$B141*_xlfn.XLOOKUP($C141,'ACTUAL %'!$A:$A,'ACTUAL %'!C:C)</f>
        <v>17662.525483027432</v>
      </c>
      <c r="H141">
        <f ca="1">+$B141*_xlfn.XLOOKUP($C141,'ACTUAL %'!$A:$A,'ACTUAL %'!D:D)</f>
        <v>246177.29422830421</v>
      </c>
      <c r="I141">
        <f ca="1">+$B141*_xlfn.XLOOKUP($C141,'ACTUAL %'!$A:$A,'ACTUAL %'!E:E)</f>
        <v>245078.81600105861</v>
      </c>
      <c r="J141">
        <f ca="1">+$B141*_xlfn.XLOOKUP($C141,'ACTUAL %'!$A:$A,'ACTUAL %'!F:F)</f>
        <v>235120.08796466311</v>
      </c>
      <c r="K141">
        <f ca="1">+$B141*_xlfn.XLOOKUP($C141,'ACTUAL %'!$A:$A,'ACTUAL %'!G:G)</f>
        <v>235045.78431742379</v>
      </c>
      <c r="L141">
        <f ca="1">+$B141*_xlfn.XLOOKUP($C141,'ACTUAL %'!$A:$A,'ACTUAL %'!H:H)</f>
        <v>237034.77972281657</v>
      </c>
      <c r="M141">
        <f ca="1">+$B141*_xlfn.XLOOKUP($C141,'ACTUAL %'!$A:$A,'ACTUAL %'!I:I)</f>
        <v>292461.31231876893</v>
      </c>
      <c r="N141">
        <f ca="1">+$B141*_xlfn.XLOOKUP($C141,'ACTUAL %'!$A:$A,'ACTUAL %'!J:J)</f>
        <v>334858.85355333745</v>
      </c>
      <c r="O141">
        <f ca="1">+$B141*_xlfn.XLOOKUP($C141,'ACTUAL %'!$A:$A,'ACTUAL %'!K:K)</f>
        <v>338893.29757205234</v>
      </c>
      <c r="P141">
        <f ca="1">+$B141*_xlfn.XLOOKUP($C141,'ACTUAL %'!$A:$A,'ACTUAL %'!L:L)</f>
        <v>338893.29757205234</v>
      </c>
      <c r="Q141">
        <f ca="1">+$B141*_xlfn.XLOOKUP($C141,'ACTUAL %'!$A:$A,'ACTUAL %'!M:M)</f>
        <v>338893.29757205234</v>
      </c>
      <c r="R141">
        <f ca="1">+$B141*_xlfn.XLOOKUP($C141,'ACTUAL %'!$A:$A,'ACTUAL %'!N:N)+S141+T141+U141</f>
        <v>338893.29757205234</v>
      </c>
      <c r="S141">
        <f ca="1">+$B141*_xlfn.XLOOKUP($C141,'ACTUAL %'!$A:$A,'ACTUAL %'!O:O)</f>
        <v>0</v>
      </c>
      <c r="T141">
        <f ca="1">+$B141*_xlfn.XLOOKUP($C141,'ACTUAL %'!$A:$A,'ACTUAL %'!P:P)</f>
        <v>0</v>
      </c>
      <c r="U141">
        <f ca="1">+$B141*_xlfn.XLOOKUP($C141,'ACTUAL %'!$A:$A,'ACTUAL %'!Q:Q)</f>
        <v>0</v>
      </c>
      <c r="V141">
        <f t="shared" ca="1" si="13"/>
        <v>3199012.6438776087</v>
      </c>
      <c r="W141" s="517">
        <f t="shared" ca="1" si="14"/>
        <v>0</v>
      </c>
    </row>
    <row r="142" spans="1:23" x14ac:dyDescent="0.75">
      <c r="A142" s="178" t="s">
        <v>1736</v>
      </c>
      <c r="B142">
        <v>398670.12936747016</v>
      </c>
      <c r="C142">
        <f t="shared" si="10"/>
        <v>1200</v>
      </c>
      <c r="D142" t="str">
        <f t="shared" si="11"/>
        <v>040</v>
      </c>
      <c r="E142" t="str">
        <f t="shared" si="12"/>
        <v>0000</v>
      </c>
      <c r="F142" t="s">
        <v>1849</v>
      </c>
      <c r="G142">
        <f ca="1">+$B142*_xlfn.XLOOKUP($C142,'ACTUAL %'!$A:$A,'ACTUAL %'!C:C)</f>
        <v>8141.778944331988</v>
      </c>
      <c r="H142">
        <f ca="1">+$B142*_xlfn.XLOOKUP($C142,'ACTUAL %'!$A:$A,'ACTUAL %'!D:D)</f>
        <v>24711.098042295966</v>
      </c>
      <c r="I142">
        <f ca="1">+$B142*_xlfn.XLOOKUP($C142,'ACTUAL %'!$A:$A,'ACTUAL %'!E:E)</f>
        <v>26625.365371963249</v>
      </c>
      <c r="J142">
        <f ca="1">+$B142*_xlfn.XLOOKUP($C142,'ACTUAL %'!$A:$A,'ACTUAL %'!F:F)</f>
        <v>48324.600984649202</v>
      </c>
      <c r="K142">
        <f ca="1">+$B142*_xlfn.XLOOKUP($C142,'ACTUAL %'!$A:$A,'ACTUAL %'!G:G)</f>
        <v>31597.904508903946</v>
      </c>
      <c r="L142">
        <f ca="1">+$B142*_xlfn.XLOOKUP($C142,'ACTUAL %'!$A:$A,'ACTUAL %'!H:H)</f>
        <v>32327.669076297585</v>
      </c>
      <c r="M142">
        <f ca="1">+$B142*_xlfn.XLOOKUP($C142,'ACTUAL %'!$A:$A,'ACTUAL %'!I:I)</f>
        <v>38165.789264269559</v>
      </c>
      <c r="N142">
        <f ca="1">+$B142*_xlfn.XLOOKUP($C142,'ACTUAL %'!$A:$A,'ACTUAL %'!J:J)</f>
        <v>37394.753278054806</v>
      </c>
      <c r="O142">
        <f ca="1">+$B142*_xlfn.XLOOKUP($C142,'ACTUAL %'!$A:$A,'ACTUAL %'!K:K)</f>
        <v>37845.292474175949</v>
      </c>
      <c r="P142">
        <f ca="1">+$B142*_xlfn.XLOOKUP($C142,'ACTUAL %'!$A:$A,'ACTUAL %'!L:L)</f>
        <v>37845.292474175949</v>
      </c>
      <c r="Q142">
        <f ca="1">+$B142*_xlfn.XLOOKUP($C142,'ACTUAL %'!$A:$A,'ACTUAL %'!M:M)</f>
        <v>37845.292474175949</v>
      </c>
      <c r="R142">
        <f ca="1">+$B142*_xlfn.XLOOKUP($C142,'ACTUAL %'!$A:$A,'ACTUAL %'!N:N)+S142+T142+U142</f>
        <v>37845.292474175949</v>
      </c>
      <c r="S142">
        <f ca="1">+$B142*_xlfn.XLOOKUP($C142,'ACTUAL %'!$A:$A,'ACTUAL %'!O:O)</f>
        <v>0</v>
      </c>
      <c r="T142">
        <f ca="1">+$B142*_xlfn.XLOOKUP($C142,'ACTUAL %'!$A:$A,'ACTUAL %'!P:P)</f>
        <v>0</v>
      </c>
      <c r="U142">
        <f ca="1">+$B142*_xlfn.XLOOKUP($C142,'ACTUAL %'!$A:$A,'ACTUAL %'!Q:Q)</f>
        <v>0</v>
      </c>
      <c r="V142">
        <f t="shared" ca="1" si="13"/>
        <v>398670.12936747004</v>
      </c>
      <c r="W142" s="517">
        <f t="shared" ca="1" si="14"/>
        <v>0</v>
      </c>
    </row>
    <row r="143" spans="1:23" x14ac:dyDescent="0.75">
      <c r="A143" t="s">
        <v>1542</v>
      </c>
      <c r="B143">
        <v>479337.31423983001</v>
      </c>
      <c r="C143">
        <f t="shared" si="10"/>
        <v>1300</v>
      </c>
      <c r="D143" t="str">
        <f t="shared" si="11"/>
        <v>040</v>
      </c>
      <c r="E143" t="str">
        <f t="shared" si="12"/>
        <v>0000</v>
      </c>
      <c r="F143" t="s">
        <v>1850</v>
      </c>
      <c r="G143">
        <f ca="1">+$B143*_xlfn.XLOOKUP($C143,'ACTUAL %'!$A:$A,'ACTUAL %'!C:C)</f>
        <v>22704.579633249803</v>
      </c>
      <c r="H143">
        <f ca="1">+$B143*_xlfn.XLOOKUP($C143,'ACTUAL %'!$A:$A,'ACTUAL %'!D:D)</f>
        <v>30096.044577221572</v>
      </c>
      <c r="I143">
        <f ca="1">+$B143*_xlfn.XLOOKUP($C143,'ACTUAL %'!$A:$A,'ACTUAL %'!E:E)</f>
        <v>30376.685132483566</v>
      </c>
      <c r="J143">
        <f ca="1">+$B143*_xlfn.XLOOKUP($C143,'ACTUAL %'!$A:$A,'ACTUAL %'!F:F)</f>
        <v>32553.411196434172</v>
      </c>
      <c r="K143">
        <f ca="1">+$B143*_xlfn.XLOOKUP($C143,'ACTUAL %'!$A:$A,'ACTUAL %'!G:G)</f>
        <v>27131.47783678009</v>
      </c>
      <c r="L143">
        <f ca="1">+$B143*_xlfn.XLOOKUP($C143,'ACTUAL %'!$A:$A,'ACTUAL %'!H:H)</f>
        <v>28414.709515078172</v>
      </c>
      <c r="M143">
        <f ca="1">+$B143*_xlfn.XLOOKUP($C143,'ACTUAL %'!$A:$A,'ACTUAL %'!I:I)</f>
        <v>33256.152471006528</v>
      </c>
      <c r="N143">
        <f ca="1">+$B143*_xlfn.XLOOKUP($C143,'ACTUAL %'!$A:$A,'ACTUAL %'!J:J)</f>
        <v>54436.164849257322</v>
      </c>
      <c r="O143">
        <f ca="1">+$B143*_xlfn.XLOOKUP($C143,'ACTUAL %'!$A:$A,'ACTUAL %'!K:K)</f>
        <v>55092.022257079698</v>
      </c>
      <c r="P143">
        <f ca="1">+$B143*_xlfn.XLOOKUP($C143,'ACTUAL %'!$A:$A,'ACTUAL %'!L:L)</f>
        <v>55092.022257079698</v>
      </c>
      <c r="Q143">
        <f ca="1">+$B143*_xlfn.XLOOKUP($C143,'ACTUAL %'!$A:$A,'ACTUAL %'!M:M)</f>
        <v>55092.022257079698</v>
      </c>
      <c r="R143">
        <f ca="1">+$B143*_xlfn.XLOOKUP($C143,'ACTUAL %'!$A:$A,'ACTUAL %'!N:N)+S143+T143+U143</f>
        <v>55092.022257079698</v>
      </c>
      <c r="S143">
        <f ca="1">+$B143*_xlfn.XLOOKUP($C143,'ACTUAL %'!$A:$A,'ACTUAL %'!O:O)</f>
        <v>0</v>
      </c>
      <c r="T143">
        <f ca="1">+$B143*_xlfn.XLOOKUP($C143,'ACTUAL %'!$A:$A,'ACTUAL %'!P:P)</f>
        <v>0</v>
      </c>
      <c r="U143">
        <f ca="1">+$B143*_xlfn.XLOOKUP($C143,'ACTUAL %'!$A:$A,'ACTUAL %'!Q:Q)</f>
        <v>0</v>
      </c>
      <c r="V143">
        <f t="shared" ca="1" si="13"/>
        <v>479337.31423983007</v>
      </c>
      <c r="W143" s="517">
        <f t="shared" ca="1" si="14"/>
        <v>0</v>
      </c>
    </row>
    <row r="144" spans="1:23" x14ac:dyDescent="0.75">
      <c r="A144" t="s">
        <v>1543</v>
      </c>
      <c r="B144">
        <v>125717.5460336</v>
      </c>
      <c r="C144">
        <f t="shared" si="10"/>
        <v>2100</v>
      </c>
      <c r="D144" t="str">
        <f t="shared" si="11"/>
        <v>040</v>
      </c>
      <c r="E144" t="str">
        <f t="shared" si="12"/>
        <v>0000</v>
      </c>
      <c r="F144" t="s">
        <v>1851</v>
      </c>
      <c r="G144">
        <f ca="1">+$B144*_xlfn.XLOOKUP($C144,'ACTUAL %'!$A:$A,'ACTUAL %'!C:C)</f>
        <v>579.5325684135471</v>
      </c>
      <c r="H144">
        <f ca="1">+$B144*_xlfn.XLOOKUP($C144,'ACTUAL %'!$A:$A,'ACTUAL %'!D:D)</f>
        <v>9199.0847192676174</v>
      </c>
      <c r="I144">
        <f ca="1">+$B144*_xlfn.XLOOKUP($C144,'ACTUAL %'!$A:$A,'ACTUAL %'!E:E)</f>
        <v>11979.12612447229</v>
      </c>
      <c r="J144">
        <f ca="1">+$B144*_xlfn.XLOOKUP($C144,'ACTUAL %'!$A:$A,'ACTUAL %'!F:F)</f>
        <v>11010.88686636308</v>
      </c>
      <c r="K144">
        <f ca="1">+$B144*_xlfn.XLOOKUP($C144,'ACTUAL %'!$A:$A,'ACTUAL %'!G:G)</f>
        <v>12645.176809653114</v>
      </c>
      <c r="L144">
        <f ca="1">+$B144*_xlfn.XLOOKUP($C144,'ACTUAL %'!$A:$A,'ACTUAL %'!H:H)</f>
        <v>12271.414252717996</v>
      </c>
      <c r="M144">
        <f ca="1">+$B144*_xlfn.XLOOKUP($C144,'ACTUAL %'!$A:$A,'ACTUAL %'!I:I)</f>
        <v>16668.101347175059</v>
      </c>
      <c r="N144">
        <f ca="1">+$B144*_xlfn.XLOOKUP($C144,'ACTUAL %'!$A:$A,'ACTUAL %'!J:J)</f>
        <v>10174.774552934596</v>
      </c>
      <c r="O144">
        <f ca="1">+$B144*_xlfn.XLOOKUP($C144,'ACTUAL %'!$A:$A,'ACTUAL %'!K:K)</f>
        <v>10297.362198150675</v>
      </c>
      <c r="P144">
        <f ca="1">+$B144*_xlfn.XLOOKUP($C144,'ACTUAL %'!$A:$A,'ACTUAL %'!L:L)</f>
        <v>10297.362198150675</v>
      </c>
      <c r="Q144">
        <f ca="1">+$B144*_xlfn.XLOOKUP($C144,'ACTUAL %'!$A:$A,'ACTUAL %'!M:M)</f>
        <v>10297.362198150675</v>
      </c>
      <c r="R144">
        <f ca="1">+$B144*_xlfn.XLOOKUP($C144,'ACTUAL %'!$A:$A,'ACTUAL %'!N:N)+S144+T144+U144</f>
        <v>10297.362198150675</v>
      </c>
      <c r="S144">
        <f ca="1">+$B144*_xlfn.XLOOKUP($C144,'ACTUAL %'!$A:$A,'ACTUAL %'!O:O)</f>
        <v>0</v>
      </c>
      <c r="T144">
        <f ca="1">+$B144*_xlfn.XLOOKUP($C144,'ACTUAL %'!$A:$A,'ACTUAL %'!P:P)</f>
        <v>0</v>
      </c>
      <c r="U144">
        <f ca="1">+$B144*_xlfn.XLOOKUP($C144,'ACTUAL %'!$A:$A,'ACTUAL %'!Q:Q)</f>
        <v>0</v>
      </c>
      <c r="V144">
        <f t="shared" ca="1" si="13"/>
        <v>125717.5460336</v>
      </c>
      <c r="W144" s="517">
        <f t="shared" ca="1" si="14"/>
        <v>0</v>
      </c>
    </row>
    <row r="145" spans="1:23" x14ac:dyDescent="0.75">
      <c r="A145" t="s">
        <v>1544</v>
      </c>
      <c r="B145">
        <v>597269.28409852006</v>
      </c>
      <c r="C145">
        <f t="shared" si="10"/>
        <v>2200</v>
      </c>
      <c r="D145" t="str">
        <f t="shared" si="11"/>
        <v>040</v>
      </c>
      <c r="E145" t="str">
        <f t="shared" si="12"/>
        <v>0000</v>
      </c>
      <c r="F145" t="s">
        <v>1852</v>
      </c>
      <c r="G145">
        <f ca="1">+$B145*_xlfn.XLOOKUP($C145,'ACTUAL %'!$A:$A,'ACTUAL %'!C:C)</f>
        <v>39287.247338057838</v>
      </c>
      <c r="H145">
        <f ca="1">+$B145*_xlfn.XLOOKUP($C145,'ACTUAL %'!$A:$A,'ACTUAL %'!D:D)</f>
        <v>47709.637079001244</v>
      </c>
      <c r="I145">
        <f ca="1">+$B145*_xlfn.XLOOKUP($C145,'ACTUAL %'!$A:$A,'ACTUAL %'!E:E)</f>
        <v>48316.399912113688</v>
      </c>
      <c r="J145">
        <f ca="1">+$B145*_xlfn.XLOOKUP($C145,'ACTUAL %'!$A:$A,'ACTUAL %'!F:F)</f>
        <v>52391.123151334126</v>
      </c>
      <c r="K145">
        <f ca="1">+$B145*_xlfn.XLOOKUP($C145,'ACTUAL %'!$A:$A,'ACTUAL %'!G:G)</f>
        <v>49182.740210351898</v>
      </c>
      <c r="L145">
        <f ca="1">+$B145*_xlfn.XLOOKUP($C145,'ACTUAL %'!$A:$A,'ACTUAL %'!H:H)</f>
        <v>52018.023295432191</v>
      </c>
      <c r="M145">
        <f ca="1">+$B145*_xlfn.XLOOKUP($C145,'ACTUAL %'!$A:$A,'ACTUAL %'!I:I)</f>
        <v>60373.23650178688</v>
      </c>
      <c r="N145">
        <f ca="1">+$B145*_xlfn.XLOOKUP($C145,'ACTUAL %'!$A:$A,'ACTUAL %'!J:J)</f>
        <v>49124.684388226007</v>
      </c>
      <c r="O145">
        <f ca="1">+$B145*_xlfn.XLOOKUP($C145,'ACTUAL %'!$A:$A,'ACTUAL %'!K:K)</f>
        <v>49716.548055554034</v>
      </c>
      <c r="P145">
        <f ca="1">+$B145*_xlfn.XLOOKUP($C145,'ACTUAL %'!$A:$A,'ACTUAL %'!L:L)</f>
        <v>49716.548055554034</v>
      </c>
      <c r="Q145">
        <f ca="1">+$B145*_xlfn.XLOOKUP($C145,'ACTUAL %'!$A:$A,'ACTUAL %'!M:M)</f>
        <v>49716.548055554034</v>
      </c>
      <c r="R145">
        <f ca="1">+$B145*_xlfn.XLOOKUP($C145,'ACTUAL %'!$A:$A,'ACTUAL %'!N:N)+S145+T145+U145</f>
        <v>49716.548055554034</v>
      </c>
      <c r="S145">
        <f ca="1">+$B145*_xlfn.XLOOKUP($C145,'ACTUAL %'!$A:$A,'ACTUAL %'!O:O)</f>
        <v>0</v>
      </c>
      <c r="T145">
        <f ca="1">+$B145*_xlfn.XLOOKUP($C145,'ACTUAL %'!$A:$A,'ACTUAL %'!P:P)</f>
        <v>0</v>
      </c>
      <c r="U145">
        <f ca="1">+$B145*_xlfn.XLOOKUP($C145,'ACTUAL %'!$A:$A,'ACTUAL %'!Q:Q)</f>
        <v>0</v>
      </c>
      <c r="V145">
        <f t="shared" ca="1" si="13"/>
        <v>597269.28409851994</v>
      </c>
      <c r="W145" s="517">
        <f t="shared" ca="1" si="14"/>
        <v>0</v>
      </c>
    </row>
    <row r="146" spans="1:23" x14ac:dyDescent="0.75">
      <c r="A146" t="s">
        <v>1545</v>
      </c>
      <c r="B146">
        <v>258534.01125560002</v>
      </c>
      <c r="C146">
        <f t="shared" si="10"/>
        <v>2300</v>
      </c>
      <c r="D146" t="str">
        <f t="shared" si="11"/>
        <v>040</v>
      </c>
      <c r="E146" t="str">
        <f t="shared" si="12"/>
        <v>0000</v>
      </c>
      <c r="F146" t="s">
        <v>1853</v>
      </c>
      <c r="G146">
        <f ca="1">+$B146*_xlfn.XLOOKUP($C146,'ACTUAL %'!$A:$A,'ACTUAL %'!C:C)</f>
        <v>30196.519568652471</v>
      </c>
      <c r="H146">
        <f ca="1">+$B146*_xlfn.XLOOKUP($C146,'ACTUAL %'!$A:$A,'ACTUAL %'!D:D)</f>
        <v>29931.372157231246</v>
      </c>
      <c r="I146">
        <f ca="1">+$B146*_xlfn.XLOOKUP($C146,'ACTUAL %'!$A:$A,'ACTUAL %'!E:E)</f>
        <v>31352.64819579112</v>
      </c>
      <c r="J146">
        <f ca="1">+$B146*_xlfn.XLOOKUP($C146,'ACTUAL %'!$A:$A,'ACTUAL %'!F:F)</f>
        <v>9730.6718889225158</v>
      </c>
      <c r="K146">
        <f ca="1">+$B146*_xlfn.XLOOKUP($C146,'ACTUAL %'!$A:$A,'ACTUAL %'!G:G)</f>
        <v>25773.082772665111</v>
      </c>
      <c r="L146">
        <f ca="1">+$B146*_xlfn.XLOOKUP($C146,'ACTUAL %'!$A:$A,'ACTUAL %'!H:H)</f>
        <v>26182.988884045553</v>
      </c>
      <c r="M146">
        <f ca="1">+$B146*_xlfn.XLOOKUP($C146,'ACTUAL %'!$A:$A,'ACTUAL %'!I:I)</f>
        <v>29427.718392791161</v>
      </c>
      <c r="N146">
        <f ca="1">+$B146*_xlfn.XLOOKUP($C146,'ACTUAL %'!$A:$A,'ACTUAL %'!J:J)</f>
        <v>15042.810930373671</v>
      </c>
      <c r="O146">
        <f ca="1">+$B146*_xlfn.XLOOKUP($C146,'ACTUAL %'!$A:$A,'ACTUAL %'!K:K)</f>
        <v>15224.049616281789</v>
      </c>
      <c r="P146">
        <f ca="1">+$B146*_xlfn.XLOOKUP($C146,'ACTUAL %'!$A:$A,'ACTUAL %'!L:L)</f>
        <v>15224.049616281789</v>
      </c>
      <c r="Q146">
        <f ca="1">+$B146*_xlfn.XLOOKUP($C146,'ACTUAL %'!$A:$A,'ACTUAL %'!M:M)</f>
        <v>15224.049616281789</v>
      </c>
      <c r="R146">
        <f ca="1">+$B146*_xlfn.XLOOKUP($C146,'ACTUAL %'!$A:$A,'ACTUAL %'!N:N)+S146+T146+U146</f>
        <v>15224.049616281789</v>
      </c>
      <c r="S146">
        <f ca="1">+$B146*_xlfn.XLOOKUP($C146,'ACTUAL %'!$A:$A,'ACTUAL %'!O:O)</f>
        <v>0</v>
      </c>
      <c r="T146">
        <f ca="1">+$B146*_xlfn.XLOOKUP($C146,'ACTUAL %'!$A:$A,'ACTUAL %'!P:P)</f>
        <v>0</v>
      </c>
      <c r="U146">
        <f ca="1">+$B146*_xlfn.XLOOKUP($C146,'ACTUAL %'!$A:$A,'ACTUAL %'!Q:Q)</f>
        <v>0</v>
      </c>
      <c r="V146">
        <f t="shared" ca="1" si="13"/>
        <v>258534.01125560002</v>
      </c>
      <c r="W146" s="517">
        <f t="shared" ca="1" si="14"/>
        <v>0</v>
      </c>
    </row>
    <row r="147" spans="1:23" x14ac:dyDescent="0.75">
      <c r="A147" t="s">
        <v>1626</v>
      </c>
      <c r="B147">
        <v>236235.42567308003</v>
      </c>
      <c r="C147">
        <f t="shared" si="10"/>
        <v>2400</v>
      </c>
      <c r="D147" t="str">
        <f t="shared" si="11"/>
        <v>040</v>
      </c>
      <c r="E147" t="str">
        <f t="shared" si="12"/>
        <v>0000</v>
      </c>
      <c r="F147" t="s">
        <v>1854</v>
      </c>
      <c r="G147">
        <f ca="1">+$B147*_xlfn.XLOOKUP($C147,'ACTUAL %'!$A:$A,'ACTUAL %'!C:C)</f>
        <v>17631.030110323049</v>
      </c>
      <c r="H147">
        <f ca="1">+$B147*_xlfn.XLOOKUP($C147,'ACTUAL %'!$A:$A,'ACTUAL %'!D:D)</f>
        <v>18771.808168530522</v>
      </c>
      <c r="I147">
        <f ca="1">+$B147*_xlfn.XLOOKUP($C147,'ACTUAL %'!$A:$A,'ACTUAL %'!E:E)</f>
        <v>18605.973403351243</v>
      </c>
      <c r="J147">
        <f ca="1">+$B147*_xlfn.XLOOKUP($C147,'ACTUAL %'!$A:$A,'ACTUAL %'!F:F)</f>
        <v>11518.013315280599</v>
      </c>
      <c r="K147">
        <f ca="1">+$B147*_xlfn.XLOOKUP($C147,'ACTUAL %'!$A:$A,'ACTUAL %'!G:G)</f>
        <v>16911.580066935992</v>
      </c>
      <c r="L147">
        <f ca="1">+$B147*_xlfn.XLOOKUP($C147,'ACTUAL %'!$A:$A,'ACTUAL %'!H:H)</f>
        <v>17621.529697321785</v>
      </c>
      <c r="M147">
        <f ca="1">+$B147*_xlfn.XLOOKUP($C147,'ACTUAL %'!$A:$A,'ACTUAL %'!I:I)</f>
        <v>21911.012738044545</v>
      </c>
      <c r="N147">
        <f ca="1">+$B147*_xlfn.XLOOKUP($C147,'ACTUAL %'!$A:$A,'ACTUAL %'!J:J)</f>
        <v>22436.638874423053</v>
      </c>
      <c r="O147">
        <f ca="1">+$B147*_xlfn.XLOOKUP($C147,'ACTUAL %'!$A:$A,'ACTUAL %'!K:K)</f>
        <v>22706.959824717309</v>
      </c>
      <c r="P147">
        <f ca="1">+$B147*_xlfn.XLOOKUP($C147,'ACTUAL %'!$A:$A,'ACTUAL %'!L:L)</f>
        <v>22706.959824717309</v>
      </c>
      <c r="Q147">
        <f ca="1">+$B147*_xlfn.XLOOKUP($C147,'ACTUAL %'!$A:$A,'ACTUAL %'!M:M)</f>
        <v>22706.959824717309</v>
      </c>
      <c r="R147">
        <f ca="1">+$B147*_xlfn.XLOOKUP($C147,'ACTUAL %'!$A:$A,'ACTUAL %'!N:N)+S147+T147+U147</f>
        <v>22706.959824717309</v>
      </c>
      <c r="S147">
        <f ca="1">+$B147*_xlfn.XLOOKUP($C147,'ACTUAL %'!$A:$A,'ACTUAL %'!O:O)</f>
        <v>0</v>
      </c>
      <c r="T147">
        <f ca="1">+$B147*_xlfn.XLOOKUP($C147,'ACTUAL %'!$A:$A,'ACTUAL %'!P:P)</f>
        <v>0</v>
      </c>
      <c r="U147">
        <f ca="1">+$B147*_xlfn.XLOOKUP($C147,'ACTUAL %'!$A:$A,'ACTUAL %'!Q:Q)</f>
        <v>0</v>
      </c>
      <c r="V147">
        <f t="shared" ca="1" si="13"/>
        <v>236235.42567308003</v>
      </c>
      <c r="W147" s="517">
        <f t="shared" ca="1" si="14"/>
        <v>0</v>
      </c>
    </row>
    <row r="148" spans="1:23" x14ac:dyDescent="0.75">
      <c r="A148" t="s">
        <v>1546</v>
      </c>
      <c r="B148">
        <v>689831.79880244669</v>
      </c>
      <c r="C148">
        <f t="shared" si="10"/>
        <v>3101</v>
      </c>
      <c r="D148" t="str">
        <f t="shared" si="11"/>
        <v>040</v>
      </c>
      <c r="E148" t="str">
        <f t="shared" si="12"/>
        <v>0000</v>
      </c>
      <c r="F148" t="s">
        <v>1855</v>
      </c>
      <c r="G148">
        <f ca="1">+$B148*_xlfn.XLOOKUP($C148,'ACTUAL %'!$A:$A,'ACTUAL %'!C:C)</f>
        <v>1083.8228542738286</v>
      </c>
      <c r="H148">
        <f ca="1">+$B148*_xlfn.XLOOKUP($C148,'ACTUAL %'!$A:$A,'ACTUAL %'!D:D)</f>
        <v>41256.915626809976</v>
      </c>
      <c r="I148">
        <f ca="1">+$B148*_xlfn.XLOOKUP($C148,'ACTUAL %'!$A:$A,'ACTUAL %'!E:E)</f>
        <v>46218.390528025593</v>
      </c>
      <c r="J148">
        <f ca="1">+$B148*_xlfn.XLOOKUP($C148,'ACTUAL %'!$A:$A,'ACTUAL %'!F:F)</f>
        <v>54734.318095154478</v>
      </c>
      <c r="K148">
        <f ca="1">+$B148*_xlfn.XLOOKUP($C148,'ACTUAL %'!$A:$A,'ACTUAL %'!G:G)</f>
        <v>43796.880458796804</v>
      </c>
      <c r="L148">
        <f ca="1">+$B148*_xlfn.XLOOKUP($C148,'ACTUAL %'!$A:$A,'ACTUAL %'!H:H)</f>
        <v>43663.007850644368</v>
      </c>
      <c r="M148">
        <f ca="1">+$B148*_xlfn.XLOOKUP($C148,'ACTUAL %'!$A:$A,'ACTUAL %'!I:I)</f>
        <v>55367.419365122965</v>
      </c>
      <c r="N148">
        <f ca="1">+$B148*_xlfn.XLOOKUP($C148,'ACTUAL %'!$A:$A,'ACTUAL %'!J:J)</f>
        <v>79971.400128783658</v>
      </c>
      <c r="O148">
        <f ca="1">+$B148*_xlfn.XLOOKUP($C148,'ACTUAL %'!$A:$A,'ACTUAL %'!K:K)</f>
        <v>80934.910973708771</v>
      </c>
      <c r="P148">
        <f ca="1">+$B148*_xlfn.XLOOKUP($C148,'ACTUAL %'!$A:$A,'ACTUAL %'!L:L)</f>
        <v>80934.910973708771</v>
      </c>
      <c r="Q148">
        <f ca="1">+$B148*_xlfn.XLOOKUP($C148,'ACTUAL %'!$A:$A,'ACTUAL %'!M:M)</f>
        <v>80934.910973708771</v>
      </c>
      <c r="R148">
        <f ca="1">+$B148*_xlfn.XLOOKUP($C148,'ACTUAL %'!$A:$A,'ACTUAL %'!N:N)+S148+T148+U148</f>
        <v>80934.910973708771</v>
      </c>
      <c r="S148">
        <f ca="1">+$B148*_xlfn.XLOOKUP($C148,'ACTUAL %'!$A:$A,'ACTUAL %'!O:O)</f>
        <v>0</v>
      </c>
      <c r="T148">
        <f ca="1">+$B148*_xlfn.XLOOKUP($C148,'ACTUAL %'!$A:$A,'ACTUAL %'!P:P)</f>
        <v>0</v>
      </c>
      <c r="U148">
        <f ca="1">+$B148*_xlfn.XLOOKUP($C148,'ACTUAL %'!$A:$A,'ACTUAL %'!Q:Q)</f>
        <v>0</v>
      </c>
      <c r="V148">
        <f t="shared" ca="1" si="13"/>
        <v>689831.79880244669</v>
      </c>
      <c r="W148" s="517">
        <f t="shared" ca="1" si="14"/>
        <v>0</v>
      </c>
    </row>
    <row r="149" spans="1:23" x14ac:dyDescent="0.75">
      <c r="A149" t="s">
        <v>2004</v>
      </c>
      <c r="B149">
        <v>59116.791268531219</v>
      </c>
      <c r="C149">
        <f t="shared" si="10"/>
        <v>3301</v>
      </c>
      <c r="D149" t="str">
        <f t="shared" si="11"/>
        <v>040</v>
      </c>
      <c r="E149" t="str">
        <f t="shared" si="12"/>
        <v>0000</v>
      </c>
      <c r="F149" t="s">
        <v>2038</v>
      </c>
      <c r="G149">
        <f ca="1">+$B149*_xlfn.XLOOKUP($C149,'ACTUAL %'!$A:$A,'ACTUAL %'!C:C)</f>
        <v>0</v>
      </c>
      <c r="H149">
        <f ca="1">+$B149*_xlfn.XLOOKUP($C149,'ACTUAL %'!$A:$A,'ACTUAL %'!D:D)</f>
        <v>0</v>
      </c>
      <c r="I149">
        <f ca="1">+$B149*_xlfn.XLOOKUP($C149,'ACTUAL %'!$A:$A,'ACTUAL %'!E:E)</f>
        <v>0</v>
      </c>
      <c r="J149">
        <f ca="1">+$B149*_xlfn.XLOOKUP($C149,'ACTUAL %'!$A:$A,'ACTUAL %'!F:F)</f>
        <v>14127.40965285647</v>
      </c>
      <c r="K149">
        <f ca="1">+$B149*_xlfn.XLOOKUP($C149,'ACTUAL %'!$A:$A,'ACTUAL %'!G:G)</f>
        <v>4232.0817740742896</v>
      </c>
      <c r="L149">
        <f ca="1">+$B149*_xlfn.XLOOKUP($C149,'ACTUAL %'!$A:$A,'ACTUAL %'!H:H)</f>
        <v>4172.8866884290474</v>
      </c>
      <c r="M149">
        <f ca="1">+$B149*_xlfn.XLOOKUP($C149,'ACTUAL %'!$A:$A,'ACTUAL %'!I:I)</f>
        <v>5122.572998713068</v>
      </c>
      <c r="N149">
        <f ca="1">+$B149*_xlfn.XLOOKUP($C149,'ACTUAL %'!$A:$A,'ACTUAL %'!J:J)</f>
        <v>6232.2976916946118</v>
      </c>
      <c r="O149">
        <f ca="1">+$B149*_xlfn.XLOOKUP($C149,'ACTUAL %'!$A:$A,'ACTUAL %'!K:K)</f>
        <v>6307.3856156909324</v>
      </c>
      <c r="P149">
        <f ca="1">+$B149*_xlfn.XLOOKUP($C149,'ACTUAL %'!$A:$A,'ACTUAL %'!L:L)</f>
        <v>6307.3856156909324</v>
      </c>
      <c r="Q149">
        <f ca="1">+$B149*_xlfn.XLOOKUP($C149,'ACTUAL %'!$A:$A,'ACTUAL %'!M:M)</f>
        <v>6307.3856156909324</v>
      </c>
      <c r="R149">
        <f ca="1">+$B149*_xlfn.XLOOKUP($C149,'ACTUAL %'!$A:$A,'ACTUAL %'!N:N)+S149+T149+U149</f>
        <v>6307.3856156909324</v>
      </c>
      <c r="S149">
        <f ca="1">+$B149*_xlfn.XLOOKUP($C149,'ACTUAL %'!$A:$A,'ACTUAL %'!O:O)</f>
        <v>0</v>
      </c>
      <c r="T149">
        <f ca="1">+$B149*_xlfn.XLOOKUP($C149,'ACTUAL %'!$A:$A,'ACTUAL %'!P:P)</f>
        <v>0</v>
      </c>
      <c r="U149">
        <f ca="1">+$B149*_xlfn.XLOOKUP($C149,'ACTUAL %'!$A:$A,'ACTUAL %'!Q:Q)</f>
        <v>0</v>
      </c>
      <c r="V149">
        <f t="shared" ca="1" si="13"/>
        <v>59116.791268531211</v>
      </c>
      <c r="W149" s="517">
        <f t="shared" ca="1" si="14"/>
        <v>0</v>
      </c>
    </row>
    <row r="150" spans="1:23" x14ac:dyDescent="0.75">
      <c r="A150" t="s">
        <v>2005</v>
      </c>
      <c r="B150">
        <v>93158.354430151187</v>
      </c>
      <c r="C150">
        <f t="shared" si="10"/>
        <v>3302</v>
      </c>
      <c r="D150" t="str">
        <f t="shared" si="11"/>
        <v>040</v>
      </c>
      <c r="E150" t="str">
        <f t="shared" si="12"/>
        <v>0000</v>
      </c>
      <c r="F150" t="s">
        <v>2039</v>
      </c>
      <c r="G150">
        <f ca="1">+$B150*_xlfn.XLOOKUP($C150,'ACTUAL %'!$A:$A,'ACTUAL %'!C:C)</f>
        <v>0</v>
      </c>
      <c r="H150">
        <f ca="1">+$B150*_xlfn.XLOOKUP($C150,'ACTUAL %'!$A:$A,'ACTUAL %'!D:D)</f>
        <v>0</v>
      </c>
      <c r="I150">
        <f ca="1">+$B150*_xlfn.XLOOKUP($C150,'ACTUAL %'!$A:$A,'ACTUAL %'!E:E)</f>
        <v>0</v>
      </c>
      <c r="J150">
        <f ca="1">+$B150*_xlfn.XLOOKUP($C150,'ACTUAL %'!$A:$A,'ACTUAL %'!F:F)</f>
        <v>27514.758554800319</v>
      </c>
      <c r="K150">
        <f ca="1">+$B150*_xlfn.XLOOKUP($C150,'ACTUAL %'!$A:$A,'ACTUAL %'!G:G)</f>
        <v>7090.2737026426457</v>
      </c>
      <c r="L150">
        <f ca="1">+$B150*_xlfn.XLOOKUP($C150,'ACTUAL %'!$A:$A,'ACTUAL %'!H:H)</f>
        <v>7560.1501827469228</v>
      </c>
      <c r="M150">
        <f ca="1">+$B150*_xlfn.XLOOKUP($C150,'ACTUAL %'!$A:$A,'ACTUAL %'!I:I)</f>
        <v>9272.9150419110902</v>
      </c>
      <c r="N150">
        <f ca="1">+$B150*_xlfn.XLOOKUP($C150,'ACTUAL %'!$A:$A,'ACTUAL %'!J:J)</f>
        <v>8264.3945744347657</v>
      </c>
      <c r="O150">
        <f ca="1">+$B150*_xlfn.XLOOKUP($C150,'ACTUAL %'!$A:$A,'ACTUAL %'!K:K)</f>
        <v>8363.9655934038601</v>
      </c>
      <c r="P150">
        <f ca="1">+$B150*_xlfn.XLOOKUP($C150,'ACTUAL %'!$A:$A,'ACTUAL %'!L:L)</f>
        <v>8363.9655934038601</v>
      </c>
      <c r="Q150">
        <f ca="1">+$B150*_xlfn.XLOOKUP($C150,'ACTUAL %'!$A:$A,'ACTUAL %'!M:M)</f>
        <v>8363.9655934038601</v>
      </c>
      <c r="R150">
        <f ca="1">+$B150*_xlfn.XLOOKUP($C150,'ACTUAL %'!$A:$A,'ACTUAL %'!N:N)+S150+T150+U150</f>
        <v>8363.9655934038601</v>
      </c>
      <c r="S150">
        <f ca="1">+$B150*_xlfn.XLOOKUP($C150,'ACTUAL %'!$A:$A,'ACTUAL %'!O:O)</f>
        <v>0</v>
      </c>
      <c r="T150">
        <f ca="1">+$B150*_xlfn.XLOOKUP($C150,'ACTUAL %'!$A:$A,'ACTUAL %'!P:P)</f>
        <v>0</v>
      </c>
      <c r="U150">
        <f ca="1">+$B150*_xlfn.XLOOKUP($C150,'ACTUAL %'!$A:$A,'ACTUAL %'!Q:Q)</f>
        <v>0</v>
      </c>
      <c r="V150">
        <f t="shared" ca="1" si="13"/>
        <v>93158.354430151187</v>
      </c>
      <c r="W150" s="517">
        <f t="shared" ca="1" si="14"/>
        <v>0</v>
      </c>
    </row>
    <row r="151" spans="1:23" x14ac:dyDescent="0.75">
      <c r="A151" t="s">
        <v>2006</v>
      </c>
      <c r="B151">
        <v>518336.44948810397</v>
      </c>
      <c r="C151">
        <f t="shared" si="10"/>
        <v>3401</v>
      </c>
      <c r="D151" t="str">
        <f t="shared" si="11"/>
        <v>040</v>
      </c>
      <c r="E151" t="str">
        <f t="shared" si="12"/>
        <v>0000</v>
      </c>
      <c r="F151" t="s">
        <v>2040</v>
      </c>
      <c r="G151">
        <f ca="1">+$B151*_xlfn.XLOOKUP($C151,'ACTUAL %'!$A:$A,'ACTUAL %'!C:C)</f>
        <v>0</v>
      </c>
      <c r="H151">
        <f ca="1">+$B151*_xlfn.XLOOKUP($C151,'ACTUAL %'!$A:$A,'ACTUAL %'!D:D)</f>
        <v>0</v>
      </c>
      <c r="I151">
        <f ca="1">+$B151*_xlfn.XLOOKUP($C151,'ACTUAL %'!$A:$A,'ACTUAL %'!E:E)</f>
        <v>0</v>
      </c>
      <c r="J151">
        <f ca="1">+$B151*_xlfn.XLOOKUP($C151,'ACTUAL %'!$A:$A,'ACTUAL %'!F:F)</f>
        <v>168238.42565043952</v>
      </c>
      <c r="K151">
        <f ca="1">+$B151*_xlfn.XLOOKUP($C151,'ACTUAL %'!$A:$A,'ACTUAL %'!G:G)</f>
        <v>54713.735285467759</v>
      </c>
      <c r="L151">
        <f ca="1">+$B151*_xlfn.XLOOKUP($C151,'ACTUAL %'!$A:$A,'ACTUAL %'!H:H)</f>
        <v>45367.531281461808</v>
      </c>
      <c r="M151">
        <f ca="1">+$B151*_xlfn.XLOOKUP($C151,'ACTUAL %'!$A:$A,'ACTUAL %'!I:I)</f>
        <v>85468.041357163413</v>
      </c>
      <c r="N151">
        <f ca="1">+$B151*_xlfn.XLOOKUP($C151,'ACTUAL %'!$A:$A,'ACTUAL %'!J:J)</f>
        <v>32595.569023452106</v>
      </c>
      <c r="O151">
        <f ca="1">+$B151*_xlfn.XLOOKUP($C151,'ACTUAL %'!$A:$A,'ACTUAL %'!K:K)</f>
        <v>32988.28672252984</v>
      </c>
      <c r="P151">
        <f ca="1">+$B151*_xlfn.XLOOKUP($C151,'ACTUAL %'!$A:$A,'ACTUAL %'!L:L)</f>
        <v>32988.28672252984</v>
      </c>
      <c r="Q151">
        <f ca="1">+$B151*_xlfn.XLOOKUP($C151,'ACTUAL %'!$A:$A,'ACTUAL %'!M:M)</f>
        <v>32988.28672252984</v>
      </c>
      <c r="R151">
        <f ca="1">+$B151*_xlfn.XLOOKUP($C151,'ACTUAL %'!$A:$A,'ACTUAL %'!N:N)+S151+T151+U151</f>
        <v>32988.28672252984</v>
      </c>
      <c r="S151">
        <f ca="1">+$B151*_xlfn.XLOOKUP($C151,'ACTUAL %'!$A:$A,'ACTUAL %'!O:O)</f>
        <v>0</v>
      </c>
      <c r="T151">
        <f ca="1">+$B151*_xlfn.XLOOKUP($C151,'ACTUAL %'!$A:$A,'ACTUAL %'!P:P)</f>
        <v>0</v>
      </c>
      <c r="U151">
        <f ca="1">+$B151*_xlfn.XLOOKUP($C151,'ACTUAL %'!$A:$A,'ACTUAL %'!Q:Q)</f>
        <v>0</v>
      </c>
      <c r="V151">
        <f t="shared" ca="1" si="13"/>
        <v>518336.44948810403</v>
      </c>
      <c r="W151" s="517">
        <f t="shared" ca="1" si="14"/>
        <v>0</v>
      </c>
    </row>
    <row r="152" spans="1:23" x14ac:dyDescent="0.75">
      <c r="A152" t="s">
        <v>2007</v>
      </c>
      <c r="B152">
        <v>159489.63636835999</v>
      </c>
      <c r="C152">
        <f t="shared" si="10"/>
        <v>3402</v>
      </c>
      <c r="D152" t="str">
        <f t="shared" si="11"/>
        <v>040</v>
      </c>
      <c r="E152" t="str">
        <f t="shared" si="12"/>
        <v>0000</v>
      </c>
      <c r="F152" t="s">
        <v>2041</v>
      </c>
      <c r="G152">
        <f ca="1">+$B152*_xlfn.XLOOKUP($C152,'ACTUAL %'!$A:$A,'ACTUAL %'!C:C)</f>
        <v>0</v>
      </c>
      <c r="H152">
        <f ca="1">+$B152*_xlfn.XLOOKUP($C152,'ACTUAL %'!$A:$A,'ACTUAL %'!D:D)</f>
        <v>0</v>
      </c>
      <c r="I152">
        <f ca="1">+$B152*_xlfn.XLOOKUP($C152,'ACTUAL %'!$A:$A,'ACTUAL %'!E:E)</f>
        <v>0</v>
      </c>
      <c r="J152">
        <f ca="1">+$B152*_xlfn.XLOOKUP($C152,'ACTUAL %'!$A:$A,'ACTUAL %'!F:F)</f>
        <v>59511.984251027563</v>
      </c>
      <c r="K152">
        <f ca="1">+$B152*_xlfn.XLOOKUP($C152,'ACTUAL %'!$A:$A,'ACTUAL %'!G:G)</f>
        <v>17419.989326978033</v>
      </c>
      <c r="L152">
        <f ca="1">+$B152*_xlfn.XLOOKUP($C152,'ACTUAL %'!$A:$A,'ACTUAL %'!H:H)</f>
        <v>14694.154225056018</v>
      </c>
      <c r="M152">
        <f ca="1">+$B152*_xlfn.XLOOKUP($C152,'ACTUAL %'!$A:$A,'ACTUAL %'!I:I)</f>
        <v>27914.168396189645</v>
      </c>
      <c r="N152">
        <f ca="1">+$B152*_xlfn.XLOOKUP($C152,'ACTUAL %'!$A:$A,'ACTUAL %'!J:J)</f>
        <v>7913.5924440000608</v>
      </c>
      <c r="O152">
        <f ca="1">+$B152*_xlfn.XLOOKUP($C152,'ACTUAL %'!$A:$A,'ACTUAL %'!K:K)</f>
        <v>8008.9369312771687</v>
      </c>
      <c r="P152">
        <f ca="1">+$B152*_xlfn.XLOOKUP($C152,'ACTUAL %'!$A:$A,'ACTUAL %'!L:L)</f>
        <v>8008.9369312771687</v>
      </c>
      <c r="Q152">
        <f ca="1">+$B152*_xlfn.XLOOKUP($C152,'ACTUAL %'!$A:$A,'ACTUAL %'!M:M)</f>
        <v>8008.9369312771687</v>
      </c>
      <c r="R152">
        <f ca="1">+$B152*_xlfn.XLOOKUP($C152,'ACTUAL %'!$A:$A,'ACTUAL %'!N:N)+S152+T152+U152</f>
        <v>8008.9369312771687</v>
      </c>
      <c r="S152">
        <f ca="1">+$B152*_xlfn.XLOOKUP($C152,'ACTUAL %'!$A:$A,'ACTUAL %'!O:O)</f>
        <v>0</v>
      </c>
      <c r="T152">
        <f ca="1">+$B152*_xlfn.XLOOKUP($C152,'ACTUAL %'!$A:$A,'ACTUAL %'!P:P)</f>
        <v>0</v>
      </c>
      <c r="U152">
        <f ca="1">+$B152*_xlfn.XLOOKUP($C152,'ACTUAL %'!$A:$A,'ACTUAL %'!Q:Q)</f>
        <v>0</v>
      </c>
      <c r="V152">
        <f t="shared" ca="1" si="13"/>
        <v>159489.63636835996</v>
      </c>
      <c r="W152" s="517">
        <f t="shared" ca="1" si="14"/>
        <v>0</v>
      </c>
    </row>
    <row r="153" spans="1:23" x14ac:dyDescent="0.75">
      <c r="A153" s="178" t="s">
        <v>2008</v>
      </c>
      <c r="B153">
        <v>25957.170789999964</v>
      </c>
      <c r="C153">
        <f t="shared" si="10"/>
        <v>3501</v>
      </c>
      <c r="D153" t="str">
        <f t="shared" si="11"/>
        <v>040</v>
      </c>
      <c r="E153" t="str">
        <f t="shared" si="12"/>
        <v>0000</v>
      </c>
      <c r="F153" t="s">
        <v>2042</v>
      </c>
      <c r="G153">
        <f ca="1">+$B153*_xlfn.XLOOKUP($C153,'ACTUAL %'!$A:$A,'ACTUAL %'!C:C)</f>
        <v>0</v>
      </c>
      <c r="H153">
        <f ca="1">+$B153*_xlfn.XLOOKUP($C153,'ACTUAL %'!$A:$A,'ACTUAL %'!D:D)</f>
        <v>0</v>
      </c>
      <c r="I153">
        <f ca="1">+$B153*_xlfn.XLOOKUP($C153,'ACTUAL %'!$A:$A,'ACTUAL %'!E:E)</f>
        <v>0</v>
      </c>
      <c r="J153">
        <f ca="1">+$B153*_xlfn.XLOOKUP($C153,'ACTUAL %'!$A:$A,'ACTUAL %'!F:F)</f>
        <v>3478.299002116657</v>
      </c>
      <c r="K153">
        <f ca="1">+$B153*_xlfn.XLOOKUP($C153,'ACTUAL %'!$A:$A,'ACTUAL %'!G:G)</f>
        <v>84.839857111514917</v>
      </c>
      <c r="L153">
        <f ca="1">+$B153*_xlfn.XLOOKUP($C153,'ACTUAL %'!$A:$A,'ACTUAL %'!H:H)</f>
        <v>10367.223325195426</v>
      </c>
      <c r="M153">
        <f ca="1">+$B153*_xlfn.XLOOKUP($C153,'ACTUAL %'!$A:$A,'ACTUAL %'!I:I)</f>
        <v>12823.60816050754</v>
      </c>
      <c r="N153">
        <f ca="1">+$B153*_xlfn.XLOOKUP($C153,'ACTUAL %'!$A:$A,'ACTUAL %'!J:J)</f>
        <v>-157.83857532049458</v>
      </c>
      <c r="O153">
        <f ca="1">+$B153*_xlfn.XLOOKUP($C153,'ACTUAL %'!$A:$A,'ACTUAL %'!K:K)</f>
        <v>-159.74024490266922</v>
      </c>
      <c r="P153">
        <f ca="1">+$B153*_xlfn.XLOOKUP($C153,'ACTUAL %'!$A:$A,'ACTUAL %'!L:L)</f>
        <v>-159.74024490266922</v>
      </c>
      <c r="Q153">
        <f ca="1">+$B153*_xlfn.XLOOKUP($C153,'ACTUAL %'!$A:$A,'ACTUAL %'!M:M)</f>
        <v>-159.74024490266922</v>
      </c>
      <c r="R153">
        <f ca="1">+$B153*_xlfn.XLOOKUP($C153,'ACTUAL %'!$A:$A,'ACTUAL %'!N:N)+S153+T153+U153</f>
        <v>-159.74024490266922</v>
      </c>
      <c r="S153">
        <f ca="1">+$B153*_xlfn.XLOOKUP($C153,'ACTUAL %'!$A:$A,'ACTUAL %'!O:O)</f>
        <v>0</v>
      </c>
      <c r="T153">
        <f ca="1">+$B153*_xlfn.XLOOKUP($C153,'ACTUAL %'!$A:$A,'ACTUAL %'!P:P)</f>
        <v>0</v>
      </c>
      <c r="U153">
        <f ca="1">+$B153*_xlfn.XLOOKUP($C153,'ACTUAL %'!$A:$A,'ACTUAL %'!Q:Q)</f>
        <v>0</v>
      </c>
      <c r="V153">
        <f t="shared" ca="1" si="13"/>
        <v>25957.17078999996</v>
      </c>
      <c r="W153" s="517">
        <f t="shared" ca="1" si="14"/>
        <v>0</v>
      </c>
    </row>
    <row r="154" spans="1:23" x14ac:dyDescent="0.75">
      <c r="A154" s="178" t="s">
        <v>2009</v>
      </c>
      <c r="B154">
        <v>8038.3496640000012</v>
      </c>
      <c r="C154">
        <f t="shared" si="10"/>
        <v>3502</v>
      </c>
      <c r="D154" t="str">
        <f t="shared" si="11"/>
        <v>040</v>
      </c>
      <c r="E154" t="str">
        <f t="shared" si="12"/>
        <v>0000</v>
      </c>
      <c r="F154" t="s">
        <v>2043</v>
      </c>
      <c r="G154">
        <f ca="1">+$B154*_xlfn.XLOOKUP($C154,'ACTUAL %'!$A:$A,'ACTUAL %'!C:C)</f>
        <v>0</v>
      </c>
      <c r="H154">
        <f ca="1">+$B154*_xlfn.XLOOKUP($C154,'ACTUAL %'!$A:$A,'ACTUAL %'!D:D)</f>
        <v>0</v>
      </c>
      <c r="I154">
        <f ca="1">+$B154*_xlfn.XLOOKUP($C154,'ACTUAL %'!$A:$A,'ACTUAL %'!E:E)</f>
        <v>0</v>
      </c>
      <c r="J154">
        <f ca="1">+$B154*_xlfn.XLOOKUP($C154,'ACTUAL %'!$A:$A,'ACTUAL %'!F:F)</f>
        <v>1217.4230875506385</v>
      </c>
      <c r="K154">
        <f ca="1">+$B154*_xlfn.XLOOKUP($C154,'ACTUAL %'!$A:$A,'ACTUAL %'!G:G)</f>
        <v>0</v>
      </c>
      <c r="L154">
        <f ca="1">+$B154*_xlfn.XLOOKUP($C154,'ACTUAL %'!$A:$A,'ACTUAL %'!H:H)</f>
        <v>3314.5176852663831</v>
      </c>
      <c r="M154">
        <f ca="1">+$B154*_xlfn.XLOOKUP($C154,'ACTUAL %'!$A:$A,'ACTUAL %'!I:I)</f>
        <v>4121.0273298280863</v>
      </c>
      <c r="N154">
        <f ca="1">+$B154*_xlfn.XLOOKUP($C154,'ACTUAL %'!$A:$A,'ACTUAL %'!J:J)</f>
        <v>-121.75019190344597</v>
      </c>
      <c r="O154">
        <f ca="1">+$B154*_xlfn.XLOOKUP($C154,'ACTUAL %'!$A:$A,'ACTUAL %'!K:K)</f>
        <v>-123.21706168541519</v>
      </c>
      <c r="P154">
        <f ca="1">+$B154*_xlfn.XLOOKUP($C154,'ACTUAL %'!$A:$A,'ACTUAL %'!L:L)</f>
        <v>-123.21706168541519</v>
      </c>
      <c r="Q154">
        <f ca="1">+$B154*_xlfn.XLOOKUP($C154,'ACTUAL %'!$A:$A,'ACTUAL %'!M:M)</f>
        <v>-123.21706168541519</v>
      </c>
      <c r="R154">
        <f ca="1">+$B154*_xlfn.XLOOKUP($C154,'ACTUAL %'!$A:$A,'ACTUAL %'!N:N)+S154+T154+U154</f>
        <v>-123.21706168541519</v>
      </c>
      <c r="S154">
        <f ca="1">+$B154*_xlfn.XLOOKUP($C154,'ACTUAL %'!$A:$A,'ACTUAL %'!O:O)</f>
        <v>0</v>
      </c>
      <c r="T154">
        <f ca="1">+$B154*_xlfn.XLOOKUP($C154,'ACTUAL %'!$A:$A,'ACTUAL %'!P:P)</f>
        <v>0</v>
      </c>
      <c r="U154">
        <f ca="1">+$B154*_xlfn.XLOOKUP($C154,'ACTUAL %'!$A:$A,'ACTUAL %'!Q:Q)</f>
        <v>0</v>
      </c>
      <c r="V154">
        <f t="shared" ca="1" si="13"/>
        <v>8038.3496640000012</v>
      </c>
      <c r="W154" s="517">
        <f t="shared" ca="1" si="14"/>
        <v>0</v>
      </c>
    </row>
    <row r="155" spans="1:23" x14ac:dyDescent="0.75">
      <c r="A155" t="s">
        <v>2010</v>
      </c>
      <c r="B155">
        <v>44439.518953585532</v>
      </c>
      <c r="C155">
        <f t="shared" si="10"/>
        <v>3601</v>
      </c>
      <c r="D155" t="str">
        <f t="shared" si="11"/>
        <v>040</v>
      </c>
      <c r="E155" t="str">
        <f t="shared" si="12"/>
        <v>0000</v>
      </c>
      <c r="F155" t="s">
        <v>2044</v>
      </c>
      <c r="G155">
        <f ca="1">+$B155*_xlfn.XLOOKUP($C155,'ACTUAL %'!$A:$A,'ACTUAL %'!C:C)</f>
        <v>0</v>
      </c>
      <c r="H155">
        <f ca="1">+$B155*_xlfn.XLOOKUP($C155,'ACTUAL %'!$A:$A,'ACTUAL %'!D:D)</f>
        <v>0</v>
      </c>
      <c r="I155">
        <f ca="1">+$B155*_xlfn.XLOOKUP($C155,'ACTUAL %'!$A:$A,'ACTUAL %'!E:E)</f>
        <v>0</v>
      </c>
      <c r="J155">
        <f ca="1">+$B155*_xlfn.XLOOKUP($C155,'ACTUAL %'!$A:$A,'ACTUAL %'!F:F)</f>
        <v>5649.273432113755</v>
      </c>
      <c r="K155">
        <f ca="1">+$B155*_xlfn.XLOOKUP($C155,'ACTUAL %'!$A:$A,'ACTUAL %'!G:G)</f>
        <v>0</v>
      </c>
      <c r="L155">
        <f ca="1">+$B155*_xlfn.XLOOKUP($C155,'ACTUAL %'!$A:$A,'ACTUAL %'!H:H)</f>
        <v>0</v>
      </c>
      <c r="M155">
        <f ca="1">+$B155*_xlfn.XLOOKUP($C155,'ACTUAL %'!$A:$A,'ACTUAL %'!I:I)</f>
        <v>1236.38199106709</v>
      </c>
      <c r="N155">
        <f ca="1">+$B155*_xlfn.XLOOKUP($C155,'ACTUAL %'!$A:$A,'ACTUAL %'!J:J)</f>
        <v>7439.0708186720512</v>
      </c>
      <c r="O155">
        <f ca="1">+$B155*_xlfn.XLOOKUP($C155,'ACTUAL %'!$A:$A,'ACTUAL %'!K:K)</f>
        <v>7528.6981779331591</v>
      </c>
      <c r="P155">
        <f ca="1">+$B155*_xlfn.XLOOKUP($C155,'ACTUAL %'!$A:$A,'ACTUAL %'!L:L)</f>
        <v>7528.6981779331591</v>
      </c>
      <c r="Q155">
        <f ca="1">+$B155*_xlfn.XLOOKUP($C155,'ACTUAL %'!$A:$A,'ACTUAL %'!M:M)</f>
        <v>7528.6981779331591</v>
      </c>
      <c r="R155">
        <f ca="1">+$B155*_xlfn.XLOOKUP($C155,'ACTUAL %'!$A:$A,'ACTUAL %'!N:N)+S155+T155+U155</f>
        <v>7528.6981779331591</v>
      </c>
      <c r="S155">
        <f ca="1">+$B155*_xlfn.XLOOKUP($C155,'ACTUAL %'!$A:$A,'ACTUAL %'!O:O)</f>
        <v>0</v>
      </c>
      <c r="T155">
        <f ca="1">+$B155*_xlfn.XLOOKUP($C155,'ACTUAL %'!$A:$A,'ACTUAL %'!P:P)</f>
        <v>0</v>
      </c>
      <c r="U155">
        <f ca="1">+$B155*_xlfn.XLOOKUP($C155,'ACTUAL %'!$A:$A,'ACTUAL %'!Q:Q)</f>
        <v>0</v>
      </c>
      <c r="V155">
        <f t="shared" ca="1" si="13"/>
        <v>44439.518953585532</v>
      </c>
      <c r="W155" s="517">
        <f t="shared" ca="1" si="14"/>
        <v>0</v>
      </c>
    </row>
    <row r="156" spans="1:23" x14ac:dyDescent="0.75">
      <c r="A156" s="178" t="s">
        <v>2011</v>
      </c>
      <c r="B156">
        <v>13273.543310962719</v>
      </c>
      <c r="C156">
        <f t="shared" si="10"/>
        <v>3602</v>
      </c>
      <c r="D156" t="str">
        <f t="shared" si="11"/>
        <v>040</v>
      </c>
      <c r="E156" t="str">
        <f t="shared" si="12"/>
        <v>0000</v>
      </c>
      <c r="F156" t="s">
        <v>2045</v>
      </c>
      <c r="G156">
        <f ca="1">+$B156*_xlfn.XLOOKUP($C156,'ACTUAL %'!$A:$A,'ACTUAL %'!C:C)</f>
        <v>0</v>
      </c>
      <c r="H156">
        <f ca="1">+$B156*_xlfn.XLOOKUP($C156,'ACTUAL %'!$A:$A,'ACTUAL %'!D:D)</f>
        <v>0</v>
      </c>
      <c r="I156">
        <f ca="1">+$B156*_xlfn.XLOOKUP($C156,'ACTUAL %'!$A:$A,'ACTUAL %'!E:E)</f>
        <v>0</v>
      </c>
      <c r="J156">
        <f ca="1">+$B156*_xlfn.XLOOKUP($C156,'ACTUAL %'!$A:$A,'ACTUAL %'!F:F)</f>
        <v>2234.7362506867707</v>
      </c>
      <c r="K156">
        <f ca="1">+$B156*_xlfn.XLOOKUP($C156,'ACTUAL %'!$A:$A,'ACTUAL %'!G:G)</f>
        <v>0</v>
      </c>
      <c r="L156">
        <f ca="1">+$B156*_xlfn.XLOOKUP($C156,'ACTUAL %'!$A:$A,'ACTUAL %'!H:H)</f>
        <v>0</v>
      </c>
      <c r="M156">
        <f ca="1">+$B156*_xlfn.XLOOKUP($C156,'ACTUAL %'!$A:$A,'ACTUAL %'!I:I)</f>
        <v>489.08851434430107</v>
      </c>
      <c r="N156">
        <f ca="1">+$B156*_xlfn.XLOOKUP($C156,'ACTUAL %'!$A:$A,'ACTUAL %'!J:J)</f>
        <v>2089.8010484781066</v>
      </c>
      <c r="O156">
        <f ca="1">+$B156*_xlfn.XLOOKUP($C156,'ACTUAL %'!$A:$A,'ACTUAL %'!K:K)</f>
        <v>2114.979374363385</v>
      </c>
      <c r="P156">
        <f ca="1">+$B156*_xlfn.XLOOKUP($C156,'ACTUAL %'!$A:$A,'ACTUAL %'!L:L)</f>
        <v>2114.979374363385</v>
      </c>
      <c r="Q156">
        <f ca="1">+$B156*_xlfn.XLOOKUP($C156,'ACTUAL %'!$A:$A,'ACTUAL %'!M:M)</f>
        <v>2114.979374363385</v>
      </c>
      <c r="R156">
        <f ca="1">+$B156*_xlfn.XLOOKUP($C156,'ACTUAL %'!$A:$A,'ACTUAL %'!N:N)+S156+T156+U156</f>
        <v>2114.979374363385</v>
      </c>
      <c r="S156">
        <f ca="1">+$B156*_xlfn.XLOOKUP($C156,'ACTUAL %'!$A:$A,'ACTUAL %'!O:O)</f>
        <v>0</v>
      </c>
      <c r="T156">
        <f ca="1">+$B156*_xlfn.XLOOKUP($C156,'ACTUAL %'!$A:$A,'ACTUAL %'!P:P)</f>
        <v>0</v>
      </c>
      <c r="U156">
        <f ca="1">+$B156*_xlfn.XLOOKUP($C156,'ACTUAL %'!$A:$A,'ACTUAL %'!Q:Q)</f>
        <v>0</v>
      </c>
      <c r="V156">
        <f t="shared" ca="1" si="13"/>
        <v>13273.543310962719</v>
      </c>
      <c r="W156" s="517">
        <f t="shared" ca="1" si="14"/>
        <v>0</v>
      </c>
    </row>
    <row r="157" spans="1:23" x14ac:dyDescent="0.75">
      <c r="A157" s="178" t="s">
        <v>2012</v>
      </c>
      <c r="B157">
        <v>33794.431871216002</v>
      </c>
      <c r="C157">
        <f t="shared" si="10"/>
        <v>3901</v>
      </c>
      <c r="D157" t="str">
        <f t="shared" si="11"/>
        <v>040</v>
      </c>
      <c r="E157" t="str">
        <f t="shared" si="12"/>
        <v>0000</v>
      </c>
      <c r="F157" t="s">
        <v>2046</v>
      </c>
      <c r="G157">
        <f ca="1">+$B157*_xlfn.XLOOKUP($C157,'ACTUAL %'!$A:$A,'ACTUAL %'!C:C)</f>
        <v>0</v>
      </c>
      <c r="H157">
        <f ca="1">+$B157*_xlfn.XLOOKUP($C157,'ACTUAL %'!$A:$A,'ACTUAL %'!D:D)</f>
        <v>0</v>
      </c>
      <c r="I157">
        <f ca="1">+$B157*_xlfn.XLOOKUP($C157,'ACTUAL %'!$A:$A,'ACTUAL %'!E:E)</f>
        <v>0</v>
      </c>
      <c r="J157">
        <f ca="1">+$B157*_xlfn.XLOOKUP($C157,'ACTUAL %'!$A:$A,'ACTUAL %'!F:F)</f>
        <v>10673.612439533117</v>
      </c>
      <c r="K157">
        <f ca="1">+$B157*_xlfn.XLOOKUP($C157,'ACTUAL %'!$A:$A,'ACTUAL %'!G:G)</f>
        <v>2734.7214760611528</v>
      </c>
      <c r="L157">
        <f ca="1">+$B157*_xlfn.XLOOKUP($C157,'ACTUAL %'!$A:$A,'ACTUAL %'!H:H)</f>
        <v>2929.6149448794031</v>
      </c>
      <c r="M157">
        <f ca="1">+$B157*_xlfn.XLOOKUP($C157,'ACTUAL %'!$A:$A,'ACTUAL %'!I:I)</f>
        <v>2262.9324724150256</v>
      </c>
      <c r="N157">
        <f ca="1">+$B157*_xlfn.XLOOKUP($C157,'ACTUAL %'!$A:$A,'ACTUAL %'!J:J)</f>
        <v>3009.7009419598235</v>
      </c>
      <c r="O157">
        <f ca="1">+$B157*_xlfn.XLOOKUP($C157,'ACTUAL %'!$A:$A,'ACTUAL %'!K:K)</f>
        <v>3045.9623990918699</v>
      </c>
      <c r="P157">
        <f ca="1">+$B157*_xlfn.XLOOKUP($C157,'ACTUAL %'!$A:$A,'ACTUAL %'!L:L)</f>
        <v>3045.9623990918699</v>
      </c>
      <c r="Q157">
        <f ca="1">+$B157*_xlfn.XLOOKUP($C157,'ACTUAL %'!$A:$A,'ACTUAL %'!M:M)</f>
        <v>3045.9623990918699</v>
      </c>
      <c r="R157">
        <f ca="1">+$B157*_xlfn.XLOOKUP($C157,'ACTUAL %'!$A:$A,'ACTUAL %'!N:N)+S157+T157+U157</f>
        <v>3045.9623990918699</v>
      </c>
      <c r="S157">
        <f ca="1">+$B157*_xlfn.XLOOKUP($C157,'ACTUAL %'!$A:$A,'ACTUAL %'!O:O)</f>
        <v>0</v>
      </c>
      <c r="T157">
        <f ca="1">+$B157*_xlfn.XLOOKUP($C157,'ACTUAL %'!$A:$A,'ACTUAL %'!P:P)</f>
        <v>0</v>
      </c>
      <c r="U157">
        <f ca="1">+$B157*_xlfn.XLOOKUP($C157,'ACTUAL %'!$A:$A,'ACTUAL %'!Q:Q)</f>
        <v>0</v>
      </c>
      <c r="V157">
        <f t="shared" ca="1" si="13"/>
        <v>33794.431871216002</v>
      </c>
      <c r="W157" s="517">
        <f t="shared" ca="1" si="14"/>
        <v>0</v>
      </c>
    </row>
    <row r="158" spans="1:23" x14ac:dyDescent="0.75">
      <c r="A158" t="s">
        <v>1547</v>
      </c>
      <c r="B158">
        <v>1486767.6913875688</v>
      </c>
      <c r="C158">
        <f t="shared" si="10"/>
        <v>4100</v>
      </c>
      <c r="D158" t="str">
        <f t="shared" si="11"/>
        <v>040</v>
      </c>
      <c r="E158" t="str">
        <f t="shared" si="12"/>
        <v>0000</v>
      </c>
      <c r="F158" t="s">
        <v>1856</v>
      </c>
      <c r="G158">
        <f>+$B158*_xlfn.XLOOKUP($C158,'ACTUAL %'!$A:$A,'ACTUAL %'!C:C)</f>
        <v>-511.25759825697327</v>
      </c>
      <c r="H158">
        <f>+$B158*_xlfn.XLOOKUP($C158,'ACTUAL %'!$A:$A,'ACTUAL %'!D:D)</f>
        <v>677.99347094483517</v>
      </c>
      <c r="I158">
        <f>+$B158*_xlfn.XLOOKUP($C158,'ACTUAL %'!$A:$A,'ACTUAL %'!E:E)</f>
        <v>77907.099553878652</v>
      </c>
      <c r="J158">
        <f>+$B158*_xlfn.XLOOKUP($C158,'ACTUAL %'!$A:$A,'ACTUAL %'!F:F)</f>
        <v>157213.41373942906</v>
      </c>
      <c r="K158">
        <f>+$B158*_xlfn.XLOOKUP($C158,'ACTUAL %'!$A:$A,'ACTUAL %'!G:G)</f>
        <v>145582.87922557516</v>
      </c>
      <c r="L158">
        <f>+$B158*_xlfn.XLOOKUP($C158,'ACTUAL %'!$A:$A,'ACTUAL %'!H:H)</f>
        <v>185894.37782988156</v>
      </c>
      <c r="M158">
        <f>+$B158*_xlfn.XLOOKUP($C158,'ACTUAL %'!$A:$A,'ACTUAL %'!I:I)</f>
        <v>48561.491873944819</v>
      </c>
      <c r="N158">
        <f>+$B158*_xlfn.XLOOKUP($C158,'ACTUAL %'!$A:$A,'ACTUAL %'!J:J)</f>
        <v>435720.84664608585</v>
      </c>
      <c r="O158">
        <f>+$B158*_xlfn.XLOOKUP($C158,'ACTUAL %'!$A:$A,'ACTUAL %'!K:K)</f>
        <v>435720.84664608585</v>
      </c>
      <c r="P158">
        <f>+$B158*_xlfn.XLOOKUP($C158,'ACTUAL %'!$A:$A,'ACTUAL %'!L:L)</f>
        <v>0</v>
      </c>
      <c r="Q158">
        <f>+$B158*_xlfn.XLOOKUP($C158,'ACTUAL %'!$A:$A,'ACTUAL %'!M:M)</f>
        <v>0</v>
      </c>
      <c r="R158">
        <f>+$B158*_xlfn.XLOOKUP($C158,'ACTUAL %'!$A:$A,'ACTUAL %'!N:N)+S158+T158+U158</f>
        <v>0</v>
      </c>
      <c r="S158">
        <f>+$B158*_xlfn.XLOOKUP($C158,'ACTUAL %'!$A:$A,'ACTUAL %'!O:O)</f>
        <v>0</v>
      </c>
      <c r="T158">
        <f>+$B158*_xlfn.XLOOKUP($C158,'ACTUAL %'!$A:$A,'ACTUAL %'!P:P)</f>
        <v>0</v>
      </c>
      <c r="U158">
        <f>+$B158*_xlfn.XLOOKUP($C158,'ACTUAL %'!$A:$A,'ACTUAL %'!Q:Q)</f>
        <v>0</v>
      </c>
      <c r="V158">
        <f t="shared" si="13"/>
        <v>1486767.6913875688</v>
      </c>
      <c r="W158" s="517">
        <f t="shared" si="14"/>
        <v>0</v>
      </c>
    </row>
    <row r="159" spans="1:23" x14ac:dyDescent="0.75">
      <c r="A159" t="s">
        <v>1737</v>
      </c>
      <c r="B159">
        <v>107338.85490006757</v>
      </c>
      <c r="C159">
        <f t="shared" si="10"/>
        <v>4101</v>
      </c>
      <c r="D159" t="str">
        <f t="shared" si="11"/>
        <v>040</v>
      </c>
      <c r="E159" t="str">
        <f t="shared" si="12"/>
        <v>0000</v>
      </c>
      <c r="F159" t="s">
        <v>1857</v>
      </c>
      <c r="G159">
        <f>+$B159*_xlfn.XLOOKUP($C159,'ACTUAL %'!$A:$A,'ACTUAL %'!C:C)</f>
        <v>438588.1895192716</v>
      </c>
      <c r="H159">
        <f>+$B159*_xlfn.XLOOKUP($C159,'ACTUAL %'!$A:$A,'ACTUAL %'!D:D)</f>
        <v>73947.509198270898</v>
      </c>
      <c r="I159">
        <f>+$B159*_xlfn.XLOOKUP($C159,'ACTUAL %'!$A:$A,'ACTUAL %'!E:E)</f>
        <v>0</v>
      </c>
      <c r="J159">
        <f>+$B159*_xlfn.XLOOKUP($C159,'ACTUAL %'!$A:$A,'ACTUAL %'!F:F)</f>
        <v>-1.8803667384918291E-2</v>
      </c>
      <c r="K159">
        <f>+$B159*_xlfn.XLOOKUP($C159,'ACTUAL %'!$A:$A,'ACTUAL %'!G:G)</f>
        <v>0</v>
      </c>
      <c r="L159">
        <f>+$B159*_xlfn.XLOOKUP($C159,'ACTUAL %'!$A:$A,'ACTUAL %'!H:H)</f>
        <v>0</v>
      </c>
      <c r="M159">
        <f>+$B159*_xlfn.XLOOKUP($C159,'ACTUAL %'!$A:$A,'ACTUAL %'!I:I)</f>
        <v>312.15968225702852</v>
      </c>
      <c r="N159">
        <f>+$B159*_xlfn.XLOOKUP($C159,'ACTUAL %'!$A:$A,'ACTUAL %'!J:J)</f>
        <v>-202754.49234803231</v>
      </c>
      <c r="O159">
        <f>+$B159*_xlfn.XLOOKUP($C159,'ACTUAL %'!$A:$A,'ACTUAL %'!K:K)</f>
        <v>-202754.49234803231</v>
      </c>
      <c r="P159">
        <f>+$B159*_xlfn.XLOOKUP($C159,'ACTUAL %'!$A:$A,'ACTUAL %'!L:L)</f>
        <v>0</v>
      </c>
      <c r="Q159">
        <f>+$B159*_xlfn.XLOOKUP($C159,'ACTUAL %'!$A:$A,'ACTUAL %'!M:M)</f>
        <v>0</v>
      </c>
      <c r="R159">
        <f>+$B159*_xlfn.XLOOKUP($C159,'ACTUAL %'!$A:$A,'ACTUAL %'!N:N)+S159+T159+U159</f>
        <v>0</v>
      </c>
      <c r="S159">
        <f>+$B159*_xlfn.XLOOKUP($C159,'ACTUAL %'!$A:$A,'ACTUAL %'!O:O)</f>
        <v>0</v>
      </c>
      <c r="T159">
        <f>+$B159*_xlfn.XLOOKUP($C159,'ACTUAL %'!$A:$A,'ACTUAL %'!P:P)</f>
        <v>0</v>
      </c>
      <c r="U159">
        <f>+$B159*_xlfn.XLOOKUP($C159,'ACTUAL %'!$A:$A,'ACTUAL %'!Q:Q)</f>
        <v>0</v>
      </c>
      <c r="V159">
        <f t="shared" si="13"/>
        <v>107338.85490006756</v>
      </c>
      <c r="W159" s="517">
        <f t="shared" si="14"/>
        <v>0</v>
      </c>
    </row>
    <row r="160" spans="1:23" x14ac:dyDescent="0.75">
      <c r="A160" t="s">
        <v>1738</v>
      </c>
      <c r="B160">
        <v>81405.896492101834</v>
      </c>
      <c r="C160">
        <f t="shared" si="10"/>
        <v>4102</v>
      </c>
      <c r="D160" t="str">
        <f t="shared" si="11"/>
        <v>040</v>
      </c>
      <c r="E160" t="str">
        <f t="shared" si="12"/>
        <v>0000</v>
      </c>
      <c r="F160" t="s">
        <v>1858</v>
      </c>
      <c r="G160">
        <f>+$B160*_xlfn.XLOOKUP($C160,'ACTUAL %'!$A:$A,'ACTUAL %'!C:C)</f>
        <v>44385.839315692661</v>
      </c>
      <c r="H160">
        <f>+$B160*_xlfn.XLOOKUP($C160,'ACTUAL %'!$A:$A,'ACTUAL %'!D:D)</f>
        <v>515.20110685599354</v>
      </c>
      <c r="I160">
        <f>+$B160*_xlfn.XLOOKUP($C160,'ACTUAL %'!$A:$A,'ACTUAL %'!E:E)</f>
        <v>68109.586326362347</v>
      </c>
      <c r="J160">
        <f>+$B160*_xlfn.XLOOKUP($C160,'ACTUAL %'!$A:$A,'ACTUAL %'!F:F)</f>
        <v>382.62268869171788</v>
      </c>
      <c r="K160">
        <f>+$B160*_xlfn.XLOOKUP($C160,'ACTUAL %'!$A:$A,'ACTUAL %'!G:G)</f>
        <v>0</v>
      </c>
      <c r="L160">
        <f>+$B160*_xlfn.XLOOKUP($C160,'ACTUAL %'!$A:$A,'ACTUAL %'!H:H)</f>
        <v>114.86923878461232</v>
      </c>
      <c r="M160">
        <f>+$B160*_xlfn.XLOOKUP($C160,'ACTUAL %'!$A:$A,'ACTUAL %'!I:I)</f>
        <v>13218.610969477508</v>
      </c>
      <c r="N160">
        <f>+$B160*_xlfn.XLOOKUP($C160,'ACTUAL %'!$A:$A,'ACTUAL %'!J:J)</f>
        <v>-22660.416576881515</v>
      </c>
      <c r="O160">
        <f>+$B160*_xlfn.XLOOKUP($C160,'ACTUAL %'!$A:$A,'ACTUAL %'!K:K)</f>
        <v>-22660.416576881515</v>
      </c>
      <c r="P160">
        <f>+$B160*_xlfn.XLOOKUP($C160,'ACTUAL %'!$A:$A,'ACTUAL %'!L:L)</f>
        <v>0</v>
      </c>
      <c r="Q160">
        <f>+$B160*_xlfn.XLOOKUP($C160,'ACTUAL %'!$A:$A,'ACTUAL %'!M:M)</f>
        <v>0</v>
      </c>
      <c r="R160">
        <f>+$B160*_xlfn.XLOOKUP($C160,'ACTUAL %'!$A:$A,'ACTUAL %'!N:N)+S160+T160+U160</f>
        <v>0</v>
      </c>
      <c r="S160">
        <f>+$B160*_xlfn.XLOOKUP($C160,'ACTUAL %'!$A:$A,'ACTUAL %'!O:O)</f>
        <v>0</v>
      </c>
      <c r="T160">
        <f>+$B160*_xlfn.XLOOKUP($C160,'ACTUAL %'!$A:$A,'ACTUAL %'!P:P)</f>
        <v>0</v>
      </c>
      <c r="U160">
        <f>+$B160*_xlfn.XLOOKUP($C160,'ACTUAL %'!$A:$A,'ACTUAL %'!Q:Q)</f>
        <v>0</v>
      </c>
      <c r="V160">
        <f t="shared" si="13"/>
        <v>81405.896492101805</v>
      </c>
      <c r="W160" s="517">
        <f t="shared" si="14"/>
        <v>0</v>
      </c>
    </row>
    <row r="161" spans="1:23" x14ac:dyDescent="0.75">
      <c r="A161" t="s">
        <v>1548</v>
      </c>
      <c r="B161">
        <v>18501.340111841324</v>
      </c>
      <c r="C161">
        <f t="shared" si="10"/>
        <v>4200</v>
      </c>
      <c r="D161" t="str">
        <f t="shared" si="11"/>
        <v>040</v>
      </c>
      <c r="E161" t="str">
        <f t="shared" si="12"/>
        <v>0000</v>
      </c>
      <c r="F161" t="s">
        <v>1859</v>
      </c>
      <c r="G161">
        <f>+$B161*_xlfn.XLOOKUP($C161,'ACTUAL %'!$A:$A,'ACTUAL %'!C:C)</f>
        <v>0</v>
      </c>
      <c r="H161">
        <f>+$B161*_xlfn.XLOOKUP($C161,'ACTUAL %'!$A:$A,'ACTUAL %'!D:D)</f>
        <v>0</v>
      </c>
      <c r="I161">
        <f>+$B161*_xlfn.XLOOKUP($C161,'ACTUAL %'!$A:$A,'ACTUAL %'!E:E)</f>
        <v>144.9956876913194</v>
      </c>
      <c r="J161">
        <f>+$B161*_xlfn.XLOOKUP($C161,'ACTUAL %'!$A:$A,'ACTUAL %'!F:F)</f>
        <v>267.59790149912124</v>
      </c>
      <c r="K161">
        <f>+$B161*_xlfn.XLOOKUP($C161,'ACTUAL %'!$A:$A,'ACTUAL %'!G:G)</f>
        <v>2078.3240582450317</v>
      </c>
      <c r="L161">
        <f>+$B161*_xlfn.XLOOKUP($C161,'ACTUAL %'!$A:$A,'ACTUAL %'!H:H)</f>
        <v>10.882899394676441</v>
      </c>
      <c r="M161">
        <f>+$B161*_xlfn.XLOOKUP($C161,'ACTUAL %'!$A:$A,'ACTUAL %'!I:I)</f>
        <v>2645.2489743002634</v>
      </c>
      <c r="N161">
        <f>+$B161*_xlfn.XLOOKUP($C161,'ACTUAL %'!$A:$A,'ACTUAL %'!J:J)</f>
        <v>6677.1452953554553</v>
      </c>
      <c r="O161">
        <f>+$B161*_xlfn.XLOOKUP($C161,'ACTUAL %'!$A:$A,'ACTUAL %'!K:K)</f>
        <v>6677.1452953554553</v>
      </c>
      <c r="P161">
        <f>+$B161*_xlfn.XLOOKUP($C161,'ACTUAL %'!$A:$A,'ACTUAL %'!L:L)</f>
        <v>0</v>
      </c>
      <c r="Q161">
        <f>+$B161*_xlfn.XLOOKUP($C161,'ACTUAL %'!$A:$A,'ACTUAL %'!M:M)</f>
        <v>0</v>
      </c>
      <c r="R161">
        <f>+$B161*_xlfn.XLOOKUP($C161,'ACTUAL %'!$A:$A,'ACTUAL %'!N:N)+S161+T161+U161</f>
        <v>0</v>
      </c>
      <c r="S161">
        <f>+$B161*_xlfn.XLOOKUP($C161,'ACTUAL %'!$A:$A,'ACTUAL %'!O:O)</f>
        <v>0</v>
      </c>
      <c r="T161">
        <f>+$B161*_xlfn.XLOOKUP($C161,'ACTUAL %'!$A:$A,'ACTUAL %'!P:P)</f>
        <v>0</v>
      </c>
      <c r="U161">
        <f>+$B161*_xlfn.XLOOKUP($C161,'ACTUAL %'!$A:$A,'ACTUAL %'!Q:Q)</f>
        <v>0</v>
      </c>
      <c r="V161">
        <f t="shared" si="13"/>
        <v>18501.34011184132</v>
      </c>
      <c r="W161" s="517">
        <f t="shared" si="14"/>
        <v>0</v>
      </c>
    </row>
    <row r="162" spans="1:23" x14ac:dyDescent="0.75">
      <c r="A162" t="s">
        <v>1549</v>
      </c>
      <c r="B162">
        <v>5550.4020335523974</v>
      </c>
      <c r="C162">
        <f t="shared" si="10"/>
        <v>4300</v>
      </c>
      <c r="D162" t="str">
        <f t="shared" si="11"/>
        <v>040</v>
      </c>
      <c r="E162" t="str">
        <f t="shared" si="12"/>
        <v>0000</v>
      </c>
      <c r="F162" t="s">
        <v>1860</v>
      </c>
      <c r="G162">
        <f>+$B162*_xlfn.XLOOKUP($C162,'ACTUAL %'!$A:$A,'ACTUAL %'!C:C)</f>
        <v>18.659923027085679</v>
      </c>
      <c r="H162">
        <f>+$B162*_xlfn.XLOOKUP($C162,'ACTUAL %'!$A:$A,'ACTUAL %'!D:D)</f>
        <v>124.63031309053798</v>
      </c>
      <c r="I162">
        <f>+$B162*_xlfn.XLOOKUP($C162,'ACTUAL %'!$A:$A,'ACTUAL %'!E:E)</f>
        <v>892.03947044384211</v>
      </c>
      <c r="J162">
        <f>+$B162*_xlfn.XLOOKUP($C162,'ACTUAL %'!$A:$A,'ACTUAL %'!F:F)</f>
        <v>31.230262108788153</v>
      </c>
      <c r="K162">
        <f>+$B162*_xlfn.XLOOKUP($C162,'ACTUAL %'!$A:$A,'ACTUAL %'!G:G)</f>
        <v>217.64447897852656</v>
      </c>
      <c r="L162">
        <f>+$B162*_xlfn.XLOOKUP($C162,'ACTUAL %'!$A:$A,'ACTUAL %'!H:H)</f>
        <v>46.789889142846711</v>
      </c>
      <c r="M162">
        <f>+$B162*_xlfn.XLOOKUP($C162,'ACTUAL %'!$A:$A,'ACTUAL %'!I:I)</f>
        <v>428.2452334716163</v>
      </c>
      <c r="N162">
        <f>+$B162*_xlfn.XLOOKUP($C162,'ACTUAL %'!$A:$A,'ACTUAL %'!J:J)</f>
        <v>750.99399630787548</v>
      </c>
      <c r="O162">
        <f>+$B162*_xlfn.XLOOKUP($C162,'ACTUAL %'!$A:$A,'ACTUAL %'!K:K)</f>
        <v>760.04211674531973</v>
      </c>
      <c r="P162">
        <f>+$B162*_xlfn.XLOOKUP($C162,'ACTUAL %'!$A:$A,'ACTUAL %'!L:L)</f>
        <v>760.04211674531973</v>
      </c>
      <c r="Q162">
        <f>+$B162*_xlfn.XLOOKUP($C162,'ACTUAL %'!$A:$A,'ACTUAL %'!M:M)</f>
        <v>760.04211674531973</v>
      </c>
      <c r="R162">
        <f>+$B162*_xlfn.XLOOKUP($C162,'ACTUAL %'!$A:$A,'ACTUAL %'!N:N)+S162+T162+U162</f>
        <v>760.04211674531973</v>
      </c>
      <c r="S162">
        <f>+$B162*_xlfn.XLOOKUP($C162,'ACTUAL %'!$A:$A,'ACTUAL %'!O:O)</f>
        <v>0</v>
      </c>
      <c r="T162">
        <f>+$B162*_xlfn.XLOOKUP($C162,'ACTUAL %'!$A:$A,'ACTUAL %'!P:P)</f>
        <v>0</v>
      </c>
      <c r="U162">
        <f>+$B162*_xlfn.XLOOKUP($C162,'ACTUAL %'!$A:$A,'ACTUAL %'!Q:Q)</f>
        <v>0</v>
      </c>
      <c r="V162">
        <f t="shared" si="13"/>
        <v>5550.4020335523974</v>
      </c>
      <c r="W162" s="517">
        <f t="shared" si="14"/>
        <v>0</v>
      </c>
    </row>
    <row r="163" spans="1:23" x14ac:dyDescent="0.75">
      <c r="A163" t="s">
        <v>1550</v>
      </c>
      <c r="B163">
        <v>11100.804067104795</v>
      </c>
      <c r="C163">
        <f t="shared" si="10"/>
        <v>4400</v>
      </c>
      <c r="D163" t="str">
        <f t="shared" si="11"/>
        <v>040</v>
      </c>
      <c r="E163" t="str">
        <f t="shared" si="12"/>
        <v>0000</v>
      </c>
      <c r="F163" t="s">
        <v>1861</v>
      </c>
      <c r="G163">
        <f>+$B163*_xlfn.XLOOKUP($C163,'ACTUAL %'!$A:$A,'ACTUAL %'!C:C)</f>
        <v>891.92911299974639</v>
      </c>
      <c r="H163">
        <f>+$B163*_xlfn.XLOOKUP($C163,'ACTUAL %'!$A:$A,'ACTUAL %'!D:D)</f>
        <v>0</v>
      </c>
      <c r="I163">
        <f>+$B163*_xlfn.XLOOKUP($C163,'ACTUAL %'!$A:$A,'ACTUAL %'!E:E)</f>
        <v>94.656840916204303</v>
      </c>
      <c r="J163">
        <f>+$B163*_xlfn.XLOOKUP($C163,'ACTUAL %'!$A:$A,'ACTUAL %'!F:F)</f>
        <v>18.066985573215636</v>
      </c>
      <c r="K163">
        <f>+$B163*_xlfn.XLOOKUP($C163,'ACTUAL %'!$A:$A,'ACTUAL %'!G:G)</f>
        <v>15.11929513939673</v>
      </c>
      <c r="L163">
        <f>+$B163*_xlfn.XLOOKUP($C163,'ACTUAL %'!$A:$A,'ACTUAL %'!H:H)</f>
        <v>0</v>
      </c>
      <c r="M163">
        <f>+$B163*_xlfn.XLOOKUP($C163,'ACTUAL %'!$A:$A,'ACTUAL %'!I:I)</f>
        <v>628.63454941612054</v>
      </c>
      <c r="N163">
        <f>+$B163*_xlfn.XLOOKUP($C163,'ACTUAL %'!$A:$A,'ACTUAL %'!J:J)</f>
        <v>1890.4794566120224</v>
      </c>
      <c r="O163">
        <f>+$B163*_xlfn.XLOOKUP($C163,'ACTUAL %'!$A:$A,'ACTUAL %'!K:K)</f>
        <v>1890.4794566120224</v>
      </c>
      <c r="P163">
        <f>+$B163*_xlfn.XLOOKUP($C163,'ACTUAL %'!$A:$A,'ACTUAL %'!L:L)</f>
        <v>1890.4794566120224</v>
      </c>
      <c r="Q163">
        <f>+$B163*_xlfn.XLOOKUP($C163,'ACTUAL %'!$A:$A,'ACTUAL %'!M:M)</f>
        <v>1890.4794566120224</v>
      </c>
      <c r="R163">
        <f>+$B163*_xlfn.XLOOKUP($C163,'ACTUAL %'!$A:$A,'ACTUAL %'!N:N)+S163+T163+U163</f>
        <v>1890.4794566120224</v>
      </c>
      <c r="S163">
        <f>+$B163*_xlfn.XLOOKUP($C163,'ACTUAL %'!$A:$A,'ACTUAL %'!O:O)</f>
        <v>0</v>
      </c>
      <c r="T163">
        <f>+$B163*_xlfn.XLOOKUP($C163,'ACTUAL %'!$A:$A,'ACTUAL %'!P:P)</f>
        <v>0</v>
      </c>
      <c r="U163">
        <f>+$B163*_xlfn.XLOOKUP($C163,'ACTUAL %'!$A:$A,'ACTUAL %'!Q:Q)</f>
        <v>0</v>
      </c>
      <c r="V163">
        <f t="shared" si="13"/>
        <v>11100.804067104795</v>
      </c>
      <c r="W163" s="517">
        <f t="shared" si="14"/>
        <v>0</v>
      </c>
    </row>
    <row r="164" spans="1:23" x14ac:dyDescent="0.75">
      <c r="A164" t="s">
        <v>1551</v>
      </c>
      <c r="B164">
        <v>107307.77264867969</v>
      </c>
      <c r="C164">
        <f t="shared" si="10"/>
        <v>4410</v>
      </c>
      <c r="D164" t="str">
        <f t="shared" si="11"/>
        <v>040</v>
      </c>
      <c r="E164" t="str">
        <f t="shared" si="12"/>
        <v>0000</v>
      </c>
      <c r="F164" t="s">
        <v>1862</v>
      </c>
      <c r="G164">
        <f>+$B164*_xlfn.XLOOKUP($C164,'ACTUAL %'!$A:$A,'ACTUAL %'!C:C)</f>
        <v>0</v>
      </c>
      <c r="H164">
        <f>+$B164*_xlfn.XLOOKUP($C164,'ACTUAL %'!$A:$A,'ACTUAL %'!D:D)</f>
        <v>5853.4329559993348</v>
      </c>
      <c r="I164">
        <f>+$B164*_xlfn.XLOOKUP($C164,'ACTUAL %'!$A:$A,'ACTUAL %'!E:E)</f>
        <v>0</v>
      </c>
      <c r="J164">
        <f>+$B164*_xlfn.XLOOKUP($C164,'ACTUAL %'!$A:$A,'ACTUAL %'!F:F)</f>
        <v>27900.609975140593</v>
      </c>
      <c r="K164">
        <f>+$B164*_xlfn.XLOOKUP($C164,'ACTUAL %'!$A:$A,'ACTUAL %'!G:G)</f>
        <v>0</v>
      </c>
      <c r="L164">
        <f>+$B164*_xlfn.XLOOKUP($C164,'ACTUAL %'!$A:$A,'ACTUAL %'!H:H)</f>
        <v>0</v>
      </c>
      <c r="M164">
        <f>+$B164*_xlfn.XLOOKUP($C164,'ACTUAL %'!$A:$A,'ACTUAL %'!I:I)</f>
        <v>6058.282940852815</v>
      </c>
      <c r="N164">
        <f>+$B164*_xlfn.XLOOKUP($C164,'ACTUAL %'!$A:$A,'ACTUAL %'!J:J)</f>
        <v>22498.482258895649</v>
      </c>
      <c r="O164">
        <f>+$B164*_xlfn.XLOOKUP($C164,'ACTUAL %'!$A:$A,'ACTUAL %'!K:K)</f>
        <v>22498.482258895649</v>
      </c>
      <c r="P164">
        <f>+$B164*_xlfn.XLOOKUP($C164,'ACTUAL %'!$A:$A,'ACTUAL %'!L:L)</f>
        <v>22498.482258895649</v>
      </c>
      <c r="Q164">
        <f>+$B164*_xlfn.XLOOKUP($C164,'ACTUAL %'!$A:$A,'ACTUAL %'!M:M)</f>
        <v>0</v>
      </c>
      <c r="R164">
        <f>+$B164*_xlfn.XLOOKUP($C164,'ACTUAL %'!$A:$A,'ACTUAL %'!N:N)+S164+T164+U164</f>
        <v>0</v>
      </c>
      <c r="S164">
        <f>+$B164*_xlfn.XLOOKUP($C164,'ACTUAL %'!$A:$A,'ACTUAL %'!O:O)</f>
        <v>0</v>
      </c>
      <c r="T164">
        <f>+$B164*_xlfn.XLOOKUP($C164,'ACTUAL %'!$A:$A,'ACTUAL %'!P:P)</f>
        <v>0</v>
      </c>
      <c r="U164">
        <f>+$B164*_xlfn.XLOOKUP($C164,'ACTUAL %'!$A:$A,'ACTUAL %'!Q:Q)</f>
        <v>0</v>
      </c>
      <c r="V164">
        <f t="shared" si="13"/>
        <v>107307.77264867967</v>
      </c>
      <c r="W164" s="517">
        <f t="shared" si="14"/>
        <v>0</v>
      </c>
    </row>
    <row r="165" spans="1:23" x14ac:dyDescent="0.75">
      <c r="A165" t="s">
        <v>1552</v>
      </c>
      <c r="B165">
        <v>2775.2010167761987</v>
      </c>
      <c r="C165">
        <f t="shared" si="10"/>
        <v>4430</v>
      </c>
      <c r="D165" t="str">
        <f t="shared" si="11"/>
        <v>040</v>
      </c>
      <c r="E165" t="str">
        <f t="shared" si="12"/>
        <v>0000</v>
      </c>
      <c r="F165" t="s">
        <v>1863</v>
      </c>
      <c r="G165">
        <f>+$B165*_xlfn.XLOOKUP($C165,'ACTUAL %'!$A:$A,'ACTUAL %'!C:C)</f>
        <v>0</v>
      </c>
      <c r="H165">
        <f>+$B165*_xlfn.XLOOKUP($C165,'ACTUAL %'!$A:$A,'ACTUAL %'!D:D)</f>
        <v>0</v>
      </c>
      <c r="I165">
        <f>+$B165*_xlfn.XLOOKUP($C165,'ACTUAL %'!$A:$A,'ACTUAL %'!E:E)</f>
        <v>810.27359073413561</v>
      </c>
      <c r="J165">
        <f>+$B165*_xlfn.XLOOKUP($C165,'ACTUAL %'!$A:$A,'ACTUAL %'!F:F)</f>
        <v>27.052659511534383</v>
      </c>
      <c r="K165">
        <f>+$B165*_xlfn.XLOOKUP($C165,'ACTUAL %'!$A:$A,'ACTUAL %'!G:G)</f>
        <v>31.03044763558027</v>
      </c>
      <c r="L165">
        <f>+$B165*_xlfn.XLOOKUP($C165,'ACTUAL %'!$A:$A,'ACTUAL %'!H:H)</f>
        <v>0</v>
      </c>
      <c r="M165">
        <f>+$B165*_xlfn.XLOOKUP($C165,'ACTUAL %'!$A:$A,'ACTUAL %'!I:I)</f>
        <v>0</v>
      </c>
      <c r="N165">
        <f>+$B165*_xlfn.XLOOKUP($C165,'ACTUAL %'!$A:$A,'ACTUAL %'!J:J)</f>
        <v>381.36886377898975</v>
      </c>
      <c r="O165">
        <f>+$B165*_xlfn.XLOOKUP($C165,'ACTUAL %'!$A:$A,'ACTUAL %'!K:K)</f>
        <v>381.36886377898975</v>
      </c>
      <c r="P165">
        <f>+$B165*_xlfn.XLOOKUP($C165,'ACTUAL %'!$A:$A,'ACTUAL %'!L:L)</f>
        <v>381.36886377898975</v>
      </c>
      <c r="Q165">
        <f>+$B165*_xlfn.XLOOKUP($C165,'ACTUAL %'!$A:$A,'ACTUAL %'!M:M)</f>
        <v>381.36886377898975</v>
      </c>
      <c r="R165">
        <f>+$B165*_xlfn.XLOOKUP($C165,'ACTUAL %'!$A:$A,'ACTUAL %'!N:N)+S165+T165+U165</f>
        <v>381.36886377898975</v>
      </c>
      <c r="S165">
        <f>+$B165*_xlfn.XLOOKUP($C165,'ACTUAL %'!$A:$A,'ACTUAL %'!O:O)</f>
        <v>0</v>
      </c>
      <c r="T165">
        <f>+$B165*_xlfn.XLOOKUP($C165,'ACTUAL %'!$A:$A,'ACTUAL %'!P:P)</f>
        <v>0</v>
      </c>
      <c r="U165">
        <f>+$B165*_xlfn.XLOOKUP($C165,'ACTUAL %'!$A:$A,'ACTUAL %'!Q:Q)</f>
        <v>0</v>
      </c>
      <c r="V165">
        <f t="shared" si="13"/>
        <v>2775.2010167761987</v>
      </c>
      <c r="W165" s="517">
        <f t="shared" si="14"/>
        <v>0</v>
      </c>
    </row>
    <row r="166" spans="1:23" x14ac:dyDescent="0.75">
      <c r="A166" t="s">
        <v>1553</v>
      </c>
      <c r="B166">
        <v>37002.680223682648</v>
      </c>
      <c r="C166">
        <f t="shared" si="10"/>
        <v>5200</v>
      </c>
      <c r="D166" t="str">
        <f t="shared" si="11"/>
        <v>040</v>
      </c>
      <c r="E166" t="str">
        <f t="shared" si="12"/>
        <v>0000</v>
      </c>
      <c r="F166" t="s">
        <v>1864</v>
      </c>
      <c r="G166">
        <f>+$B166*_xlfn.XLOOKUP($C166,'ACTUAL %'!$A:$A,'ACTUAL %'!C:C)</f>
        <v>3444.8385207841839</v>
      </c>
      <c r="H166">
        <f>+$B166*_xlfn.XLOOKUP($C166,'ACTUAL %'!$A:$A,'ACTUAL %'!D:D)</f>
        <v>2837.4580262525446</v>
      </c>
      <c r="I166">
        <f>+$B166*_xlfn.XLOOKUP($C166,'ACTUAL %'!$A:$A,'ACTUAL %'!E:E)</f>
        <v>2092.601473885858</v>
      </c>
      <c r="J166">
        <f>+$B166*_xlfn.XLOOKUP($C166,'ACTUAL %'!$A:$A,'ACTUAL %'!F:F)</f>
        <v>7773.2640426296839</v>
      </c>
      <c r="K166">
        <f>+$B166*_xlfn.XLOOKUP($C166,'ACTUAL %'!$A:$A,'ACTUAL %'!G:G)</f>
        <v>3933.4848150140692</v>
      </c>
      <c r="L166">
        <f>+$B166*_xlfn.XLOOKUP($C166,'ACTUAL %'!$A:$A,'ACTUAL %'!H:H)</f>
        <v>2714.4500163849561</v>
      </c>
      <c r="M166">
        <f>+$B166*_xlfn.XLOOKUP($C166,'ACTUAL %'!$A:$A,'ACTUAL %'!I:I)</f>
        <v>6771.0982525235531</v>
      </c>
      <c r="N166">
        <f>+$B166*_xlfn.XLOOKUP($C166,'ACTUAL %'!$A:$A,'ACTUAL %'!J:J)</f>
        <v>2478.4950254025989</v>
      </c>
      <c r="O166">
        <f>+$B166*_xlfn.XLOOKUP($C166,'ACTUAL %'!$A:$A,'ACTUAL %'!K:K)</f>
        <v>2478.4950254025989</v>
      </c>
      <c r="P166">
        <f>+$B166*_xlfn.XLOOKUP($C166,'ACTUAL %'!$A:$A,'ACTUAL %'!L:L)</f>
        <v>2478.4950254025989</v>
      </c>
      <c r="Q166">
        <f>+$B166*_xlfn.XLOOKUP($C166,'ACTUAL %'!$A:$A,'ACTUAL %'!M:M)</f>
        <v>0</v>
      </c>
      <c r="R166">
        <f>+$B166*_xlfn.XLOOKUP($C166,'ACTUAL %'!$A:$A,'ACTUAL %'!N:N)+S166+T166+U166</f>
        <v>0</v>
      </c>
      <c r="S166">
        <f>+$B166*_xlfn.XLOOKUP($C166,'ACTUAL %'!$A:$A,'ACTUAL %'!O:O)</f>
        <v>0</v>
      </c>
      <c r="T166">
        <f>+$B166*_xlfn.XLOOKUP($C166,'ACTUAL %'!$A:$A,'ACTUAL %'!P:P)</f>
        <v>0</v>
      </c>
      <c r="U166">
        <f>+$B166*_xlfn.XLOOKUP($C166,'ACTUAL %'!$A:$A,'ACTUAL %'!Q:Q)</f>
        <v>0</v>
      </c>
      <c r="V166">
        <f t="shared" si="13"/>
        <v>37002.680223682641</v>
      </c>
      <c r="W166" s="517">
        <f t="shared" si="14"/>
        <v>0</v>
      </c>
    </row>
    <row r="167" spans="1:23" x14ac:dyDescent="0.75">
      <c r="A167" t="s">
        <v>1554</v>
      </c>
      <c r="B167">
        <v>138760.05083880993</v>
      </c>
      <c r="C167">
        <f t="shared" si="10"/>
        <v>5210</v>
      </c>
      <c r="D167" t="str">
        <f t="shared" si="11"/>
        <v>040</v>
      </c>
      <c r="E167" t="str">
        <f t="shared" si="12"/>
        <v>0000</v>
      </c>
      <c r="F167" t="s">
        <v>1865</v>
      </c>
      <c r="G167">
        <f>+$B167*_xlfn.XLOOKUP($C167,'ACTUAL %'!$A:$A,'ACTUAL %'!C:C)</f>
        <v>31559.710846824684</v>
      </c>
      <c r="H167">
        <f>+$B167*_xlfn.XLOOKUP($C167,'ACTUAL %'!$A:$A,'ACTUAL %'!D:D)</f>
        <v>1234.8291614158404</v>
      </c>
      <c r="I167">
        <f>+$B167*_xlfn.XLOOKUP($C167,'ACTUAL %'!$A:$A,'ACTUAL %'!E:E)</f>
        <v>83176.520994155304</v>
      </c>
      <c r="J167">
        <f>+$B167*_xlfn.XLOOKUP($C167,'ACTUAL %'!$A:$A,'ACTUAL %'!F:F)</f>
        <v>5168.6523196872049</v>
      </c>
      <c r="K167">
        <f>+$B167*_xlfn.XLOOKUP($C167,'ACTUAL %'!$A:$A,'ACTUAL %'!G:G)</f>
        <v>4426.0536246144165</v>
      </c>
      <c r="L167">
        <f>+$B167*_xlfn.XLOOKUP($C167,'ACTUAL %'!$A:$A,'ACTUAL %'!H:H)</f>
        <v>3469.0012709702482</v>
      </c>
      <c r="M167">
        <f>+$B167*_xlfn.XLOOKUP($C167,'ACTUAL %'!$A:$A,'ACTUAL %'!I:I)</f>
        <v>717.35477282393765</v>
      </c>
      <c r="N167">
        <f>+$B167*_xlfn.XLOOKUP($C167,'ACTUAL %'!$A:$A,'ACTUAL %'!J:J)</f>
        <v>1801.5855696636543</v>
      </c>
      <c r="O167">
        <f>+$B167*_xlfn.XLOOKUP($C167,'ACTUAL %'!$A:$A,'ACTUAL %'!K:K)</f>
        <v>1801.5855696636543</v>
      </c>
      <c r="P167">
        <f>+$B167*_xlfn.XLOOKUP($C167,'ACTUAL %'!$A:$A,'ACTUAL %'!L:L)</f>
        <v>1801.5855696636543</v>
      </c>
      <c r="Q167">
        <f>+$B167*_xlfn.XLOOKUP($C167,'ACTUAL %'!$A:$A,'ACTUAL %'!M:M)</f>
        <v>1801.5855696636543</v>
      </c>
      <c r="R167">
        <f>+$B167*_xlfn.XLOOKUP($C167,'ACTUAL %'!$A:$A,'ACTUAL %'!N:N)+S167+T167+U167</f>
        <v>1801.5855696636543</v>
      </c>
      <c r="S167">
        <f>+$B167*_xlfn.XLOOKUP($C167,'ACTUAL %'!$A:$A,'ACTUAL %'!O:O)</f>
        <v>0</v>
      </c>
      <c r="T167">
        <f>+$B167*_xlfn.XLOOKUP($C167,'ACTUAL %'!$A:$A,'ACTUAL %'!P:P)</f>
        <v>0</v>
      </c>
      <c r="U167">
        <f>+$B167*_xlfn.XLOOKUP($C167,'ACTUAL %'!$A:$A,'ACTUAL %'!Q:Q)</f>
        <v>0</v>
      </c>
      <c r="V167">
        <f t="shared" si="13"/>
        <v>138760.05083880984</v>
      </c>
      <c r="W167" s="517">
        <f t="shared" si="14"/>
        <v>0</v>
      </c>
    </row>
    <row r="168" spans="1:23" x14ac:dyDescent="0.75">
      <c r="A168" t="s">
        <v>1555</v>
      </c>
      <c r="B168">
        <v>25901.876156577855</v>
      </c>
      <c r="C168">
        <f t="shared" si="10"/>
        <v>5300</v>
      </c>
      <c r="D168" t="str">
        <f t="shared" si="11"/>
        <v>040</v>
      </c>
      <c r="E168" t="str">
        <f t="shared" si="12"/>
        <v>0000</v>
      </c>
      <c r="F168" t="s">
        <v>1866</v>
      </c>
      <c r="G168">
        <f>+$B168*_xlfn.XLOOKUP($C168,'ACTUAL %'!$A:$A,'ACTUAL %'!C:C)</f>
        <v>12994.667845777276</v>
      </c>
      <c r="H168">
        <f>+$B168*_xlfn.XLOOKUP($C168,'ACTUAL %'!$A:$A,'ACTUAL %'!D:D)</f>
        <v>37.002680223682653</v>
      </c>
      <c r="I168">
        <f>+$B168*_xlfn.XLOOKUP($C168,'ACTUAL %'!$A:$A,'ACTUAL %'!E:E)</f>
        <v>869.56668552456472</v>
      </c>
      <c r="J168">
        <f>+$B168*_xlfn.XLOOKUP($C168,'ACTUAL %'!$A:$A,'ACTUAL %'!F:F)</f>
        <v>0</v>
      </c>
      <c r="K168">
        <f>+$B168*_xlfn.XLOOKUP($C168,'ACTUAL %'!$A:$A,'ACTUAL %'!G:G)</f>
        <v>8826.6193405572594</v>
      </c>
      <c r="L168">
        <f>+$B168*_xlfn.XLOOKUP($C168,'ACTUAL %'!$A:$A,'ACTUAL %'!H:H)</f>
        <v>0</v>
      </c>
      <c r="M168">
        <f>+$B168*_xlfn.XLOOKUP($C168,'ACTUAL %'!$A:$A,'ACTUAL %'!I:I)</f>
        <v>101.7573706151273</v>
      </c>
      <c r="N168">
        <f>+$B168*_xlfn.XLOOKUP($C168,'ACTUAL %'!$A:$A,'ACTUAL %'!J:J)</f>
        <v>1024.0874112933147</v>
      </c>
      <c r="O168">
        <f>+$B168*_xlfn.XLOOKUP($C168,'ACTUAL %'!$A:$A,'ACTUAL %'!K:K)</f>
        <v>1024.0874112933147</v>
      </c>
      <c r="P168">
        <f>+$B168*_xlfn.XLOOKUP($C168,'ACTUAL %'!$A:$A,'ACTUAL %'!L:L)</f>
        <v>1024.0874112933147</v>
      </c>
      <c r="Q168">
        <f>+$B168*_xlfn.XLOOKUP($C168,'ACTUAL %'!$A:$A,'ACTUAL %'!M:M)</f>
        <v>0</v>
      </c>
      <c r="R168">
        <f>+$B168*_xlfn.XLOOKUP($C168,'ACTUAL %'!$A:$A,'ACTUAL %'!N:N)+S168+T168+U168</f>
        <v>0</v>
      </c>
      <c r="S168">
        <f>+$B168*_xlfn.XLOOKUP($C168,'ACTUAL %'!$A:$A,'ACTUAL %'!O:O)</f>
        <v>0</v>
      </c>
      <c r="T168">
        <f>+$B168*_xlfn.XLOOKUP($C168,'ACTUAL %'!$A:$A,'ACTUAL %'!P:P)</f>
        <v>0</v>
      </c>
      <c r="U168">
        <f>+$B168*_xlfn.XLOOKUP($C168,'ACTUAL %'!$A:$A,'ACTUAL %'!Q:Q)</f>
        <v>0</v>
      </c>
      <c r="V168">
        <f t="shared" si="13"/>
        <v>25901.876156577859</v>
      </c>
      <c r="W168" s="517">
        <f t="shared" si="14"/>
        <v>0</v>
      </c>
    </row>
    <row r="169" spans="1:23" x14ac:dyDescent="0.75">
      <c r="A169" t="s">
        <v>1556</v>
      </c>
      <c r="B169">
        <v>27752.010167761986</v>
      </c>
      <c r="C169">
        <f t="shared" si="10"/>
        <v>5400</v>
      </c>
      <c r="D169" t="str">
        <f t="shared" si="11"/>
        <v>040</v>
      </c>
      <c r="E169" t="str">
        <f t="shared" si="12"/>
        <v>0000</v>
      </c>
      <c r="F169" t="s">
        <v>1867</v>
      </c>
      <c r="G169">
        <f>+$B169*_xlfn.XLOOKUP($C169,'ACTUAL %'!$A:$A,'ACTUAL %'!C:C)</f>
        <v>0</v>
      </c>
      <c r="H169">
        <f>+$B169*_xlfn.XLOOKUP($C169,'ACTUAL %'!$A:$A,'ACTUAL %'!D:D)</f>
        <v>0</v>
      </c>
      <c r="I169">
        <f>+$B169*_xlfn.XLOOKUP($C169,'ACTUAL %'!$A:$A,'ACTUAL %'!E:E)</f>
        <v>7351.4286193059888</v>
      </c>
      <c r="J169">
        <f>+$B169*_xlfn.XLOOKUP($C169,'ACTUAL %'!$A:$A,'ACTUAL %'!F:F)</f>
        <v>10218.582270192783</v>
      </c>
      <c r="K169">
        <f>+$B169*_xlfn.XLOOKUP($C169,'ACTUAL %'!$A:$A,'ACTUAL %'!G:G)</f>
        <v>0</v>
      </c>
      <c r="L169">
        <f>+$B169*_xlfn.XLOOKUP($C169,'ACTUAL %'!$A:$A,'ACTUAL %'!H:H)</f>
        <v>0</v>
      </c>
      <c r="M169">
        <f>+$B169*_xlfn.XLOOKUP($C169,'ACTUAL %'!$A:$A,'ACTUAL %'!I:I)</f>
        <v>0</v>
      </c>
      <c r="N169">
        <f>+$B169*_xlfn.XLOOKUP($C169,'ACTUAL %'!$A:$A,'ACTUAL %'!J:J)</f>
        <v>3393.9997594210722</v>
      </c>
      <c r="O169">
        <f>+$B169*_xlfn.XLOOKUP($C169,'ACTUAL %'!$A:$A,'ACTUAL %'!K:K)</f>
        <v>3393.9997594210722</v>
      </c>
      <c r="P169">
        <f>+$B169*_xlfn.XLOOKUP($C169,'ACTUAL %'!$A:$A,'ACTUAL %'!L:L)</f>
        <v>3393.9997594210722</v>
      </c>
      <c r="Q169">
        <f>+$B169*_xlfn.XLOOKUP($C169,'ACTUAL %'!$A:$A,'ACTUAL %'!M:M)</f>
        <v>0</v>
      </c>
      <c r="R169">
        <f>+$B169*_xlfn.XLOOKUP($C169,'ACTUAL %'!$A:$A,'ACTUAL %'!N:N)+S169+T169+U169</f>
        <v>0</v>
      </c>
      <c r="S169">
        <f>+$B169*_xlfn.XLOOKUP($C169,'ACTUAL %'!$A:$A,'ACTUAL %'!O:O)</f>
        <v>0</v>
      </c>
      <c r="T169">
        <f>+$B169*_xlfn.XLOOKUP($C169,'ACTUAL %'!$A:$A,'ACTUAL %'!P:P)</f>
        <v>0</v>
      </c>
      <c r="U169">
        <f>+$B169*_xlfn.XLOOKUP($C169,'ACTUAL %'!$A:$A,'ACTUAL %'!Q:Q)</f>
        <v>0</v>
      </c>
      <c r="V169">
        <f t="shared" si="13"/>
        <v>27752.01016776199</v>
      </c>
      <c r="W169" s="517">
        <f t="shared" si="14"/>
        <v>0</v>
      </c>
    </row>
    <row r="170" spans="1:23" x14ac:dyDescent="0.75">
      <c r="A170" s="178" t="s">
        <v>1557</v>
      </c>
      <c r="B170">
        <v>2220.1608134209591</v>
      </c>
      <c r="C170">
        <f t="shared" si="10"/>
        <v>5500</v>
      </c>
      <c r="D170" t="str">
        <f t="shared" si="11"/>
        <v>040</v>
      </c>
      <c r="E170" t="str">
        <f t="shared" si="12"/>
        <v>0000</v>
      </c>
      <c r="F170" t="s">
        <v>1868</v>
      </c>
      <c r="G170">
        <f>+$B170*_xlfn.XLOOKUP($C170,'ACTUAL %'!$A:$A,'ACTUAL %'!C:C)</f>
        <v>0</v>
      </c>
      <c r="H170">
        <f>+$B170*_xlfn.XLOOKUP($C170,'ACTUAL %'!$A:$A,'ACTUAL %'!D:D)</f>
        <v>281.22036969998817</v>
      </c>
      <c r="I170">
        <f>+$B170*_xlfn.XLOOKUP($C170,'ACTUAL %'!$A:$A,'ACTUAL %'!E:E)</f>
        <v>140.61388511801644</v>
      </c>
      <c r="J170">
        <f>+$B170*_xlfn.XLOOKUP($C170,'ACTUAL %'!$A:$A,'ACTUAL %'!F:F)</f>
        <v>0</v>
      </c>
      <c r="K170">
        <f>+$B170*_xlfn.XLOOKUP($C170,'ACTUAL %'!$A:$A,'ACTUAL %'!G:G)</f>
        <v>140.60648458197173</v>
      </c>
      <c r="L170">
        <f>+$B170*_xlfn.XLOOKUP($C170,'ACTUAL %'!$A:$A,'ACTUAL %'!H:H)</f>
        <v>175.76273106249258</v>
      </c>
      <c r="M170">
        <f>+$B170*_xlfn.XLOOKUP($C170,'ACTUAL %'!$A:$A,'ACTUAL %'!I:I)</f>
        <v>140.61388511801644</v>
      </c>
      <c r="N170">
        <f>+$B170*_xlfn.XLOOKUP($C170,'ACTUAL %'!$A:$A,'ACTUAL %'!J:J)</f>
        <v>265.70765393975972</v>
      </c>
      <c r="O170">
        <f>+$B170*_xlfn.XLOOKUP($C170,'ACTUAL %'!$A:$A,'ACTUAL %'!K:K)</f>
        <v>268.90895097517853</v>
      </c>
      <c r="P170">
        <f>+$B170*_xlfn.XLOOKUP($C170,'ACTUAL %'!$A:$A,'ACTUAL %'!L:L)</f>
        <v>268.90895097517853</v>
      </c>
      <c r="Q170">
        <f>+$B170*_xlfn.XLOOKUP($C170,'ACTUAL %'!$A:$A,'ACTUAL %'!M:M)</f>
        <v>268.90895097517853</v>
      </c>
      <c r="R170">
        <f>+$B170*_xlfn.XLOOKUP($C170,'ACTUAL %'!$A:$A,'ACTUAL %'!N:N)+S170+T170+U170</f>
        <v>268.90895097517853</v>
      </c>
      <c r="S170">
        <f>+$B170*_xlfn.XLOOKUP($C170,'ACTUAL %'!$A:$A,'ACTUAL %'!O:O)</f>
        <v>0</v>
      </c>
      <c r="T170">
        <f>+$B170*_xlfn.XLOOKUP($C170,'ACTUAL %'!$A:$A,'ACTUAL %'!P:P)</f>
        <v>0</v>
      </c>
      <c r="U170">
        <f>+$B170*_xlfn.XLOOKUP($C170,'ACTUAL %'!$A:$A,'ACTUAL %'!Q:Q)</f>
        <v>0</v>
      </c>
      <c r="V170">
        <f t="shared" si="13"/>
        <v>2220.1608134209587</v>
      </c>
      <c r="W170" s="517">
        <f t="shared" si="14"/>
        <v>0</v>
      </c>
    </row>
    <row r="171" spans="1:23" x14ac:dyDescent="0.75">
      <c r="A171" t="s">
        <v>1739</v>
      </c>
      <c r="B171">
        <v>925.06700559206627</v>
      </c>
      <c r="C171">
        <f t="shared" si="10"/>
        <v>5501</v>
      </c>
      <c r="D171" t="str">
        <f t="shared" si="11"/>
        <v>040</v>
      </c>
      <c r="E171" t="str">
        <f t="shared" si="12"/>
        <v>0000</v>
      </c>
      <c r="F171" t="s">
        <v>1869</v>
      </c>
      <c r="G171">
        <f>+$B171*_xlfn.XLOOKUP($C171,'ACTUAL %'!$A:$A,'ACTUAL %'!C:C)</f>
        <v>75.607576501050758</v>
      </c>
      <c r="H171">
        <f>+$B171*_xlfn.XLOOKUP($C171,'ACTUAL %'!$A:$A,'ACTUAL %'!D:D)</f>
        <v>78.353175373648014</v>
      </c>
      <c r="I171">
        <f>+$B171*_xlfn.XLOOKUP($C171,'ACTUAL %'!$A:$A,'ACTUAL %'!E:E)</f>
        <v>0</v>
      </c>
      <c r="J171">
        <f>+$B171*_xlfn.XLOOKUP($C171,'ACTUAL %'!$A:$A,'ACTUAL %'!F:F)</f>
        <v>74.186673580461346</v>
      </c>
      <c r="K171">
        <f>+$B171*_xlfn.XLOOKUP($C171,'ACTUAL %'!$A:$A,'ACTUAL %'!G:G)</f>
        <v>62.723243247164461</v>
      </c>
      <c r="L171">
        <f>+$B171*_xlfn.XLOOKUP($C171,'ACTUAL %'!$A:$A,'ACTUAL %'!H:H)</f>
        <v>54.519749041574016</v>
      </c>
      <c r="M171">
        <f>+$B171*_xlfn.XLOOKUP($C171,'ACTUAL %'!$A:$A,'ACTUAL %'!I:I)</f>
        <v>44.277407155658658</v>
      </c>
      <c r="N171">
        <f>+$B171*_xlfn.XLOOKUP($C171,'ACTUAL %'!$A:$A,'ACTUAL %'!J:J)</f>
        <v>106.05759426605786</v>
      </c>
      <c r="O171">
        <f>+$B171*_xlfn.XLOOKUP($C171,'ACTUAL %'!$A:$A,'ACTUAL %'!K:K)</f>
        <v>107.33539660661278</v>
      </c>
      <c r="P171">
        <f>+$B171*_xlfn.XLOOKUP($C171,'ACTUAL %'!$A:$A,'ACTUAL %'!L:L)</f>
        <v>107.33539660661278</v>
      </c>
      <c r="Q171">
        <f>+$B171*_xlfn.XLOOKUP($C171,'ACTUAL %'!$A:$A,'ACTUAL %'!M:M)</f>
        <v>107.33539660661278</v>
      </c>
      <c r="R171">
        <f>+$B171*_xlfn.XLOOKUP($C171,'ACTUAL %'!$A:$A,'ACTUAL %'!N:N)+S171+T171+U171</f>
        <v>107.33539660661278</v>
      </c>
      <c r="S171">
        <f>+$B171*_xlfn.XLOOKUP($C171,'ACTUAL %'!$A:$A,'ACTUAL %'!O:O)</f>
        <v>0</v>
      </c>
      <c r="T171">
        <f>+$B171*_xlfn.XLOOKUP($C171,'ACTUAL %'!$A:$A,'ACTUAL %'!P:P)</f>
        <v>0</v>
      </c>
      <c r="U171">
        <f>+$B171*_xlfn.XLOOKUP($C171,'ACTUAL %'!$A:$A,'ACTUAL %'!Q:Q)</f>
        <v>0</v>
      </c>
      <c r="V171">
        <f t="shared" si="13"/>
        <v>925.06700559206627</v>
      </c>
      <c r="W171" s="517">
        <f t="shared" si="14"/>
        <v>0</v>
      </c>
    </row>
    <row r="172" spans="1:23" x14ac:dyDescent="0.75">
      <c r="A172" t="s">
        <v>1558</v>
      </c>
      <c r="B172">
        <v>32427.631838146299</v>
      </c>
      <c r="C172">
        <f t="shared" si="10"/>
        <v>5600</v>
      </c>
      <c r="D172" t="str">
        <f t="shared" si="11"/>
        <v>040</v>
      </c>
      <c r="E172" t="str">
        <f t="shared" si="12"/>
        <v>0000</v>
      </c>
      <c r="F172" t="s">
        <v>1870</v>
      </c>
      <c r="G172">
        <f>+$B172*_xlfn.XLOOKUP($C172,'ACTUAL %'!$A:$A,'ACTUAL %'!C:C)</f>
        <v>3472.6644313604688</v>
      </c>
      <c r="H172">
        <f>+$B172*_xlfn.XLOOKUP($C172,'ACTUAL %'!$A:$A,'ACTUAL %'!D:D)</f>
        <v>2463.3222193988004</v>
      </c>
      <c r="I172">
        <f>+$B172*_xlfn.XLOOKUP($C172,'ACTUAL %'!$A:$A,'ACTUAL %'!E:E)</f>
        <v>2794.3071462233193</v>
      </c>
      <c r="J172">
        <f>+$B172*_xlfn.XLOOKUP($C172,'ACTUAL %'!$A:$A,'ACTUAL %'!F:F)</f>
        <v>2794.3071462233193</v>
      </c>
      <c r="K172">
        <f>+$B172*_xlfn.XLOOKUP($C172,'ACTUAL %'!$A:$A,'ACTUAL %'!G:G)</f>
        <v>2794.3071462233193</v>
      </c>
      <c r="L172">
        <f>+$B172*_xlfn.XLOOKUP($C172,'ACTUAL %'!$A:$A,'ACTUAL %'!H:H)</f>
        <v>2836.4672706801671</v>
      </c>
      <c r="M172">
        <f>+$B172*_xlfn.XLOOKUP($C172,'ACTUAL %'!$A:$A,'ACTUAL %'!I:I)</f>
        <v>2836.4672706801671</v>
      </c>
      <c r="N172">
        <f>+$B172*_xlfn.XLOOKUP($C172,'ACTUAL %'!$A:$A,'ACTUAL %'!J:J)</f>
        <v>2463.414091194772</v>
      </c>
      <c r="O172">
        <f>+$B172*_xlfn.XLOOKUP($C172,'ACTUAL %'!$A:$A,'ACTUAL %'!K:K)</f>
        <v>2493.0937790404919</v>
      </c>
      <c r="P172">
        <f>+$B172*_xlfn.XLOOKUP($C172,'ACTUAL %'!$A:$A,'ACTUAL %'!L:L)</f>
        <v>2493.0937790404919</v>
      </c>
      <c r="Q172">
        <f>+$B172*_xlfn.XLOOKUP($C172,'ACTUAL %'!$A:$A,'ACTUAL %'!M:M)</f>
        <v>2493.0937790404919</v>
      </c>
      <c r="R172">
        <f>+$B172*_xlfn.XLOOKUP($C172,'ACTUAL %'!$A:$A,'ACTUAL %'!N:N)+S172+T172+U172</f>
        <v>2493.0937790404919</v>
      </c>
      <c r="S172">
        <f>+$B172*_xlfn.XLOOKUP($C172,'ACTUAL %'!$A:$A,'ACTUAL %'!O:O)</f>
        <v>0</v>
      </c>
      <c r="T172">
        <f>+$B172*_xlfn.XLOOKUP($C172,'ACTUAL %'!$A:$A,'ACTUAL %'!P:P)</f>
        <v>0</v>
      </c>
      <c r="U172">
        <f>+$B172*_xlfn.XLOOKUP($C172,'ACTUAL %'!$A:$A,'ACTUAL %'!Q:Q)</f>
        <v>0</v>
      </c>
      <c r="V172">
        <f t="shared" si="13"/>
        <v>32427.63183814631</v>
      </c>
      <c r="W172" s="517">
        <f t="shared" si="14"/>
        <v>0</v>
      </c>
    </row>
    <row r="173" spans="1:23" x14ac:dyDescent="0.75">
      <c r="A173" s="178" t="s">
        <v>1559</v>
      </c>
      <c r="B173">
        <v>18501.340111841324</v>
      </c>
      <c r="C173">
        <f t="shared" si="10"/>
        <v>5602</v>
      </c>
      <c r="D173" t="str">
        <f t="shared" si="11"/>
        <v>040</v>
      </c>
      <c r="E173" t="str">
        <f t="shared" si="12"/>
        <v>0000</v>
      </c>
      <c r="F173" t="s">
        <v>1871</v>
      </c>
      <c r="G173">
        <f>+$B173*_xlfn.XLOOKUP($C173,'ACTUAL %'!$A:$A,'ACTUAL %'!C:C)</f>
        <v>0</v>
      </c>
      <c r="H173">
        <f>+$B173*_xlfn.XLOOKUP($C173,'ACTUAL %'!$A:$A,'ACTUAL %'!D:D)</f>
        <v>0</v>
      </c>
      <c r="I173">
        <f>+$B173*_xlfn.XLOOKUP($C173,'ACTUAL %'!$A:$A,'ACTUAL %'!E:E)</f>
        <v>0</v>
      </c>
      <c r="J173">
        <f>+$B173*_xlfn.XLOOKUP($C173,'ACTUAL %'!$A:$A,'ACTUAL %'!F:F)</f>
        <v>0</v>
      </c>
      <c r="K173">
        <f>+$B173*_xlfn.XLOOKUP($C173,'ACTUAL %'!$A:$A,'ACTUAL %'!G:G)</f>
        <v>0</v>
      </c>
      <c r="L173">
        <f>+$B173*_xlfn.XLOOKUP($C173,'ACTUAL %'!$A:$A,'ACTUAL %'!H:H)</f>
        <v>0</v>
      </c>
      <c r="M173">
        <f>+$B173*_xlfn.XLOOKUP($C173,'ACTUAL %'!$A:$A,'ACTUAL %'!I:I)</f>
        <v>0</v>
      </c>
      <c r="N173">
        <f>+$B173*_xlfn.XLOOKUP($C173,'ACTUAL %'!$A:$A,'ACTUAL %'!J:J)</f>
        <v>3664.9432679781144</v>
      </c>
      <c r="O173">
        <f>+$B173*_xlfn.XLOOKUP($C173,'ACTUAL %'!$A:$A,'ACTUAL %'!K:K)</f>
        <v>3709.0992109658023</v>
      </c>
      <c r="P173">
        <f>+$B173*_xlfn.XLOOKUP($C173,'ACTUAL %'!$A:$A,'ACTUAL %'!L:L)</f>
        <v>3709.0992109658023</v>
      </c>
      <c r="Q173">
        <f>+$B173*_xlfn.XLOOKUP($C173,'ACTUAL %'!$A:$A,'ACTUAL %'!M:M)</f>
        <v>3709.0992109658023</v>
      </c>
      <c r="R173">
        <f>+$B173*_xlfn.XLOOKUP($C173,'ACTUAL %'!$A:$A,'ACTUAL %'!N:N)+S173+T173+U173</f>
        <v>3709.0992109658023</v>
      </c>
      <c r="S173">
        <f>+$B173*_xlfn.XLOOKUP($C173,'ACTUAL %'!$A:$A,'ACTUAL %'!O:O)</f>
        <v>0</v>
      </c>
      <c r="T173">
        <f>+$B173*_xlfn.XLOOKUP($C173,'ACTUAL %'!$A:$A,'ACTUAL %'!P:P)</f>
        <v>0</v>
      </c>
      <c r="U173">
        <f>+$B173*_xlfn.XLOOKUP($C173,'ACTUAL %'!$A:$A,'ACTUAL %'!Q:Q)</f>
        <v>0</v>
      </c>
      <c r="V173">
        <f t="shared" si="13"/>
        <v>18501.340111841324</v>
      </c>
      <c r="W173" s="517">
        <f t="shared" si="14"/>
        <v>0</v>
      </c>
    </row>
    <row r="174" spans="1:23" x14ac:dyDescent="0.75">
      <c r="A174" t="s">
        <v>1740</v>
      </c>
      <c r="B174">
        <v>1850.1340111841325</v>
      </c>
      <c r="C174">
        <f t="shared" si="10"/>
        <v>5603</v>
      </c>
      <c r="D174" t="str">
        <f t="shared" si="11"/>
        <v>040</v>
      </c>
      <c r="E174" t="str">
        <f t="shared" si="12"/>
        <v>0000</v>
      </c>
      <c r="F174" t="s">
        <v>1872</v>
      </c>
      <c r="G174">
        <f>+$B174*_xlfn.XLOOKUP($C174,'ACTUAL %'!$A:$A,'ACTUAL %'!C:C)</f>
        <v>0</v>
      </c>
      <c r="H174">
        <f>+$B174*_xlfn.XLOOKUP($C174,'ACTUAL %'!$A:$A,'ACTUAL %'!D:D)</f>
        <v>0</v>
      </c>
      <c r="I174">
        <f>+$B174*_xlfn.XLOOKUP($C174,'ACTUAL %'!$A:$A,'ACTUAL %'!E:E)</f>
        <v>0</v>
      </c>
      <c r="J174">
        <f>+$B174*_xlfn.XLOOKUP($C174,'ACTUAL %'!$A:$A,'ACTUAL %'!F:F)</f>
        <v>0</v>
      </c>
      <c r="K174">
        <f>+$B174*_xlfn.XLOOKUP($C174,'ACTUAL %'!$A:$A,'ACTUAL %'!G:G)</f>
        <v>0</v>
      </c>
      <c r="L174">
        <f>+$B174*_xlfn.XLOOKUP($C174,'ACTUAL %'!$A:$A,'ACTUAL %'!H:H)</f>
        <v>0</v>
      </c>
      <c r="M174">
        <f>+$B174*_xlfn.XLOOKUP($C174,'ACTUAL %'!$A:$A,'ACTUAL %'!I:I)</f>
        <v>0</v>
      </c>
      <c r="N174">
        <f>+$B174*_xlfn.XLOOKUP($C174,'ACTUAL %'!$A:$A,'ACTUAL %'!J:J)</f>
        <v>0</v>
      </c>
      <c r="O174">
        <f>+$B174*_xlfn.XLOOKUP($C174,'ACTUAL %'!$A:$A,'ACTUAL %'!K:K)</f>
        <v>0</v>
      </c>
      <c r="P174">
        <f>+$B174*_xlfn.XLOOKUP($C174,'ACTUAL %'!$A:$A,'ACTUAL %'!L:L)</f>
        <v>0</v>
      </c>
      <c r="Q174">
        <f>+$B174*_xlfn.XLOOKUP($C174,'ACTUAL %'!$A:$A,'ACTUAL %'!M:M)</f>
        <v>0</v>
      </c>
      <c r="R174">
        <f>+$B174*_xlfn.XLOOKUP($C174,'ACTUAL %'!$A:$A,'ACTUAL %'!N:N)+S174+T174+U174</f>
        <v>0</v>
      </c>
      <c r="S174">
        <f>+$B174*_xlfn.XLOOKUP($C174,'ACTUAL %'!$A:$A,'ACTUAL %'!O:O)</f>
        <v>0</v>
      </c>
      <c r="T174">
        <f>+$B174*_xlfn.XLOOKUP($C174,'ACTUAL %'!$A:$A,'ACTUAL %'!P:P)</f>
        <v>0</v>
      </c>
      <c r="U174">
        <f>+$B174*_xlfn.XLOOKUP($C174,'ACTUAL %'!$A:$A,'ACTUAL %'!Q:Q)</f>
        <v>0</v>
      </c>
      <c r="V174">
        <f t="shared" si="13"/>
        <v>0</v>
      </c>
      <c r="W174" s="517">
        <f t="shared" si="14"/>
        <v>-1850.1340111841325</v>
      </c>
    </row>
    <row r="175" spans="1:23" x14ac:dyDescent="0.75">
      <c r="A175" t="s">
        <v>1560</v>
      </c>
      <c r="B175">
        <v>266473.69039144466</v>
      </c>
      <c r="C175">
        <f t="shared" si="10"/>
        <v>5800</v>
      </c>
      <c r="D175" t="str">
        <f t="shared" si="11"/>
        <v>040</v>
      </c>
      <c r="E175" t="str">
        <f t="shared" si="12"/>
        <v>0000</v>
      </c>
      <c r="F175" t="s">
        <v>1873</v>
      </c>
      <c r="G175">
        <f>+$B175*_xlfn.XLOOKUP($C175,'ACTUAL %'!$A:$A,'ACTUAL %'!C:C)</f>
        <v>37182.375403457394</v>
      </c>
      <c r="H175">
        <f>+$B175*_xlfn.XLOOKUP($C175,'ACTUAL %'!$A:$A,'ACTUAL %'!D:D)</f>
        <v>15189.248234815037</v>
      </c>
      <c r="I175">
        <f>+$B175*_xlfn.XLOOKUP($C175,'ACTUAL %'!$A:$A,'ACTUAL %'!E:E)</f>
        <v>1359.0344121840694</v>
      </c>
      <c r="J175">
        <f>+$B175*_xlfn.XLOOKUP($C175,'ACTUAL %'!$A:$A,'ACTUAL %'!F:F)</f>
        <v>71266.21952329333</v>
      </c>
      <c r="K175">
        <f>+$B175*_xlfn.XLOOKUP($C175,'ACTUAL %'!$A:$A,'ACTUAL %'!G:G)</f>
        <v>17331.015028679853</v>
      </c>
      <c r="L175">
        <f>+$B175*_xlfn.XLOOKUP($C175,'ACTUAL %'!$A:$A,'ACTUAL %'!H:H)</f>
        <v>712.66839229550067</v>
      </c>
      <c r="M175">
        <f>+$B175*_xlfn.XLOOKUP($C175,'ACTUAL %'!$A:$A,'ACTUAL %'!I:I)</f>
        <v>97727.682882483088</v>
      </c>
      <c r="N175">
        <f>+$B175*_xlfn.XLOOKUP($C175,'ACTUAL %'!$A:$A,'ACTUAL %'!J:J)</f>
        <v>5092.0096913642465</v>
      </c>
      <c r="O175">
        <f>+$B175*_xlfn.XLOOKUP($C175,'ACTUAL %'!$A:$A,'ACTUAL %'!K:K)</f>
        <v>5153.3592057180313</v>
      </c>
      <c r="P175">
        <f>+$B175*_xlfn.XLOOKUP($C175,'ACTUAL %'!$A:$A,'ACTUAL %'!L:L)</f>
        <v>5153.3592057180313</v>
      </c>
      <c r="Q175">
        <f>+$B175*_xlfn.XLOOKUP($C175,'ACTUAL %'!$A:$A,'ACTUAL %'!M:M)</f>
        <v>5153.3592057180313</v>
      </c>
      <c r="R175">
        <f>+$B175*_xlfn.XLOOKUP($C175,'ACTUAL %'!$A:$A,'ACTUAL %'!N:N)+S175+T175+U175</f>
        <v>5153.3592057180313</v>
      </c>
      <c r="S175">
        <f>+$B175*_xlfn.XLOOKUP($C175,'ACTUAL %'!$A:$A,'ACTUAL %'!O:O)</f>
        <v>0</v>
      </c>
      <c r="T175">
        <f>+$B175*_xlfn.XLOOKUP($C175,'ACTUAL %'!$A:$A,'ACTUAL %'!P:P)</f>
        <v>0</v>
      </c>
      <c r="U175">
        <f>+$B175*_xlfn.XLOOKUP($C175,'ACTUAL %'!$A:$A,'ACTUAL %'!Q:Q)</f>
        <v>0</v>
      </c>
      <c r="V175">
        <f t="shared" si="13"/>
        <v>266473.69039144466</v>
      </c>
      <c r="W175" s="517">
        <f t="shared" si="14"/>
        <v>0</v>
      </c>
    </row>
    <row r="176" spans="1:23" x14ac:dyDescent="0.75">
      <c r="A176" t="s">
        <v>1561</v>
      </c>
      <c r="B176">
        <v>4440.3216268419183</v>
      </c>
      <c r="C176">
        <f t="shared" si="10"/>
        <v>5803</v>
      </c>
      <c r="D176" t="str">
        <f t="shared" si="11"/>
        <v>040</v>
      </c>
      <c r="E176" t="str">
        <f t="shared" si="12"/>
        <v>0000</v>
      </c>
      <c r="F176" t="s">
        <v>1874</v>
      </c>
      <c r="G176">
        <f>+$B176*_xlfn.XLOOKUP($C176,'ACTUAL %'!$A:$A,'ACTUAL %'!C:C)</f>
        <v>78.268069209133543</v>
      </c>
      <c r="H176">
        <f>+$B176*_xlfn.XLOOKUP($C176,'ACTUAL %'!$A:$A,'ACTUAL %'!D:D)</f>
        <v>226.83383030721939</v>
      </c>
      <c r="I176">
        <f>+$B176*_xlfn.XLOOKUP($C176,'ACTUAL %'!$A:$A,'ACTUAL %'!E:E)</f>
        <v>106.07928366525343</v>
      </c>
      <c r="J176">
        <f>+$B176*_xlfn.XLOOKUP($C176,'ACTUAL %'!$A:$A,'ACTUAL %'!F:F)</f>
        <v>100.63988967237208</v>
      </c>
      <c r="K176">
        <f>+$B176*_xlfn.XLOOKUP($C176,'ACTUAL %'!$A:$A,'ACTUAL %'!G:G)</f>
        <v>111.32626372097162</v>
      </c>
      <c r="L176">
        <f>+$B176*_xlfn.XLOOKUP($C176,'ACTUAL %'!$A:$A,'ACTUAL %'!H:H)</f>
        <v>81.701917933891295</v>
      </c>
      <c r="M176">
        <f>+$B176*_xlfn.XLOOKUP($C176,'ACTUAL %'!$A:$A,'ACTUAL %'!I:I)</f>
        <v>333.18101337729229</v>
      </c>
      <c r="N176">
        <f>+$B176*_xlfn.XLOOKUP($C176,'ACTUAL %'!$A:$A,'ACTUAL %'!J:J)</f>
        <v>673.96225010341323</v>
      </c>
      <c r="O176">
        <f>+$B176*_xlfn.XLOOKUP($C176,'ACTUAL %'!$A:$A,'ACTUAL %'!K:K)</f>
        <v>682.08227721309288</v>
      </c>
      <c r="P176">
        <f>+$B176*_xlfn.XLOOKUP($C176,'ACTUAL %'!$A:$A,'ACTUAL %'!L:L)</f>
        <v>682.08227721309288</v>
      </c>
      <c r="Q176">
        <f>+$B176*_xlfn.XLOOKUP($C176,'ACTUAL %'!$A:$A,'ACTUAL %'!M:M)</f>
        <v>682.08227721309288</v>
      </c>
      <c r="R176">
        <f>+$B176*_xlfn.XLOOKUP($C176,'ACTUAL %'!$A:$A,'ACTUAL %'!N:N)+S176+T176+U176</f>
        <v>682.08227721309288</v>
      </c>
      <c r="S176">
        <f>+$B176*_xlfn.XLOOKUP($C176,'ACTUAL %'!$A:$A,'ACTUAL %'!O:O)</f>
        <v>0</v>
      </c>
      <c r="T176">
        <f>+$B176*_xlfn.XLOOKUP($C176,'ACTUAL %'!$A:$A,'ACTUAL %'!P:P)</f>
        <v>0</v>
      </c>
      <c r="U176">
        <f>+$B176*_xlfn.XLOOKUP($C176,'ACTUAL %'!$A:$A,'ACTUAL %'!Q:Q)</f>
        <v>0</v>
      </c>
      <c r="V176">
        <f t="shared" si="13"/>
        <v>4440.3216268419183</v>
      </c>
      <c r="W176" s="517">
        <f t="shared" si="14"/>
        <v>0</v>
      </c>
    </row>
    <row r="177" spans="1:23" x14ac:dyDescent="0.75">
      <c r="A177" t="s">
        <v>1562</v>
      </c>
      <c r="B177">
        <v>74005.360447365296</v>
      </c>
      <c r="C177">
        <f t="shared" si="10"/>
        <v>5805</v>
      </c>
      <c r="D177" t="str">
        <f t="shared" si="11"/>
        <v>040</v>
      </c>
      <c r="E177" t="str">
        <f t="shared" si="12"/>
        <v>0000</v>
      </c>
      <c r="F177" t="s">
        <v>1875</v>
      </c>
      <c r="G177">
        <f>+$B177*_xlfn.XLOOKUP($C177,'ACTUAL %'!$A:$A,'ACTUAL %'!C:C)</f>
        <v>0</v>
      </c>
      <c r="H177">
        <f>+$B177*_xlfn.XLOOKUP($C177,'ACTUAL %'!$A:$A,'ACTUAL %'!D:D)</f>
        <v>12543.12907269837</v>
      </c>
      <c r="I177">
        <f>+$B177*_xlfn.XLOOKUP($C177,'ACTUAL %'!$A:$A,'ACTUAL %'!E:E)</f>
        <v>7487.2604597994487</v>
      </c>
      <c r="J177">
        <f>+$B177*_xlfn.XLOOKUP($C177,'ACTUAL %'!$A:$A,'ACTUAL %'!F:F)</f>
        <v>9414.6659346720244</v>
      </c>
      <c r="K177">
        <f>+$B177*_xlfn.XLOOKUP($C177,'ACTUAL %'!$A:$A,'ACTUAL %'!G:G)</f>
        <v>10502.204308590235</v>
      </c>
      <c r="L177">
        <f>+$B177*_xlfn.XLOOKUP($C177,'ACTUAL %'!$A:$A,'ACTUAL %'!H:H)</f>
        <v>4933.6906964910195</v>
      </c>
      <c r="M177">
        <f>+$B177*_xlfn.XLOOKUP($C177,'ACTUAL %'!$A:$A,'ACTUAL %'!I:I)</f>
        <v>7835.5050176112672</v>
      </c>
      <c r="N177">
        <f>+$B177*_xlfn.XLOOKUP($C177,'ACTUAL %'!$A:$A,'ACTUAL %'!J:J)</f>
        <v>4217.1339175960456</v>
      </c>
      <c r="O177">
        <f>+$B177*_xlfn.XLOOKUP($C177,'ACTUAL %'!$A:$A,'ACTUAL %'!K:K)</f>
        <v>4267.9427599767214</v>
      </c>
      <c r="P177">
        <f>+$B177*_xlfn.XLOOKUP($C177,'ACTUAL %'!$A:$A,'ACTUAL %'!L:L)</f>
        <v>4267.9427599767214</v>
      </c>
      <c r="Q177">
        <f>+$B177*_xlfn.XLOOKUP($C177,'ACTUAL %'!$A:$A,'ACTUAL %'!M:M)</f>
        <v>4267.9427599767214</v>
      </c>
      <c r="R177">
        <f>+$B177*_xlfn.XLOOKUP($C177,'ACTUAL %'!$A:$A,'ACTUAL %'!N:N)+S177+T177+U177</f>
        <v>4267.9427599767214</v>
      </c>
      <c r="S177">
        <f>+$B177*_xlfn.XLOOKUP($C177,'ACTUAL %'!$A:$A,'ACTUAL %'!O:O)</f>
        <v>0</v>
      </c>
      <c r="T177">
        <f>+$B177*_xlfn.XLOOKUP($C177,'ACTUAL %'!$A:$A,'ACTUAL %'!P:P)</f>
        <v>0</v>
      </c>
      <c r="U177">
        <f>+$B177*_xlfn.XLOOKUP($C177,'ACTUAL %'!$A:$A,'ACTUAL %'!Q:Q)</f>
        <v>0</v>
      </c>
      <c r="V177">
        <f t="shared" si="13"/>
        <v>74005.360447365296</v>
      </c>
      <c r="W177" s="517">
        <f t="shared" si="14"/>
        <v>0</v>
      </c>
    </row>
    <row r="178" spans="1:23" x14ac:dyDescent="0.75">
      <c r="A178" t="s">
        <v>1563</v>
      </c>
      <c r="B178">
        <v>7400.5360447365301</v>
      </c>
      <c r="C178">
        <f t="shared" si="10"/>
        <v>5806</v>
      </c>
      <c r="D178" t="str">
        <f t="shared" si="11"/>
        <v>040</v>
      </c>
      <c r="E178" t="str">
        <f t="shared" si="12"/>
        <v>0000</v>
      </c>
      <c r="F178" t="s">
        <v>1876</v>
      </c>
      <c r="G178">
        <f>+$B178*_xlfn.XLOOKUP($C178,'ACTUAL %'!$A:$A,'ACTUAL %'!C:C)</f>
        <v>0</v>
      </c>
      <c r="H178">
        <f>+$B178*_xlfn.XLOOKUP($C178,'ACTUAL %'!$A:$A,'ACTUAL %'!D:D)</f>
        <v>0</v>
      </c>
      <c r="I178">
        <f>+$B178*_xlfn.XLOOKUP($C178,'ACTUAL %'!$A:$A,'ACTUAL %'!E:E)</f>
        <v>2164.7258818934947</v>
      </c>
      <c r="J178">
        <f>+$B178*_xlfn.XLOOKUP($C178,'ACTUAL %'!$A:$A,'ACTUAL %'!F:F)</f>
        <v>2164.7258818934947</v>
      </c>
      <c r="K178">
        <f>+$B178*_xlfn.XLOOKUP($C178,'ACTUAL %'!$A:$A,'ACTUAL %'!G:G)</f>
        <v>0</v>
      </c>
      <c r="L178">
        <f>+$B178*_xlfn.XLOOKUP($C178,'ACTUAL %'!$A:$A,'ACTUAL %'!H:H)</f>
        <v>642.68658660325923</v>
      </c>
      <c r="M178">
        <f>+$B178*_xlfn.XLOOKUP($C178,'ACTUAL %'!$A:$A,'ACTUAL %'!I:I)</f>
        <v>0</v>
      </c>
      <c r="N178">
        <f>+$B178*_xlfn.XLOOKUP($C178,'ACTUAL %'!$A:$A,'ACTUAL %'!J:J)</f>
        <v>485.67953886925631</v>
      </c>
      <c r="O178">
        <f>+$B178*_xlfn.XLOOKUP($C178,'ACTUAL %'!$A:$A,'ACTUAL %'!K:K)</f>
        <v>485.67953886925631</v>
      </c>
      <c r="P178">
        <f>+$B178*_xlfn.XLOOKUP($C178,'ACTUAL %'!$A:$A,'ACTUAL %'!L:L)</f>
        <v>485.67953886925631</v>
      </c>
      <c r="Q178">
        <f>+$B178*_xlfn.XLOOKUP($C178,'ACTUAL %'!$A:$A,'ACTUAL %'!M:M)</f>
        <v>485.67953886925631</v>
      </c>
      <c r="R178">
        <f>+$B178*_xlfn.XLOOKUP($C178,'ACTUAL %'!$A:$A,'ACTUAL %'!N:N)+S178+T178+U178</f>
        <v>485.67953886925631</v>
      </c>
      <c r="S178">
        <f>+$B178*_xlfn.XLOOKUP($C178,'ACTUAL %'!$A:$A,'ACTUAL %'!O:O)</f>
        <v>0</v>
      </c>
      <c r="T178">
        <f>+$B178*_xlfn.XLOOKUP($C178,'ACTUAL %'!$A:$A,'ACTUAL %'!P:P)</f>
        <v>0</v>
      </c>
      <c r="U178">
        <f>+$B178*_xlfn.XLOOKUP($C178,'ACTUAL %'!$A:$A,'ACTUAL %'!Q:Q)</f>
        <v>0</v>
      </c>
      <c r="V178">
        <f t="shared" si="13"/>
        <v>7400.5360447365301</v>
      </c>
      <c r="W178" s="517">
        <f t="shared" si="14"/>
        <v>0</v>
      </c>
    </row>
    <row r="179" spans="1:23" x14ac:dyDescent="0.75">
      <c r="A179" t="s">
        <v>1741</v>
      </c>
      <c r="B179">
        <v>11783</v>
      </c>
      <c r="C179">
        <f t="shared" si="10"/>
        <v>5807</v>
      </c>
      <c r="D179" t="str">
        <f t="shared" si="11"/>
        <v>040</v>
      </c>
      <c r="E179" t="str">
        <f t="shared" si="12"/>
        <v>0000</v>
      </c>
      <c r="F179" t="s">
        <v>1877</v>
      </c>
      <c r="G179">
        <f>+$B179*_xlfn.XLOOKUP($C179,'ACTUAL %'!$A:$A,'ACTUAL %'!C:C)</f>
        <v>355.4230666111111</v>
      </c>
      <c r="H179">
        <f>+$B179*_xlfn.XLOOKUP($C179,'ACTUAL %'!$A:$A,'ACTUAL %'!D:D)</f>
        <v>-50.363160444444446</v>
      </c>
      <c r="I179">
        <f>+$B179*_xlfn.XLOOKUP($C179,'ACTUAL %'!$A:$A,'ACTUAL %'!E:E)</f>
        <v>109.06672105555556</v>
      </c>
      <c r="J179">
        <f>+$B179*_xlfn.XLOOKUP($C179,'ACTUAL %'!$A:$A,'ACTUAL %'!F:F)</f>
        <v>8.1826388888888886</v>
      </c>
      <c r="K179">
        <f>+$B179*_xlfn.XLOOKUP($C179,'ACTUAL %'!$A:$A,'ACTUAL %'!G:G)</f>
        <v>19.638333333333335</v>
      </c>
      <c r="L179">
        <f>+$B179*_xlfn.XLOOKUP($C179,'ACTUAL %'!$A:$A,'ACTUAL %'!H:H)</f>
        <v>327.30621016666669</v>
      </c>
      <c r="M179">
        <f>+$B179*_xlfn.XLOOKUP($C179,'ACTUAL %'!$A:$A,'ACTUAL %'!I:I)</f>
        <v>-16.366586999999999</v>
      </c>
      <c r="N179">
        <f>+$B179*_xlfn.XLOOKUP($C179,'ACTUAL %'!$A:$A,'ACTUAL %'!J:J)</f>
        <v>2206.0225554777776</v>
      </c>
      <c r="O179">
        <f>+$B179*_xlfn.XLOOKUP($C179,'ACTUAL %'!$A:$A,'ACTUAL %'!K:K)</f>
        <v>2206.0225554777776</v>
      </c>
      <c r="P179">
        <f>+$B179*_xlfn.XLOOKUP($C179,'ACTUAL %'!$A:$A,'ACTUAL %'!L:L)</f>
        <v>2206.0225554777776</v>
      </c>
      <c r="Q179">
        <f>+$B179*_xlfn.XLOOKUP($C179,'ACTUAL %'!$A:$A,'ACTUAL %'!M:M)</f>
        <v>2206.0225554777776</v>
      </c>
      <c r="R179">
        <f>+$B179*_xlfn.XLOOKUP($C179,'ACTUAL %'!$A:$A,'ACTUAL %'!N:N)+S179+T179+U179</f>
        <v>2206.0225554777776</v>
      </c>
      <c r="S179">
        <f>+$B179*_xlfn.XLOOKUP($C179,'ACTUAL %'!$A:$A,'ACTUAL %'!O:O)</f>
        <v>0</v>
      </c>
      <c r="T179">
        <f>+$B179*_xlfn.XLOOKUP($C179,'ACTUAL %'!$A:$A,'ACTUAL %'!P:P)</f>
        <v>0</v>
      </c>
      <c r="U179">
        <f>+$B179*_xlfn.XLOOKUP($C179,'ACTUAL %'!$A:$A,'ACTUAL %'!Q:Q)</f>
        <v>0</v>
      </c>
      <c r="V179">
        <f t="shared" si="13"/>
        <v>11782.999999999998</v>
      </c>
      <c r="W179" s="517">
        <f t="shared" si="14"/>
        <v>0</v>
      </c>
    </row>
    <row r="180" spans="1:23" x14ac:dyDescent="0.75">
      <c r="A180" t="s">
        <v>1742</v>
      </c>
      <c r="B180">
        <v>18501.340111841324</v>
      </c>
      <c r="C180">
        <f t="shared" si="10"/>
        <v>5809</v>
      </c>
      <c r="D180" t="str">
        <f t="shared" si="11"/>
        <v>040</v>
      </c>
      <c r="E180" t="str">
        <f t="shared" si="12"/>
        <v>0000</v>
      </c>
      <c r="F180" t="s">
        <v>1878</v>
      </c>
      <c r="G180">
        <f>+$B180*_xlfn.XLOOKUP($C180,'ACTUAL %'!$A:$A,'ACTUAL %'!C:C)</f>
        <v>0</v>
      </c>
      <c r="H180">
        <f>+$B180*_xlfn.XLOOKUP($C180,'ACTUAL %'!$A:$A,'ACTUAL %'!D:D)</f>
        <v>0</v>
      </c>
      <c r="I180">
        <f>+$B180*_xlfn.XLOOKUP($C180,'ACTUAL %'!$A:$A,'ACTUAL %'!E:E)</f>
        <v>1376.4997043209944</v>
      </c>
      <c r="J180">
        <f>+$B180*_xlfn.XLOOKUP($C180,'ACTUAL %'!$A:$A,'ACTUAL %'!F:F)</f>
        <v>7123.0159430589101</v>
      </c>
      <c r="K180">
        <f>+$B180*_xlfn.XLOOKUP($C180,'ACTUAL %'!$A:$A,'ACTUAL %'!G:G)</f>
        <v>39.185838356879927</v>
      </c>
      <c r="L180">
        <f>+$B180*_xlfn.XLOOKUP($C180,'ACTUAL %'!$A:$A,'ACTUAL %'!H:H)</f>
        <v>1450.5050647683597</v>
      </c>
      <c r="M180">
        <f>+$B180*_xlfn.XLOOKUP($C180,'ACTUAL %'!$A:$A,'ACTUAL %'!I:I)</f>
        <v>-852.31973627230616</v>
      </c>
      <c r="N180">
        <f>+$B180*_xlfn.XLOOKUP($C180,'ACTUAL %'!$A:$A,'ACTUAL %'!J:J)</f>
        <v>1855.0110350871225</v>
      </c>
      <c r="O180">
        <f>+$B180*_xlfn.XLOOKUP($C180,'ACTUAL %'!$A:$A,'ACTUAL %'!K:K)</f>
        <v>1877.3605656303409</v>
      </c>
      <c r="P180">
        <f>+$B180*_xlfn.XLOOKUP($C180,'ACTUAL %'!$A:$A,'ACTUAL %'!L:L)</f>
        <v>1877.3605656303409</v>
      </c>
      <c r="Q180">
        <f>+$B180*_xlfn.XLOOKUP($C180,'ACTUAL %'!$A:$A,'ACTUAL %'!M:M)</f>
        <v>1877.3605656303409</v>
      </c>
      <c r="R180">
        <f>+$B180*_xlfn.XLOOKUP($C180,'ACTUAL %'!$A:$A,'ACTUAL %'!N:N)+S180+T180+U180</f>
        <v>1877.3605656303409</v>
      </c>
      <c r="S180">
        <f>+$B180*_xlfn.XLOOKUP($C180,'ACTUAL %'!$A:$A,'ACTUAL %'!O:O)</f>
        <v>0</v>
      </c>
      <c r="T180">
        <f>+$B180*_xlfn.XLOOKUP($C180,'ACTUAL %'!$A:$A,'ACTUAL %'!P:P)</f>
        <v>0</v>
      </c>
      <c r="U180">
        <f>+$B180*_xlfn.XLOOKUP($C180,'ACTUAL %'!$A:$A,'ACTUAL %'!Q:Q)</f>
        <v>0</v>
      </c>
      <c r="V180">
        <f t="shared" si="13"/>
        <v>18501.340111841324</v>
      </c>
      <c r="W180" s="517">
        <f t="shared" si="14"/>
        <v>0</v>
      </c>
    </row>
    <row r="181" spans="1:23" x14ac:dyDescent="0.75">
      <c r="A181" t="s">
        <v>1564</v>
      </c>
      <c r="B181">
        <v>407029.48246050911</v>
      </c>
      <c r="C181">
        <f t="shared" si="10"/>
        <v>5810</v>
      </c>
      <c r="D181" t="str">
        <f t="shared" si="11"/>
        <v>040</v>
      </c>
      <c r="E181" t="str">
        <f t="shared" si="12"/>
        <v>0000</v>
      </c>
      <c r="F181" t="s">
        <v>1879</v>
      </c>
      <c r="G181">
        <f>+$B181*_xlfn.XLOOKUP($C181,'ACTUAL %'!$A:$A,'ACTUAL %'!C:C)</f>
        <v>7446.5806382285382</v>
      </c>
      <c r="H181">
        <f>+$B181*_xlfn.XLOOKUP($C181,'ACTUAL %'!$A:$A,'ACTUAL %'!D:D)</f>
        <v>3724.9540521238264</v>
      </c>
      <c r="I181">
        <f>+$B181*_xlfn.XLOOKUP($C181,'ACTUAL %'!$A:$A,'ACTUAL %'!E:E)</f>
        <v>5363.6411808604207</v>
      </c>
      <c r="J181">
        <f>+$B181*_xlfn.XLOOKUP($C181,'ACTUAL %'!$A:$A,'ACTUAL %'!F:F)</f>
        <v>39924.626469689923</v>
      </c>
      <c r="K181">
        <f>+$B181*_xlfn.XLOOKUP($C181,'ACTUAL %'!$A:$A,'ACTUAL %'!G:G)</f>
        <v>20551.167874989114</v>
      </c>
      <c r="L181">
        <f>+$B181*_xlfn.XLOOKUP($C181,'ACTUAL %'!$A:$A,'ACTUAL %'!H:H)</f>
        <v>7585.0181490380637</v>
      </c>
      <c r="M181">
        <f>+$B181*_xlfn.XLOOKUP($C181,'ACTUAL %'!$A:$A,'ACTUAL %'!I:I)</f>
        <v>24394.119774078241</v>
      </c>
      <c r="N181">
        <f>+$B181*_xlfn.XLOOKUP($C181,'ACTUAL %'!$A:$A,'ACTUAL %'!J:J)</f>
        <v>59038.825939581351</v>
      </c>
      <c r="O181">
        <f>+$B181*_xlfn.XLOOKUP($C181,'ACTUAL %'!$A:$A,'ACTUAL %'!K:K)</f>
        <v>59750.137095479913</v>
      </c>
      <c r="P181">
        <f>+$B181*_xlfn.XLOOKUP($C181,'ACTUAL %'!$A:$A,'ACTUAL %'!L:L)</f>
        <v>59750.137095479913</v>
      </c>
      <c r="Q181">
        <f>+$B181*_xlfn.XLOOKUP($C181,'ACTUAL %'!$A:$A,'ACTUAL %'!M:M)</f>
        <v>59750.137095479913</v>
      </c>
      <c r="R181">
        <f>+$B181*_xlfn.XLOOKUP($C181,'ACTUAL %'!$A:$A,'ACTUAL %'!N:N)+S181+T181+U181</f>
        <v>59750.137095479913</v>
      </c>
      <c r="S181">
        <f>+$B181*_xlfn.XLOOKUP($C181,'ACTUAL %'!$A:$A,'ACTUAL %'!O:O)</f>
        <v>0</v>
      </c>
      <c r="T181">
        <f>+$B181*_xlfn.XLOOKUP($C181,'ACTUAL %'!$A:$A,'ACTUAL %'!P:P)</f>
        <v>0</v>
      </c>
      <c r="U181">
        <f>+$B181*_xlfn.XLOOKUP($C181,'ACTUAL %'!$A:$A,'ACTUAL %'!Q:Q)</f>
        <v>0</v>
      </c>
      <c r="V181">
        <f t="shared" si="13"/>
        <v>407029.48246050917</v>
      </c>
      <c r="W181" s="517">
        <f t="shared" si="14"/>
        <v>0</v>
      </c>
    </row>
    <row r="182" spans="1:23" x14ac:dyDescent="0.75">
      <c r="A182" t="s">
        <v>1565</v>
      </c>
      <c r="B182">
        <v>120861.11436101016</v>
      </c>
      <c r="C182">
        <f t="shared" si="10"/>
        <v>5815</v>
      </c>
      <c r="D182" t="str">
        <f t="shared" si="11"/>
        <v>040</v>
      </c>
      <c r="E182" t="str">
        <f t="shared" si="12"/>
        <v>0000</v>
      </c>
      <c r="F182" t="s">
        <v>1880</v>
      </c>
      <c r="G182">
        <f>+$B182*_xlfn.XLOOKUP($C182,'ACTUAL %'!$A:$A,'ACTUAL %'!C:C)</f>
        <v>40805.129430564244</v>
      </c>
      <c r="H182">
        <f>+$B182*_xlfn.XLOOKUP($C182,'ACTUAL %'!$A:$A,'ACTUAL %'!D:D)</f>
        <v>425.43112255075579</v>
      </c>
      <c r="I182">
        <f>+$B182*_xlfn.XLOOKUP($C182,'ACTUAL %'!$A:$A,'ACTUAL %'!E:E)</f>
        <v>637.44568936283974</v>
      </c>
      <c r="J182">
        <f>+$B182*_xlfn.XLOOKUP($C182,'ACTUAL %'!$A:$A,'ACTUAL %'!F:F)</f>
        <v>879.7238792109207</v>
      </c>
      <c r="K182">
        <f>+$B182*_xlfn.XLOOKUP($C182,'ACTUAL %'!$A:$A,'ACTUAL %'!G:G)</f>
        <v>653.86346313763931</v>
      </c>
      <c r="L182">
        <f>+$B182*_xlfn.XLOOKUP($C182,'ACTUAL %'!$A:$A,'ACTUAL %'!H:H)</f>
        <v>707.75301680892653</v>
      </c>
      <c r="M182">
        <f>+$B182*_xlfn.XLOOKUP($C182,'ACTUAL %'!$A:$A,'ACTUAL %'!I:I)</f>
        <v>850.74621843172497</v>
      </c>
      <c r="N182">
        <f>+$B182*_xlfn.XLOOKUP($C182,'ACTUAL %'!$A:$A,'ACTUAL %'!J:J)</f>
        <v>0</v>
      </c>
      <c r="O182">
        <f>+$B182*_xlfn.XLOOKUP($C182,'ACTUAL %'!$A:$A,'ACTUAL %'!K:K)</f>
        <v>0</v>
      </c>
      <c r="P182">
        <f>+$B182*_xlfn.XLOOKUP($C182,'ACTUAL %'!$A:$A,'ACTUAL %'!L:L)</f>
        <v>75901.021540943097</v>
      </c>
      <c r="Q182">
        <f>+$B182*_xlfn.XLOOKUP($C182,'ACTUAL %'!$A:$A,'ACTUAL %'!M:M)</f>
        <v>0</v>
      </c>
      <c r="R182">
        <f>+$B182*_xlfn.XLOOKUP($C182,'ACTUAL %'!$A:$A,'ACTUAL %'!N:N)+S182+T182+U182</f>
        <v>0</v>
      </c>
      <c r="S182">
        <f>+$B182*_xlfn.XLOOKUP($C182,'ACTUAL %'!$A:$A,'ACTUAL %'!O:O)</f>
        <v>0</v>
      </c>
      <c r="T182">
        <f>+$B182*_xlfn.XLOOKUP($C182,'ACTUAL %'!$A:$A,'ACTUAL %'!P:P)</f>
        <v>0</v>
      </c>
      <c r="U182">
        <f>+$B182*_xlfn.XLOOKUP($C182,'ACTUAL %'!$A:$A,'ACTUAL %'!Q:Q)</f>
        <v>0</v>
      </c>
      <c r="V182">
        <f t="shared" si="13"/>
        <v>120861.11436101014</v>
      </c>
      <c r="W182" s="517">
        <f t="shared" si="14"/>
        <v>0</v>
      </c>
    </row>
    <row r="183" spans="1:23" x14ac:dyDescent="0.75">
      <c r="A183" t="s">
        <v>1743</v>
      </c>
      <c r="B183">
        <v>55504.020335523972</v>
      </c>
      <c r="C183">
        <f t="shared" si="10"/>
        <v>5830</v>
      </c>
      <c r="D183" t="str">
        <f t="shared" si="11"/>
        <v>040</v>
      </c>
      <c r="E183" t="str">
        <f t="shared" si="12"/>
        <v>0000</v>
      </c>
      <c r="F183" t="s">
        <v>1881</v>
      </c>
      <c r="G183">
        <f>+$B183*_xlfn.XLOOKUP($C183,'ACTUAL %'!$A:$A,'ACTUAL %'!C:C)</f>
        <v>8598.6428674847321</v>
      </c>
      <c r="H183">
        <f>+$B183*_xlfn.XLOOKUP($C183,'ACTUAL %'!$A:$A,'ACTUAL %'!D:D)</f>
        <v>792.01572825816606</v>
      </c>
      <c r="I183">
        <f>+$B183*_xlfn.XLOOKUP($C183,'ACTUAL %'!$A:$A,'ACTUAL %'!E:E)</f>
        <v>6415.7763154076183</v>
      </c>
      <c r="J183">
        <f>+$B183*_xlfn.XLOOKUP($C183,'ACTUAL %'!$A:$A,'ACTUAL %'!F:F)</f>
        <v>5285.9586790658268</v>
      </c>
      <c r="K183">
        <f>+$B183*_xlfn.XLOOKUP($C183,'ACTUAL %'!$A:$A,'ACTUAL %'!G:G)</f>
        <v>5251.7326799661296</v>
      </c>
      <c r="L183">
        <f>+$B183*_xlfn.XLOOKUP($C183,'ACTUAL %'!$A:$A,'ACTUAL %'!H:H)</f>
        <v>3946.2736813529787</v>
      </c>
      <c r="M183">
        <f>+$B183*_xlfn.XLOOKUP($C183,'ACTUAL %'!$A:$A,'ACTUAL %'!I:I)</f>
        <v>-2525.4817688042358</v>
      </c>
      <c r="N183">
        <f>+$B183*_xlfn.XLOOKUP($C183,'ACTUAL %'!$A:$A,'ACTUAL %'!J:J)</f>
        <v>5547.8204305585514</v>
      </c>
      <c r="O183">
        <f>+$B183*_xlfn.XLOOKUP($C183,'ACTUAL %'!$A:$A,'ACTUAL %'!K:K)</f>
        <v>5547.8204305585514</v>
      </c>
      <c r="P183">
        <f>+$B183*_xlfn.XLOOKUP($C183,'ACTUAL %'!$A:$A,'ACTUAL %'!L:L)</f>
        <v>5547.8204305585514</v>
      </c>
      <c r="Q183">
        <f>+$B183*_xlfn.XLOOKUP($C183,'ACTUAL %'!$A:$A,'ACTUAL %'!M:M)</f>
        <v>5547.8204305585514</v>
      </c>
      <c r="R183">
        <f>+$B183*_xlfn.XLOOKUP($C183,'ACTUAL %'!$A:$A,'ACTUAL %'!N:N)+S183+T183+U183</f>
        <v>5547.8204305585514</v>
      </c>
      <c r="S183">
        <f>+$B183*_xlfn.XLOOKUP($C183,'ACTUAL %'!$A:$A,'ACTUAL %'!O:O)</f>
        <v>0</v>
      </c>
      <c r="T183">
        <f>+$B183*_xlfn.XLOOKUP($C183,'ACTUAL %'!$A:$A,'ACTUAL %'!P:P)</f>
        <v>0</v>
      </c>
      <c r="U183">
        <f>+$B183*_xlfn.XLOOKUP($C183,'ACTUAL %'!$A:$A,'ACTUAL %'!Q:Q)</f>
        <v>0</v>
      </c>
      <c r="V183">
        <f t="shared" si="13"/>
        <v>55504.020335523979</v>
      </c>
      <c r="W183" s="517">
        <f t="shared" si="14"/>
        <v>0</v>
      </c>
    </row>
    <row r="184" spans="1:23" x14ac:dyDescent="0.75">
      <c r="A184" t="s">
        <v>1566</v>
      </c>
      <c r="B184">
        <v>193522.307442255</v>
      </c>
      <c r="C184">
        <f t="shared" si="10"/>
        <v>5873</v>
      </c>
      <c r="D184" t="str">
        <f t="shared" si="11"/>
        <v>040</v>
      </c>
      <c r="E184" t="str">
        <f t="shared" si="12"/>
        <v>0000</v>
      </c>
      <c r="F184" t="s">
        <v>1882</v>
      </c>
      <c r="G184">
        <f>+$B184*_xlfn.XLOOKUP($C184,'ACTUAL %'!$A:$A,'ACTUAL %'!C:C)</f>
        <v>34080.269334282282</v>
      </c>
      <c r="H184">
        <f>+$B184*_xlfn.XLOOKUP($C184,'ACTUAL %'!$A:$A,'ACTUAL %'!D:D)</f>
        <v>17040.131579153269</v>
      </c>
      <c r="I184">
        <f>+$B184*_xlfn.XLOOKUP($C184,'ACTUAL %'!$A:$A,'ACTUAL %'!E:E)</f>
        <v>11242.437440227022</v>
      </c>
      <c r="J184">
        <f>+$B184*_xlfn.XLOOKUP($C184,'ACTUAL %'!$A:$A,'ACTUAL %'!F:F)</f>
        <v>276.3749144121511</v>
      </c>
      <c r="K184">
        <f>+$B184*_xlfn.XLOOKUP($C184,'ACTUAL %'!$A:$A,'ACTUAL %'!G:G)</f>
        <v>22484.877968441913</v>
      </c>
      <c r="L184">
        <f>+$B184*_xlfn.XLOOKUP($C184,'ACTUAL %'!$A:$A,'ACTUAL %'!H:H)</f>
        <v>11242.437440227022</v>
      </c>
      <c r="M184">
        <f>+$B184*_xlfn.XLOOKUP($C184,'ACTUAL %'!$A:$A,'ACTUAL %'!I:I)</f>
        <v>0</v>
      </c>
      <c r="N184">
        <f>+$B184*_xlfn.XLOOKUP($C184,'ACTUAL %'!$A:$A,'ACTUAL %'!J:J)</f>
        <v>19431.15575310227</v>
      </c>
      <c r="O184">
        <f>+$B184*_xlfn.XLOOKUP($C184,'ACTUAL %'!$A:$A,'ACTUAL %'!K:K)</f>
        <v>19431.15575310227</v>
      </c>
      <c r="P184">
        <f>+$B184*_xlfn.XLOOKUP($C184,'ACTUAL %'!$A:$A,'ACTUAL %'!L:L)</f>
        <v>19431.15575310227</v>
      </c>
      <c r="Q184">
        <f>+$B184*_xlfn.XLOOKUP($C184,'ACTUAL %'!$A:$A,'ACTUAL %'!M:M)</f>
        <v>19431.15575310227</v>
      </c>
      <c r="R184">
        <f>+$B184*_xlfn.XLOOKUP($C184,'ACTUAL %'!$A:$A,'ACTUAL %'!N:N)+S184+T184+U184</f>
        <v>19431.15575310227</v>
      </c>
      <c r="S184">
        <f>+$B184*_xlfn.XLOOKUP($C184,'ACTUAL %'!$A:$A,'ACTUAL %'!O:O)</f>
        <v>0</v>
      </c>
      <c r="T184">
        <f>+$B184*_xlfn.XLOOKUP($C184,'ACTUAL %'!$A:$A,'ACTUAL %'!P:P)</f>
        <v>0</v>
      </c>
      <c r="U184">
        <f>+$B184*_xlfn.XLOOKUP($C184,'ACTUAL %'!$A:$A,'ACTUAL %'!Q:Q)</f>
        <v>0</v>
      </c>
      <c r="V184">
        <f t="shared" si="13"/>
        <v>193522.30744225503</v>
      </c>
      <c r="W184" s="517">
        <f t="shared" si="14"/>
        <v>0</v>
      </c>
    </row>
    <row r="185" spans="1:23" x14ac:dyDescent="0.75">
      <c r="A185" t="s">
        <v>1567</v>
      </c>
      <c r="B185">
        <v>86009.914418779998</v>
      </c>
      <c r="C185">
        <f t="shared" si="10"/>
        <v>5875</v>
      </c>
      <c r="D185" t="str">
        <f t="shared" si="11"/>
        <v>040</v>
      </c>
      <c r="E185" t="str">
        <f t="shared" si="12"/>
        <v>0000</v>
      </c>
      <c r="F185" t="s">
        <v>1884</v>
      </c>
      <c r="G185">
        <f>+$B185*_xlfn.XLOOKUP($C185,'ACTUAL %'!$A:$A,'ACTUAL %'!C:C)</f>
        <v>0</v>
      </c>
      <c r="H185">
        <f>+$B185*_xlfn.XLOOKUP($C185,'ACTUAL %'!$A:$A,'ACTUAL %'!D:D)</f>
        <v>0</v>
      </c>
      <c r="I185">
        <f>+$B185*_xlfn.XLOOKUP($C185,'ACTUAL %'!$A:$A,'ACTUAL %'!E:E)</f>
        <v>3676.2495598621886</v>
      </c>
      <c r="J185">
        <f>+$B185*_xlfn.XLOOKUP($C185,'ACTUAL %'!$A:$A,'ACTUAL %'!F:F)</f>
        <v>3676.2495598621886</v>
      </c>
      <c r="K185">
        <f>+$B185*_xlfn.XLOOKUP($C185,'ACTUAL %'!$A:$A,'ACTUAL %'!G:G)</f>
        <v>5654.7233885087271</v>
      </c>
      <c r="L185">
        <f>+$B185*_xlfn.XLOOKUP($C185,'ACTUAL %'!$A:$A,'ACTUAL %'!H:H)</f>
        <v>3692.9246943630328</v>
      </c>
      <c r="M185">
        <f>+$B185*_xlfn.XLOOKUP($C185,'ACTUAL %'!$A:$A,'ACTUAL %'!I:I)</f>
        <v>7649.8723516561095</v>
      </c>
      <c r="N185">
        <f>+$B185*_xlfn.XLOOKUP($C185,'ACTUAL %'!$A:$A,'ACTUAL %'!J:J)</f>
        <v>12331.97897290555</v>
      </c>
      <c r="O185">
        <f>+$B185*_xlfn.XLOOKUP($C185,'ACTUAL %'!$A:$A,'ACTUAL %'!K:K)</f>
        <v>12331.97897290555</v>
      </c>
      <c r="P185">
        <f>+$B185*_xlfn.XLOOKUP($C185,'ACTUAL %'!$A:$A,'ACTUAL %'!L:L)</f>
        <v>12331.97897290555</v>
      </c>
      <c r="Q185">
        <f>+$B185*_xlfn.XLOOKUP($C185,'ACTUAL %'!$A:$A,'ACTUAL %'!M:M)</f>
        <v>12331.97897290555</v>
      </c>
      <c r="R185">
        <f>+$B185*_xlfn.XLOOKUP($C185,'ACTUAL %'!$A:$A,'ACTUAL %'!N:N)+S185+T185+U185</f>
        <v>12331.97897290555</v>
      </c>
      <c r="S185">
        <f>+$B185*_xlfn.XLOOKUP($C185,'ACTUAL %'!$A:$A,'ACTUAL %'!O:O)</f>
        <v>0</v>
      </c>
      <c r="T185">
        <f>+$B185*_xlfn.XLOOKUP($C185,'ACTUAL %'!$A:$A,'ACTUAL %'!P:P)</f>
        <v>0</v>
      </c>
      <c r="U185">
        <f>+$B185*_xlfn.XLOOKUP($C185,'ACTUAL %'!$A:$A,'ACTUAL %'!Q:Q)</f>
        <v>0</v>
      </c>
      <c r="V185">
        <f t="shared" si="13"/>
        <v>86009.914418779998</v>
      </c>
      <c r="W185" s="517">
        <f t="shared" si="14"/>
        <v>0</v>
      </c>
    </row>
    <row r="186" spans="1:23" x14ac:dyDescent="0.75">
      <c r="A186" t="s">
        <v>1627</v>
      </c>
      <c r="B186">
        <v>1850.1340111841325</v>
      </c>
      <c r="C186">
        <f t="shared" si="10"/>
        <v>5874</v>
      </c>
      <c r="D186" t="str">
        <f t="shared" si="11"/>
        <v>040</v>
      </c>
      <c r="E186" t="str">
        <f t="shared" si="12"/>
        <v>0000</v>
      </c>
      <c r="F186" t="s">
        <v>1883</v>
      </c>
      <c r="G186">
        <f>+$B186*_xlfn.XLOOKUP($C186,'ACTUAL %'!$A:$A,'ACTUAL %'!C:C)</f>
        <v>184.64337431617642</v>
      </c>
      <c r="H186">
        <f>+$B186*_xlfn.XLOOKUP($C186,'ACTUAL %'!$A:$A,'ACTUAL %'!D:D)</f>
        <v>201.29458041683361</v>
      </c>
      <c r="I186">
        <f>+$B186*_xlfn.XLOOKUP($C186,'ACTUAL %'!$A:$A,'ACTUAL %'!E:E)</f>
        <v>59.200588089869868</v>
      </c>
      <c r="J186">
        <f>+$B186*_xlfn.XLOOKUP($C186,'ACTUAL %'!$A:$A,'ACTUAL %'!F:F)</f>
        <v>23.681715343156899</v>
      </c>
      <c r="K186">
        <f>+$B186*_xlfn.XLOOKUP($C186,'ACTUAL %'!$A:$A,'ACTUAL %'!G:G)</f>
        <v>0</v>
      </c>
      <c r="L186">
        <f>+$B186*_xlfn.XLOOKUP($C186,'ACTUAL %'!$A:$A,'ACTUAL %'!H:H)</f>
        <v>37.002680223682653</v>
      </c>
      <c r="M186">
        <f>+$B186*_xlfn.XLOOKUP($C186,'ACTUAL %'!$A:$A,'ACTUAL %'!I:I)</f>
        <v>23.681715343156899</v>
      </c>
      <c r="N186">
        <f>+$B186*_xlfn.XLOOKUP($C186,'ACTUAL %'!$A:$A,'ACTUAL %'!J:J)</f>
        <v>264.12587149025131</v>
      </c>
      <c r="O186">
        <f>+$B186*_xlfn.XLOOKUP($C186,'ACTUAL %'!$A:$A,'ACTUAL %'!K:K)</f>
        <v>264.12587149025131</v>
      </c>
      <c r="P186">
        <f>+$B186*_xlfn.XLOOKUP($C186,'ACTUAL %'!$A:$A,'ACTUAL %'!L:L)</f>
        <v>264.12587149025131</v>
      </c>
      <c r="Q186">
        <f>+$B186*_xlfn.XLOOKUP($C186,'ACTUAL %'!$A:$A,'ACTUAL %'!M:M)</f>
        <v>264.12587149025131</v>
      </c>
      <c r="R186">
        <f>+$B186*_xlfn.XLOOKUP($C186,'ACTUAL %'!$A:$A,'ACTUAL %'!N:N)+S186+T186+U186</f>
        <v>264.12587149025131</v>
      </c>
      <c r="S186">
        <f>+$B186*_xlfn.XLOOKUP($C186,'ACTUAL %'!$A:$A,'ACTUAL %'!O:O)</f>
        <v>0</v>
      </c>
      <c r="T186">
        <f>+$B186*_xlfn.XLOOKUP($C186,'ACTUAL %'!$A:$A,'ACTUAL %'!P:P)</f>
        <v>0</v>
      </c>
      <c r="U186">
        <f>+$B186*_xlfn.XLOOKUP($C186,'ACTUAL %'!$A:$A,'ACTUAL %'!Q:Q)</f>
        <v>0</v>
      </c>
      <c r="V186">
        <f t="shared" si="13"/>
        <v>1850.1340111841328</v>
      </c>
      <c r="W186" s="517">
        <f t="shared" si="14"/>
        <v>0</v>
      </c>
    </row>
    <row r="187" spans="1:23" x14ac:dyDescent="0.75">
      <c r="A187" s="178" t="s">
        <v>1568</v>
      </c>
      <c r="B187">
        <v>92506.700559206627</v>
      </c>
      <c r="C187">
        <f t="shared" si="10"/>
        <v>5877</v>
      </c>
      <c r="D187" t="str">
        <f t="shared" si="11"/>
        <v>040</v>
      </c>
      <c r="E187" t="str">
        <f t="shared" si="12"/>
        <v>0000</v>
      </c>
      <c r="F187" t="s">
        <v>1885</v>
      </c>
      <c r="G187">
        <f>+$B187*_xlfn.XLOOKUP($C187,'ACTUAL %'!$A:$A,'ACTUAL %'!C:C)</f>
        <v>62988.616938735315</v>
      </c>
      <c r="H187">
        <f>+$B187*_xlfn.XLOOKUP($C187,'ACTUAL %'!$A:$A,'ACTUAL %'!D:D)</f>
        <v>223.93068972033646</v>
      </c>
      <c r="I187">
        <f>+$B187*_xlfn.XLOOKUP($C187,'ACTUAL %'!$A:$A,'ACTUAL %'!E:E)</f>
        <v>1943.1929487133441</v>
      </c>
      <c r="J187">
        <f>+$B187*_xlfn.XLOOKUP($C187,'ACTUAL %'!$A:$A,'ACTUAL %'!F:F)</f>
        <v>143.65169303504678</v>
      </c>
      <c r="K187">
        <f>+$B187*_xlfn.XLOOKUP($C187,'ACTUAL %'!$A:$A,'ACTUAL %'!G:G)</f>
        <v>777.04507176393452</v>
      </c>
      <c r="L187">
        <f>+$B187*_xlfn.XLOOKUP($C187,'ACTUAL %'!$A:$A,'ACTUAL %'!H:H)</f>
        <v>3227.9203996129054</v>
      </c>
      <c r="M187">
        <f>+$B187*_xlfn.XLOOKUP($C187,'ACTUAL %'!$A:$A,'ACTUAL %'!I:I)</f>
        <v>22.28290190136768</v>
      </c>
      <c r="N187">
        <f>+$B187*_xlfn.XLOOKUP($C187,'ACTUAL %'!$A:$A,'ACTUAL %'!J:J)</f>
        <v>4636.0119831448756</v>
      </c>
      <c r="O187">
        <f>+$B187*_xlfn.XLOOKUP($C187,'ACTUAL %'!$A:$A,'ACTUAL %'!K:K)</f>
        <v>4636.0119831448756</v>
      </c>
      <c r="P187">
        <f>+$B187*_xlfn.XLOOKUP($C187,'ACTUAL %'!$A:$A,'ACTUAL %'!L:L)</f>
        <v>4636.0119831448756</v>
      </c>
      <c r="Q187">
        <f>+$B187*_xlfn.XLOOKUP($C187,'ACTUAL %'!$A:$A,'ACTUAL %'!M:M)</f>
        <v>4636.0119831448756</v>
      </c>
      <c r="R187">
        <f>+$B187*_xlfn.XLOOKUP($C187,'ACTUAL %'!$A:$A,'ACTUAL %'!N:N)+S187+T187+U187</f>
        <v>4636.0119831448756</v>
      </c>
      <c r="S187">
        <f>+$B187*_xlfn.XLOOKUP($C187,'ACTUAL %'!$A:$A,'ACTUAL %'!O:O)</f>
        <v>0</v>
      </c>
      <c r="T187">
        <f>+$B187*_xlfn.XLOOKUP($C187,'ACTUAL %'!$A:$A,'ACTUAL %'!P:P)</f>
        <v>0</v>
      </c>
      <c r="U187">
        <f>+$B187*_xlfn.XLOOKUP($C187,'ACTUAL %'!$A:$A,'ACTUAL %'!Q:Q)</f>
        <v>0</v>
      </c>
      <c r="V187">
        <f t="shared" si="13"/>
        <v>92506.700559206656</v>
      </c>
      <c r="W187" s="517">
        <f t="shared" si="14"/>
        <v>0</v>
      </c>
    </row>
    <row r="188" spans="1:23" x14ac:dyDescent="0.75">
      <c r="A188" t="s">
        <v>1744</v>
      </c>
      <c r="B188">
        <v>1110.0804067104796</v>
      </c>
      <c r="C188">
        <f t="shared" si="10"/>
        <v>5890</v>
      </c>
      <c r="D188" t="str">
        <f t="shared" si="11"/>
        <v>040</v>
      </c>
      <c r="E188" t="str">
        <f t="shared" si="12"/>
        <v>0000</v>
      </c>
      <c r="F188" t="s">
        <v>1886</v>
      </c>
      <c r="G188">
        <f>+$B188*_xlfn.XLOOKUP($C188,'ACTUAL %'!$A:$A,'ACTUAL %'!C:C)</f>
        <v>85.254175235364841</v>
      </c>
      <c r="H188">
        <f>+$B188*_xlfn.XLOOKUP($C188,'ACTUAL %'!$A:$A,'ACTUAL %'!D:D)</f>
        <v>0</v>
      </c>
      <c r="I188">
        <f>+$B188*_xlfn.XLOOKUP($C188,'ACTUAL %'!$A:$A,'ACTUAL %'!E:E)</f>
        <v>0</v>
      </c>
      <c r="J188">
        <f>+$B188*_xlfn.XLOOKUP($C188,'ACTUAL %'!$A:$A,'ACTUAL %'!F:F)</f>
        <v>0</v>
      </c>
      <c r="K188">
        <f>+$B188*_xlfn.XLOOKUP($C188,'ACTUAL %'!$A:$A,'ACTUAL %'!G:G)</f>
        <v>0</v>
      </c>
      <c r="L188">
        <f>+$B188*_xlfn.XLOOKUP($C188,'ACTUAL %'!$A:$A,'ACTUAL %'!H:H)</f>
        <v>558.45925100790805</v>
      </c>
      <c r="M188">
        <f>+$B188*_xlfn.XLOOKUP($C188,'ACTUAL %'!$A:$A,'ACTUAL %'!I:I)</f>
        <v>0</v>
      </c>
      <c r="N188">
        <f>+$B188*_xlfn.XLOOKUP($C188,'ACTUAL %'!$A:$A,'ACTUAL %'!J:J)</f>
        <v>93.273396093441335</v>
      </c>
      <c r="O188">
        <f>+$B188*_xlfn.XLOOKUP($C188,'ACTUAL %'!$A:$A,'ACTUAL %'!K:K)</f>
        <v>93.273396093441335</v>
      </c>
      <c r="P188">
        <f>+$B188*_xlfn.XLOOKUP($C188,'ACTUAL %'!$A:$A,'ACTUAL %'!L:L)</f>
        <v>93.273396093441335</v>
      </c>
      <c r="Q188">
        <f>+$B188*_xlfn.XLOOKUP($C188,'ACTUAL %'!$A:$A,'ACTUAL %'!M:M)</f>
        <v>93.273396093441335</v>
      </c>
      <c r="R188">
        <f>+$B188*_xlfn.XLOOKUP($C188,'ACTUAL %'!$A:$A,'ACTUAL %'!N:N)+S188+T188+U188</f>
        <v>93.273396093441335</v>
      </c>
      <c r="S188">
        <f>+$B188*_xlfn.XLOOKUP($C188,'ACTUAL %'!$A:$A,'ACTUAL %'!O:O)</f>
        <v>0</v>
      </c>
      <c r="T188">
        <f>+$B188*_xlfn.XLOOKUP($C188,'ACTUAL %'!$A:$A,'ACTUAL %'!P:P)</f>
        <v>0</v>
      </c>
      <c r="U188">
        <f>+$B188*_xlfn.XLOOKUP($C188,'ACTUAL %'!$A:$A,'ACTUAL %'!Q:Q)</f>
        <v>0</v>
      </c>
      <c r="V188">
        <f t="shared" si="13"/>
        <v>1110.0804067104796</v>
      </c>
      <c r="W188" s="517">
        <f t="shared" si="14"/>
        <v>0</v>
      </c>
    </row>
    <row r="189" spans="1:23" x14ac:dyDescent="0.75">
      <c r="A189" t="s">
        <v>1569</v>
      </c>
      <c r="B189">
        <v>40702.948246050917</v>
      </c>
      <c r="C189">
        <f t="shared" si="10"/>
        <v>5900</v>
      </c>
      <c r="D189" t="str">
        <f t="shared" si="11"/>
        <v>040</v>
      </c>
      <c r="E189" t="str">
        <f t="shared" si="12"/>
        <v>0000</v>
      </c>
      <c r="F189" t="s">
        <v>1887</v>
      </c>
      <c r="G189">
        <f>+$B189*_xlfn.XLOOKUP($C189,'ACTUAL %'!$A:$A,'ACTUAL %'!C:C)</f>
        <v>1591.1001639102631</v>
      </c>
      <c r="H189">
        <f>+$B189*_xlfn.XLOOKUP($C189,'ACTUAL %'!$A:$A,'ACTUAL %'!D:D)</f>
        <v>1705.7478451353124</v>
      </c>
      <c r="I189">
        <f>+$B189*_xlfn.XLOOKUP($C189,'ACTUAL %'!$A:$A,'ACTUAL %'!E:E)</f>
        <v>3691.4098653587175</v>
      </c>
      <c r="J189">
        <f>+$B189*_xlfn.XLOOKUP($C189,'ACTUAL %'!$A:$A,'ACTUAL %'!F:F)</f>
        <v>4161.8639341746302</v>
      </c>
      <c r="K189">
        <f>+$B189*_xlfn.XLOOKUP($C189,'ACTUAL %'!$A:$A,'ACTUAL %'!G:G)</f>
        <v>6222.4913920792042</v>
      </c>
      <c r="L189">
        <f>+$B189*_xlfn.XLOOKUP($C189,'ACTUAL %'!$A:$A,'ACTUAL %'!H:H)</f>
        <v>1931.7932337177658</v>
      </c>
      <c r="M189">
        <f>+$B189*_xlfn.XLOOKUP($C189,'ACTUAL %'!$A:$A,'ACTUAL %'!I:I)</f>
        <v>4581.0416811885771</v>
      </c>
      <c r="N189">
        <f>+$B189*_xlfn.XLOOKUP($C189,'ACTUAL %'!$A:$A,'ACTUAL %'!J:J)</f>
        <v>3363.5000260972897</v>
      </c>
      <c r="O189">
        <f>+$B189*_xlfn.XLOOKUP($C189,'ACTUAL %'!$A:$A,'ACTUAL %'!K:K)</f>
        <v>3363.5000260972897</v>
      </c>
      <c r="P189">
        <f>+$B189*_xlfn.XLOOKUP($C189,'ACTUAL %'!$A:$A,'ACTUAL %'!L:L)</f>
        <v>3363.5000260972897</v>
      </c>
      <c r="Q189">
        <f>+$B189*_xlfn.XLOOKUP($C189,'ACTUAL %'!$A:$A,'ACTUAL %'!M:M)</f>
        <v>3363.5000260972897</v>
      </c>
      <c r="R189">
        <f>+$B189*_xlfn.XLOOKUP($C189,'ACTUAL %'!$A:$A,'ACTUAL %'!N:N)+S189+T189+U189</f>
        <v>3363.5000260972897</v>
      </c>
      <c r="S189">
        <f>+$B189*_xlfn.XLOOKUP($C189,'ACTUAL %'!$A:$A,'ACTUAL %'!O:O)</f>
        <v>0</v>
      </c>
      <c r="T189">
        <f>+$B189*_xlfn.XLOOKUP($C189,'ACTUAL %'!$A:$A,'ACTUAL %'!P:P)</f>
        <v>0</v>
      </c>
      <c r="U189">
        <f>+$B189*_xlfn.XLOOKUP($C189,'ACTUAL %'!$A:$A,'ACTUAL %'!Q:Q)</f>
        <v>0</v>
      </c>
      <c r="V189">
        <f t="shared" si="13"/>
        <v>40702.94824605091</v>
      </c>
      <c r="W189" s="517">
        <f t="shared" si="14"/>
        <v>0</v>
      </c>
    </row>
    <row r="190" spans="1:23" x14ac:dyDescent="0.75">
      <c r="A190" t="s">
        <v>1745</v>
      </c>
      <c r="B190">
        <v>277.52010167761989</v>
      </c>
      <c r="C190">
        <f t="shared" si="10"/>
        <v>5901</v>
      </c>
      <c r="D190" t="str">
        <f t="shared" si="11"/>
        <v>040</v>
      </c>
      <c r="E190" t="str">
        <f t="shared" si="12"/>
        <v>0000</v>
      </c>
      <c r="F190" t="s">
        <v>1888</v>
      </c>
      <c r="G190">
        <f>+$B190*_xlfn.XLOOKUP($C190,'ACTUAL %'!$A:$A,'ACTUAL %'!C:C)</f>
        <v>0</v>
      </c>
      <c r="H190">
        <f>+$B190*_xlfn.XLOOKUP($C190,'ACTUAL %'!$A:$A,'ACTUAL %'!D:D)</f>
        <v>0</v>
      </c>
      <c r="I190">
        <f>+$B190*_xlfn.XLOOKUP($C190,'ACTUAL %'!$A:$A,'ACTUAL %'!E:E)</f>
        <v>14.802922223484247</v>
      </c>
      <c r="J190">
        <f>+$B190*_xlfn.XLOOKUP($C190,'ACTUAL %'!$A:$A,'ACTUAL %'!F:F)</f>
        <v>7.4005360447365307</v>
      </c>
      <c r="K190">
        <f>+$B190*_xlfn.XLOOKUP($C190,'ACTUAL %'!$A:$A,'ACTUAL %'!G:G)</f>
        <v>0</v>
      </c>
      <c r="L190">
        <f>+$B190*_xlfn.XLOOKUP($C190,'ACTUAL %'!$A:$A,'ACTUAL %'!H:H)</f>
        <v>0</v>
      </c>
      <c r="M190">
        <f>+$B190*_xlfn.XLOOKUP($C190,'ACTUAL %'!$A:$A,'ACTUAL %'!I:I)</f>
        <v>33.304262335325568</v>
      </c>
      <c r="N190">
        <f>+$B190*_xlfn.XLOOKUP($C190,'ACTUAL %'!$A:$A,'ACTUAL %'!J:J)</f>
        <v>44.402476214814712</v>
      </c>
      <c r="O190">
        <f>+$B190*_xlfn.XLOOKUP($C190,'ACTUAL %'!$A:$A,'ACTUAL %'!K:K)</f>
        <v>44.402476214814712</v>
      </c>
      <c r="P190">
        <f>+$B190*_xlfn.XLOOKUP($C190,'ACTUAL %'!$A:$A,'ACTUAL %'!L:L)</f>
        <v>44.402476214814712</v>
      </c>
      <c r="Q190">
        <f>+$B190*_xlfn.XLOOKUP($C190,'ACTUAL %'!$A:$A,'ACTUAL %'!M:M)</f>
        <v>44.402476214814712</v>
      </c>
      <c r="R190">
        <f>+$B190*_xlfn.XLOOKUP($C190,'ACTUAL %'!$A:$A,'ACTUAL %'!N:N)+S190+T190+U190</f>
        <v>44.402476214814712</v>
      </c>
      <c r="S190">
        <f>+$B190*_xlfn.XLOOKUP($C190,'ACTUAL %'!$A:$A,'ACTUAL %'!O:O)</f>
        <v>0</v>
      </c>
      <c r="T190">
        <f>+$B190*_xlfn.XLOOKUP($C190,'ACTUAL %'!$A:$A,'ACTUAL %'!P:P)</f>
        <v>0</v>
      </c>
      <c r="U190">
        <f>+$B190*_xlfn.XLOOKUP($C190,'ACTUAL %'!$A:$A,'ACTUAL %'!Q:Q)</f>
        <v>0</v>
      </c>
      <c r="V190">
        <f t="shared" si="13"/>
        <v>277.52010167761995</v>
      </c>
      <c r="W190" s="517">
        <f t="shared" si="14"/>
        <v>0</v>
      </c>
    </row>
    <row r="191" spans="1:23" x14ac:dyDescent="0.75">
      <c r="A191" t="s">
        <v>1570</v>
      </c>
      <c r="B191">
        <v>-8057363.7800000003</v>
      </c>
      <c r="C191">
        <f t="shared" si="10"/>
        <v>8011</v>
      </c>
      <c r="D191" t="str">
        <f t="shared" si="11"/>
        <v>040</v>
      </c>
      <c r="E191" t="str">
        <f t="shared" si="12"/>
        <v>0000</v>
      </c>
      <c r="F191" t="s">
        <v>1889</v>
      </c>
      <c r="G191">
        <f>+$B191*_xlfn.XLOOKUP($C191,'ACTUAL %'!$A:$A,'ACTUAL %'!C:C)</f>
        <v>-202197.89236720669</v>
      </c>
      <c r="H191">
        <f>+$B191*_xlfn.XLOOKUP($C191,'ACTUAL %'!$A:$A,'ACTUAL %'!D:D)</f>
        <v>-350188.24951267784</v>
      </c>
      <c r="I191">
        <f>+$B191*_xlfn.XLOOKUP($C191,'ACTUAL %'!$A:$A,'ACTUAL %'!E:E)</f>
        <v>-511946.56340644311</v>
      </c>
      <c r="J191">
        <f>+$B191*_xlfn.XLOOKUP($C191,'ACTUAL %'!$A:$A,'ACTUAL %'!F:F)</f>
        <v>-630338.69828655978</v>
      </c>
      <c r="K191">
        <f>+$B191*_xlfn.XLOOKUP($C191,'ACTUAL %'!$A:$A,'ACTUAL %'!G:G)</f>
        <v>-630338.69828655978</v>
      </c>
      <c r="L191">
        <f>+$B191*_xlfn.XLOOKUP($C191,'ACTUAL %'!$A:$A,'ACTUAL %'!H:H)</f>
        <v>-473855.88259631221</v>
      </c>
      <c r="M191">
        <f>+$B191*_xlfn.XLOOKUP($C191,'ACTUAL %'!$A:$A,'ACTUAL %'!I:I)</f>
        <v>-739548.29873108957</v>
      </c>
      <c r="N191">
        <f>+$B191*_xlfn.XLOOKUP($C191,'ACTUAL %'!$A:$A,'ACTUAL %'!J:J)</f>
        <v>-903789.89936263033</v>
      </c>
      <c r="O191">
        <f>+$B191*_xlfn.XLOOKUP($C191,'ACTUAL %'!$A:$A,'ACTUAL %'!K:K)</f>
        <v>-903789.89936263033</v>
      </c>
      <c r="P191">
        <f>+$B191*_xlfn.XLOOKUP($C191,'ACTUAL %'!$A:$A,'ACTUAL %'!L:L)</f>
        <v>-903789.89936263033</v>
      </c>
      <c r="Q191">
        <f>+$B191*_xlfn.XLOOKUP($C191,'ACTUAL %'!$A:$A,'ACTUAL %'!M:M)</f>
        <v>-903789.89936263033</v>
      </c>
      <c r="R191">
        <f>+$B191*_xlfn.XLOOKUP($C191,'ACTUAL %'!$A:$A,'ACTUAL %'!N:N)+S191+T191+U191</f>
        <v>-903789.89936263033</v>
      </c>
      <c r="S191">
        <f>+$B191*_xlfn.XLOOKUP($C191,'ACTUAL %'!$A:$A,'ACTUAL %'!O:O)</f>
        <v>0</v>
      </c>
      <c r="T191">
        <f>+$B191*_xlfn.XLOOKUP($C191,'ACTUAL %'!$A:$A,'ACTUAL %'!P:P)</f>
        <v>0</v>
      </c>
      <c r="U191">
        <f>+$B191*_xlfn.XLOOKUP($C191,'ACTUAL %'!$A:$A,'ACTUAL %'!Q:Q)</f>
        <v>0</v>
      </c>
      <c r="V191">
        <f t="shared" si="13"/>
        <v>-8057363.7800000003</v>
      </c>
      <c r="W191" s="517">
        <f t="shared" si="14"/>
        <v>0</v>
      </c>
    </row>
    <row r="192" spans="1:23" x14ac:dyDescent="0.75">
      <c r="A192" t="s">
        <v>1571</v>
      </c>
      <c r="B192">
        <v>-174245.21999999997</v>
      </c>
      <c r="C192">
        <f t="shared" si="10"/>
        <v>8012</v>
      </c>
      <c r="D192" t="str">
        <f t="shared" si="11"/>
        <v>040</v>
      </c>
      <c r="E192" t="str">
        <f t="shared" si="12"/>
        <v>1400</v>
      </c>
      <c r="F192" t="s">
        <v>1922</v>
      </c>
      <c r="G192">
        <f>+$B192*_xlfn.XLOOKUP($C192,'ACTUAL %'!$A:$A,'ACTUAL %'!C:C)</f>
        <v>0</v>
      </c>
      <c r="H192">
        <f>+$B192*_xlfn.XLOOKUP($C192,'ACTUAL %'!$A:$A,'ACTUAL %'!D:D)</f>
        <v>0</v>
      </c>
      <c r="I192">
        <f>+$B192*_xlfn.XLOOKUP($C192,'ACTUAL %'!$A:$A,'ACTUAL %'!E:E)</f>
        <v>-49385.399427145305</v>
      </c>
      <c r="J192">
        <f>+$B192*_xlfn.XLOOKUP($C192,'ACTUAL %'!$A:$A,'ACTUAL %'!F:F)</f>
        <v>-4392.003834582636</v>
      </c>
      <c r="K192">
        <f>+$B192*_xlfn.XLOOKUP($C192,'ACTUAL %'!$A:$A,'ACTUAL %'!G:G)</f>
        <v>0</v>
      </c>
      <c r="L192">
        <f>+$B192*_xlfn.XLOOKUP($C192,'ACTUAL %'!$A:$A,'ACTUAL %'!H:H)</f>
        <v>-49385.399427145305</v>
      </c>
      <c r="M192">
        <f>+$B192*_xlfn.XLOOKUP($C192,'ACTUAL %'!$A:$A,'ACTUAL %'!I:I)</f>
        <v>-4391.9439106630998</v>
      </c>
      <c r="N192">
        <f>+$B192*_xlfn.XLOOKUP($C192,'ACTUAL %'!$A:$A,'ACTUAL %'!J:J)</f>
        <v>0</v>
      </c>
      <c r="O192">
        <f>+$B192*_xlfn.XLOOKUP($C192,'ACTUAL %'!$A:$A,'ACTUAL %'!K:K)</f>
        <v>-33345.236700231813</v>
      </c>
      <c r="P192">
        <f>+$B192*_xlfn.XLOOKUP($C192,'ACTUAL %'!$A:$A,'ACTUAL %'!L:L)</f>
        <v>0</v>
      </c>
      <c r="Q192">
        <f>+$B192*_xlfn.XLOOKUP($C192,'ACTUAL %'!$A:$A,'ACTUAL %'!M:M)</f>
        <v>0</v>
      </c>
      <c r="R192">
        <f>+$B192*_xlfn.XLOOKUP($C192,'ACTUAL %'!$A:$A,'ACTUAL %'!N:N)+S192+T192+U192</f>
        <v>-33345.236700231813</v>
      </c>
      <c r="S192">
        <f>+$B192*_xlfn.XLOOKUP($C192,'ACTUAL %'!$A:$A,'ACTUAL %'!O:O)</f>
        <v>0</v>
      </c>
      <c r="T192">
        <f>+$B192*_xlfn.XLOOKUP($C192,'ACTUAL %'!$A:$A,'ACTUAL %'!P:P)</f>
        <v>0</v>
      </c>
      <c r="U192">
        <f>+$B192*_xlfn.XLOOKUP($C192,'ACTUAL %'!$A:$A,'ACTUAL %'!Q:Q)</f>
        <v>0</v>
      </c>
      <c r="V192">
        <f t="shared" si="13"/>
        <v>-174245.22</v>
      </c>
      <c r="W192" s="517">
        <f t="shared" si="14"/>
        <v>0</v>
      </c>
    </row>
    <row r="193" spans="1:23" x14ac:dyDescent="0.75">
      <c r="A193" t="s">
        <v>1572</v>
      </c>
      <c r="B193">
        <v>-369382.44187799998</v>
      </c>
      <c r="C193">
        <f t="shared" si="10"/>
        <v>8096</v>
      </c>
      <c r="D193" t="str">
        <f t="shared" si="11"/>
        <v>040</v>
      </c>
      <c r="E193" t="str">
        <f t="shared" si="12"/>
        <v>0000</v>
      </c>
      <c r="F193" t="s">
        <v>1890</v>
      </c>
      <c r="G193">
        <f>+$B193*_xlfn.XLOOKUP($C193,'ACTUAL %'!$A:$A,'ACTUAL %'!C:C)</f>
        <v>0</v>
      </c>
      <c r="H193">
        <f>+$B193*_xlfn.XLOOKUP($C193,'ACTUAL %'!$A:$A,'ACTUAL %'!D:D)</f>
        <v>-15460.639711167512</v>
      </c>
      <c r="I193">
        <f>+$B193*_xlfn.XLOOKUP($C193,'ACTUAL %'!$A:$A,'ACTUAL %'!E:E)</f>
        <v>-51196.548346655516</v>
      </c>
      <c r="J193">
        <f>+$B193*_xlfn.XLOOKUP($C193,'ACTUAL %'!$A:$A,'ACTUAL %'!F:F)</f>
        <v>-35495.889489714587</v>
      </c>
      <c r="K193">
        <f>+$B193*_xlfn.XLOOKUP($C193,'ACTUAL %'!$A:$A,'ACTUAL %'!G:G)</f>
        <v>-35504.974085339563</v>
      </c>
      <c r="L193">
        <f>+$B193*_xlfn.XLOOKUP($C193,'ACTUAL %'!$A:$A,'ACTUAL %'!H:H)</f>
        <v>-20920.894617940696</v>
      </c>
      <c r="M193">
        <f>+$B193*_xlfn.XLOOKUP($C193,'ACTUAL %'!$A:$A,'ACTUAL %'!I:I)</f>
        <v>-45484.402379371735</v>
      </c>
      <c r="N193">
        <f>+$B193*_xlfn.XLOOKUP($C193,'ACTUAL %'!$A:$A,'ACTUAL %'!J:J)</f>
        <v>-26451.054919649665</v>
      </c>
      <c r="O193">
        <f>+$B193*_xlfn.XLOOKUP($C193,'ACTUAL %'!$A:$A,'ACTUAL %'!K:K)</f>
        <v>-46289.346109386905</v>
      </c>
      <c r="P193">
        <f>+$B193*_xlfn.XLOOKUP($C193,'ACTUAL %'!$A:$A,'ACTUAL %'!L:L)</f>
        <v>-23144.673054693452</v>
      </c>
      <c r="Q193">
        <f>+$B193*_xlfn.XLOOKUP($C193,'ACTUAL %'!$A:$A,'ACTUAL %'!M:M)</f>
        <v>-23144.673054693452</v>
      </c>
      <c r="R193">
        <f>+$B193*_xlfn.XLOOKUP($C193,'ACTUAL %'!$A:$A,'ACTUAL %'!N:N)+S193+T193+U193</f>
        <v>-46289.346109386905</v>
      </c>
      <c r="S193">
        <f>+$B193*_xlfn.XLOOKUP($C193,'ACTUAL %'!$A:$A,'ACTUAL %'!O:O)</f>
        <v>-23144.673054693452</v>
      </c>
      <c r="T193">
        <f>+$B193*_xlfn.XLOOKUP($C193,'ACTUAL %'!$A:$A,'ACTUAL %'!P:P)</f>
        <v>0</v>
      </c>
      <c r="U193">
        <f>+$B193*_xlfn.XLOOKUP($C193,'ACTUAL %'!$A:$A,'ACTUAL %'!Q:Q)</f>
        <v>0</v>
      </c>
      <c r="V193">
        <f t="shared" si="13"/>
        <v>-369382.44187799998</v>
      </c>
      <c r="W193" s="517">
        <f t="shared" si="14"/>
        <v>0</v>
      </c>
    </row>
    <row r="194" spans="1:23" x14ac:dyDescent="0.75">
      <c r="A194" t="s">
        <v>1573</v>
      </c>
      <c r="B194">
        <v>-105636.16462499998</v>
      </c>
      <c r="C194">
        <f t="shared" si="10"/>
        <v>8181</v>
      </c>
      <c r="D194" t="str">
        <f t="shared" si="11"/>
        <v>040</v>
      </c>
      <c r="E194" t="str">
        <f t="shared" si="12"/>
        <v>3310</v>
      </c>
      <c r="F194" t="s">
        <v>1923</v>
      </c>
      <c r="G194">
        <f>+$B194*_xlfn.XLOOKUP($C194,'ACTUAL %'!$A:$A,'ACTUAL %'!C:C)</f>
        <v>0</v>
      </c>
      <c r="H194">
        <f>+$B194*_xlfn.XLOOKUP($C194,'ACTUAL %'!$A:$A,'ACTUAL %'!D:D)</f>
        <v>0</v>
      </c>
      <c r="I194">
        <f>+$B194*_xlfn.XLOOKUP($C194,'ACTUAL %'!$A:$A,'ACTUAL %'!E:E)</f>
        <v>0</v>
      </c>
      <c r="J194">
        <f>+$B194*_xlfn.XLOOKUP($C194,'ACTUAL %'!$A:$A,'ACTUAL %'!F:F)</f>
        <v>0</v>
      </c>
      <c r="K194">
        <f>+$B194*_xlfn.XLOOKUP($C194,'ACTUAL %'!$A:$A,'ACTUAL %'!G:G)</f>
        <v>0</v>
      </c>
      <c r="L194">
        <f>+$B194*_xlfn.XLOOKUP($C194,'ACTUAL %'!$A:$A,'ACTUAL %'!H:H)</f>
        <v>0</v>
      </c>
      <c r="M194">
        <f>+$B194*_xlfn.XLOOKUP($C194,'ACTUAL %'!$A:$A,'ACTUAL %'!I:I)</f>
        <v>0</v>
      </c>
      <c r="N194">
        <f>+$B194*_xlfn.XLOOKUP($C194,'ACTUAL %'!$A:$A,'ACTUAL %'!J:J)</f>
        <v>-21127.232924999997</v>
      </c>
      <c r="O194">
        <f>+$B194*_xlfn.XLOOKUP($C194,'ACTUAL %'!$A:$A,'ACTUAL %'!K:K)</f>
        <v>-21127.232924999997</v>
      </c>
      <c r="P194">
        <f>+$B194*_xlfn.XLOOKUP($C194,'ACTUAL %'!$A:$A,'ACTUAL %'!L:L)</f>
        <v>-21127.232924999997</v>
      </c>
      <c r="Q194">
        <f>+$B194*_xlfn.XLOOKUP($C194,'ACTUAL %'!$A:$A,'ACTUAL %'!M:M)</f>
        <v>-21127.232924999997</v>
      </c>
      <c r="R194">
        <f>+$B194*_xlfn.XLOOKUP($C194,'ACTUAL %'!$A:$A,'ACTUAL %'!N:N)+S194+T194+U194</f>
        <v>-21127.232924999997</v>
      </c>
      <c r="S194">
        <f>+$B194*_xlfn.XLOOKUP($C194,'ACTUAL %'!$A:$A,'ACTUAL %'!O:O)</f>
        <v>0</v>
      </c>
      <c r="T194">
        <f>+$B194*_xlfn.XLOOKUP($C194,'ACTUAL %'!$A:$A,'ACTUAL %'!P:P)</f>
        <v>0</v>
      </c>
      <c r="U194">
        <f>+$B194*_xlfn.XLOOKUP($C194,'ACTUAL %'!$A:$A,'ACTUAL %'!Q:Q)</f>
        <v>0</v>
      </c>
      <c r="V194">
        <f t="shared" si="13"/>
        <v>-105636.16462499998</v>
      </c>
      <c r="W194" s="517">
        <f t="shared" si="14"/>
        <v>0</v>
      </c>
    </row>
    <row r="195" spans="1:23" x14ac:dyDescent="0.75">
      <c r="A195" t="s">
        <v>1746</v>
      </c>
      <c r="B195">
        <v>-679632.06</v>
      </c>
      <c r="C195">
        <f t="shared" si="10"/>
        <v>8290</v>
      </c>
      <c r="D195" t="str">
        <f t="shared" si="11"/>
        <v>040</v>
      </c>
      <c r="E195" t="str">
        <f t="shared" si="12"/>
        <v>0000</v>
      </c>
      <c r="F195" t="s">
        <v>1892</v>
      </c>
      <c r="G195">
        <f>+$B195*_xlfn.XLOOKUP($C195,'ACTUAL %'!$A:$A,'ACTUAL %'!C:C)</f>
        <v>-35099.159209653379</v>
      </c>
      <c r="H195">
        <f>+$B195*_xlfn.XLOOKUP($C195,'ACTUAL %'!$A:$A,'ACTUAL %'!D:D)</f>
        <v>-32988.428079449317</v>
      </c>
      <c r="I195">
        <f>+$B195*_xlfn.XLOOKUP($C195,'ACTUAL %'!$A:$A,'ACTUAL %'!E:E)</f>
        <v>-5772.8448651808785</v>
      </c>
      <c r="J195">
        <f>+$B195*_xlfn.XLOOKUP($C195,'ACTUAL %'!$A:$A,'ACTUAL %'!F:F)</f>
        <v>-7796.6451508836881</v>
      </c>
      <c r="K195">
        <f>+$B195*_xlfn.XLOOKUP($C195,'ACTUAL %'!$A:$A,'ACTUAL %'!G:G)</f>
        <v>0</v>
      </c>
      <c r="L195">
        <f>+$B195*_xlfn.XLOOKUP($C195,'ACTUAL %'!$A:$A,'ACTUAL %'!H:H)</f>
        <v>0</v>
      </c>
      <c r="M195">
        <f>+$B195*_xlfn.XLOOKUP($C195,'ACTUAL %'!$A:$A,'ACTUAL %'!I:I)</f>
        <v>-187130.24627412585</v>
      </c>
      <c r="N195">
        <f>+$B195*_xlfn.XLOOKUP($C195,'ACTUAL %'!$A:$A,'ACTUAL %'!J:J)</f>
        <v>0</v>
      </c>
      <c r="O195">
        <f>+$B195*_xlfn.XLOOKUP($C195,'ACTUAL %'!$A:$A,'ACTUAL %'!K:K)</f>
        <v>0</v>
      </c>
      <c r="P195">
        <f>+$B195*_xlfn.XLOOKUP($C195,'ACTUAL %'!$A:$A,'ACTUAL %'!L:L)</f>
        <v>-140552.14667024187</v>
      </c>
      <c r="Q195">
        <f>+$B195*_xlfn.XLOOKUP($C195,'ACTUAL %'!$A:$A,'ACTUAL %'!M:M)</f>
        <v>0</v>
      </c>
      <c r="R195">
        <f>+$B195*_xlfn.XLOOKUP($C195,'ACTUAL %'!$A:$A,'ACTUAL %'!N:N)+S195+T195+U195</f>
        <v>-270292.58975046512</v>
      </c>
      <c r="S195">
        <f>+$B195*_xlfn.XLOOKUP($C195,'ACTUAL %'!$A:$A,'ACTUAL %'!O:O)</f>
        <v>0</v>
      </c>
      <c r="T195">
        <f>+$B195*_xlfn.XLOOKUP($C195,'ACTUAL %'!$A:$A,'ACTUAL %'!P:P)</f>
        <v>0</v>
      </c>
      <c r="U195">
        <f>+$B195*_xlfn.XLOOKUP($C195,'ACTUAL %'!$A:$A,'ACTUAL %'!Q:Q)</f>
        <v>0</v>
      </c>
      <c r="V195">
        <f t="shared" si="13"/>
        <v>-679632.06</v>
      </c>
      <c r="W195" s="517">
        <f t="shared" si="14"/>
        <v>0</v>
      </c>
    </row>
    <row r="196" spans="1:23" x14ac:dyDescent="0.75">
      <c r="A196" s="178" t="s">
        <v>1574</v>
      </c>
      <c r="B196">
        <v>-151168</v>
      </c>
      <c r="C196">
        <f t="shared" ref="C196:C208" si="15">+LEFT(A196,4)+0</f>
        <v>8291</v>
      </c>
      <c r="D196" t="str">
        <f t="shared" ref="D196:D208" si="16">+MID(A196,5,3)</f>
        <v>040</v>
      </c>
      <c r="E196" t="str">
        <f t="shared" ref="E196:E208" si="17">+RIGHT(A196,4)</f>
        <v>3010</v>
      </c>
      <c r="F196" t="s">
        <v>1924</v>
      </c>
      <c r="G196">
        <f>+$B196*_xlfn.XLOOKUP($C196,'ACTUAL %'!$A:$A,'ACTUAL %'!C:C)</f>
        <v>0</v>
      </c>
      <c r="H196">
        <f>+$B196*_xlfn.XLOOKUP($C196,'ACTUAL %'!$A:$A,'ACTUAL %'!D:D)</f>
        <v>0</v>
      </c>
      <c r="I196">
        <f>+$B196*_xlfn.XLOOKUP($C196,'ACTUAL %'!$A:$A,'ACTUAL %'!E:E)</f>
        <v>0</v>
      </c>
      <c r="J196">
        <f>+$B196*_xlfn.XLOOKUP($C196,'ACTUAL %'!$A:$A,'ACTUAL %'!F:F)</f>
        <v>-31072.045119378356</v>
      </c>
      <c r="K196">
        <f>+$B196*_xlfn.XLOOKUP($C196,'ACTUAL %'!$A:$A,'ACTUAL %'!G:G)</f>
        <v>-7182.1614688864292</v>
      </c>
      <c r="L196">
        <f>+$B196*_xlfn.XLOOKUP($C196,'ACTUAL %'!$A:$A,'ACTUAL %'!H:H)</f>
        <v>0</v>
      </c>
      <c r="M196">
        <f>+$B196*_xlfn.XLOOKUP($C196,'ACTUAL %'!$A:$A,'ACTUAL %'!I:I)</f>
        <v>-44395.515133791487</v>
      </c>
      <c r="N196">
        <f>+$B196*_xlfn.XLOOKUP($C196,'ACTUAL %'!$A:$A,'ACTUAL %'!J:J)</f>
        <v>0</v>
      </c>
      <c r="O196">
        <f>+$B196*_xlfn.XLOOKUP($C196,'ACTUAL %'!$A:$A,'ACTUAL %'!K:K)</f>
        <v>0</v>
      </c>
      <c r="P196">
        <f>+$B196*_xlfn.XLOOKUP($C196,'ACTUAL %'!$A:$A,'ACTUAL %'!L:L)</f>
        <v>-45678.852185295815</v>
      </c>
      <c r="Q196">
        <f>+$B196*_xlfn.XLOOKUP($C196,'ACTUAL %'!$A:$A,'ACTUAL %'!M:M)</f>
        <v>0</v>
      </c>
      <c r="R196">
        <f>+$B196*_xlfn.XLOOKUP($C196,'ACTUAL %'!$A:$A,'ACTUAL %'!N:N)+S196+T196+U196</f>
        <v>-22839.426092647907</v>
      </c>
      <c r="S196">
        <f>+$B196*_xlfn.XLOOKUP($C196,'ACTUAL %'!$A:$A,'ACTUAL %'!O:O)</f>
        <v>0</v>
      </c>
      <c r="T196">
        <f>+$B196*_xlfn.XLOOKUP($C196,'ACTUAL %'!$A:$A,'ACTUAL %'!P:P)</f>
        <v>0</v>
      </c>
      <c r="U196">
        <f>+$B196*_xlfn.XLOOKUP($C196,'ACTUAL %'!$A:$A,'ACTUAL %'!Q:Q)</f>
        <v>0</v>
      </c>
      <c r="V196">
        <f t="shared" si="13"/>
        <v>-151168</v>
      </c>
      <c r="W196" s="517">
        <f t="shared" si="14"/>
        <v>0</v>
      </c>
    </row>
    <row r="197" spans="1:23" x14ac:dyDescent="0.75">
      <c r="A197" t="s">
        <v>1575</v>
      </c>
      <c r="B197">
        <v>-24648</v>
      </c>
      <c r="C197">
        <f t="shared" si="15"/>
        <v>8292</v>
      </c>
      <c r="D197" t="str">
        <f t="shared" si="16"/>
        <v>040</v>
      </c>
      <c r="E197" t="str">
        <f t="shared" si="17"/>
        <v>4035</v>
      </c>
      <c r="F197" t="s">
        <v>1925</v>
      </c>
      <c r="G197">
        <f>+$B197*_xlfn.XLOOKUP($C197,'ACTUAL %'!$A:$A,'ACTUAL %'!C:C)</f>
        <v>0</v>
      </c>
      <c r="H197">
        <f>+$B197*_xlfn.XLOOKUP($C197,'ACTUAL %'!$A:$A,'ACTUAL %'!D:D)</f>
        <v>0</v>
      </c>
      <c r="I197">
        <f>+$B197*_xlfn.XLOOKUP($C197,'ACTUAL %'!$A:$A,'ACTUAL %'!E:E)</f>
        <v>0</v>
      </c>
      <c r="J197">
        <f>+$B197*_xlfn.XLOOKUP($C197,'ACTUAL %'!$A:$A,'ACTUAL %'!F:F)</f>
        <v>0</v>
      </c>
      <c r="K197">
        <f>+$B197*_xlfn.XLOOKUP($C197,'ACTUAL %'!$A:$A,'ACTUAL %'!G:G)</f>
        <v>0</v>
      </c>
      <c r="L197">
        <f>+$B197*_xlfn.XLOOKUP($C197,'ACTUAL %'!$A:$A,'ACTUAL %'!H:H)</f>
        <v>0</v>
      </c>
      <c r="M197">
        <f>+$B197*_xlfn.XLOOKUP($C197,'ACTUAL %'!$A:$A,'ACTUAL %'!I:I)</f>
        <v>0</v>
      </c>
      <c r="N197">
        <f>+$B197*_xlfn.XLOOKUP($C197,'ACTUAL %'!$A:$A,'ACTUAL %'!J:J)</f>
        <v>0</v>
      </c>
      <c r="O197">
        <f>+$B197*_xlfn.XLOOKUP($C197,'ACTUAL %'!$A:$A,'ACTUAL %'!K:K)</f>
        <v>0</v>
      </c>
      <c r="P197">
        <f>+$B197*_xlfn.XLOOKUP($C197,'ACTUAL %'!$A:$A,'ACTUAL %'!L:L)</f>
        <v>-16432</v>
      </c>
      <c r="Q197">
        <f>+$B197*_xlfn.XLOOKUP($C197,'ACTUAL %'!$A:$A,'ACTUAL %'!M:M)</f>
        <v>0</v>
      </c>
      <c r="R197">
        <f>+$B197*_xlfn.XLOOKUP($C197,'ACTUAL %'!$A:$A,'ACTUAL %'!N:N)+S197+T197+U197</f>
        <v>-8216</v>
      </c>
      <c r="S197">
        <f>+$B197*_xlfn.XLOOKUP($C197,'ACTUAL %'!$A:$A,'ACTUAL %'!O:O)</f>
        <v>0</v>
      </c>
      <c r="T197">
        <f>+$B197*_xlfn.XLOOKUP($C197,'ACTUAL %'!$A:$A,'ACTUAL %'!P:P)</f>
        <v>0</v>
      </c>
      <c r="U197">
        <f>+$B197*_xlfn.XLOOKUP($C197,'ACTUAL %'!$A:$A,'ACTUAL %'!Q:Q)</f>
        <v>0</v>
      </c>
      <c r="V197">
        <f t="shared" si="13"/>
        <v>-24648</v>
      </c>
      <c r="W197" s="517">
        <f t="shared" si="14"/>
        <v>0</v>
      </c>
    </row>
    <row r="198" spans="1:23" x14ac:dyDescent="0.75">
      <c r="A198" t="s">
        <v>1576</v>
      </c>
      <c r="B198">
        <v>-10000</v>
      </c>
      <c r="C198">
        <f t="shared" si="15"/>
        <v>8294</v>
      </c>
      <c r="D198" t="str">
        <f t="shared" si="16"/>
        <v>040</v>
      </c>
      <c r="E198" t="str">
        <f t="shared" si="17"/>
        <v>4127</v>
      </c>
      <c r="F198" t="s">
        <v>1926</v>
      </c>
      <c r="G198">
        <f>+$B198*_xlfn.XLOOKUP($C198,'ACTUAL %'!$A:$A,'ACTUAL %'!C:C)</f>
        <v>0</v>
      </c>
      <c r="H198">
        <f>+$B198*_xlfn.XLOOKUP($C198,'ACTUAL %'!$A:$A,'ACTUAL %'!D:D)</f>
        <v>0</v>
      </c>
      <c r="I198">
        <f>+$B198*_xlfn.XLOOKUP($C198,'ACTUAL %'!$A:$A,'ACTUAL %'!E:E)</f>
        <v>0</v>
      </c>
      <c r="J198">
        <f>+$B198*_xlfn.XLOOKUP($C198,'ACTUAL %'!$A:$A,'ACTUAL %'!F:F)</f>
        <v>-833.33333333333326</v>
      </c>
      <c r="K198">
        <f>+$B198*_xlfn.XLOOKUP($C198,'ACTUAL %'!$A:$A,'ACTUAL %'!G:G)</f>
        <v>0</v>
      </c>
      <c r="L198">
        <f>+$B198*_xlfn.XLOOKUP($C198,'ACTUAL %'!$A:$A,'ACTUAL %'!H:H)</f>
        <v>-833.33333333333326</v>
      </c>
      <c r="M198">
        <f>+$B198*_xlfn.XLOOKUP($C198,'ACTUAL %'!$A:$A,'ACTUAL %'!I:I)</f>
        <v>0</v>
      </c>
      <c r="N198">
        <f>+$B198*_xlfn.XLOOKUP($C198,'ACTUAL %'!$A:$A,'ACTUAL %'!J:J)</f>
        <v>0</v>
      </c>
      <c r="O198">
        <f>+$B198*_xlfn.XLOOKUP($C198,'ACTUAL %'!$A:$A,'ACTUAL %'!K:K)</f>
        <v>0</v>
      </c>
      <c r="P198">
        <f>+$B198*_xlfn.XLOOKUP($C198,'ACTUAL %'!$A:$A,'ACTUAL %'!L:L)</f>
        <v>-5555.5555555555547</v>
      </c>
      <c r="Q198">
        <f>+$B198*_xlfn.XLOOKUP($C198,'ACTUAL %'!$A:$A,'ACTUAL %'!M:M)</f>
        <v>0</v>
      </c>
      <c r="R198">
        <f>+$B198*_xlfn.XLOOKUP($C198,'ACTUAL %'!$A:$A,'ACTUAL %'!N:N)+S198+T198+U198</f>
        <v>-2777.7777777777774</v>
      </c>
      <c r="S198">
        <f>+$B198*_xlfn.XLOOKUP($C198,'ACTUAL %'!$A:$A,'ACTUAL %'!O:O)</f>
        <v>0</v>
      </c>
      <c r="T198">
        <f>+$B198*_xlfn.XLOOKUP($C198,'ACTUAL %'!$A:$A,'ACTUAL %'!P:P)</f>
        <v>0</v>
      </c>
      <c r="U198">
        <f>+$B198*_xlfn.XLOOKUP($C198,'ACTUAL %'!$A:$A,'ACTUAL %'!Q:Q)</f>
        <v>0</v>
      </c>
      <c r="V198">
        <f t="shared" ref="V198:V208" si="18">+SUM(G198:R198)</f>
        <v>-9999.9999999999982</v>
      </c>
      <c r="W198" s="517">
        <f t="shared" ref="W198:W208" si="19">+V198-B198</f>
        <v>0</v>
      </c>
    </row>
    <row r="199" spans="1:23" x14ac:dyDescent="0.75">
      <c r="A199" t="s">
        <v>1577</v>
      </c>
      <c r="B199">
        <v>-21145.634523000001</v>
      </c>
      <c r="C199">
        <f t="shared" si="15"/>
        <v>8550</v>
      </c>
      <c r="D199" t="str">
        <f t="shared" si="16"/>
        <v>040</v>
      </c>
      <c r="E199" t="str">
        <f t="shared" si="17"/>
        <v>0000</v>
      </c>
      <c r="F199" t="s">
        <v>1891</v>
      </c>
      <c r="G199">
        <f>+$B199*_xlfn.XLOOKUP($C199,'ACTUAL %'!$A:$A,'ACTUAL %'!C:C)</f>
        <v>0</v>
      </c>
      <c r="H199">
        <f>+$B199*_xlfn.XLOOKUP($C199,'ACTUAL %'!$A:$A,'ACTUAL %'!D:D)</f>
        <v>0</v>
      </c>
      <c r="I199">
        <f>+$B199*_xlfn.XLOOKUP($C199,'ACTUAL %'!$A:$A,'ACTUAL %'!E:E)</f>
        <v>0</v>
      </c>
      <c r="J199">
        <f>+$B199*_xlfn.XLOOKUP($C199,'ACTUAL %'!$A:$A,'ACTUAL %'!F:F)</f>
        <v>0</v>
      </c>
      <c r="K199">
        <f>+$B199*_xlfn.XLOOKUP($C199,'ACTUAL %'!$A:$A,'ACTUAL %'!G:G)</f>
        <v>0</v>
      </c>
      <c r="L199">
        <f>+$B199*_xlfn.XLOOKUP($C199,'ACTUAL %'!$A:$A,'ACTUAL %'!H:H)</f>
        <v>-16770.50089519527</v>
      </c>
      <c r="M199">
        <f>+$B199*_xlfn.XLOOKUP($C199,'ACTUAL %'!$A:$A,'ACTUAL %'!I:I)</f>
        <v>-4221.0100526840215</v>
      </c>
      <c r="N199">
        <f>+$B199*_xlfn.XLOOKUP($C199,'ACTUAL %'!$A:$A,'ACTUAL %'!J:J)</f>
        <v>-51.374525040236399</v>
      </c>
      <c r="O199">
        <f>+$B199*_xlfn.XLOOKUP($C199,'ACTUAL %'!$A:$A,'ACTUAL %'!K:K)</f>
        <v>0</v>
      </c>
      <c r="P199">
        <f>+$B199*_xlfn.XLOOKUP($C199,'ACTUAL %'!$A:$A,'ACTUAL %'!L:L)</f>
        <v>0</v>
      </c>
      <c r="Q199">
        <f>+$B199*_xlfn.XLOOKUP($C199,'ACTUAL %'!$A:$A,'ACTUAL %'!M:M)</f>
        <v>0</v>
      </c>
      <c r="R199">
        <f>+$B199*_xlfn.XLOOKUP($C199,'ACTUAL %'!$A:$A,'ACTUAL %'!N:N)+S199+T199+U199</f>
        <v>-102.7490500804728</v>
      </c>
      <c r="S199">
        <f>+$B199*_xlfn.XLOOKUP($C199,'ACTUAL %'!$A:$A,'ACTUAL %'!O:O)</f>
        <v>-51.374525040236399</v>
      </c>
      <c r="T199">
        <f>+$B199*_xlfn.XLOOKUP($C199,'ACTUAL %'!$A:$A,'ACTUAL %'!P:P)</f>
        <v>0</v>
      </c>
      <c r="U199">
        <f>+$B199*_xlfn.XLOOKUP($C199,'ACTUAL %'!$A:$A,'ACTUAL %'!Q:Q)</f>
        <v>0</v>
      </c>
      <c r="V199">
        <f t="shared" si="18"/>
        <v>-21145.634523000001</v>
      </c>
      <c r="W199" s="517">
        <f t="shared" si="19"/>
        <v>0</v>
      </c>
    </row>
    <row r="200" spans="1:23" x14ac:dyDescent="0.75">
      <c r="A200" t="s">
        <v>1908</v>
      </c>
      <c r="B200">
        <v>-142009.85429999998</v>
      </c>
      <c r="C200">
        <f t="shared" si="15"/>
        <v>8561</v>
      </c>
      <c r="D200" t="str">
        <f t="shared" si="16"/>
        <v>040</v>
      </c>
      <c r="E200" t="str">
        <f t="shared" si="17"/>
        <v>1100</v>
      </c>
      <c r="F200" t="s">
        <v>1933</v>
      </c>
      <c r="G200">
        <f>+$B200*_xlfn.XLOOKUP($C200,'ACTUAL %'!$A:$A,'ACTUAL %'!C:C)</f>
        <v>0</v>
      </c>
      <c r="H200">
        <f>+$B200*_xlfn.XLOOKUP($C200,'ACTUAL %'!$A:$A,'ACTUAL %'!D:D)</f>
        <v>0</v>
      </c>
      <c r="I200">
        <f>+$B200*_xlfn.XLOOKUP($C200,'ACTUAL %'!$A:$A,'ACTUAL %'!E:E)</f>
        <v>0</v>
      </c>
      <c r="J200">
        <f>+$B200*_xlfn.XLOOKUP($C200,'ACTUAL %'!$A:$A,'ACTUAL %'!F:F)</f>
        <v>0</v>
      </c>
      <c r="K200">
        <f>+$B200*_xlfn.XLOOKUP($C200,'ACTUAL %'!$A:$A,'ACTUAL %'!G:G)</f>
        <v>0</v>
      </c>
      <c r="L200">
        <f>+$B200*_xlfn.XLOOKUP($C200,'ACTUAL %'!$A:$A,'ACTUAL %'!H:H)</f>
        <v>0</v>
      </c>
      <c r="M200">
        <f>+$B200*_xlfn.XLOOKUP($C200,'ACTUAL %'!$A:$A,'ACTUAL %'!I:I)</f>
        <v>-38684.31508957137</v>
      </c>
      <c r="N200">
        <f>+$B200*_xlfn.XLOOKUP($C200,'ACTUAL %'!$A:$A,'ACTUAL %'!J:J)</f>
        <v>0</v>
      </c>
      <c r="O200">
        <f>+$B200*_xlfn.XLOOKUP($C200,'ACTUAL %'!$A:$A,'ACTUAL %'!K:K)</f>
        <v>-51662.7696052143</v>
      </c>
      <c r="P200">
        <f>+$B200*_xlfn.XLOOKUP($C200,'ACTUAL %'!$A:$A,'ACTUAL %'!L:L)</f>
        <v>0</v>
      </c>
      <c r="Q200">
        <f>+$B200*_xlfn.XLOOKUP($C200,'ACTUAL %'!$A:$A,'ACTUAL %'!M:M)</f>
        <v>0</v>
      </c>
      <c r="R200">
        <f>+$B200*_xlfn.XLOOKUP($C200,'ACTUAL %'!$A:$A,'ACTUAL %'!N:N)+S200+T200+U200</f>
        <v>-51662.7696052143</v>
      </c>
      <c r="S200">
        <f>+$B200*_xlfn.XLOOKUP($C200,'ACTUAL %'!$A:$A,'ACTUAL %'!O:O)</f>
        <v>0</v>
      </c>
      <c r="T200">
        <f>+$B200*_xlfn.XLOOKUP($C200,'ACTUAL %'!$A:$A,'ACTUAL %'!P:P)</f>
        <v>0</v>
      </c>
      <c r="U200">
        <f>+$B200*_xlfn.XLOOKUP($C200,'ACTUAL %'!$A:$A,'ACTUAL %'!Q:Q)</f>
        <v>0</v>
      </c>
      <c r="V200">
        <f t="shared" si="18"/>
        <v>-142009.85429999998</v>
      </c>
      <c r="W200" s="517">
        <f t="shared" si="19"/>
        <v>0</v>
      </c>
    </row>
    <row r="201" spans="1:23" x14ac:dyDescent="0.75">
      <c r="A201" t="s">
        <v>1909</v>
      </c>
      <c r="B201">
        <v>-56629.696499999991</v>
      </c>
      <c r="C201">
        <f t="shared" si="15"/>
        <v>8562</v>
      </c>
      <c r="D201" t="str">
        <f t="shared" si="16"/>
        <v>040</v>
      </c>
      <c r="E201" t="str">
        <f t="shared" si="17"/>
        <v>6300</v>
      </c>
      <c r="F201" t="s">
        <v>1934</v>
      </c>
      <c r="G201">
        <f>+$B201*_xlfn.XLOOKUP($C201,'ACTUAL %'!$A:$A,'ACTUAL %'!C:C)</f>
        <v>0</v>
      </c>
      <c r="H201">
        <f>+$B201*_xlfn.XLOOKUP($C201,'ACTUAL %'!$A:$A,'ACTUAL %'!D:D)</f>
        <v>0</v>
      </c>
      <c r="I201">
        <f>+$B201*_xlfn.XLOOKUP($C201,'ACTUAL %'!$A:$A,'ACTUAL %'!E:E)</f>
        <v>0</v>
      </c>
      <c r="J201">
        <f>+$B201*_xlfn.XLOOKUP($C201,'ACTUAL %'!$A:$A,'ACTUAL %'!F:F)</f>
        <v>0</v>
      </c>
      <c r="K201">
        <f>+$B201*_xlfn.XLOOKUP($C201,'ACTUAL %'!$A:$A,'ACTUAL %'!G:G)</f>
        <v>0</v>
      </c>
      <c r="L201">
        <f>+$B201*_xlfn.XLOOKUP($C201,'ACTUAL %'!$A:$A,'ACTUAL %'!H:H)</f>
        <v>0</v>
      </c>
      <c r="M201">
        <f>+$B201*_xlfn.XLOOKUP($C201,'ACTUAL %'!$A:$A,'ACTUAL %'!I:I)</f>
        <v>0</v>
      </c>
      <c r="N201">
        <f>+$B201*_xlfn.XLOOKUP($C201,'ACTUAL %'!$A:$A,'ACTUAL %'!J:J)</f>
        <v>0</v>
      </c>
      <c r="O201">
        <f>+$B201*_xlfn.XLOOKUP($C201,'ACTUAL %'!$A:$A,'ACTUAL %'!K:K)</f>
        <v>0</v>
      </c>
      <c r="P201">
        <f>+$B201*_xlfn.XLOOKUP($C201,'ACTUAL %'!$A:$A,'ACTUAL %'!L:L)</f>
        <v>0</v>
      </c>
      <c r="Q201">
        <f>+$B201*_xlfn.XLOOKUP($C201,'ACTUAL %'!$A:$A,'ACTUAL %'!M:M)</f>
        <v>0</v>
      </c>
      <c r="R201">
        <f>+$B201*_xlfn.XLOOKUP($C201,'ACTUAL %'!$A:$A,'ACTUAL %'!N:N)+S201+T201+U201</f>
        <v>0</v>
      </c>
      <c r="S201">
        <f>+$B201*_xlfn.XLOOKUP($C201,'ACTUAL %'!$A:$A,'ACTUAL %'!O:O)</f>
        <v>0</v>
      </c>
      <c r="T201">
        <f>+$B201*_xlfn.XLOOKUP($C201,'ACTUAL %'!$A:$A,'ACTUAL %'!P:P)</f>
        <v>0</v>
      </c>
      <c r="U201">
        <f>+$B201*_xlfn.XLOOKUP($C201,'ACTUAL %'!$A:$A,'ACTUAL %'!Q:Q)</f>
        <v>0</v>
      </c>
      <c r="V201">
        <f t="shared" si="18"/>
        <v>0</v>
      </c>
      <c r="W201" s="517">
        <f t="shared" si="19"/>
        <v>56629.696499999991</v>
      </c>
    </row>
    <row r="202" spans="1:23" x14ac:dyDescent="0.75">
      <c r="A202" t="s">
        <v>2013</v>
      </c>
      <c r="B202">
        <v>-157448</v>
      </c>
      <c r="C202">
        <f t="shared" si="15"/>
        <v>8590</v>
      </c>
      <c r="D202" t="str">
        <f t="shared" si="16"/>
        <v>040</v>
      </c>
      <c r="E202" t="str">
        <f t="shared" si="17"/>
        <v>0000</v>
      </c>
      <c r="F202" t="s">
        <v>2047</v>
      </c>
      <c r="G202">
        <f>+$B202*_xlfn.XLOOKUP($C202,'ACTUAL %'!$A:$A,'ACTUAL %'!C:C)</f>
        <v>0</v>
      </c>
      <c r="H202">
        <f>+$B202*_xlfn.XLOOKUP($C202,'ACTUAL %'!$A:$A,'ACTUAL %'!D:D)</f>
        <v>0</v>
      </c>
      <c r="I202">
        <f>+$B202*_xlfn.XLOOKUP($C202,'ACTUAL %'!$A:$A,'ACTUAL %'!E:E)</f>
        <v>-7758.0959805983466</v>
      </c>
      <c r="J202">
        <f>+$B202*_xlfn.XLOOKUP($C202,'ACTUAL %'!$A:$A,'ACTUAL %'!F:F)</f>
        <v>-2671.803641741732</v>
      </c>
      <c r="K202">
        <f>+$B202*_xlfn.XLOOKUP($C202,'ACTUAL %'!$A:$A,'ACTUAL %'!G:G)</f>
        <v>0</v>
      </c>
      <c r="L202">
        <f>+$B202*_xlfn.XLOOKUP($C202,'ACTUAL %'!$A:$A,'ACTUAL %'!H:H)</f>
        <v>0</v>
      </c>
      <c r="M202">
        <f>+$B202*_xlfn.XLOOKUP($C202,'ACTUAL %'!$A:$A,'ACTUAL %'!I:I)</f>
        <v>-37684.944191924864</v>
      </c>
      <c r="N202">
        <f>+$B202*_xlfn.XLOOKUP($C202,'ACTUAL %'!$A:$A,'ACTUAL %'!J:J)</f>
        <v>0</v>
      </c>
      <c r="O202">
        <f>+$B202*_xlfn.XLOOKUP($C202,'ACTUAL %'!$A:$A,'ACTUAL %'!K:K)</f>
        <v>0</v>
      </c>
      <c r="P202">
        <f>+$B202*_xlfn.XLOOKUP($C202,'ACTUAL %'!$A:$A,'ACTUAL %'!L:L)</f>
        <v>-37403.448168804091</v>
      </c>
      <c r="Q202">
        <f>+$B202*_xlfn.XLOOKUP($C202,'ACTUAL %'!$A:$A,'ACTUAL %'!M:M)</f>
        <v>0</v>
      </c>
      <c r="R202">
        <f>+$B202*_xlfn.XLOOKUP($C202,'ACTUAL %'!$A:$A,'ACTUAL %'!N:N)+S202+T202+U202</f>
        <v>-71929.708016930963</v>
      </c>
      <c r="S202">
        <f>+$B202*_xlfn.XLOOKUP($C202,'ACTUAL %'!$A:$A,'ACTUAL %'!O:O)</f>
        <v>0</v>
      </c>
      <c r="T202">
        <f>+$B202*_xlfn.XLOOKUP($C202,'ACTUAL %'!$A:$A,'ACTUAL %'!P:P)</f>
        <v>0</v>
      </c>
      <c r="U202">
        <f>+$B202*_xlfn.XLOOKUP($C202,'ACTUAL %'!$A:$A,'ACTUAL %'!Q:Q)</f>
        <v>0</v>
      </c>
      <c r="V202">
        <f t="shared" si="18"/>
        <v>-157448</v>
      </c>
      <c r="W202" s="517">
        <f t="shared" si="19"/>
        <v>0</v>
      </c>
    </row>
    <row r="203" spans="1:23" x14ac:dyDescent="0.75">
      <c r="A203" t="s">
        <v>2014</v>
      </c>
      <c r="B203">
        <v>-1769</v>
      </c>
      <c r="C203">
        <f t="shared" si="15"/>
        <v>8599</v>
      </c>
      <c r="D203" t="str">
        <f t="shared" si="16"/>
        <v>040</v>
      </c>
      <c r="E203" t="str">
        <f t="shared" si="17"/>
        <v>0000</v>
      </c>
      <c r="F203" t="s">
        <v>2048</v>
      </c>
      <c r="G203">
        <f>+$B203*_xlfn.XLOOKUP($C203,'ACTUAL %'!$A:$A,'ACTUAL %'!C:C)</f>
        <v>0</v>
      </c>
      <c r="H203">
        <f>+$B203*_xlfn.XLOOKUP($C203,'ACTUAL %'!$A:$A,'ACTUAL %'!D:D)</f>
        <v>0</v>
      </c>
      <c r="I203">
        <f>+$B203*_xlfn.XLOOKUP($C203,'ACTUAL %'!$A:$A,'ACTUAL %'!E:E)</f>
        <v>0</v>
      </c>
      <c r="J203">
        <f>+$B203*_xlfn.XLOOKUP($C203,'ACTUAL %'!$A:$A,'ACTUAL %'!F:F)</f>
        <v>0</v>
      </c>
      <c r="K203">
        <f>+$B203*_xlfn.XLOOKUP($C203,'ACTUAL %'!$A:$A,'ACTUAL %'!G:G)</f>
        <v>0</v>
      </c>
      <c r="L203">
        <f>+$B203*_xlfn.XLOOKUP($C203,'ACTUAL %'!$A:$A,'ACTUAL %'!H:H)</f>
        <v>0</v>
      </c>
      <c r="M203">
        <f>+$B203*_xlfn.XLOOKUP($C203,'ACTUAL %'!$A:$A,'ACTUAL %'!I:I)</f>
        <v>0</v>
      </c>
      <c r="N203">
        <f>+$B203*_xlfn.XLOOKUP($C203,'ACTUAL %'!$A:$A,'ACTUAL %'!J:J)</f>
        <v>0</v>
      </c>
      <c r="O203">
        <f>+$B203*_xlfn.XLOOKUP($C203,'ACTUAL %'!$A:$A,'ACTUAL %'!K:K)</f>
        <v>0</v>
      </c>
      <c r="P203">
        <f>+$B203*_xlfn.XLOOKUP($C203,'ACTUAL %'!$A:$A,'ACTUAL %'!L:L)</f>
        <v>0</v>
      </c>
      <c r="Q203">
        <f>+$B203*_xlfn.XLOOKUP($C203,'ACTUAL %'!$A:$A,'ACTUAL %'!M:M)</f>
        <v>0</v>
      </c>
      <c r="R203">
        <f>+$B203*_xlfn.XLOOKUP($C203,'ACTUAL %'!$A:$A,'ACTUAL %'!N:N)+S203+T203+U203</f>
        <v>0</v>
      </c>
      <c r="S203">
        <f>+$B203*_xlfn.XLOOKUP($C203,'ACTUAL %'!$A:$A,'ACTUAL %'!O:O)</f>
        <v>0</v>
      </c>
      <c r="T203">
        <f>+$B203*_xlfn.XLOOKUP($C203,'ACTUAL %'!$A:$A,'ACTUAL %'!P:P)</f>
        <v>0</v>
      </c>
      <c r="U203">
        <f>+$B203*_xlfn.XLOOKUP($C203,'ACTUAL %'!$A:$A,'ACTUAL %'!Q:Q)</f>
        <v>0</v>
      </c>
      <c r="V203">
        <f t="shared" si="18"/>
        <v>0</v>
      </c>
      <c r="W203" s="517">
        <f t="shared" si="19"/>
        <v>1769</v>
      </c>
    </row>
    <row r="204" spans="1:23" x14ac:dyDescent="0.75">
      <c r="A204" t="s">
        <v>1578</v>
      </c>
      <c r="B204">
        <v>-634630.8616549999</v>
      </c>
      <c r="C204">
        <f t="shared" si="15"/>
        <v>8792</v>
      </c>
      <c r="D204" t="str">
        <f t="shared" si="16"/>
        <v>040</v>
      </c>
      <c r="E204" t="str">
        <f t="shared" si="17"/>
        <v>6500</v>
      </c>
      <c r="F204" t="s">
        <v>1927</v>
      </c>
      <c r="G204">
        <f>+$B204*_xlfn.XLOOKUP($C204,'ACTUAL %'!$A:$A,'ACTUAL %'!C:C)</f>
        <v>-25175.299204014798</v>
      </c>
      <c r="H204">
        <f>+$B204*_xlfn.XLOOKUP($C204,'ACTUAL %'!$A:$A,'ACTUAL %'!D:D)</f>
        <v>-25175.299204014798</v>
      </c>
      <c r="I204">
        <f>+$B204*_xlfn.XLOOKUP($C204,'ACTUAL %'!$A:$A,'ACTUAL %'!E:E)</f>
        <v>-45315.701684831052</v>
      </c>
      <c r="J204">
        <f>+$B204*_xlfn.XLOOKUP($C204,'ACTUAL %'!$A:$A,'ACTUAL %'!F:F)</f>
        <v>-45315.701684831052</v>
      </c>
      <c r="K204">
        <f>+$B204*_xlfn.XLOOKUP($C204,'ACTUAL %'!$A:$A,'ACTUAL %'!G:G)</f>
        <v>-45315.701684831052</v>
      </c>
      <c r="L204">
        <f>+$B204*_xlfn.XLOOKUP($C204,'ACTUAL %'!$A:$A,'ACTUAL %'!H:H)</f>
        <v>-45315.701684831052</v>
      </c>
      <c r="M204">
        <f>+$B204*_xlfn.XLOOKUP($C204,'ACTUAL %'!$A:$A,'ACTUAL %'!I:I)</f>
        <v>-45315.701684831052</v>
      </c>
      <c r="N204">
        <f>+$B204*_xlfn.XLOOKUP($C204,'ACTUAL %'!$A:$A,'ACTUAL %'!J:J)</f>
        <v>-35531.707645732953</v>
      </c>
      <c r="O204">
        <f>+$B204*_xlfn.XLOOKUP($C204,'ACTUAL %'!$A:$A,'ACTUAL %'!K:K)</f>
        <v>-17408.152068043662</v>
      </c>
      <c r="P204">
        <f>+$B204*_xlfn.XLOOKUP($C204,'ACTUAL %'!$A:$A,'ACTUAL %'!L:L)</f>
        <v>-16772.23783724755</v>
      </c>
      <c r="Q204">
        <f>+$B204*_xlfn.XLOOKUP($C204,'ACTUAL %'!$A:$A,'ACTUAL %'!M:M)</f>
        <v>-16533.770000699002</v>
      </c>
      <c r="R204">
        <f>+$B204*_xlfn.XLOOKUP($C204,'ACTUAL %'!$A:$A,'ACTUAL %'!N:N)+S204+T204+U204</f>
        <v>-271455.88727109181</v>
      </c>
      <c r="S204">
        <f>+$B204*_xlfn.XLOOKUP($C204,'ACTUAL %'!$A:$A,'ACTUAL %'!O:O)</f>
        <v>-71540.350964562997</v>
      </c>
      <c r="T204">
        <f>+$B204*_xlfn.XLOOKUP($C204,'ACTUAL %'!$A:$A,'ACTUAL %'!P:P)</f>
        <v>-52144.966925281478</v>
      </c>
      <c r="U204">
        <f>+$B204*_xlfn.XLOOKUP($C204,'ACTUAL %'!$A:$A,'ACTUAL %'!Q:Q)</f>
        <v>-147770.56938124736</v>
      </c>
      <c r="V204">
        <f t="shared" si="18"/>
        <v>-634630.8616549999</v>
      </c>
      <c r="W204" s="517">
        <f t="shared" si="19"/>
        <v>0</v>
      </c>
    </row>
    <row r="205" spans="1:23" x14ac:dyDescent="0.75">
      <c r="A205" t="s">
        <v>1628</v>
      </c>
      <c r="B205">
        <v>-100</v>
      </c>
      <c r="C205">
        <f t="shared" si="15"/>
        <v>8660</v>
      </c>
      <c r="D205" t="str">
        <f t="shared" si="16"/>
        <v>040</v>
      </c>
      <c r="E205" t="str">
        <f t="shared" si="17"/>
        <v>0000</v>
      </c>
      <c r="F205" t="s">
        <v>1893</v>
      </c>
      <c r="G205">
        <f>+$B205*_xlfn.XLOOKUP($C205,'ACTUAL %'!$A:$A,'ACTUAL %'!C:C)</f>
        <v>-20.142035309483859</v>
      </c>
      <c r="H205">
        <f>+$B205*_xlfn.XLOOKUP($C205,'ACTUAL %'!$A:$A,'ACTUAL %'!D:D)</f>
        <v>-1.6132882629475449</v>
      </c>
      <c r="I205">
        <f>+$B205*_xlfn.XLOOKUP($C205,'ACTUAL %'!$A:$A,'ACTUAL %'!E:E)</f>
        <v>-1.6461126792257159E-2</v>
      </c>
      <c r="J205">
        <f>+$B205*_xlfn.XLOOKUP($C205,'ACTUAL %'!$A:$A,'ACTUAL %'!F:F)</f>
        <v>-14.434549287989004</v>
      </c>
      <c r="K205">
        <f>+$B205*_xlfn.XLOOKUP($C205,'ACTUAL %'!$A:$A,'ACTUAL %'!G:G)</f>
        <v>-2.2845011031156291E-2</v>
      </c>
      <c r="L205">
        <f>+$B205*_xlfn.XLOOKUP($C205,'ACTUAL %'!$A:$A,'ACTUAL %'!H:H)</f>
        <v>-2.3652168808488368E-2</v>
      </c>
      <c r="M205">
        <f>+$B205*_xlfn.XLOOKUP($C205,'ACTUAL %'!$A:$A,'ACTUAL %'!I:I)</f>
        <v>-26.299059294299511</v>
      </c>
      <c r="N205">
        <f>+$B205*_xlfn.XLOOKUP($C205,'ACTUAL %'!$A:$A,'ACTUAL %'!J:J)</f>
        <v>-7.4181219372501177</v>
      </c>
      <c r="O205">
        <f>+$B205*_xlfn.XLOOKUP($C205,'ACTUAL %'!$A:$A,'ACTUAL %'!K:K)</f>
        <v>-7.5074969003495182</v>
      </c>
      <c r="P205">
        <f>+$B205*_xlfn.XLOOKUP($C205,'ACTUAL %'!$A:$A,'ACTUAL %'!L:L)</f>
        <v>-7.5074969003495182</v>
      </c>
      <c r="Q205">
        <f>+$B205*_xlfn.XLOOKUP($C205,'ACTUAL %'!$A:$A,'ACTUAL %'!M:M)</f>
        <v>-7.5074969003495182</v>
      </c>
      <c r="R205">
        <f>+$B205*_xlfn.XLOOKUP($C205,'ACTUAL %'!$A:$A,'ACTUAL %'!N:N)+S205+T205+U205</f>
        <v>-7.5074969003495182</v>
      </c>
      <c r="S205">
        <f>+$B205*_xlfn.XLOOKUP($C205,'ACTUAL %'!$A:$A,'ACTUAL %'!O:O)</f>
        <v>0</v>
      </c>
      <c r="T205">
        <f>+$B205*_xlfn.XLOOKUP($C205,'ACTUAL %'!$A:$A,'ACTUAL %'!P:P)</f>
        <v>0</v>
      </c>
      <c r="U205">
        <f>+$B205*_xlfn.XLOOKUP($C205,'ACTUAL %'!$A:$A,'ACTUAL %'!Q:Q)</f>
        <v>0</v>
      </c>
      <c r="V205">
        <f t="shared" si="18"/>
        <v>-100.00000000000003</v>
      </c>
      <c r="W205" s="517">
        <f t="shared" si="19"/>
        <v>0</v>
      </c>
    </row>
    <row r="206" spans="1:23" x14ac:dyDescent="0.75">
      <c r="A206" t="s">
        <v>1747</v>
      </c>
      <c r="B206">
        <v>-683</v>
      </c>
      <c r="C206">
        <f t="shared" si="15"/>
        <v>8682</v>
      </c>
      <c r="D206" t="str">
        <f t="shared" si="16"/>
        <v>040</v>
      </c>
      <c r="E206" t="str">
        <f t="shared" si="17"/>
        <v>0000</v>
      </c>
      <c r="F206" t="s">
        <v>1894</v>
      </c>
      <c r="G206">
        <f>+$B206*_xlfn.XLOOKUP($C206,'ACTUAL %'!$A:$A,'ACTUAL %'!C:C)</f>
        <v>-25.806500366505205</v>
      </c>
      <c r="H206">
        <f>+$B206*_xlfn.XLOOKUP($C206,'ACTUAL %'!$A:$A,'ACTUAL %'!D:D)</f>
        <v>-219.35525311529423</v>
      </c>
      <c r="I206">
        <f>+$B206*_xlfn.XLOOKUP($C206,'ACTUAL %'!$A:$A,'ACTUAL %'!E:E)</f>
        <v>0</v>
      </c>
      <c r="J206">
        <f>+$B206*_xlfn.XLOOKUP($C206,'ACTUAL %'!$A:$A,'ACTUAL %'!F:F)</f>
        <v>0</v>
      </c>
      <c r="K206">
        <f>+$B206*_xlfn.XLOOKUP($C206,'ACTUAL %'!$A:$A,'ACTUAL %'!G:G)</f>
        <v>0</v>
      </c>
      <c r="L206">
        <f>+$B206*_xlfn.XLOOKUP($C206,'ACTUAL %'!$A:$A,'ACTUAL %'!H:H)</f>
        <v>-84.37435294828876</v>
      </c>
      <c r="M206">
        <f>+$B206*_xlfn.XLOOKUP($C206,'ACTUAL %'!$A:$A,'ACTUAL %'!I:I)</f>
        <v>-12.900669533215952</v>
      </c>
      <c r="N206">
        <f>+$B206*_xlfn.XLOOKUP($C206,'ACTUAL %'!$A:$A,'ACTUAL %'!J:J)</f>
        <v>-68.112644807339166</v>
      </c>
      <c r="O206">
        <f>+$B206*_xlfn.XLOOKUP($C206,'ACTUAL %'!$A:$A,'ACTUAL %'!K:K)</f>
        <v>-68.112644807339166</v>
      </c>
      <c r="P206">
        <f>+$B206*_xlfn.XLOOKUP($C206,'ACTUAL %'!$A:$A,'ACTUAL %'!L:L)</f>
        <v>-68.112644807339166</v>
      </c>
      <c r="Q206">
        <f>+$B206*_xlfn.XLOOKUP($C206,'ACTUAL %'!$A:$A,'ACTUAL %'!M:M)</f>
        <v>-68.112644807339166</v>
      </c>
      <c r="R206">
        <f>+$B206*_xlfn.XLOOKUP($C206,'ACTUAL %'!$A:$A,'ACTUAL %'!N:N)+S206+T206+U206</f>
        <v>-68.112644807339166</v>
      </c>
      <c r="S206">
        <f>+$B206*_xlfn.XLOOKUP($C206,'ACTUAL %'!$A:$A,'ACTUAL %'!O:O)</f>
        <v>0</v>
      </c>
      <c r="T206">
        <f>+$B206*_xlfn.XLOOKUP($C206,'ACTUAL %'!$A:$A,'ACTUAL %'!P:P)</f>
        <v>0</v>
      </c>
      <c r="U206">
        <f>+$B206*_xlfn.XLOOKUP($C206,'ACTUAL %'!$A:$A,'ACTUAL %'!Q:Q)</f>
        <v>0</v>
      </c>
      <c r="V206">
        <f t="shared" si="18"/>
        <v>-683</v>
      </c>
      <c r="W206" s="517">
        <f t="shared" si="19"/>
        <v>0</v>
      </c>
    </row>
    <row r="207" spans="1:23" x14ac:dyDescent="0.75">
      <c r="A207" t="s">
        <v>1629</v>
      </c>
      <c r="B207">
        <v>-10000</v>
      </c>
      <c r="C207">
        <f t="shared" si="15"/>
        <v>8699</v>
      </c>
      <c r="D207" t="str">
        <f t="shared" si="16"/>
        <v>040</v>
      </c>
      <c r="E207" t="str">
        <f t="shared" si="17"/>
        <v>0000</v>
      </c>
      <c r="F207" t="s">
        <v>1895</v>
      </c>
      <c r="G207">
        <f>+$B207*_xlfn.XLOOKUP($C207,'ACTUAL %'!$A:$A,'ACTUAL %'!C:C)</f>
        <v>-213.5943798885263</v>
      </c>
      <c r="H207">
        <f>+$B207*_xlfn.XLOOKUP($C207,'ACTUAL %'!$A:$A,'ACTUAL %'!D:D)</f>
        <v>-1175.9453244153387</v>
      </c>
      <c r="I207">
        <f>+$B207*_xlfn.XLOOKUP($C207,'ACTUAL %'!$A:$A,'ACTUAL %'!E:E)</f>
        <v>-1791.8597568466416</v>
      </c>
      <c r="J207">
        <f>+$B207*_xlfn.XLOOKUP($C207,'ACTUAL %'!$A:$A,'ACTUAL %'!F:F)</f>
        <v>-417.01978165117367</v>
      </c>
      <c r="K207">
        <f>+$B207*_xlfn.XLOOKUP($C207,'ACTUAL %'!$A:$A,'ACTUAL %'!G:G)</f>
        <v>-1371.1636677410163</v>
      </c>
      <c r="L207">
        <f>+$B207*_xlfn.XLOOKUP($C207,'ACTUAL %'!$A:$A,'ACTUAL %'!H:H)</f>
        <v>-1539.0123146215092</v>
      </c>
      <c r="M207">
        <f>+$B207*_xlfn.XLOOKUP($C207,'ACTUAL %'!$A:$A,'ACTUAL %'!I:I)</f>
        <v>-412.35518007305677</v>
      </c>
      <c r="N207">
        <f>+$B207*_xlfn.XLOOKUP($C207,'ACTUAL %'!$A:$A,'ACTUAL %'!J:J)</f>
        <v>-615.80991895254772</v>
      </c>
      <c r="O207">
        <f>+$B207*_xlfn.XLOOKUP($C207,'ACTUAL %'!$A:$A,'ACTUAL %'!K:K)</f>
        <v>-615.80991895254772</v>
      </c>
      <c r="P207">
        <f>+$B207*_xlfn.XLOOKUP($C207,'ACTUAL %'!$A:$A,'ACTUAL %'!L:L)</f>
        <v>-615.80991895254772</v>
      </c>
      <c r="Q207">
        <f>+$B207*_xlfn.XLOOKUP($C207,'ACTUAL %'!$A:$A,'ACTUAL %'!M:M)</f>
        <v>-615.80991895254772</v>
      </c>
      <c r="R207">
        <f>+$B207*_xlfn.XLOOKUP($C207,'ACTUAL %'!$A:$A,'ACTUAL %'!N:N)+S207+T207+U207</f>
        <v>-615.80991895254772</v>
      </c>
      <c r="S207">
        <f>+$B207*_xlfn.XLOOKUP($C207,'ACTUAL %'!$A:$A,'ACTUAL %'!O:O)</f>
        <v>0</v>
      </c>
      <c r="T207">
        <f>+$B207*_xlfn.XLOOKUP($C207,'ACTUAL %'!$A:$A,'ACTUAL %'!P:P)</f>
        <v>0</v>
      </c>
      <c r="U207">
        <f>+$B207*_xlfn.XLOOKUP($C207,'ACTUAL %'!$A:$A,'ACTUAL %'!Q:Q)</f>
        <v>0</v>
      </c>
      <c r="V207">
        <f t="shared" si="18"/>
        <v>-10000</v>
      </c>
      <c r="W207" s="517">
        <f t="shared" si="19"/>
        <v>0</v>
      </c>
    </row>
    <row r="208" spans="1:23" x14ac:dyDescent="0.75">
      <c r="A208" t="s">
        <v>1748</v>
      </c>
      <c r="B208">
        <v>-5092.8</v>
      </c>
      <c r="C208">
        <f t="shared" si="15"/>
        <v>8662</v>
      </c>
      <c r="D208" t="str">
        <f t="shared" si="16"/>
        <v>040</v>
      </c>
      <c r="E208" t="str">
        <f t="shared" si="17"/>
        <v>0000</v>
      </c>
      <c r="F208" t="s">
        <v>1896</v>
      </c>
      <c r="G208">
        <f>+$B208*_xlfn.XLOOKUP($C208,'ACTUAL %'!$A:$A,'ACTUAL %'!C:C)</f>
        <v>-3.4628996889183541</v>
      </c>
      <c r="H208">
        <f>+$B208*_xlfn.XLOOKUP($C208,'ACTUAL %'!$A:$A,'ACTUAL %'!D:D)</f>
        <v>0</v>
      </c>
      <c r="I208">
        <f>+$B208*_xlfn.XLOOKUP($C208,'ACTUAL %'!$A:$A,'ACTUAL %'!E:E)</f>
        <v>0</v>
      </c>
      <c r="J208">
        <f>+$B208*_xlfn.XLOOKUP($C208,'ACTUAL %'!$A:$A,'ACTUAL %'!F:F)</f>
        <v>0</v>
      </c>
      <c r="K208">
        <f>+$B208*_xlfn.XLOOKUP($C208,'ACTUAL %'!$A:$A,'ACTUAL %'!G:G)</f>
        <v>0</v>
      </c>
      <c r="L208">
        <f>+$B208*_xlfn.XLOOKUP($C208,'ACTUAL %'!$A:$A,'ACTUAL %'!H:H)</f>
        <v>0</v>
      </c>
      <c r="M208">
        <f>+$B208*_xlfn.XLOOKUP($C208,'ACTUAL %'!$A:$A,'ACTUAL %'!I:I)</f>
        <v>0</v>
      </c>
      <c r="N208">
        <f>+$B208*_xlfn.XLOOKUP($C208,'ACTUAL %'!$A:$A,'ACTUAL %'!J:J)</f>
        <v>-1017.8674200622163</v>
      </c>
      <c r="O208">
        <f>+$B208*_xlfn.XLOOKUP($C208,'ACTUAL %'!$A:$A,'ACTUAL %'!K:K)</f>
        <v>-1017.8674200622163</v>
      </c>
      <c r="P208">
        <f>+$B208*_xlfn.XLOOKUP($C208,'ACTUAL %'!$A:$A,'ACTUAL %'!L:L)</f>
        <v>-1017.8674200622163</v>
      </c>
      <c r="Q208">
        <f>+$B208*_xlfn.XLOOKUP($C208,'ACTUAL %'!$A:$A,'ACTUAL %'!M:M)</f>
        <v>-1017.8674200622163</v>
      </c>
      <c r="R208">
        <f>+$B208*_xlfn.XLOOKUP($C208,'ACTUAL %'!$A:$A,'ACTUAL %'!N:N)+S208+T208+U208</f>
        <v>-1017.8674200622163</v>
      </c>
      <c r="S208">
        <f>+$B208*_xlfn.XLOOKUP($C208,'ACTUAL %'!$A:$A,'ACTUAL %'!O:O)</f>
        <v>0</v>
      </c>
      <c r="T208">
        <f>+$B208*_xlfn.XLOOKUP($C208,'ACTUAL %'!$A:$A,'ACTUAL %'!P:P)</f>
        <v>0</v>
      </c>
      <c r="U208">
        <f>+$B208*_xlfn.XLOOKUP($C208,'ACTUAL %'!$A:$A,'ACTUAL %'!Q:Q)</f>
        <v>0</v>
      </c>
      <c r="V208">
        <f t="shared" si="18"/>
        <v>-5092.7999999999993</v>
      </c>
      <c r="W208" s="517">
        <f t="shared" si="19"/>
        <v>0</v>
      </c>
    </row>
  </sheetData>
  <autoFilter ref="A2:W208" xr:uid="{7B08408F-B12F-410B-BA36-334DCA258CA2}">
    <sortState xmlns:xlrd2="http://schemas.microsoft.com/office/spreadsheetml/2017/richdata2" ref="A3:W197">
      <sortCondition ref="A2:A197"/>
    </sortState>
  </autoFilter>
  <phoneticPr fontId="7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C330-7DAD-4274-BAE6-BCE5ECDD2023}">
  <sheetPr>
    <tabColor rgb="FFFFFF00"/>
    <pageSetUpPr fitToPage="1"/>
  </sheetPr>
  <dimension ref="A1:R50"/>
  <sheetViews>
    <sheetView showGridLines="0" zoomScale="70" zoomScaleNormal="70" workbookViewId="0">
      <pane xSplit="5" ySplit="8" topLeftCell="F9" activePane="bottomRight" state="frozen"/>
      <selection pane="topRight" activeCell="F1" sqref="F1"/>
      <selection pane="bottomLeft" activeCell="A8" sqref="A8"/>
      <selection pane="bottomRight" activeCell="H26" sqref="H26"/>
    </sheetView>
  </sheetViews>
  <sheetFormatPr defaultRowHeight="15.75" outlineLevelRow="1" x14ac:dyDescent="0.75"/>
  <cols>
    <col min="1" max="1" width="5.6796875" style="34" customWidth="1"/>
    <col min="2" max="2" width="6.31640625" style="39" customWidth="1"/>
    <col min="3" max="3" width="42.54296875" style="1" customWidth="1"/>
    <col min="4" max="4" width="16.86328125" style="31" hidden="1" customWidth="1"/>
    <col min="5" max="5" width="20.31640625" style="31" hidden="1" customWidth="1"/>
    <col min="6" max="6" width="18.86328125" style="31" bestFit="1" customWidth="1"/>
    <col min="7" max="7" width="10.2265625" style="31" bestFit="1" customWidth="1"/>
    <col min="8" max="8" width="16.6796875" style="31" customWidth="1"/>
    <col min="9" max="9" width="10.2265625" style="31" bestFit="1" customWidth="1"/>
    <col min="10" max="10" width="19.08984375" style="31" customWidth="1"/>
    <col min="11" max="11" width="10.2265625" style="31" bestFit="1" customWidth="1"/>
    <col min="12" max="12" width="20.31640625" style="31" customWidth="1"/>
    <col min="13" max="13" width="12.08984375" style="31" bestFit="1" customWidth="1"/>
    <col min="15" max="15" width="20.31640625" style="31" customWidth="1"/>
    <col min="16" max="16" width="19.453125" style="1" customWidth="1"/>
    <col min="17" max="17" width="20.31640625" style="31" customWidth="1"/>
    <col min="18" max="250" width="8.86328125" style="1"/>
    <col min="251" max="251" width="22.86328125" style="1" customWidth="1"/>
    <col min="252" max="506" width="8.86328125" style="1"/>
    <col min="507" max="507" width="22.86328125" style="1" customWidth="1"/>
    <col min="508" max="762" width="8.86328125" style="1"/>
    <col min="763" max="763" width="22.86328125" style="1" customWidth="1"/>
    <col min="764" max="1018" width="8.86328125" style="1"/>
    <col min="1019" max="1019" width="22.86328125" style="1" customWidth="1"/>
    <col min="1020" max="1274" width="8.86328125" style="1"/>
    <col min="1275" max="1275" width="22.86328125" style="1" customWidth="1"/>
    <col min="1276" max="1530" width="8.86328125" style="1"/>
    <col min="1531" max="1531" width="22.86328125" style="1" customWidth="1"/>
    <col min="1532" max="1786" width="8.86328125" style="1"/>
    <col min="1787" max="1787" width="22.86328125" style="1" customWidth="1"/>
    <col min="1788" max="2042" width="8.86328125" style="1"/>
    <col min="2043" max="2043" width="22.86328125" style="1" customWidth="1"/>
    <col min="2044" max="2298" width="8.86328125" style="1"/>
    <col min="2299" max="2299" width="22.86328125" style="1" customWidth="1"/>
    <col min="2300" max="2554" width="8.86328125" style="1"/>
    <col min="2555" max="2555" width="22.86328125" style="1" customWidth="1"/>
    <col min="2556" max="2810" width="8.86328125" style="1"/>
    <col min="2811" max="2811" width="22.86328125" style="1" customWidth="1"/>
    <col min="2812" max="3066" width="8.86328125" style="1"/>
    <col min="3067" max="3067" width="22.86328125" style="1" customWidth="1"/>
    <col min="3068" max="3322" width="8.86328125" style="1"/>
    <col min="3323" max="3323" width="22.86328125" style="1" customWidth="1"/>
    <col min="3324" max="3578" width="8.86328125" style="1"/>
    <col min="3579" max="3579" width="22.86328125" style="1" customWidth="1"/>
    <col min="3580" max="3834" width="8.86328125" style="1"/>
    <col min="3835" max="3835" width="22.86328125" style="1" customWidth="1"/>
    <col min="3836" max="4090" width="8.86328125" style="1"/>
    <col min="4091" max="4091" width="22.86328125" style="1" customWidth="1"/>
    <col min="4092" max="4346" width="8.86328125" style="1"/>
    <col min="4347" max="4347" width="22.86328125" style="1" customWidth="1"/>
    <col min="4348" max="4602" width="8.86328125" style="1"/>
    <col min="4603" max="4603" width="22.86328125" style="1" customWidth="1"/>
    <col min="4604" max="4858" width="8.86328125" style="1"/>
    <col min="4859" max="4859" width="22.86328125" style="1" customWidth="1"/>
    <col min="4860" max="5114" width="8.86328125" style="1"/>
    <col min="5115" max="5115" width="22.86328125" style="1" customWidth="1"/>
    <col min="5116" max="5370" width="8.86328125" style="1"/>
    <col min="5371" max="5371" width="22.86328125" style="1" customWidth="1"/>
    <col min="5372" max="5626" width="8.86328125" style="1"/>
    <col min="5627" max="5627" width="22.86328125" style="1" customWidth="1"/>
    <col min="5628" max="5882" width="8.86328125" style="1"/>
    <col min="5883" max="5883" width="22.86328125" style="1" customWidth="1"/>
    <col min="5884" max="6138" width="8.86328125" style="1"/>
    <col min="6139" max="6139" width="22.86328125" style="1" customWidth="1"/>
    <col min="6140" max="6394" width="8.86328125" style="1"/>
    <col min="6395" max="6395" width="22.86328125" style="1" customWidth="1"/>
    <col min="6396" max="6650" width="8.86328125" style="1"/>
    <col min="6651" max="6651" width="22.86328125" style="1" customWidth="1"/>
    <col min="6652" max="6906" width="8.86328125" style="1"/>
    <col min="6907" max="6907" width="22.86328125" style="1" customWidth="1"/>
    <col min="6908" max="7162" width="8.86328125" style="1"/>
    <col min="7163" max="7163" width="22.86328125" style="1" customWidth="1"/>
    <col min="7164" max="7418" width="8.86328125" style="1"/>
    <col min="7419" max="7419" width="22.86328125" style="1" customWidth="1"/>
    <col min="7420" max="7674" width="8.86328125" style="1"/>
    <col min="7675" max="7675" width="22.86328125" style="1" customWidth="1"/>
    <col min="7676" max="7930" width="8.86328125" style="1"/>
    <col min="7931" max="7931" width="22.86328125" style="1" customWidth="1"/>
    <col min="7932" max="8186" width="8.86328125" style="1"/>
    <col min="8187" max="8187" width="22.86328125" style="1" customWidth="1"/>
    <col min="8188" max="8442" width="8.86328125" style="1"/>
    <col min="8443" max="8443" width="22.86328125" style="1" customWidth="1"/>
    <col min="8444" max="8698" width="8.86328125" style="1"/>
    <col min="8699" max="8699" width="22.86328125" style="1" customWidth="1"/>
    <col min="8700" max="8954" width="8.86328125" style="1"/>
    <col min="8955" max="8955" width="22.86328125" style="1" customWidth="1"/>
    <col min="8956" max="9210" width="8.86328125" style="1"/>
    <col min="9211" max="9211" width="22.86328125" style="1" customWidth="1"/>
    <col min="9212" max="9466" width="8.86328125" style="1"/>
    <col min="9467" max="9467" width="22.86328125" style="1" customWidth="1"/>
    <col min="9468" max="9722" width="8.86328125" style="1"/>
    <col min="9723" max="9723" width="22.86328125" style="1" customWidth="1"/>
    <col min="9724" max="9978" width="8.86328125" style="1"/>
    <col min="9979" max="9979" width="22.86328125" style="1" customWidth="1"/>
    <col min="9980" max="10234" width="8.86328125" style="1"/>
    <col min="10235" max="10235" width="22.86328125" style="1" customWidth="1"/>
    <col min="10236" max="10490" width="8.86328125" style="1"/>
    <col min="10491" max="10491" width="22.86328125" style="1" customWidth="1"/>
    <col min="10492" max="10746" width="8.86328125" style="1"/>
    <col min="10747" max="10747" width="22.86328125" style="1" customWidth="1"/>
    <col min="10748" max="11002" width="8.86328125" style="1"/>
    <col min="11003" max="11003" width="22.86328125" style="1" customWidth="1"/>
    <col min="11004" max="11258" width="8.86328125" style="1"/>
    <col min="11259" max="11259" width="22.86328125" style="1" customWidth="1"/>
    <col min="11260" max="11514" width="8.86328125" style="1"/>
    <col min="11515" max="11515" width="22.86328125" style="1" customWidth="1"/>
    <col min="11516" max="11770" width="8.86328125" style="1"/>
    <col min="11771" max="11771" width="22.86328125" style="1" customWidth="1"/>
    <col min="11772" max="12026" width="8.86328125" style="1"/>
    <col min="12027" max="12027" width="22.86328125" style="1" customWidth="1"/>
    <col min="12028" max="12282" width="8.86328125" style="1"/>
    <col min="12283" max="12283" width="22.86328125" style="1" customWidth="1"/>
    <col min="12284" max="12538" width="8.86328125" style="1"/>
    <col min="12539" max="12539" width="22.86328125" style="1" customWidth="1"/>
    <col min="12540" max="12794" width="8.86328125" style="1"/>
    <col min="12795" max="12795" width="22.86328125" style="1" customWidth="1"/>
    <col min="12796" max="13050" width="8.86328125" style="1"/>
    <col min="13051" max="13051" width="22.86328125" style="1" customWidth="1"/>
    <col min="13052" max="13306" width="8.86328125" style="1"/>
    <col min="13307" max="13307" width="22.86328125" style="1" customWidth="1"/>
    <col min="13308" max="13562" width="8.86328125" style="1"/>
    <col min="13563" max="13563" width="22.86328125" style="1" customWidth="1"/>
    <col min="13564" max="13818" width="8.86328125" style="1"/>
    <col min="13819" max="13819" width="22.86328125" style="1" customWidth="1"/>
    <col min="13820" max="14074" width="8.86328125" style="1"/>
    <col min="14075" max="14075" width="22.86328125" style="1" customWidth="1"/>
    <col min="14076" max="14330" width="8.86328125" style="1"/>
    <col min="14331" max="14331" width="22.86328125" style="1" customWidth="1"/>
    <col min="14332" max="14586" width="8.86328125" style="1"/>
    <col min="14587" max="14587" width="22.86328125" style="1" customWidth="1"/>
    <col min="14588" max="14842" width="8.86328125" style="1"/>
    <col min="14843" max="14843" width="22.86328125" style="1" customWidth="1"/>
    <col min="14844" max="15098" width="8.86328125" style="1"/>
    <col min="15099" max="15099" width="22.86328125" style="1" customWidth="1"/>
    <col min="15100" max="15354" width="8.86328125" style="1"/>
    <col min="15355" max="15355" width="22.86328125" style="1" customWidth="1"/>
    <col min="15356" max="15610" width="8.86328125" style="1"/>
    <col min="15611" max="15611" width="22.86328125" style="1" customWidth="1"/>
    <col min="15612" max="15866" width="8.86328125" style="1"/>
    <col min="15867" max="15867" width="22.86328125" style="1" customWidth="1"/>
    <col min="15868" max="16122" width="8.86328125" style="1"/>
    <col min="16123" max="16123" width="22.86328125" style="1" customWidth="1"/>
    <col min="16124" max="16384" width="8.86328125" style="1"/>
  </cols>
  <sheetData>
    <row r="1" spans="1:17" ht="21" thickBot="1" x14ac:dyDescent="1">
      <c r="A1" s="22" t="str">
        <f>'Student Info w MYP'!$A$1</f>
        <v>Compass Charter Schools</v>
      </c>
      <c r="F1" s="803"/>
      <c r="G1" s="803"/>
      <c r="H1" s="803"/>
      <c r="I1" s="803"/>
      <c r="J1" s="803"/>
      <c r="M1"/>
    </row>
    <row r="2" spans="1:17" ht="18.5" thickBot="1" x14ac:dyDescent="0.9">
      <c r="A2" s="21" t="s">
        <v>795</v>
      </c>
      <c r="F2" s="584">
        <f ca="1">+F26+F31</f>
        <v>53174.734746867791</v>
      </c>
      <c r="H2" s="584">
        <f ca="1">+H26+H31</f>
        <v>81331.133868416771</v>
      </c>
      <c r="J2" s="584">
        <f ca="1">+J26+J31</f>
        <v>99773.239278675988</v>
      </c>
      <c r="M2"/>
    </row>
    <row r="3" spans="1:17" ht="31.5" x14ac:dyDescent="0.75">
      <c r="A3" s="21" t="str">
        <f>'Student Info w MYP'!$A$3</f>
        <v>2023-24 Budget- Adopted 5.38% COLA</v>
      </c>
      <c r="F3" s="621" t="s">
        <v>1979</v>
      </c>
      <c r="H3" s="621" t="s">
        <v>1979</v>
      </c>
      <c r="J3" s="621" t="s">
        <v>1979</v>
      </c>
    </row>
    <row r="4" spans="1:17" ht="16.5" thickBot="1" x14ac:dyDescent="0.9">
      <c r="A4" s="554"/>
      <c r="M4" s="561" t="s">
        <v>1941</v>
      </c>
    </row>
    <row r="5" spans="1:17" ht="16.5" thickBot="1" x14ac:dyDescent="0.9">
      <c r="C5" s="126" t="s">
        <v>2050</v>
      </c>
      <c r="D5" s="555"/>
      <c r="E5" s="555"/>
      <c r="F5" s="557">
        <v>708301.38348765112</v>
      </c>
      <c r="G5" s="556"/>
      <c r="H5" s="557">
        <v>224014.99800652824</v>
      </c>
      <c r="I5" s="556"/>
      <c r="J5" s="557">
        <v>610107.99547916837</v>
      </c>
      <c r="K5" s="556"/>
      <c r="L5" s="557">
        <f>+SUM(F5:J5)</f>
        <v>1542424.3769733477</v>
      </c>
      <c r="M5" s="559">
        <v>3010.67</v>
      </c>
    </row>
    <row r="6" spans="1:17" ht="18.5" thickBot="1" x14ac:dyDescent="0.9">
      <c r="A6" s="29"/>
      <c r="B6" s="40"/>
      <c r="C6" s="126" t="s">
        <v>2051</v>
      </c>
      <c r="D6" s="555"/>
      <c r="E6" s="555"/>
      <c r="F6" s="557">
        <v>406190.15068170521</v>
      </c>
      <c r="G6" s="556"/>
      <c r="H6" s="558">
        <v>-244216.1619236581</v>
      </c>
      <c r="I6" s="556"/>
      <c r="J6" s="557">
        <v>386541.42174195312</v>
      </c>
      <c r="K6" s="556"/>
      <c r="L6" s="557">
        <f>+SUM(F6:J6)</f>
        <v>548515.41050000023</v>
      </c>
      <c r="M6" s="559">
        <v>2250.0599999999995</v>
      </c>
    </row>
    <row r="7" spans="1:17" ht="18.5" thickBot="1" x14ac:dyDescent="0.9">
      <c r="A7" s="29"/>
      <c r="B7" s="40"/>
      <c r="C7" s="126" t="s">
        <v>2052</v>
      </c>
      <c r="D7" s="555"/>
      <c r="E7" s="555"/>
      <c r="F7" s="557">
        <v>196147.90501489397</v>
      </c>
      <c r="G7" s="556"/>
      <c r="H7" s="558">
        <v>-729560.62311540172</v>
      </c>
      <c r="I7" s="556"/>
      <c r="J7" s="557">
        <v>173304.72919808514</v>
      </c>
      <c r="K7" s="556"/>
      <c r="L7" s="558">
        <f>+SUM(F7:J7)</f>
        <v>-360107.9889024226</v>
      </c>
      <c r="M7" s="559">
        <v>2410.5787</v>
      </c>
      <c r="P7" s="642">
        <f>+P13/H13</f>
        <v>8.2346970387453214E-2</v>
      </c>
    </row>
    <row r="8" spans="1:17" ht="44" thickBot="1" x14ac:dyDescent="0.9">
      <c r="A8" s="30"/>
      <c r="B8" s="41"/>
      <c r="C8" s="30"/>
      <c r="D8" s="32">
        <f>'Student Info w MYP'!D$6</f>
        <v>0</v>
      </c>
      <c r="E8" s="32">
        <f>'Student Info w MYP'!E$6</f>
        <v>0</v>
      </c>
      <c r="F8" s="32" t="str">
        <f>'Student Info w MYP'!F$6</f>
        <v>Yolo</v>
      </c>
      <c r="G8" s="32"/>
      <c r="H8" s="32" t="str">
        <f>'Student Info w MYP'!G$6</f>
        <v>San Diego</v>
      </c>
      <c r="I8" s="32"/>
      <c r="J8" s="32" t="str">
        <f>'Student Info w MYP'!H$6</f>
        <v>Los Angeles</v>
      </c>
      <c r="K8" s="32"/>
      <c r="L8" s="32" t="str">
        <f>'Student Info w MYP'!I$6</f>
        <v>Total</v>
      </c>
      <c r="M8" s="560">
        <f>+'Student Info w MYP'!I63</f>
        <v>2380.3816000000002</v>
      </c>
      <c r="O8" s="643" t="s">
        <v>2058</v>
      </c>
      <c r="P8" s="644" t="s">
        <v>2059</v>
      </c>
      <c r="Q8" s="561" t="s">
        <v>2056</v>
      </c>
    </row>
    <row r="9" spans="1:17" ht="17.75" x14ac:dyDescent="0.75">
      <c r="A9" s="29" t="s">
        <v>789</v>
      </c>
      <c r="B9" s="40"/>
      <c r="C9" s="29"/>
      <c r="D9" s="46"/>
      <c r="E9" s="46"/>
      <c r="F9" s="46"/>
      <c r="G9" s="46"/>
      <c r="H9" s="46"/>
      <c r="I9" s="46"/>
      <c r="J9" s="46"/>
      <c r="K9" s="46"/>
      <c r="L9" s="46"/>
      <c r="M9" s="46"/>
      <c r="O9" s="46"/>
      <c r="Q9" s="46"/>
    </row>
    <row r="10" spans="1:17" ht="17.75" x14ac:dyDescent="0.75">
      <c r="A10" s="29"/>
      <c r="B10" s="124"/>
      <c r="C10" s="125" t="s">
        <v>778</v>
      </c>
      <c r="D10" s="62" t="str">
        <f>IF('Revenue w MYP'!E20=0,"",'Revenue w MYP'!E20)</f>
        <v/>
      </c>
      <c r="E10" s="62" t="str">
        <f>IF('Revenue w MYP'!F20=0,"",'Revenue w MYP'!F20)</f>
        <v/>
      </c>
      <c r="F10" s="62">
        <f>IF('Revenue w MYP'!G20=0,"",'Revenue w MYP'!G20)</f>
        <v>8168540.8299333332</v>
      </c>
      <c r="G10" s="62"/>
      <c r="H10" s="62">
        <f>IF('Revenue w MYP'!H20=0,"",'Revenue w MYP'!H20)</f>
        <v>10413022.360241333</v>
      </c>
      <c r="I10" s="62"/>
      <c r="J10" s="62">
        <f>IF('Revenue w MYP'!I20=0,"",'Revenue w MYP'!I20)</f>
        <v>11427074.178423336</v>
      </c>
      <c r="K10" s="62"/>
      <c r="L10" s="62">
        <f>+J10+H10+F10</f>
        <v>30008637.368598003</v>
      </c>
      <c r="M10" s="62"/>
      <c r="O10" s="62">
        <v>918412.09573000006</v>
      </c>
      <c r="P10" s="62">
        <v>918412.09573000006</v>
      </c>
      <c r="Q10" s="62">
        <f>+H10-P10</f>
        <v>9494610.2645113338</v>
      </c>
    </row>
    <row r="11" spans="1:17" ht="17.75" x14ac:dyDescent="0.75">
      <c r="A11" s="29"/>
      <c r="B11" s="124"/>
      <c r="C11" s="125" t="s">
        <v>782</v>
      </c>
      <c r="D11" s="62" t="str">
        <f>IF('Revenue w MYP'!E32=0,"",'Revenue w MYP'!E32)</f>
        <v/>
      </c>
      <c r="E11" s="62" t="str">
        <f>IF('Revenue w MYP'!F32=0,"",'Revenue w MYP'!F32)</f>
        <v/>
      </c>
      <c r="F11" s="62">
        <f>IF('Revenue w MYP'!G32=0,"",'Revenue w MYP'!G32)</f>
        <v>410148.42544816004</v>
      </c>
      <c r="G11" s="62"/>
      <c r="H11" s="62">
        <f>IF('Revenue w MYP'!H32=0,"",'Revenue w MYP'!H32)</f>
        <v>919341.78332168004</v>
      </c>
      <c r="I11" s="62"/>
      <c r="J11" s="62">
        <f>IF('Revenue w MYP'!I32=0,"",'Revenue w MYP'!I32)</f>
        <v>1229685.3498124001</v>
      </c>
      <c r="K11" s="62"/>
      <c r="L11" s="62">
        <f t="shared" ref="L11:L12" si="0">+J11+H11+F11</f>
        <v>2559175.5585822402</v>
      </c>
      <c r="M11" s="62"/>
      <c r="O11" s="62"/>
      <c r="P11" s="62"/>
      <c r="Q11" s="62">
        <f t="shared" ref="Q11:Q12" si="1">+H11-P11</f>
        <v>919341.78332168004</v>
      </c>
    </row>
    <row r="12" spans="1:17" ht="17.75" x14ac:dyDescent="0.75">
      <c r="A12" s="29"/>
      <c r="B12" s="124"/>
      <c r="C12" s="125" t="s">
        <v>790</v>
      </c>
      <c r="D12" s="62" t="str">
        <f>IF('Revenue w MYP'!E48=0,"",'Revenue w MYP'!E48)</f>
        <v/>
      </c>
      <c r="E12" s="62" t="str">
        <f>IF('Revenue w MYP'!F48=0,"",'Revenue w MYP'!F48)</f>
        <v/>
      </c>
      <c r="F12" s="62">
        <f>IF('Revenue w MYP'!G48=0,"",'Revenue w MYP'!G48)</f>
        <v>676656.55113696004</v>
      </c>
      <c r="G12" s="62"/>
      <c r="H12" s="62">
        <f>IF('Revenue w MYP'!H48=0,"",'Revenue w MYP'!H48)</f>
        <v>870618.25593408011</v>
      </c>
      <c r="I12" s="62"/>
      <c r="J12" s="62">
        <f>IF('Revenue w MYP'!I48=0,"",'Revenue w MYP'!I48)</f>
        <v>900175.5850944001</v>
      </c>
      <c r="K12" s="62"/>
      <c r="L12" s="62">
        <f t="shared" si="0"/>
        <v>2447450.3921654401</v>
      </c>
      <c r="M12" s="62"/>
      <c r="O12" s="62">
        <v>86466.53456</v>
      </c>
      <c r="P12" s="62">
        <v>86466.53456</v>
      </c>
      <c r="Q12" s="62">
        <f t="shared" si="1"/>
        <v>784151.72137408005</v>
      </c>
    </row>
    <row r="13" spans="1:17" ht="17.75" x14ac:dyDescent="0.75">
      <c r="A13" s="29"/>
      <c r="B13" s="34" t="s">
        <v>794</v>
      </c>
      <c r="C13" s="34"/>
      <c r="D13" s="153" t="str">
        <f t="shared" ref="D13:L13" si="2">IF(SUM(D10:D12)&gt;0,SUM(D10:D12),"")</f>
        <v/>
      </c>
      <c r="E13" s="153" t="str">
        <f t="shared" si="2"/>
        <v/>
      </c>
      <c r="F13" s="153">
        <f t="shared" si="2"/>
        <v>9255345.8065184522</v>
      </c>
      <c r="G13" s="153"/>
      <c r="H13" s="153">
        <f t="shared" si="2"/>
        <v>12202982.399497094</v>
      </c>
      <c r="I13" s="153"/>
      <c r="J13" s="153">
        <f t="shared" si="2"/>
        <v>13556935.113330135</v>
      </c>
      <c r="K13" s="153"/>
      <c r="L13" s="153">
        <f t="shared" si="2"/>
        <v>35015263.319345683</v>
      </c>
      <c r="M13" s="153"/>
      <c r="O13" s="153">
        <f t="shared" ref="O13:Q13" si="3">IF(SUM(O10:O12)&gt;0,SUM(O10:O12),"")</f>
        <v>1004878.63029</v>
      </c>
      <c r="P13" s="153">
        <f t="shared" ref="P13" si="4">IF(SUM(P10:P12)&gt;0,SUM(P10:P12),"")</f>
        <v>1004878.63029</v>
      </c>
      <c r="Q13" s="153">
        <f t="shared" si="3"/>
        <v>11198103.769207094</v>
      </c>
    </row>
    <row r="14" spans="1:17" s="39" customFormat="1" ht="8.4" customHeight="1" x14ac:dyDescent="0.75">
      <c r="A14" s="35"/>
      <c r="C14" s="1"/>
      <c r="D14" s="207"/>
      <c r="E14" s="207"/>
      <c r="F14" s="207"/>
      <c r="G14" s="207"/>
      <c r="H14" s="207"/>
      <c r="I14" s="207"/>
      <c r="J14" s="31"/>
      <c r="K14" s="207"/>
      <c r="L14" s="31"/>
      <c r="M14" s="207"/>
      <c r="N14"/>
      <c r="O14" s="31"/>
      <c r="Q14" s="31"/>
    </row>
    <row r="15" spans="1:17" ht="17.75" x14ac:dyDescent="0.75">
      <c r="A15" s="29" t="s">
        <v>796</v>
      </c>
      <c r="B15" s="40"/>
      <c r="C15" s="29"/>
      <c r="D15" s="162"/>
      <c r="E15" s="162"/>
      <c r="F15" s="162"/>
      <c r="G15" s="162"/>
      <c r="H15" s="162"/>
      <c r="I15" s="162"/>
      <c r="J15" s="162"/>
      <c r="K15" s="162"/>
      <c r="L15" s="162"/>
      <c r="M15" s="162"/>
      <c r="O15" s="162"/>
      <c r="Q15" s="162"/>
    </row>
    <row r="16" spans="1:17" ht="17.75" x14ac:dyDescent="0.75">
      <c r="A16" s="29"/>
      <c r="B16" s="65" t="s">
        <v>555</v>
      </c>
      <c r="C16" s="122" t="s">
        <v>731</v>
      </c>
      <c r="D16" s="62" t="str">
        <f>IF(SUMIF('Expenses w MYP'!$C:$C,'Budget Summary w OCLC'!$B16,'Expenses w MYP'!E:E)=0,"",SUMIF('Expenses w MYP'!$C:$C,'Budget Summary w OCLC'!$B16,'Expenses w MYP'!E:E))</f>
        <v/>
      </c>
      <c r="E16" s="62" t="str">
        <f>IF(SUMIF('Expenses w MYP'!$C:$C,'Budget Summary w OCLC'!$B16,'Expenses w MYP'!F:F)=0,"",SUMIF('Expenses w MYP'!$C:$C,'Budget Summary w OCLC'!$B16,'Expenses w MYP'!F:F))</f>
        <v/>
      </c>
      <c r="F16" s="62">
        <f ca="1">IF(SUMIF('Expenses w MYP'!$C:$C,'Budget Summary w OCLC'!$B16,'Expenses w MYP'!G:G)=0,"",SUMIF('Expenses w MYP'!$C:$C,'Budget Summary w OCLC'!$B16,'Expenses w MYP'!G:G))</f>
        <v>3514570.2663867436</v>
      </c>
      <c r="G16" s="270">
        <f ca="1">+F16/F24</f>
        <v>0.39303321734488489</v>
      </c>
      <c r="H16" s="62">
        <f ca="1">IF(SUMIF('Expenses w MYP'!$C:$C,'Budget Summary w OCLC'!$B16,'Expenses w MYP'!H:H)=0,"",SUMIF('Expenses w MYP'!$C:$C,'Budget Summary w OCLC'!$B16,'Expenses w MYP'!H:H))</f>
        <v>4895521.2784536891</v>
      </c>
      <c r="I16" s="270">
        <f ca="1">+H16/H24</f>
        <v>0.4141148447414757</v>
      </c>
      <c r="J16" s="62">
        <f ca="1">IF(SUMIF('Expenses w MYP'!$C:$C,'Budget Summary w OCLC'!$B16,'Expenses w MYP'!I:I)=0,"",SUMIF('Expenses w MYP'!$C:$C,'Budget Summary w OCLC'!$B16,'Expenses w MYP'!I:I))</f>
        <v>5148503.1539204605</v>
      </c>
      <c r="K16" s="270">
        <f ca="1">+J16/J24</f>
        <v>0.3943049189083041</v>
      </c>
      <c r="L16" s="62">
        <f ca="1">IF(SUMIF('Expenses w MYP'!$C:$C,'Budget Summary w OCLC'!$B16,'Expenses w MYP'!K:K)=0,"",SUMIF('Expenses w MYP'!$C:$C,'Budget Summary w OCLC'!$B16,'Expenses w MYP'!K:K))</f>
        <v>13558594.698760893</v>
      </c>
      <c r="M16" s="270">
        <f ca="1">+L16/L24</f>
        <v>0.40089296674488795</v>
      </c>
      <c r="O16" s="62">
        <v>507726.82500000001</v>
      </c>
      <c r="P16" s="62">
        <f ca="1">+((H16-O16)*$P$7)+O16</f>
        <v>869048.40492478246</v>
      </c>
      <c r="Q16" s="62">
        <f t="shared" ref="Q16:Q18" ca="1" si="5">+H16-P16</f>
        <v>4026472.8735289066</v>
      </c>
    </row>
    <row r="17" spans="1:18" ht="17.75" x14ac:dyDescent="0.75">
      <c r="A17" s="29"/>
      <c r="B17" s="123" t="s">
        <v>736</v>
      </c>
      <c r="C17" s="122" t="s">
        <v>732</v>
      </c>
      <c r="D17" s="62" t="str">
        <f>IF(SUMIF('Expenses w MYP'!$C:$C,'Budget Summary w OCLC'!$B17,'Expenses w MYP'!E:E)=0,"",SUMIF('Expenses w MYP'!$C:$C,'Budget Summary w OCLC'!$B17,'Expenses w MYP'!E:E))</f>
        <v/>
      </c>
      <c r="E17" s="62" t="str">
        <f>IF(SUMIF('Expenses w MYP'!$C:$C,'Budget Summary w OCLC'!$B17,'Expenses w MYP'!F:F)=0,"",SUMIF('Expenses w MYP'!$C:$C,'Budget Summary w OCLC'!$B17,'Expenses w MYP'!F:F))</f>
        <v/>
      </c>
      <c r="F17" s="62">
        <f ca="1">IF(SUMIF('Expenses w MYP'!$C:$C,'Budget Summary w OCLC'!$B17,'Expenses w MYP'!G:G)=0,"",SUMIF('Expenses w MYP'!$C:$C,'Budget Summary w OCLC'!$B17,'Expenses w MYP'!G:G))</f>
        <v>891441.02392491023</v>
      </c>
      <c r="G17" s="270">
        <f ca="1">+F17/F24</f>
        <v>9.9689551538438836E-2</v>
      </c>
      <c r="H17" s="62">
        <f ca="1">IF(SUMIF('Expenses w MYP'!$C:$C,'Budget Summary w OCLC'!$B17,'Expenses w MYP'!H:H)=0,"",SUMIF('Expenses w MYP'!$C:$C,'Budget Summary w OCLC'!$B17,'Expenses w MYP'!H:H))</f>
        <v>1107636.9319311758</v>
      </c>
      <c r="I17" s="270">
        <f ca="1">+H17/H24</f>
        <v>9.3695618915067988E-2</v>
      </c>
      <c r="J17" s="62">
        <f ca="1">IF(SUMIF('Expenses w MYP'!$C:$C,'Budget Summary w OCLC'!$B17,'Expenses w MYP'!I:I)=0,"",SUMIF('Expenses w MYP'!$C:$C,'Budget Summary w OCLC'!$B17,'Expenses w MYP'!I:I))</f>
        <v>1305874.2820156901</v>
      </c>
      <c r="K17" s="270">
        <f ca="1">+J17/J24</f>
        <v>0.1000121078847049</v>
      </c>
      <c r="L17" s="62">
        <f ca="1">IF(SUMIF('Expenses w MYP'!$C:$C,'Budget Summary w OCLC'!$B17,'Expenses w MYP'!K:K)=0,"",SUMIF('Expenses w MYP'!$C:$C,'Budget Summary w OCLC'!$B17,'Expenses w MYP'!K:K))</f>
        <v>3304952.2378717759</v>
      </c>
      <c r="M17" s="270">
        <f ca="1">+L17/L24</f>
        <v>9.7718984675576825E-2</v>
      </c>
      <c r="O17" s="62">
        <v>67200</v>
      </c>
      <c r="P17" s="62">
        <f t="shared" ref="P17:P18" ca="1" si="6">+((H17-O17)*$P$7)+O17</f>
        <v>152876.8292237492</v>
      </c>
      <c r="Q17" s="62">
        <f t="shared" ca="1" si="5"/>
        <v>954760.10270742653</v>
      </c>
    </row>
    <row r="18" spans="1:18" ht="18.5" thickBot="1" x14ac:dyDescent="0.9">
      <c r="A18" s="29"/>
      <c r="B18" s="123" t="s">
        <v>737</v>
      </c>
      <c r="C18" s="122" t="s">
        <v>672</v>
      </c>
      <c r="D18" s="62" t="str">
        <f>IF(SUMIF('Expenses w MYP'!$C:$C,'Budget Summary w OCLC'!$B18,'Expenses w MYP'!E:E)=0,"",SUMIF('Expenses w MYP'!$C:$C,'Budget Summary w OCLC'!$B18,'Expenses w MYP'!E:E))</f>
        <v/>
      </c>
      <c r="E18" s="62" t="str">
        <f>IF(SUMIF('Expenses w MYP'!$C:$C,'Budget Summary w OCLC'!$B18,'Expenses w MYP'!F:F)=0,"",SUMIF('Expenses w MYP'!$C:$C,'Budget Summary w OCLC'!$B18,'Expenses w MYP'!F:F))</f>
        <v/>
      </c>
      <c r="F18" s="269">
        <f ca="1">IF(SUMIF('Expenses w MYP'!$C:$C,'Budget Summary w OCLC'!$B18,'Expenses w MYP'!G:G)=0,"",SUMIF('Expenses w MYP'!$C:$C,'Budget Summary w OCLC'!$B18,'Expenses w MYP'!G:G))</f>
        <v>1411346.9877217372</v>
      </c>
      <c r="G18" s="271">
        <f ca="1">+F18/F24</f>
        <v>0.15783046157292172</v>
      </c>
      <c r="H18" s="269">
        <f ca="1">IF(SUMIF('Expenses w MYP'!$C:$C,'Budget Summary w OCLC'!$B18,'Expenses w MYP'!H:H)=0,"",SUMIF('Expenses w MYP'!$C:$C,'Budget Summary w OCLC'!$B18,'Expenses w MYP'!H:H))</f>
        <v>1952480.1407253153</v>
      </c>
      <c r="I18" s="271">
        <f ca="1">+H18/H24</f>
        <v>0.16516137186368626</v>
      </c>
      <c r="J18" s="269">
        <f ca="1">IF(SUMIF('Expenses w MYP'!$C:$C,'Budget Summary w OCLC'!$B18,'Expenses w MYP'!I:I)=0,"",SUMIF('Expenses w MYP'!$C:$C,'Budget Summary w OCLC'!$B18,'Expenses w MYP'!I:I))</f>
        <v>2067485.8849903869</v>
      </c>
      <c r="K18" s="271">
        <f ca="1">+J18/J24</f>
        <v>0.15834113913369707</v>
      </c>
      <c r="L18" s="269">
        <f ca="1">IF(SUMIF('Expenses w MYP'!$C:$C,'Budget Summary w OCLC'!$B18,'Expenses w MYP'!K:K)=0,"",SUMIF('Expenses w MYP'!$C:$C,'Budget Summary w OCLC'!$B18,'Expenses w MYP'!K:K))</f>
        <v>5431313.0134374388</v>
      </c>
      <c r="M18" s="271">
        <f ca="1">+L18/L24</f>
        <v>0.1605900342663123</v>
      </c>
      <c r="N18" s="505"/>
      <c r="O18" s="269">
        <v>197701.36492999998</v>
      </c>
      <c r="P18" s="62">
        <f t="shared" ca="1" si="6"/>
        <v>342202.0808169482</v>
      </c>
      <c r="Q18" s="62">
        <f t="shared" ca="1" si="5"/>
        <v>1610278.0599083672</v>
      </c>
    </row>
    <row r="19" spans="1:18" s="263" customFormat="1" ht="15" customHeight="1" x14ac:dyDescent="0.65">
      <c r="B19" s="264"/>
      <c r="C19" s="265" t="s">
        <v>1326</v>
      </c>
      <c r="D19" s="266"/>
      <c r="E19" s="267"/>
      <c r="F19" s="266">
        <f ca="1">SUM(F16:F18)</f>
        <v>5817358.2780333916</v>
      </c>
      <c r="G19" s="267">
        <f ca="1">+F19/F24</f>
        <v>0.65055323045624547</v>
      </c>
      <c r="H19" s="266">
        <f ca="1">SUM(H16:H18)</f>
        <v>7955638.3511101799</v>
      </c>
      <c r="I19" s="267">
        <f ca="1">+H19/H24</f>
        <v>0.67297183552022988</v>
      </c>
      <c r="J19" s="266">
        <f ca="1">SUM(J16:J18)</f>
        <v>8521863.3209265377</v>
      </c>
      <c r="K19" s="267">
        <f ca="1">+J19/J24</f>
        <v>0.65265816592670611</v>
      </c>
      <c r="L19" s="266">
        <f ca="1">SUM(L16:L18)</f>
        <v>22294859.950070109</v>
      </c>
      <c r="M19" s="267">
        <f ca="1">+L19/L24</f>
        <v>0.65920198568677713</v>
      </c>
      <c r="N19" s="268"/>
      <c r="O19" s="266">
        <f>SUM(O16:O18)</f>
        <v>772628.18992999988</v>
      </c>
      <c r="P19" s="266">
        <f ca="1">SUM(P16:P18)</f>
        <v>1364127.31496548</v>
      </c>
      <c r="Q19" s="266">
        <f ca="1">SUM(Q16:Q18)</f>
        <v>6591511.0361446999</v>
      </c>
    </row>
    <row r="20" spans="1:18" ht="17.75" x14ac:dyDescent="0.75">
      <c r="A20" s="29"/>
      <c r="B20" s="123" t="s">
        <v>558</v>
      </c>
      <c r="C20" s="122" t="s">
        <v>676</v>
      </c>
      <c r="D20" s="62" t="str">
        <f>IF(SUMIF('Expenses w MYP'!$C:$C,'Budget Summary w OCLC'!$B20,'Expenses w MYP'!E:E)=0,"",SUMIF('Expenses w MYP'!$C:$C,'Budget Summary w OCLC'!$B20,'Expenses w MYP'!E:E))</f>
        <v/>
      </c>
      <c r="E20" s="62" t="str">
        <f>IF(SUMIF('Expenses w MYP'!$C:$C,'Budget Summary w OCLC'!$B20,'Expenses w MYP'!F:F)=0,"",SUMIF('Expenses w MYP'!$C:$C,'Budget Summary w OCLC'!$B20,'Expenses w MYP'!F:F))</f>
        <v/>
      </c>
      <c r="F20" s="62">
        <f>IF(SUMIF('Expenses w MYP'!$C:$C,'Budget Summary w OCLC'!$B20,'Expenses w MYP'!G:G)=0,"",SUMIF('Expenses w MYP'!$C:$C,'Budget Summary w OCLC'!$B20,'Expenses w MYP'!G:G))</f>
        <v>1517317.9991322069</v>
      </c>
      <c r="G20" s="270">
        <f ca="1">+F20/F24</f>
        <v>0.16968116433402144</v>
      </c>
      <c r="H20" s="62">
        <f>IF(SUMIF('Expenses w MYP'!$C:$C,'Budget Summary w OCLC'!$B20,'Expenses w MYP'!H:H)=0,"",SUMIF('Expenses w MYP'!$C:$C,'Budget Summary w OCLC'!$B20,'Expenses w MYP'!H:H))</f>
        <v>1874813.027450738</v>
      </c>
      <c r="I20" s="270">
        <f ca="1">+H20/H24</f>
        <v>0.15859146791969211</v>
      </c>
      <c r="J20" s="62">
        <f>IF(SUMIF('Expenses w MYP'!$C:$C,'Budget Summary w OCLC'!$B20,'Expenses w MYP'!I:I)=0,"",SUMIF('Expenses w MYP'!$C:$C,'Budget Summary w OCLC'!$B20,'Expenses w MYP'!I:I))</f>
        <v>2227518.9734170553</v>
      </c>
      <c r="K20" s="270">
        <f ca="1">+J20/J24</f>
        <v>0.17059748472934314</v>
      </c>
      <c r="L20" s="62">
        <f>IF(SUMIF('Expenses w MYP'!$C:$C,'Budget Summary w OCLC'!$B20,'Expenses w MYP'!K:K)=0,"",SUMIF('Expenses w MYP'!$C:$C,'Budget Summary w OCLC'!$B20,'Expenses w MYP'!K:K))</f>
        <v>5619650</v>
      </c>
      <c r="M20" s="270">
        <f ca="1">+L20/L24</f>
        <v>0.16615867725390435</v>
      </c>
      <c r="O20" s="62">
        <v>3500</v>
      </c>
      <c r="P20" s="62">
        <f>+O20+(95*650)</f>
        <v>65250</v>
      </c>
      <c r="Q20" s="62">
        <f t="shared" ref="Q20:Q22" si="7">+H20-P20</f>
        <v>1809563.027450738</v>
      </c>
    </row>
    <row r="21" spans="1:18" ht="17.75" x14ac:dyDescent="0.75">
      <c r="A21" s="29"/>
      <c r="B21" s="123" t="s">
        <v>559</v>
      </c>
      <c r="C21" s="122" t="s">
        <v>720</v>
      </c>
      <c r="D21" s="62" t="str">
        <f>IF(SUMIF('Expenses w MYP'!$C:$C,'Budget Summary w OCLC'!$B21,'Expenses w MYP'!E:E)=0,"",SUMIF('Expenses w MYP'!$C:$C,'Budget Summary w OCLC'!$B21,'Expenses w MYP'!E:E))</f>
        <v/>
      </c>
      <c r="E21" s="62" t="str">
        <f>IF(SUMIF('Expenses w MYP'!$C:$C,'Budget Summary w OCLC'!$B21,'Expenses w MYP'!F:F)=0,"",SUMIF('Expenses w MYP'!$C:$C,'Budget Summary w OCLC'!$B21,'Expenses w MYP'!F:F))</f>
        <v/>
      </c>
      <c r="F21" s="62">
        <f>IF(SUMIF('Expenses w MYP'!$C:$C,'Budget Summary w OCLC'!$B21,'Expenses w MYP'!G:G)=0,"",SUMIF('Expenses w MYP'!$C:$C,'Budget Summary w OCLC'!$B21,'Expenses w MYP'!G:G))</f>
        <v>1607494.7946059857</v>
      </c>
      <c r="G21" s="270">
        <f ca="1">+F21/F24</f>
        <v>0.179765605209733</v>
      </c>
      <c r="H21" s="62">
        <f>IF(SUMIF('Expenses w MYP'!$C:$C,'Budget Summary w OCLC'!$B21,'Expenses w MYP'!H:H)=0,"",SUMIF('Expenses w MYP'!$C:$C,'Budget Summary w OCLC'!$B21,'Expenses w MYP'!H:H))</f>
        <v>1991199.8870677585</v>
      </c>
      <c r="I21" s="270">
        <f ca="1">+H21/H24</f>
        <v>0.16843669656007793</v>
      </c>
      <c r="J21" s="62">
        <f>IF(SUMIF('Expenses w MYP'!$C:$C,'Budget Summary w OCLC'!$B21,'Expenses w MYP'!I:I)=0,"",SUMIF('Expenses w MYP'!$C:$C,'Budget Summary w OCLC'!$B21,'Expenses w MYP'!I:I))</f>
        <v>2307779.5797078661</v>
      </c>
      <c r="K21" s="270">
        <f ca="1">+J21/J24</f>
        <v>0.17674434934395078</v>
      </c>
      <c r="L21" s="62">
        <f>IF(SUMIF('Expenses w MYP'!$C:$C,'Budget Summary w OCLC'!$B21,'Expenses w MYP'!K:K)=0,"",SUMIF('Expenses w MYP'!$C:$C,'Budget Summary w OCLC'!$B21,'Expenses w MYP'!K:K))</f>
        <v>5906474.2613816103</v>
      </c>
      <c r="M21" s="270">
        <f ca="1">+L21/L24</f>
        <v>0.17463933705931864</v>
      </c>
      <c r="O21" s="62">
        <v>80473.393111225014</v>
      </c>
      <c r="P21" s="62">
        <f>+O21</f>
        <v>80473.393111225014</v>
      </c>
      <c r="Q21" s="62">
        <f t="shared" si="7"/>
        <v>1910726.4939565335</v>
      </c>
      <c r="R21" s="1" t="s">
        <v>2061</v>
      </c>
    </row>
    <row r="22" spans="1:18" ht="17.75" x14ac:dyDescent="0.75">
      <c r="A22" s="29"/>
      <c r="B22" s="123" t="s">
        <v>560</v>
      </c>
      <c r="C22" s="83" t="s">
        <v>721</v>
      </c>
      <c r="D22" s="62" t="str">
        <f>IF(SUMIF('Expenses w MYP'!$C:$C,'Budget Summary w OCLC'!$B22,'Expenses w MYP'!E:E)=0,"",SUMIF('Expenses w MYP'!$C:$C,'Budget Summary w OCLC'!$B22,'Expenses w MYP'!E:E))</f>
        <v/>
      </c>
      <c r="E22" s="62" t="str">
        <f>IF(SUMIF('Expenses w MYP'!$C:$C,'Budget Summary w OCLC'!$B22,'Expenses w MYP'!F:F)=0,"",SUMIF('Expenses w MYP'!$C:$C,'Budget Summary w OCLC'!$B22,'Expenses w MYP'!F:F))</f>
        <v/>
      </c>
      <c r="F22" s="62" t="str">
        <f>IF(SUMIF('Expenses w MYP'!$C:$C,'Budget Summary w OCLC'!$B22,'Expenses w MYP'!G:G)=0,"",SUMIF('Expenses w MYP'!$C:$C,'Budget Summary w OCLC'!$B22,'Expenses w MYP'!G:G))</f>
        <v/>
      </c>
      <c r="G22" s="546"/>
      <c r="H22" s="62"/>
      <c r="I22" s="270"/>
      <c r="J22" s="62"/>
      <c r="K22" s="270"/>
      <c r="L22" s="62"/>
      <c r="M22" s="270"/>
      <c r="O22" s="62">
        <v>0</v>
      </c>
      <c r="P22" s="62">
        <v>0</v>
      </c>
      <c r="Q22" s="62">
        <f t="shared" si="7"/>
        <v>0</v>
      </c>
    </row>
    <row r="23" spans="1:18" ht="17.75" x14ac:dyDescent="0.75">
      <c r="A23" s="29"/>
      <c r="B23" s="123" t="s">
        <v>683</v>
      </c>
      <c r="C23" s="83" t="s">
        <v>722</v>
      </c>
      <c r="D23" s="62" t="str">
        <f>IF(SUMIF('Expenses w MYP'!$C:$C,'Budget Summary w OCLC'!$B23,'Expenses w MYP'!E:E)=0,"",SUMIF('Expenses w MYP'!$C:$C,'Budget Summary w OCLC'!$B23,'Expenses w MYP'!E:E))</f>
        <v/>
      </c>
      <c r="E23" s="62" t="str">
        <f>IF(SUMIF('Expenses w MYP'!$C:$C,'Budget Summary w OCLC'!$B23,'Expenses w MYP'!F:F)=0,"",SUMIF('Expenses w MYP'!$C:$C,'Budget Summary w OCLC'!$B23,'Expenses w MYP'!F:F))</f>
        <v/>
      </c>
      <c r="F23" s="62" t="str">
        <f>IF(SUMIF('Expenses w MYP'!$C:$C,'Budget Summary w OCLC'!$B23,'Expenses w MYP'!G:G)=0,"",SUMIF('Expenses w MYP'!$C:$C,'Budget Summary w OCLC'!$B23,'Expenses w MYP'!G:G))</f>
        <v/>
      </c>
      <c r="G23" s="62"/>
      <c r="H23" s="62">
        <f>+'Expenses w MYP'!I119</f>
        <v>0</v>
      </c>
      <c r="I23" s="62"/>
      <c r="J23" s="62" t="str">
        <f>IF(SUMIF('Expenses w MYP'!$C:$C,'Budget Summary w OCLC'!$B23,'Expenses w MYP'!I:I)=0,"",SUMIF('Expenses w MYP'!$C:$C,'Budget Summary w OCLC'!$B23,'Expenses w MYP'!I:I))</f>
        <v/>
      </c>
      <c r="K23" s="62"/>
      <c r="L23" s="62" t="str">
        <f>IF(SUMIF('Expenses w MYP'!$C:$C,'Budget Summary w OCLC'!$B23,'Expenses w MYP'!J:J)=0,"",SUMIF('Expenses w MYP'!$C:$C,'Budget Summary w OCLC'!$B23,'Expenses w MYP'!J:J))</f>
        <v/>
      </c>
      <c r="M23" s="62"/>
      <c r="O23" s="62">
        <v>0</v>
      </c>
      <c r="P23" s="62">
        <v>0</v>
      </c>
      <c r="Q23" s="62">
        <v>0</v>
      </c>
    </row>
    <row r="24" spans="1:18" ht="17.75" x14ac:dyDescent="0.75">
      <c r="A24" s="29"/>
      <c r="B24" s="34" t="s">
        <v>730</v>
      </c>
      <c r="C24" s="34"/>
      <c r="D24" s="153" t="str">
        <f t="shared" ref="D24:E24" si="8">IF(SUM(D16:D23)&gt;0,SUM(D16:D23),"")</f>
        <v/>
      </c>
      <c r="E24" s="153" t="str">
        <f t="shared" si="8"/>
        <v/>
      </c>
      <c r="F24" s="153">
        <f ca="1">IF(SUM(F19:F23)&gt;0,SUM(F19:F23),"")</f>
        <v>8942171.0717715845</v>
      </c>
      <c r="G24" s="153"/>
      <c r="H24" s="153">
        <f ca="1">IF(SUM(H19:H23)&gt;0,SUM(H19:H23),"")</f>
        <v>11821651.265628677</v>
      </c>
      <c r="I24" s="153"/>
      <c r="J24" s="153">
        <f ca="1">IF(SUM(J19:J23)&gt;0,SUM(J19:J23),"")</f>
        <v>13057161.874051459</v>
      </c>
      <c r="K24" s="153"/>
      <c r="L24" s="153">
        <f ca="1">IF(SUM(L19:L23)&gt;0,SUM(L19:L23),"")</f>
        <v>33820984.211451717</v>
      </c>
      <c r="M24" s="153"/>
      <c r="O24" s="153">
        <f>IF(SUM(O19:O23)&gt;0,SUM(O19:O23),"")</f>
        <v>856601.58304122486</v>
      </c>
      <c r="P24" s="153">
        <f ca="1">IF(SUM(P19:P23)&gt;0,SUM(P19:P23),"")</f>
        <v>1509850.708076705</v>
      </c>
      <c r="Q24" s="153">
        <f ca="1">IF(SUM(Q19:Q23)&gt;0,SUM(Q19:Q23),"")</f>
        <v>10311800.557551973</v>
      </c>
    </row>
    <row r="25" spans="1:18" s="31" customFormat="1" ht="16.5" thickBot="1" x14ac:dyDescent="0.9">
      <c r="A25" s="82"/>
      <c r="B25" s="80"/>
      <c r="C25" s="81"/>
      <c r="D25" s="163"/>
      <c r="E25" s="163"/>
      <c r="F25" s="163"/>
      <c r="G25" s="163"/>
      <c r="H25" s="163"/>
      <c r="I25" s="163"/>
      <c r="J25" s="163"/>
      <c r="K25" s="163"/>
      <c r="L25" s="163"/>
      <c r="M25" s="163"/>
      <c r="N25"/>
      <c r="O25" s="163"/>
      <c r="P25" s="163"/>
      <c r="Q25" s="163"/>
    </row>
    <row r="26" spans="1:18" s="31" customFormat="1" x14ac:dyDescent="0.75">
      <c r="A26" s="34" t="s">
        <v>797</v>
      </c>
      <c r="B26" s="3"/>
      <c r="C26" s="2"/>
      <c r="D26" s="153" t="str">
        <f>IF(D24="","",D13-D24)</f>
        <v/>
      </c>
      <c r="E26" s="153" t="str">
        <f>IF(E24="","",E13-E24)</f>
        <v/>
      </c>
      <c r="F26" s="45">
        <f ca="1">IF(F24="","",F13-F24)</f>
        <v>313174.73474686779</v>
      </c>
      <c r="G26" s="153"/>
      <c r="H26" s="45">
        <f ca="1">IF(H24="","",H13-H24)</f>
        <v>381331.13386841677</v>
      </c>
      <c r="I26" s="153"/>
      <c r="J26" s="45">
        <f ca="1">IF(J24="","",J13-J24)</f>
        <v>499773.23927867599</v>
      </c>
      <c r="K26" s="153"/>
      <c r="L26" s="153">
        <f ca="1">+J26+H26+F26</f>
        <v>1194279.1078939606</v>
      </c>
      <c r="M26" s="153"/>
      <c r="N26"/>
      <c r="O26" s="153">
        <f>IF(O24="","",O13-O24)</f>
        <v>148277.04724877514</v>
      </c>
      <c r="P26" s="153">
        <f ca="1">IF(P24="","",P13-P24)</f>
        <v>-504972.07778670499</v>
      </c>
      <c r="Q26" s="153">
        <f ca="1">IF(Q24="","",Q13-Q24)</f>
        <v>886303.2116551213</v>
      </c>
    </row>
    <row r="27" spans="1:18" s="31" customFormat="1" x14ac:dyDescent="0.75">
      <c r="A27" s="34"/>
      <c r="B27" s="39" t="s">
        <v>1235</v>
      </c>
      <c r="C27" s="2"/>
      <c r="F27" s="207">
        <f ca="1">+F26/SUM('Revenue w MYP'!G8:G10)</f>
        <v>4.1046862718003368E-2</v>
      </c>
      <c r="G27" s="207"/>
      <c r="H27" s="207">
        <f ca="1">+H26/SUM('Revenue w MYP'!H8:H10)</f>
        <v>3.9596344376003109E-2</v>
      </c>
      <c r="I27" s="207"/>
      <c r="J27" s="207">
        <f ca="1">+J26/SUM('Revenue w MYP'!I8:I10)</f>
        <v>4.7179974325779778E-2</v>
      </c>
      <c r="K27" s="110"/>
      <c r="M27" s="110"/>
      <c r="N27"/>
    </row>
    <row r="28" spans="1:18" s="39" customFormat="1" hidden="1" x14ac:dyDescent="0.75">
      <c r="A28" s="35"/>
      <c r="C28" s="1"/>
      <c r="D28" s="207"/>
      <c r="E28" s="207"/>
      <c r="F28" s="207">
        <f ca="1">+F26/L26</f>
        <v>0.26222909927574017</v>
      </c>
      <c r="G28" s="207"/>
      <c r="H28" s="207">
        <f ca="1">+H26/L26</f>
        <v>0.31929817020819473</v>
      </c>
      <c r="I28" s="207"/>
      <c r="J28" s="207">
        <f ca="1">+J26/L26</f>
        <v>0.41847273051606509</v>
      </c>
      <c r="K28" s="207"/>
      <c r="L28" s="31"/>
      <c r="M28" s="207"/>
      <c r="N28"/>
      <c r="O28" s="31"/>
      <c r="Q28" s="31"/>
    </row>
    <row r="29" spans="1:18" s="39" customFormat="1" ht="9" customHeight="1" thickBot="1" x14ac:dyDescent="0.9">
      <c r="A29" s="35"/>
      <c r="C29" s="1"/>
      <c r="D29" s="207"/>
      <c r="E29" s="207"/>
      <c r="F29" s="310"/>
      <c r="G29" s="310"/>
      <c r="H29" s="310"/>
      <c r="I29" s="310"/>
      <c r="J29" s="310"/>
      <c r="K29" s="310"/>
      <c r="L29" s="310"/>
      <c r="M29" s="207"/>
      <c r="N29"/>
      <c r="O29" s="310"/>
      <c r="Q29" s="310"/>
    </row>
    <row r="30" spans="1:18" s="259" customFormat="1" ht="16.75" outlineLevel="1" thickBot="1" x14ac:dyDescent="0.95">
      <c r="C30" s="308" t="s">
        <v>2057</v>
      </c>
      <c r="D30" s="153"/>
      <c r="E30" s="153"/>
      <c r="F30" s="574">
        <v>630238.90501489397</v>
      </c>
      <c r="G30" s="153"/>
      <c r="H30" s="574">
        <v>856283.37688459828</v>
      </c>
      <c r="I30" s="153"/>
      <c r="J30" s="574">
        <v>863436.72919808514</v>
      </c>
      <c r="K30" s="153"/>
      <c r="L30" s="574">
        <v>8256843</v>
      </c>
      <c r="M30" s="153"/>
      <c r="N30" s="153"/>
      <c r="O30" s="574"/>
      <c r="Q30" s="574"/>
    </row>
    <row r="31" spans="1:18" s="259" customFormat="1" ht="16" outlineLevel="1" x14ac:dyDescent="0.8">
      <c r="C31" s="308" t="s">
        <v>1956</v>
      </c>
      <c r="D31" s="153"/>
      <c r="E31" s="153"/>
      <c r="F31" s="153">
        <f>+'Budget Summary w MYP'!F31</f>
        <v>-260000</v>
      </c>
      <c r="G31" s="153"/>
      <c r="H31" s="153">
        <f>+'Budget Summary w MYP'!H31</f>
        <v>-300000</v>
      </c>
      <c r="I31" s="153"/>
      <c r="J31" s="153">
        <f>+'Budget Summary w MYP'!J31</f>
        <v>-400000</v>
      </c>
      <c r="K31" s="153"/>
      <c r="L31" s="153">
        <f>-SUM(F31:J31)</f>
        <v>960000</v>
      </c>
      <c r="M31" s="153"/>
      <c r="N31" s="153"/>
      <c r="O31" s="153"/>
      <c r="Q31" s="153"/>
    </row>
    <row r="32" spans="1:18" s="259" customFormat="1" ht="16" outlineLevel="1" x14ac:dyDescent="0.8">
      <c r="C32" s="308" t="s">
        <v>1345</v>
      </c>
      <c r="D32" s="153"/>
      <c r="E32" s="309"/>
      <c r="F32" s="153">
        <f ca="1">F30+F26+F31</f>
        <v>683413.63976176176</v>
      </c>
      <c r="G32" s="309"/>
      <c r="H32" s="153">
        <f ca="1">H30+H26+H31</f>
        <v>937614.51075301506</v>
      </c>
      <c r="I32" s="309"/>
      <c r="J32" s="153">
        <f ca="1">J30+J26+J31</f>
        <v>963209.96847676113</v>
      </c>
      <c r="K32" s="309"/>
      <c r="L32" s="153">
        <f>+L30+L31</f>
        <v>9216843</v>
      </c>
      <c r="M32" s="153"/>
      <c r="N32" s="153"/>
      <c r="O32" s="153"/>
      <c r="Q32" s="153"/>
    </row>
    <row r="33" spans="1:17" s="39" customFormat="1" outlineLevel="1" x14ac:dyDescent="0.75">
      <c r="A33" s="35"/>
      <c r="C33" s="209" t="s">
        <v>1275</v>
      </c>
      <c r="D33" s="257" t="e">
        <f>D32/SUM('Revenue w MYP'!E8:E10)</f>
        <v>#DIV/0!</v>
      </c>
      <c r="E33" s="257" t="e">
        <f>E32/SUM('Revenue w MYP'!F8:F10)</f>
        <v>#DIV/0!</v>
      </c>
      <c r="F33" s="210">
        <f ca="1">F32/SUM('Revenue w MYP'!G8:G10)</f>
        <v>8.9572953174482106E-2</v>
      </c>
      <c r="G33" s="210"/>
      <c r="H33" s="210">
        <f ca="1">H32/SUM('Revenue w MYP'!H8:H10)</f>
        <v>9.7359233910664367E-2</v>
      </c>
      <c r="I33" s="210"/>
      <c r="J33" s="210">
        <f ca="1">J32/SUM('Revenue w MYP'!I8:I10)</f>
        <v>9.0929681726573633E-2</v>
      </c>
      <c r="K33" s="257"/>
      <c r="L33" s="210"/>
      <c r="M33" s="257"/>
      <c r="N33"/>
      <c r="O33" s="210"/>
      <c r="Q33" s="210"/>
    </row>
    <row r="34" spans="1:17" s="39" customFormat="1" ht="16" outlineLevel="1" x14ac:dyDescent="0.8">
      <c r="A34" s="35"/>
      <c r="C34" s="308" t="s">
        <v>1346</v>
      </c>
      <c r="D34" s="31"/>
      <c r="E34" s="31"/>
      <c r="F34" s="31"/>
      <c r="G34" s="31"/>
      <c r="H34" s="31"/>
      <c r="I34" s="31"/>
      <c r="J34" s="31"/>
      <c r="K34" s="31"/>
      <c r="L34" s="153">
        <f ca="1">+L32+J32+H32+F32</f>
        <v>11801081.118991539</v>
      </c>
      <c r="M34" s="31"/>
      <c r="N34" s="274">
        <f ca="1">+L34/L13</f>
        <v>0.33702677062181413</v>
      </c>
      <c r="O34" s="153"/>
      <c r="Q34" s="153"/>
    </row>
    <row r="35" spans="1:17" s="39" customFormat="1" ht="8.4" customHeight="1" outlineLevel="1" thickBot="1" x14ac:dyDescent="0.9">
      <c r="A35" s="35"/>
      <c r="C35" s="1"/>
      <c r="D35" s="31"/>
      <c r="E35" s="31"/>
      <c r="F35" s="31"/>
      <c r="G35" s="31"/>
      <c r="H35" s="31"/>
      <c r="I35" s="31"/>
      <c r="J35" s="31"/>
      <c r="K35" s="31"/>
      <c r="L35" s="31"/>
      <c r="M35" s="31"/>
      <c r="N35"/>
      <c r="O35" s="31"/>
      <c r="Q35" s="31"/>
    </row>
    <row r="36" spans="1:17" s="247" customFormat="1" ht="16" outlineLevel="1" x14ac:dyDescent="0.8">
      <c r="A36" s="246"/>
      <c r="C36" s="248" t="s">
        <v>1315</v>
      </c>
      <c r="D36" s="249"/>
      <c r="E36" s="249"/>
      <c r="F36" s="249"/>
      <c r="G36" s="249"/>
      <c r="H36" s="249"/>
      <c r="I36" s="249"/>
      <c r="J36" s="250"/>
      <c r="K36" s="259"/>
      <c r="L36" s="259"/>
      <c r="M36" s="259"/>
      <c r="O36" s="259"/>
      <c r="Q36" s="259"/>
    </row>
    <row r="37" spans="1:17" s="247" customFormat="1" ht="16" outlineLevel="1" x14ac:dyDescent="0.8">
      <c r="A37" s="246"/>
      <c r="C37" s="251" t="s">
        <v>1316</v>
      </c>
      <c r="D37" s="575" t="e">
        <f>(+'Expenses w MYP'!E16+'Expenses w MYP'!E32+'Expenses w MYP'!E19+'Expenses w MYP'!E21+(SUM('Expenses w MYP'!E46:E52)*Payroll!$G$70))/'Revenue w MYP'!E20</f>
        <v>#VALUE!</v>
      </c>
      <c r="E37" s="575" t="e">
        <f>(+'Expenses w MYP'!F16+'Expenses w MYP'!F32+'Expenses w MYP'!F19+'Expenses w MYP'!F21+(SUM('Expenses w MYP'!F46:F52)*Payroll!$G$70))/'Revenue w MYP'!F20</f>
        <v>#VALUE!</v>
      </c>
      <c r="F37" s="576">
        <f ca="1">+'Expenses w MYP'!G130/SUM('Revenue w MYP'!G8:G10)</f>
        <v>0.63257462174764101</v>
      </c>
      <c r="G37" s="576"/>
      <c r="H37" s="576">
        <f ca="1">+'Expenses w MYP'!H130/SUM('Revenue w MYP'!H8:H10)</f>
        <v>0.6859445289955709</v>
      </c>
      <c r="I37" s="576"/>
      <c r="J37" s="583">
        <f ca="1">+'Expenses w MYP'!I130/SUM('Revenue w MYP'!I8:I10)</f>
        <v>0.6674395978169394</v>
      </c>
      <c r="K37" s="252"/>
      <c r="L37" s="252"/>
      <c r="M37" s="252"/>
      <c r="O37" s="252"/>
      <c r="Q37" s="252"/>
    </row>
    <row r="38" spans="1:17" s="247" customFormat="1" ht="16" outlineLevel="1" x14ac:dyDescent="0.8">
      <c r="A38" s="246"/>
      <c r="C38" s="251" t="s">
        <v>1317</v>
      </c>
      <c r="D38" s="575" t="e">
        <f>(+'Expenses w MYP'!E16+'Expenses w MYP'!E19+'Expenses w MYP'!E21+'Expenses w MYP'!E32+'Expenses w MYP'!E133+(SUM('Expenses w MYP'!E46:E52)*Payroll!$G$70))/'Revenue w MYP'!E50</f>
        <v>#VALUE!</v>
      </c>
      <c r="E38" s="575" t="e">
        <f>(+'Expenses w MYP'!F16+'Expenses w MYP'!F19+'Expenses w MYP'!F21+'Expenses w MYP'!F32+'Expenses w MYP'!F133+(SUM('Expenses w MYP'!F46:F52)*Payroll!$G$70))/'Revenue w MYP'!F50</f>
        <v>#VALUE!</v>
      </c>
      <c r="F38" s="576">
        <f ca="1">+(+'Expenses w MYP'!G130+'Expenses w MYP'!G131+'Expenses w MYP'!G132)/'Revenue w MYP'!G50</f>
        <v>0.8070194403718558</v>
      </c>
      <c r="G38" s="576"/>
      <c r="H38" s="576">
        <f ca="1">+('Expenses w MYP'!H132+'Expenses w MYP'!H131+'Expenses w MYP'!H130)/'Revenue w MYP'!H50</f>
        <v>0.809960385870647</v>
      </c>
      <c r="I38" s="576"/>
      <c r="J38" s="583">
        <f ca="1">+('Expenses w MYP'!I132+'Expenses w MYP'!I131+'Expenses w MYP'!I130)/'Revenue w MYP'!I50</f>
        <v>0.80743614825819898</v>
      </c>
      <c r="K38" s="252"/>
      <c r="L38" s="252"/>
      <c r="M38" s="252"/>
      <c r="O38" s="252"/>
      <c r="Q38" s="252"/>
    </row>
    <row r="39" spans="1:17" s="247" customFormat="1" ht="16" outlineLevel="1" x14ac:dyDescent="0.8">
      <c r="A39" s="246"/>
      <c r="C39" s="251" t="s">
        <v>1318</v>
      </c>
      <c r="D39" s="212" t="e">
        <f t="shared" ref="D39:J39" si="9">IF(D37&gt;40%,"Met")</f>
        <v>#VALUE!</v>
      </c>
      <c r="E39" s="212" t="e">
        <f t="shared" si="9"/>
        <v>#VALUE!</v>
      </c>
      <c r="F39" s="577" t="str">
        <f t="shared" ca="1" si="9"/>
        <v>Met</v>
      </c>
      <c r="G39" s="578"/>
      <c r="H39" s="577" t="str">
        <f t="shared" ca="1" si="9"/>
        <v>Met</v>
      </c>
      <c r="I39" s="578"/>
      <c r="J39" s="579" t="str">
        <f t="shared" ca="1" si="9"/>
        <v>Met</v>
      </c>
      <c r="K39" s="212"/>
      <c r="L39" s="212"/>
      <c r="M39" s="212"/>
      <c r="O39" s="212"/>
      <c r="Q39" s="212"/>
    </row>
    <row r="40" spans="1:17" s="247" customFormat="1" ht="16.75" outlineLevel="1" thickBot="1" x14ac:dyDescent="0.95">
      <c r="A40" s="246"/>
      <c r="C40" s="253" t="s">
        <v>1319</v>
      </c>
      <c r="D40" s="254" t="e">
        <f t="shared" ref="D40:J40" si="10">IF(D38&gt;80%,"Met")</f>
        <v>#VALUE!</v>
      </c>
      <c r="E40" s="254" t="e">
        <f t="shared" si="10"/>
        <v>#VALUE!</v>
      </c>
      <c r="F40" s="580" t="str">
        <f t="shared" ca="1" si="10"/>
        <v>Met</v>
      </c>
      <c r="G40" s="581"/>
      <c r="H40" s="580" t="str">
        <f t="shared" ca="1" si="10"/>
        <v>Met</v>
      </c>
      <c r="I40" s="581"/>
      <c r="J40" s="582" t="str">
        <f t="shared" ca="1" si="10"/>
        <v>Met</v>
      </c>
      <c r="K40" s="212"/>
      <c r="L40" s="212"/>
      <c r="M40" s="212"/>
      <c r="O40" s="212"/>
      <c r="Q40" s="212"/>
    </row>
    <row r="41" spans="1:17" s="39" customFormat="1" ht="5.4" customHeight="1" outlineLevel="1" x14ac:dyDescent="0.75">
      <c r="A41" s="35"/>
      <c r="C41" s="1"/>
      <c r="D41" s="31"/>
      <c r="E41" s="31"/>
      <c r="F41" s="31"/>
      <c r="G41" s="31"/>
      <c r="H41" s="31"/>
      <c r="I41" s="31"/>
      <c r="J41" s="31"/>
      <c r="K41" s="31"/>
      <c r="L41" s="31"/>
      <c r="M41" s="31"/>
      <c r="N41"/>
      <c r="O41" s="31"/>
      <c r="Q41" s="31"/>
    </row>
    <row r="42" spans="1:17" s="39" customFormat="1" ht="5.4" hidden="1" customHeight="1" outlineLevel="1" x14ac:dyDescent="0.8">
      <c r="A42" s="35"/>
      <c r="C42" s="1" t="s">
        <v>1955</v>
      </c>
      <c r="D42" s="31"/>
      <c r="E42" s="31"/>
      <c r="F42" s="307">
        <f>SUM('Revenue w MYP'!G8:G10)*0.05</f>
        <v>381484.37421200005</v>
      </c>
      <c r="G42" s="259"/>
      <c r="H42" s="307">
        <f>SUM('Revenue w MYP'!H8:H10)*0.05</f>
        <v>481523.15558140003</v>
      </c>
      <c r="I42" s="259"/>
      <c r="J42" s="307">
        <f>SUM('Revenue w MYP'!I8:I10)*0.05</f>
        <v>529645.51848600002</v>
      </c>
      <c r="K42" s="31"/>
      <c r="L42" s="31"/>
      <c r="M42" s="31"/>
      <c r="N42"/>
      <c r="O42" s="31"/>
      <c r="Q42" s="31"/>
    </row>
    <row r="43" spans="1:17" s="39" customFormat="1" ht="5.4" customHeight="1" thickBot="1" x14ac:dyDescent="0.9">
      <c r="A43" s="35"/>
      <c r="C43" s="1"/>
      <c r="D43" s="31"/>
      <c r="E43" s="31"/>
      <c r="F43" s="31"/>
      <c r="G43" s="31"/>
      <c r="H43" s="31"/>
      <c r="I43" s="31"/>
      <c r="J43" s="31"/>
      <c r="K43" s="31"/>
      <c r="L43" s="610"/>
      <c r="M43" s="31"/>
      <c r="N43"/>
      <c r="O43" s="610"/>
      <c r="Q43" s="610"/>
    </row>
    <row r="44" spans="1:17" ht="16.5" thickBot="1" x14ac:dyDescent="0.9">
      <c r="B44" s="34" t="s">
        <v>1976</v>
      </c>
      <c r="F44" s="310"/>
      <c r="G44" s="310"/>
      <c r="H44" s="310"/>
      <c r="I44" s="310"/>
      <c r="J44" s="310"/>
      <c r="L44" s="584">
        <v>0</v>
      </c>
      <c r="O44" s="584"/>
      <c r="Q44" s="584"/>
    </row>
    <row r="45" spans="1:17" x14ac:dyDescent="0.75">
      <c r="L45" s="610"/>
      <c r="M45" s="77"/>
      <c r="O45" s="610"/>
      <c r="Q45" s="610"/>
    </row>
    <row r="46" spans="1:17" x14ac:dyDescent="0.75">
      <c r="B46" s="618"/>
      <c r="L46" s="610"/>
      <c r="M46" s="77"/>
      <c r="O46" s="610"/>
      <c r="Q46" s="610"/>
    </row>
    <row r="47" spans="1:17" x14ac:dyDescent="0.75">
      <c r="L47" s="610"/>
      <c r="M47" s="77"/>
      <c r="O47" s="610"/>
      <c r="Q47" s="610"/>
    </row>
    <row r="48" spans="1:17" x14ac:dyDescent="0.75">
      <c r="L48" s="610"/>
      <c r="O48" s="610"/>
      <c r="Q48" s="610"/>
    </row>
    <row r="49" spans="6:10" x14ac:dyDescent="0.75">
      <c r="H49" s="310"/>
      <c r="J49" s="157"/>
    </row>
    <row r="50" spans="6:10" x14ac:dyDescent="0.75">
      <c r="F50" s="157"/>
      <c r="H50" s="157"/>
      <c r="J50" s="157"/>
    </row>
  </sheetData>
  <mergeCells count="1">
    <mergeCell ref="F1:J1"/>
  </mergeCells>
  <conditionalFormatting sqref="F39:F40 H39:H40 J39:J40">
    <cfRule type="cellIs" dxfId="2" priority="1" operator="equal">
      <formula>FALSE</formula>
    </cfRule>
    <cfRule type="cellIs" dxfId="1" priority="2" operator="equal">
      <formula>"Met"</formula>
    </cfRule>
  </conditionalFormatting>
  <pageMargins left="0.25" right="0.25" top="0.5" bottom="0.25" header="0.3" footer="0.3"/>
  <pageSetup scale="79" orientation="landscape" r:id="rId1"/>
  <headerFooter alignWithMargins="0">
    <oddHeader>&amp;A</oddHeader>
    <oddFooter>Page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244B0-270F-4782-B07A-6B4A2F935367}">
  <dimension ref="A1:N108"/>
  <sheetViews>
    <sheetView showGridLines="0" workbookViewId="0">
      <pane ySplit="4" topLeftCell="A104" activePane="bottomLeft" state="frozenSplit"/>
      <selection pane="bottomLeft" activeCell="M96" sqref="M96"/>
    </sheetView>
  </sheetViews>
  <sheetFormatPr defaultColWidth="8.86328125" defaultRowHeight="15" customHeight="1" x14ac:dyDescent="0.75"/>
  <cols>
    <col min="1" max="1" width="2.86328125" style="330" customWidth="1"/>
    <col min="2" max="2" width="16.453125" style="330" customWidth="1"/>
    <col min="3" max="3" width="27.31640625" style="330" customWidth="1"/>
    <col min="4" max="4" width="1.31640625" style="330" customWidth="1"/>
    <col min="5" max="5" width="12.453125" style="330" customWidth="1"/>
    <col min="6" max="6" width="4" style="330" customWidth="1"/>
    <col min="7" max="7" width="12.453125" style="330" customWidth="1"/>
    <col min="8" max="8" width="10" style="330" customWidth="1"/>
    <col min="9" max="9" width="4.86328125" style="330" customWidth="1"/>
    <col min="10" max="10" width="1.54296875" style="330" customWidth="1"/>
    <col min="11" max="13" width="16.453125" style="330" customWidth="1"/>
    <col min="14" max="14" width="1.2265625" style="330" customWidth="1"/>
    <col min="15" max="16384" width="8.86328125" style="330"/>
  </cols>
  <sheetData>
    <row r="1" spans="1:14" ht="30.9" customHeight="1" x14ac:dyDescent="0.75">
      <c r="A1" s="864"/>
      <c r="B1" s="864"/>
      <c r="C1" s="864"/>
      <c r="D1" s="616"/>
      <c r="E1" s="616"/>
      <c r="F1" s="616"/>
      <c r="G1" s="865" t="s">
        <v>1975</v>
      </c>
      <c r="H1" s="865"/>
      <c r="I1" s="865"/>
      <c r="J1" s="865"/>
      <c r="K1" s="865"/>
      <c r="L1" s="865"/>
      <c r="M1" s="865"/>
      <c r="N1" s="865"/>
    </row>
    <row r="2" spans="1:14" ht="5.4" customHeight="1" x14ac:dyDescent="0.75">
      <c r="A2" s="615"/>
      <c r="B2" s="615"/>
      <c r="C2" s="615"/>
      <c r="D2" s="615"/>
      <c r="E2" s="615"/>
      <c r="F2" s="615"/>
      <c r="G2" s="615"/>
      <c r="H2" s="615"/>
      <c r="I2" s="615"/>
      <c r="J2" s="615"/>
      <c r="K2" s="615"/>
      <c r="L2" s="615"/>
      <c r="M2" s="615"/>
      <c r="N2" s="615"/>
    </row>
    <row r="3" spans="1:14" ht="18" customHeight="1" x14ac:dyDescent="0.75">
      <c r="A3" s="863" t="s">
        <v>1633</v>
      </c>
      <c r="B3" s="863"/>
      <c r="C3" s="863"/>
      <c r="D3" s="863"/>
      <c r="E3" s="863"/>
      <c r="F3" s="863"/>
      <c r="G3" s="863"/>
      <c r="H3" s="863"/>
      <c r="I3" s="615"/>
      <c r="J3" s="866" t="s">
        <v>1974</v>
      </c>
      <c r="K3" s="866"/>
      <c r="L3" s="866"/>
      <c r="M3" s="866"/>
      <c r="N3" s="866"/>
    </row>
    <row r="4" spans="1:14" ht="6.9" customHeight="1" x14ac:dyDescent="0.75">
      <c r="A4" s="615"/>
      <c r="B4" s="615"/>
      <c r="C4" s="615"/>
      <c r="D4" s="615"/>
      <c r="E4" s="615"/>
      <c r="F4" s="615"/>
      <c r="G4" s="615"/>
      <c r="H4" s="615"/>
      <c r="I4" s="615"/>
      <c r="J4" s="615"/>
      <c r="K4" s="615"/>
      <c r="L4" s="615"/>
      <c r="M4" s="615"/>
      <c r="N4" s="615"/>
    </row>
    <row r="5" spans="1:14" ht="10.95" customHeight="1" x14ac:dyDescent="0.75">
      <c r="A5" s="611"/>
      <c r="B5" s="611"/>
      <c r="C5" s="611"/>
      <c r="D5" s="611"/>
      <c r="E5" s="611"/>
      <c r="F5" s="611"/>
      <c r="G5" s="611"/>
      <c r="H5" s="611"/>
      <c r="I5" s="611"/>
      <c r="J5" s="611"/>
      <c r="K5" s="611"/>
      <c r="L5" s="611"/>
      <c r="M5" s="611"/>
      <c r="N5" s="611"/>
    </row>
    <row r="6" spans="1:14" ht="15" customHeight="1" x14ac:dyDescent="0.75">
      <c r="A6" s="611"/>
      <c r="B6" s="867" t="s">
        <v>1973</v>
      </c>
      <c r="C6" s="868"/>
      <c r="D6" s="869"/>
      <c r="E6" s="867" t="s">
        <v>1972</v>
      </c>
      <c r="F6" s="868"/>
      <c r="G6" s="868"/>
      <c r="H6" s="868"/>
      <c r="I6" s="868"/>
      <c r="J6" s="868"/>
      <c r="K6" s="868"/>
      <c r="L6" s="868"/>
      <c r="M6" s="868"/>
      <c r="N6" s="869"/>
    </row>
    <row r="7" spans="1:14" ht="15" customHeight="1" x14ac:dyDescent="0.75">
      <c r="A7" s="611"/>
      <c r="B7" s="854" t="s">
        <v>1299</v>
      </c>
      <c r="C7" s="855"/>
      <c r="D7" s="856"/>
      <c r="E7" s="854" t="s">
        <v>1965</v>
      </c>
      <c r="F7" s="855"/>
      <c r="G7" s="855"/>
      <c r="H7" s="855"/>
      <c r="I7" s="855"/>
      <c r="J7" s="855"/>
      <c r="K7" s="855"/>
      <c r="L7" s="855"/>
      <c r="M7" s="855"/>
      <c r="N7" s="856"/>
    </row>
    <row r="8" spans="1:14" ht="15" customHeight="1" x14ac:dyDescent="0.75">
      <c r="A8" s="611"/>
      <c r="B8" s="854" t="s">
        <v>1971</v>
      </c>
      <c r="C8" s="855"/>
      <c r="D8" s="856"/>
      <c r="E8" s="854" t="s">
        <v>1965</v>
      </c>
      <c r="F8" s="855"/>
      <c r="G8" s="855"/>
      <c r="H8" s="855"/>
      <c r="I8" s="855"/>
      <c r="J8" s="855"/>
      <c r="K8" s="855"/>
      <c r="L8" s="855"/>
      <c r="M8" s="855"/>
      <c r="N8" s="856"/>
    </row>
    <row r="9" spans="1:14" ht="15" customHeight="1" x14ac:dyDescent="0.75">
      <c r="A9" s="611"/>
      <c r="B9" s="854" t="s">
        <v>1325</v>
      </c>
      <c r="C9" s="855"/>
      <c r="D9" s="856"/>
      <c r="E9" s="854" t="s">
        <v>1965</v>
      </c>
      <c r="F9" s="855"/>
      <c r="G9" s="855"/>
      <c r="H9" s="855"/>
      <c r="I9" s="855"/>
      <c r="J9" s="855"/>
      <c r="K9" s="855"/>
      <c r="L9" s="855"/>
      <c r="M9" s="855"/>
      <c r="N9" s="856"/>
    </row>
    <row r="10" spans="1:14" ht="15" customHeight="1" x14ac:dyDescent="0.75">
      <c r="A10" s="611"/>
      <c r="B10" s="854" t="s">
        <v>1970</v>
      </c>
      <c r="C10" s="855"/>
      <c r="D10" s="856"/>
      <c r="E10" s="854" t="s">
        <v>1965</v>
      </c>
      <c r="F10" s="855"/>
      <c r="G10" s="855"/>
      <c r="H10" s="855"/>
      <c r="I10" s="855"/>
      <c r="J10" s="855"/>
      <c r="K10" s="855"/>
      <c r="L10" s="855"/>
      <c r="M10" s="855"/>
      <c r="N10" s="856"/>
    </row>
    <row r="11" spans="1:14" ht="15" customHeight="1" x14ac:dyDescent="0.75">
      <c r="A11" s="611"/>
      <c r="B11" s="854" t="s">
        <v>1969</v>
      </c>
      <c r="C11" s="855"/>
      <c r="D11" s="856"/>
      <c r="E11" s="854" t="s">
        <v>1965</v>
      </c>
      <c r="F11" s="855"/>
      <c r="G11" s="855"/>
      <c r="H11" s="855"/>
      <c r="I11" s="855"/>
      <c r="J11" s="855"/>
      <c r="K11" s="855"/>
      <c r="L11" s="855"/>
      <c r="M11" s="855"/>
      <c r="N11" s="856"/>
    </row>
    <row r="12" spans="1:14" ht="15" customHeight="1" x14ac:dyDescent="0.75">
      <c r="A12" s="611"/>
      <c r="B12" s="854" t="s">
        <v>1968</v>
      </c>
      <c r="C12" s="855"/>
      <c r="D12" s="856"/>
      <c r="E12" s="854" t="s">
        <v>1965</v>
      </c>
      <c r="F12" s="855"/>
      <c r="G12" s="855"/>
      <c r="H12" s="855"/>
      <c r="I12" s="855"/>
      <c r="J12" s="855"/>
      <c r="K12" s="855"/>
      <c r="L12" s="855"/>
      <c r="M12" s="855"/>
      <c r="N12" s="856"/>
    </row>
    <row r="13" spans="1:14" ht="15" customHeight="1" x14ac:dyDescent="0.75">
      <c r="A13" s="611"/>
      <c r="B13" s="854" t="s">
        <v>1967</v>
      </c>
      <c r="C13" s="855"/>
      <c r="D13" s="856"/>
      <c r="E13" s="854" t="s">
        <v>1965</v>
      </c>
      <c r="F13" s="855"/>
      <c r="G13" s="855"/>
      <c r="H13" s="855"/>
      <c r="I13" s="855"/>
      <c r="J13" s="855"/>
      <c r="K13" s="855"/>
      <c r="L13" s="855"/>
      <c r="M13" s="855"/>
      <c r="N13" s="856"/>
    </row>
    <row r="14" spans="1:14" ht="15" customHeight="1" x14ac:dyDescent="0.75">
      <c r="A14" s="611"/>
      <c r="B14" s="854" t="s">
        <v>1966</v>
      </c>
      <c r="C14" s="855"/>
      <c r="D14" s="856"/>
      <c r="E14" s="854" t="s">
        <v>1965</v>
      </c>
      <c r="F14" s="855"/>
      <c r="G14" s="855"/>
      <c r="H14" s="855"/>
      <c r="I14" s="855"/>
      <c r="J14" s="855"/>
      <c r="K14" s="855"/>
      <c r="L14" s="855"/>
      <c r="M14" s="855"/>
      <c r="N14" s="856"/>
    </row>
    <row r="15" spans="1:14" ht="7.2" customHeight="1" x14ac:dyDescent="0.75">
      <c r="A15" s="611"/>
      <c r="B15" s="611"/>
      <c r="C15" s="611"/>
      <c r="D15" s="611"/>
      <c r="E15" s="611"/>
      <c r="F15" s="611"/>
      <c r="G15" s="611"/>
      <c r="H15" s="611"/>
      <c r="I15" s="611"/>
      <c r="J15" s="611"/>
      <c r="K15" s="611"/>
      <c r="L15" s="611"/>
      <c r="M15" s="611"/>
      <c r="N15" s="611"/>
    </row>
    <row r="16" spans="1:14" ht="25.5" customHeight="1" thickBot="1" x14ac:dyDescent="0.9">
      <c r="A16" s="611"/>
      <c r="B16" s="614" t="s">
        <v>1352</v>
      </c>
      <c r="C16" s="857" t="s">
        <v>1180</v>
      </c>
      <c r="D16" s="858"/>
      <c r="E16" s="859"/>
      <c r="F16" s="860" t="s">
        <v>1321</v>
      </c>
      <c r="G16" s="861"/>
      <c r="H16" s="860" t="s">
        <v>1964</v>
      </c>
      <c r="I16" s="862"/>
      <c r="J16" s="861"/>
      <c r="K16" s="613" t="s">
        <v>1963</v>
      </c>
      <c r="L16" s="613" t="s">
        <v>1962</v>
      </c>
      <c r="M16" s="455" t="s">
        <v>675</v>
      </c>
      <c r="N16" s="611"/>
    </row>
    <row r="17" spans="1:14" ht="18" customHeight="1" thickTop="1" x14ac:dyDescent="0.75">
      <c r="A17" s="611"/>
      <c r="B17" s="612" t="s">
        <v>224</v>
      </c>
      <c r="C17" s="838" t="s">
        <v>1471</v>
      </c>
      <c r="D17" s="839"/>
      <c r="E17" s="840"/>
      <c r="F17" s="850"/>
      <c r="G17" s="851"/>
      <c r="H17" s="841">
        <v>3236940</v>
      </c>
      <c r="I17" s="843"/>
      <c r="J17" s="842"/>
      <c r="K17" s="454">
        <v>3610566</v>
      </c>
      <c r="L17" s="454">
        <v>2535952</v>
      </c>
      <c r="M17" s="454">
        <v>9383458</v>
      </c>
      <c r="N17" s="611"/>
    </row>
    <row r="18" spans="1:14" ht="18" customHeight="1" x14ac:dyDescent="0.75">
      <c r="A18" s="611"/>
      <c r="B18" s="612" t="s">
        <v>1234</v>
      </c>
      <c r="C18" s="838" t="s">
        <v>1470</v>
      </c>
      <c r="D18" s="839"/>
      <c r="E18" s="840"/>
      <c r="F18" s="850"/>
      <c r="G18" s="851"/>
      <c r="H18" s="841">
        <v>1648270</v>
      </c>
      <c r="I18" s="843"/>
      <c r="J18" s="842"/>
      <c r="K18" s="454">
        <v>84795</v>
      </c>
      <c r="L18" s="454">
        <v>61790</v>
      </c>
      <c r="M18" s="454">
        <v>1794855</v>
      </c>
      <c r="N18" s="611"/>
    </row>
    <row r="19" spans="1:14" ht="18" customHeight="1" x14ac:dyDescent="0.75">
      <c r="A19" s="611"/>
      <c r="B19" s="612" t="s">
        <v>266</v>
      </c>
      <c r="C19" s="838" t="s">
        <v>625</v>
      </c>
      <c r="D19" s="839"/>
      <c r="E19" s="840"/>
      <c r="F19" s="850"/>
      <c r="G19" s="851"/>
      <c r="H19" s="841">
        <v>1253967</v>
      </c>
      <c r="I19" s="843"/>
      <c r="J19" s="842"/>
      <c r="K19" s="454">
        <v>177178</v>
      </c>
      <c r="L19" s="454">
        <v>545561</v>
      </c>
      <c r="M19" s="454">
        <v>1976706</v>
      </c>
      <c r="N19" s="611"/>
    </row>
    <row r="20" spans="1:14" ht="18" customHeight="1" x14ac:dyDescent="0.75">
      <c r="A20" s="611"/>
      <c r="B20" s="844" t="s">
        <v>1469</v>
      </c>
      <c r="C20" s="845"/>
      <c r="D20" s="845"/>
      <c r="E20" s="846"/>
      <c r="F20" s="852"/>
      <c r="G20" s="853"/>
      <c r="H20" s="847">
        <v>6139177</v>
      </c>
      <c r="I20" s="849"/>
      <c r="J20" s="848"/>
      <c r="K20" s="452">
        <v>3872539</v>
      </c>
      <c r="L20" s="452">
        <v>3143303</v>
      </c>
      <c r="M20" s="452">
        <v>13155019</v>
      </c>
      <c r="N20" s="611"/>
    </row>
    <row r="21" spans="1:14" ht="18" customHeight="1" x14ac:dyDescent="0.75">
      <c r="A21" s="611"/>
      <c r="B21" s="612" t="s">
        <v>292</v>
      </c>
      <c r="C21" s="838" t="s">
        <v>619</v>
      </c>
      <c r="D21" s="839"/>
      <c r="E21" s="840"/>
      <c r="F21" s="850"/>
      <c r="G21" s="851"/>
      <c r="H21" s="841">
        <v>217545.26</v>
      </c>
      <c r="I21" s="843"/>
      <c r="J21" s="842"/>
      <c r="K21" s="454">
        <v>362626.59</v>
      </c>
      <c r="L21" s="454">
        <v>19206</v>
      </c>
      <c r="M21" s="454">
        <v>599377.85</v>
      </c>
      <c r="N21" s="611"/>
    </row>
    <row r="22" spans="1:14" ht="18" customHeight="1" x14ac:dyDescent="0.75">
      <c r="A22" s="611"/>
      <c r="B22" s="612" t="s">
        <v>684</v>
      </c>
      <c r="C22" s="838" t="s">
        <v>1511</v>
      </c>
      <c r="D22" s="839"/>
      <c r="E22" s="840"/>
      <c r="F22" s="850"/>
      <c r="G22" s="851"/>
      <c r="H22" s="841">
        <v>99583</v>
      </c>
      <c r="I22" s="843"/>
      <c r="J22" s="842"/>
      <c r="K22" s="454">
        <v>91614</v>
      </c>
      <c r="L22" s="454">
        <v>18196</v>
      </c>
      <c r="M22" s="454">
        <v>209393</v>
      </c>
      <c r="N22" s="611"/>
    </row>
    <row r="23" spans="1:14" ht="18" customHeight="1" x14ac:dyDescent="0.75">
      <c r="A23" s="611"/>
      <c r="B23" s="612" t="s">
        <v>685</v>
      </c>
      <c r="C23" s="838" t="s">
        <v>784</v>
      </c>
      <c r="D23" s="839"/>
      <c r="E23" s="840"/>
      <c r="F23" s="850"/>
      <c r="G23" s="851"/>
      <c r="H23" s="841">
        <v>0</v>
      </c>
      <c r="I23" s="843"/>
      <c r="J23" s="842"/>
      <c r="K23" s="454">
        <v>0</v>
      </c>
      <c r="L23" s="454">
        <v>0</v>
      </c>
      <c r="M23" s="454">
        <v>0</v>
      </c>
      <c r="N23" s="611"/>
    </row>
    <row r="24" spans="1:14" ht="18" customHeight="1" x14ac:dyDescent="0.75">
      <c r="A24" s="611"/>
      <c r="B24" s="612" t="s">
        <v>687</v>
      </c>
      <c r="C24" s="838" t="s">
        <v>786</v>
      </c>
      <c r="D24" s="839"/>
      <c r="E24" s="840"/>
      <c r="F24" s="850"/>
      <c r="G24" s="851"/>
      <c r="H24" s="841">
        <v>0</v>
      </c>
      <c r="I24" s="843"/>
      <c r="J24" s="842"/>
      <c r="K24" s="454">
        <v>2500</v>
      </c>
      <c r="L24" s="454">
        <v>2500</v>
      </c>
      <c r="M24" s="454">
        <v>5000</v>
      </c>
      <c r="N24" s="611"/>
    </row>
    <row r="25" spans="1:14" ht="18" customHeight="1" x14ac:dyDescent="0.75">
      <c r="A25" s="611"/>
      <c r="B25" s="612" t="s">
        <v>1085</v>
      </c>
      <c r="C25" s="838" t="s">
        <v>1658</v>
      </c>
      <c r="D25" s="839"/>
      <c r="E25" s="840"/>
      <c r="F25" s="841">
        <v>0</v>
      </c>
      <c r="G25" s="842"/>
      <c r="H25" s="841">
        <v>79158</v>
      </c>
      <c r="I25" s="843"/>
      <c r="J25" s="842"/>
      <c r="K25" s="454">
        <v>0</v>
      </c>
      <c r="L25" s="453"/>
      <c r="M25" s="454">
        <v>79158</v>
      </c>
      <c r="N25" s="611"/>
    </row>
    <row r="26" spans="1:14" ht="18" customHeight="1" x14ac:dyDescent="0.75">
      <c r="A26" s="611"/>
      <c r="B26" s="844" t="s">
        <v>792</v>
      </c>
      <c r="C26" s="845"/>
      <c r="D26" s="845"/>
      <c r="E26" s="846"/>
      <c r="F26" s="847">
        <v>0</v>
      </c>
      <c r="G26" s="848"/>
      <c r="H26" s="847">
        <v>396286.26</v>
      </c>
      <c r="I26" s="849"/>
      <c r="J26" s="848"/>
      <c r="K26" s="452">
        <v>456740.59</v>
      </c>
      <c r="L26" s="452">
        <v>39902</v>
      </c>
      <c r="M26" s="452">
        <v>892928.85</v>
      </c>
      <c r="N26" s="611"/>
    </row>
    <row r="27" spans="1:14" ht="18" customHeight="1" x14ac:dyDescent="0.75">
      <c r="A27" s="611"/>
      <c r="B27" s="612" t="s">
        <v>314</v>
      </c>
      <c r="C27" s="838" t="s">
        <v>1659</v>
      </c>
      <c r="D27" s="839"/>
      <c r="E27" s="840"/>
      <c r="F27" s="841">
        <v>0</v>
      </c>
      <c r="G27" s="842"/>
      <c r="H27" s="841">
        <v>30526</v>
      </c>
      <c r="I27" s="843"/>
      <c r="J27" s="842"/>
      <c r="K27" s="454">
        <v>21319</v>
      </c>
      <c r="L27" s="454">
        <v>13049</v>
      </c>
      <c r="M27" s="454">
        <v>64894</v>
      </c>
      <c r="N27" s="611"/>
    </row>
    <row r="28" spans="1:14" ht="18" customHeight="1" x14ac:dyDescent="0.75">
      <c r="A28" s="611"/>
      <c r="B28" s="612" t="s">
        <v>316</v>
      </c>
      <c r="C28" s="838" t="s">
        <v>622</v>
      </c>
      <c r="D28" s="839"/>
      <c r="E28" s="840"/>
      <c r="F28" s="850"/>
      <c r="G28" s="851"/>
      <c r="H28" s="841">
        <v>92135.11</v>
      </c>
      <c r="I28" s="843"/>
      <c r="J28" s="842"/>
      <c r="K28" s="454">
        <v>61542.77</v>
      </c>
      <c r="L28" s="454">
        <v>0</v>
      </c>
      <c r="M28" s="454">
        <v>153677.88</v>
      </c>
      <c r="N28" s="611"/>
    </row>
    <row r="29" spans="1:14" ht="18" customHeight="1" x14ac:dyDescent="0.75">
      <c r="A29" s="611"/>
      <c r="B29" s="612" t="s">
        <v>328</v>
      </c>
      <c r="C29" s="838" t="s">
        <v>623</v>
      </c>
      <c r="D29" s="839"/>
      <c r="E29" s="840"/>
      <c r="F29" s="841">
        <v>0</v>
      </c>
      <c r="G29" s="842"/>
      <c r="H29" s="841">
        <v>200326.04</v>
      </c>
      <c r="I29" s="843"/>
      <c r="J29" s="842"/>
      <c r="K29" s="454">
        <v>156247.67999999999</v>
      </c>
      <c r="L29" s="454">
        <v>109776.58</v>
      </c>
      <c r="M29" s="454">
        <v>466350.3</v>
      </c>
      <c r="N29" s="611"/>
    </row>
    <row r="30" spans="1:14" ht="18" customHeight="1" x14ac:dyDescent="0.75">
      <c r="A30" s="611"/>
      <c r="B30" s="612" t="s">
        <v>1088</v>
      </c>
      <c r="C30" s="838" t="s">
        <v>1089</v>
      </c>
      <c r="D30" s="839"/>
      <c r="E30" s="840"/>
      <c r="F30" s="841">
        <v>0</v>
      </c>
      <c r="G30" s="842"/>
      <c r="H30" s="841">
        <v>5775.1</v>
      </c>
      <c r="I30" s="843"/>
      <c r="J30" s="842"/>
      <c r="K30" s="454">
        <v>1768.53</v>
      </c>
      <c r="L30" s="454">
        <v>3072.39</v>
      </c>
      <c r="M30" s="454">
        <v>10616.02</v>
      </c>
      <c r="N30" s="611"/>
    </row>
    <row r="31" spans="1:14" ht="18" customHeight="1" x14ac:dyDescent="0.75">
      <c r="A31" s="611"/>
      <c r="B31" s="844" t="s">
        <v>1468</v>
      </c>
      <c r="C31" s="845"/>
      <c r="D31" s="845"/>
      <c r="E31" s="846"/>
      <c r="F31" s="847">
        <v>0</v>
      </c>
      <c r="G31" s="848"/>
      <c r="H31" s="847">
        <v>328762.25</v>
      </c>
      <c r="I31" s="849"/>
      <c r="J31" s="848"/>
      <c r="K31" s="452">
        <v>240877.98</v>
      </c>
      <c r="L31" s="452">
        <v>125897.97</v>
      </c>
      <c r="M31" s="452">
        <v>695538.2</v>
      </c>
      <c r="N31" s="611"/>
    </row>
    <row r="32" spans="1:14" ht="18" customHeight="1" x14ac:dyDescent="0.75">
      <c r="A32" s="611"/>
      <c r="B32" s="612" t="s">
        <v>364</v>
      </c>
      <c r="C32" s="838" t="s">
        <v>1467</v>
      </c>
      <c r="D32" s="839"/>
      <c r="E32" s="840"/>
      <c r="F32" s="841">
        <v>0</v>
      </c>
      <c r="G32" s="842"/>
      <c r="H32" s="841">
        <v>25499.03</v>
      </c>
      <c r="I32" s="843"/>
      <c r="J32" s="842"/>
      <c r="K32" s="454">
        <v>43.47</v>
      </c>
      <c r="L32" s="454">
        <v>31.34</v>
      </c>
      <c r="M32" s="454">
        <v>25573.84</v>
      </c>
      <c r="N32" s="611"/>
    </row>
    <row r="33" spans="1:14" ht="18" customHeight="1" x14ac:dyDescent="0.75">
      <c r="A33" s="611"/>
      <c r="B33" s="612" t="s">
        <v>366</v>
      </c>
      <c r="C33" s="838" t="s">
        <v>1660</v>
      </c>
      <c r="D33" s="839"/>
      <c r="E33" s="840"/>
      <c r="F33" s="841">
        <v>10.199999999999999</v>
      </c>
      <c r="G33" s="842"/>
      <c r="H33" s="841">
        <v>0</v>
      </c>
      <c r="I33" s="843"/>
      <c r="J33" s="842"/>
      <c r="K33" s="454">
        <v>0</v>
      </c>
      <c r="L33" s="454">
        <v>0</v>
      </c>
      <c r="M33" s="454">
        <v>10.199999999999999</v>
      </c>
      <c r="N33" s="611"/>
    </row>
    <row r="34" spans="1:14" ht="18" customHeight="1" x14ac:dyDescent="0.75">
      <c r="A34" s="611"/>
      <c r="B34" s="612" t="s">
        <v>1327</v>
      </c>
      <c r="C34" s="838" t="s">
        <v>1160</v>
      </c>
      <c r="D34" s="839"/>
      <c r="E34" s="840"/>
      <c r="F34" s="841">
        <v>0</v>
      </c>
      <c r="G34" s="842"/>
      <c r="H34" s="841">
        <v>534.73</v>
      </c>
      <c r="I34" s="843"/>
      <c r="J34" s="842"/>
      <c r="K34" s="454">
        <v>460.35</v>
      </c>
      <c r="L34" s="454">
        <v>331.86</v>
      </c>
      <c r="M34" s="454">
        <v>1326.94</v>
      </c>
      <c r="N34" s="611"/>
    </row>
    <row r="35" spans="1:14" ht="18" customHeight="1" x14ac:dyDescent="0.75">
      <c r="A35" s="611"/>
      <c r="B35" s="612" t="s">
        <v>388</v>
      </c>
      <c r="C35" s="838" t="s">
        <v>1090</v>
      </c>
      <c r="D35" s="839"/>
      <c r="E35" s="840"/>
      <c r="F35" s="841">
        <v>0</v>
      </c>
      <c r="G35" s="842"/>
      <c r="H35" s="841">
        <v>14645.73</v>
      </c>
      <c r="I35" s="843"/>
      <c r="J35" s="842"/>
      <c r="K35" s="454">
        <v>13456.25</v>
      </c>
      <c r="L35" s="454">
        <v>9643.7900000000009</v>
      </c>
      <c r="M35" s="454">
        <v>37745.769999999997</v>
      </c>
      <c r="N35" s="611"/>
    </row>
    <row r="36" spans="1:14" ht="18" customHeight="1" x14ac:dyDescent="0.75">
      <c r="A36" s="611"/>
      <c r="B36" s="612" t="s">
        <v>402</v>
      </c>
      <c r="C36" s="838" t="s">
        <v>1466</v>
      </c>
      <c r="D36" s="839"/>
      <c r="E36" s="840"/>
      <c r="F36" s="841">
        <v>0</v>
      </c>
      <c r="G36" s="842"/>
      <c r="H36" s="841">
        <v>462476</v>
      </c>
      <c r="I36" s="843"/>
      <c r="J36" s="842"/>
      <c r="K36" s="454">
        <v>321738</v>
      </c>
      <c r="L36" s="454">
        <v>234422</v>
      </c>
      <c r="M36" s="454">
        <v>1018636</v>
      </c>
      <c r="N36" s="611"/>
    </row>
    <row r="37" spans="1:14" ht="18" customHeight="1" x14ac:dyDescent="0.75">
      <c r="A37" s="611"/>
      <c r="B37" s="844" t="s">
        <v>793</v>
      </c>
      <c r="C37" s="845"/>
      <c r="D37" s="845"/>
      <c r="E37" s="846"/>
      <c r="F37" s="847">
        <v>10.199999999999999</v>
      </c>
      <c r="G37" s="848"/>
      <c r="H37" s="847">
        <v>503155.49</v>
      </c>
      <c r="I37" s="849"/>
      <c r="J37" s="848"/>
      <c r="K37" s="452">
        <v>335698.07</v>
      </c>
      <c r="L37" s="452">
        <v>244428.99</v>
      </c>
      <c r="M37" s="452">
        <v>1083292.75</v>
      </c>
      <c r="N37" s="611"/>
    </row>
    <row r="38" spans="1:14" ht="18.75" customHeight="1" x14ac:dyDescent="0.75">
      <c r="A38" s="611"/>
      <c r="B38" s="832" t="s">
        <v>794</v>
      </c>
      <c r="C38" s="833"/>
      <c r="D38" s="833"/>
      <c r="E38" s="834"/>
      <c r="F38" s="835">
        <v>10.199999999999999</v>
      </c>
      <c r="G38" s="836"/>
      <c r="H38" s="835">
        <v>7367381</v>
      </c>
      <c r="I38" s="837"/>
      <c r="J38" s="836"/>
      <c r="K38" s="451">
        <v>4905855.6399999997</v>
      </c>
      <c r="L38" s="451">
        <v>3553531.96</v>
      </c>
      <c r="M38" s="451">
        <v>15826778.800000001</v>
      </c>
      <c r="N38" s="611"/>
    </row>
    <row r="39" spans="1:14" ht="18" customHeight="1" x14ac:dyDescent="0.75">
      <c r="A39" s="611"/>
      <c r="B39" s="612" t="s">
        <v>10</v>
      </c>
      <c r="C39" s="838" t="s">
        <v>569</v>
      </c>
      <c r="D39" s="839"/>
      <c r="E39" s="840"/>
      <c r="F39" s="841">
        <v>0</v>
      </c>
      <c r="G39" s="842"/>
      <c r="H39" s="841">
        <v>2072504.41</v>
      </c>
      <c r="I39" s="843"/>
      <c r="J39" s="842"/>
      <c r="K39" s="454">
        <v>1712680.61</v>
      </c>
      <c r="L39" s="454">
        <v>1222934.9099999999</v>
      </c>
      <c r="M39" s="454">
        <v>5008119.93</v>
      </c>
      <c r="N39" s="611"/>
    </row>
    <row r="40" spans="1:14" ht="18" customHeight="1" x14ac:dyDescent="0.75">
      <c r="A40" s="611"/>
      <c r="B40" s="612" t="s">
        <v>12</v>
      </c>
      <c r="C40" s="838" t="s">
        <v>572</v>
      </c>
      <c r="D40" s="839"/>
      <c r="E40" s="840"/>
      <c r="F40" s="841">
        <v>0</v>
      </c>
      <c r="G40" s="842"/>
      <c r="H40" s="841">
        <v>216415.96</v>
      </c>
      <c r="I40" s="843"/>
      <c r="J40" s="842"/>
      <c r="K40" s="454">
        <v>209350.13</v>
      </c>
      <c r="L40" s="454">
        <v>149472.04999999999</v>
      </c>
      <c r="M40" s="454">
        <v>575238.14</v>
      </c>
      <c r="N40" s="611"/>
    </row>
    <row r="41" spans="1:14" ht="18" customHeight="1" x14ac:dyDescent="0.75">
      <c r="A41" s="611"/>
      <c r="B41" s="612" t="s">
        <v>14</v>
      </c>
      <c r="C41" s="838" t="s">
        <v>573</v>
      </c>
      <c r="D41" s="839"/>
      <c r="E41" s="840"/>
      <c r="F41" s="841">
        <v>0</v>
      </c>
      <c r="G41" s="842"/>
      <c r="H41" s="841">
        <v>295684.99</v>
      </c>
      <c r="I41" s="843"/>
      <c r="J41" s="842"/>
      <c r="K41" s="454">
        <v>287100.51</v>
      </c>
      <c r="L41" s="454">
        <v>204924.68</v>
      </c>
      <c r="M41" s="454">
        <v>787710.18</v>
      </c>
      <c r="N41" s="611"/>
    </row>
    <row r="42" spans="1:14" ht="18" customHeight="1" x14ac:dyDescent="0.75">
      <c r="A42" s="611"/>
      <c r="B42" s="844" t="s">
        <v>731</v>
      </c>
      <c r="C42" s="845"/>
      <c r="D42" s="845"/>
      <c r="E42" s="846"/>
      <c r="F42" s="847">
        <v>0</v>
      </c>
      <c r="G42" s="848"/>
      <c r="H42" s="847">
        <v>2584605.36</v>
      </c>
      <c r="I42" s="849"/>
      <c r="J42" s="848"/>
      <c r="K42" s="452">
        <v>2209131.25</v>
      </c>
      <c r="L42" s="452">
        <v>1577331.64</v>
      </c>
      <c r="M42" s="452">
        <v>6371068.25</v>
      </c>
      <c r="N42" s="611"/>
    </row>
    <row r="43" spans="1:14" ht="18" customHeight="1" x14ac:dyDescent="0.75">
      <c r="A43" s="611"/>
      <c r="B43" s="612" t="s">
        <v>18</v>
      </c>
      <c r="C43" s="838" t="s">
        <v>577</v>
      </c>
      <c r="D43" s="839"/>
      <c r="E43" s="840"/>
      <c r="F43" s="841">
        <v>0</v>
      </c>
      <c r="G43" s="842"/>
      <c r="H43" s="841">
        <v>95071.97</v>
      </c>
      <c r="I43" s="843"/>
      <c r="J43" s="842"/>
      <c r="K43" s="454">
        <v>69837.86</v>
      </c>
      <c r="L43" s="454">
        <v>49879.01</v>
      </c>
      <c r="M43" s="454">
        <v>214788.84</v>
      </c>
      <c r="N43" s="611"/>
    </row>
    <row r="44" spans="1:14" ht="18" customHeight="1" x14ac:dyDescent="0.75">
      <c r="A44" s="611"/>
      <c r="B44" s="612" t="s">
        <v>20</v>
      </c>
      <c r="C44" s="838" t="s">
        <v>1465</v>
      </c>
      <c r="D44" s="839"/>
      <c r="E44" s="840"/>
      <c r="F44" s="841">
        <v>0</v>
      </c>
      <c r="G44" s="842"/>
      <c r="H44" s="841">
        <v>354972.57</v>
      </c>
      <c r="I44" s="843"/>
      <c r="J44" s="842"/>
      <c r="K44" s="454">
        <v>344080.44</v>
      </c>
      <c r="L44" s="454">
        <v>245627.96</v>
      </c>
      <c r="M44" s="454">
        <v>944680.97</v>
      </c>
      <c r="N44" s="611"/>
    </row>
    <row r="45" spans="1:14" ht="18" customHeight="1" x14ac:dyDescent="0.75">
      <c r="A45" s="611"/>
      <c r="B45" s="612" t="s">
        <v>22</v>
      </c>
      <c r="C45" s="838" t="s">
        <v>581</v>
      </c>
      <c r="D45" s="839"/>
      <c r="E45" s="840"/>
      <c r="F45" s="841">
        <v>0</v>
      </c>
      <c r="G45" s="842"/>
      <c r="H45" s="841">
        <v>155896.4</v>
      </c>
      <c r="I45" s="843"/>
      <c r="J45" s="842"/>
      <c r="K45" s="454">
        <v>151102.21</v>
      </c>
      <c r="L45" s="454">
        <v>107867.62</v>
      </c>
      <c r="M45" s="454">
        <v>414866.23</v>
      </c>
      <c r="N45" s="611"/>
    </row>
    <row r="46" spans="1:14" ht="18" customHeight="1" x14ac:dyDescent="0.75">
      <c r="A46" s="611"/>
      <c r="B46" s="612" t="s">
        <v>24</v>
      </c>
      <c r="C46" s="838" t="s">
        <v>582</v>
      </c>
      <c r="D46" s="839"/>
      <c r="E46" s="840"/>
      <c r="F46" s="841">
        <v>0</v>
      </c>
      <c r="G46" s="842"/>
      <c r="H46" s="841">
        <v>138850.66</v>
      </c>
      <c r="I46" s="843"/>
      <c r="J46" s="842"/>
      <c r="K46" s="454">
        <v>134682.43</v>
      </c>
      <c r="L46" s="454">
        <v>96140.34</v>
      </c>
      <c r="M46" s="454">
        <v>369673.43</v>
      </c>
      <c r="N46" s="611"/>
    </row>
    <row r="47" spans="1:14" ht="18" customHeight="1" x14ac:dyDescent="0.75">
      <c r="A47" s="611"/>
      <c r="B47" s="612" t="s">
        <v>26</v>
      </c>
      <c r="C47" s="838" t="s">
        <v>1661</v>
      </c>
      <c r="D47" s="839"/>
      <c r="E47" s="840"/>
      <c r="F47" s="841">
        <v>0</v>
      </c>
      <c r="G47" s="842"/>
      <c r="H47" s="841">
        <v>5922.13</v>
      </c>
      <c r="I47" s="843"/>
      <c r="J47" s="842"/>
      <c r="K47" s="454">
        <v>0</v>
      </c>
      <c r="L47" s="454">
        <v>0</v>
      </c>
      <c r="M47" s="454">
        <v>5922.13</v>
      </c>
      <c r="N47" s="611"/>
    </row>
    <row r="48" spans="1:14" ht="18" customHeight="1" x14ac:dyDescent="0.75">
      <c r="A48" s="611"/>
      <c r="B48" s="844" t="s">
        <v>732</v>
      </c>
      <c r="C48" s="845"/>
      <c r="D48" s="845"/>
      <c r="E48" s="846"/>
      <c r="F48" s="847">
        <v>0</v>
      </c>
      <c r="G48" s="848"/>
      <c r="H48" s="847">
        <v>750713.73</v>
      </c>
      <c r="I48" s="849"/>
      <c r="J48" s="848"/>
      <c r="K48" s="452">
        <v>699702.94</v>
      </c>
      <c r="L48" s="452">
        <v>499514.93</v>
      </c>
      <c r="M48" s="452">
        <v>1949931.6</v>
      </c>
      <c r="N48" s="611"/>
    </row>
    <row r="49" spans="1:14" ht="18" customHeight="1" x14ac:dyDescent="0.75">
      <c r="A49" s="611"/>
      <c r="B49" s="612" t="s">
        <v>30</v>
      </c>
      <c r="C49" s="838" t="s">
        <v>587</v>
      </c>
      <c r="D49" s="839"/>
      <c r="E49" s="840"/>
      <c r="F49" s="841">
        <v>0</v>
      </c>
      <c r="G49" s="842"/>
      <c r="H49" s="841">
        <v>434741.31</v>
      </c>
      <c r="I49" s="843"/>
      <c r="J49" s="842"/>
      <c r="K49" s="454">
        <v>373033.3</v>
      </c>
      <c r="L49" s="454">
        <v>266348.84000000003</v>
      </c>
      <c r="M49" s="454">
        <v>1074123.45</v>
      </c>
      <c r="N49" s="611"/>
    </row>
    <row r="50" spans="1:14" ht="18" customHeight="1" x14ac:dyDescent="0.75">
      <c r="A50" s="611"/>
      <c r="B50" s="612" t="s">
        <v>42</v>
      </c>
      <c r="C50" s="838" t="s">
        <v>1662</v>
      </c>
      <c r="D50" s="839"/>
      <c r="E50" s="840"/>
      <c r="F50" s="841">
        <v>0</v>
      </c>
      <c r="G50" s="842"/>
      <c r="H50" s="841">
        <v>37298.870000000003</v>
      </c>
      <c r="I50" s="843"/>
      <c r="J50" s="842"/>
      <c r="K50" s="454">
        <v>31896.28</v>
      </c>
      <c r="L50" s="454">
        <v>22774.54</v>
      </c>
      <c r="M50" s="454">
        <v>91969.69</v>
      </c>
      <c r="N50" s="611"/>
    </row>
    <row r="51" spans="1:14" ht="18" customHeight="1" x14ac:dyDescent="0.75">
      <c r="A51" s="611"/>
      <c r="B51" s="612" t="s">
        <v>44</v>
      </c>
      <c r="C51" s="838" t="s">
        <v>1663</v>
      </c>
      <c r="D51" s="839"/>
      <c r="E51" s="840"/>
      <c r="F51" s="841">
        <v>0</v>
      </c>
      <c r="G51" s="842"/>
      <c r="H51" s="841">
        <v>53675.74</v>
      </c>
      <c r="I51" s="843"/>
      <c r="J51" s="842"/>
      <c r="K51" s="454">
        <v>50136.69</v>
      </c>
      <c r="L51" s="454">
        <v>35788.949999999997</v>
      </c>
      <c r="M51" s="454">
        <v>139601.38</v>
      </c>
      <c r="N51" s="611"/>
    </row>
    <row r="52" spans="1:14" ht="18" customHeight="1" x14ac:dyDescent="0.75">
      <c r="A52" s="611"/>
      <c r="B52" s="612" t="s">
        <v>1065</v>
      </c>
      <c r="C52" s="838" t="s">
        <v>1066</v>
      </c>
      <c r="D52" s="839"/>
      <c r="E52" s="840"/>
      <c r="F52" s="841">
        <v>0</v>
      </c>
      <c r="G52" s="842"/>
      <c r="H52" s="841">
        <v>0</v>
      </c>
      <c r="I52" s="843"/>
      <c r="J52" s="842"/>
      <c r="K52" s="454">
        <v>0</v>
      </c>
      <c r="L52" s="454">
        <v>0</v>
      </c>
      <c r="M52" s="454">
        <v>0</v>
      </c>
      <c r="N52" s="611"/>
    </row>
    <row r="53" spans="1:14" ht="18" customHeight="1" x14ac:dyDescent="0.75">
      <c r="A53" s="611"/>
      <c r="B53" s="612" t="s">
        <v>1067</v>
      </c>
      <c r="C53" s="838" t="s">
        <v>1068</v>
      </c>
      <c r="D53" s="839"/>
      <c r="E53" s="840"/>
      <c r="F53" s="841">
        <v>0</v>
      </c>
      <c r="G53" s="842"/>
      <c r="H53" s="841">
        <v>0</v>
      </c>
      <c r="I53" s="843"/>
      <c r="J53" s="842"/>
      <c r="K53" s="454">
        <v>0</v>
      </c>
      <c r="L53" s="454">
        <v>0</v>
      </c>
      <c r="M53" s="454">
        <v>0</v>
      </c>
      <c r="N53" s="611"/>
    </row>
    <row r="54" spans="1:14" ht="18" customHeight="1" x14ac:dyDescent="0.75">
      <c r="A54" s="611"/>
      <c r="B54" s="612" t="s">
        <v>48</v>
      </c>
      <c r="C54" s="838" t="s">
        <v>589</v>
      </c>
      <c r="D54" s="839"/>
      <c r="E54" s="840"/>
      <c r="F54" s="841">
        <v>0</v>
      </c>
      <c r="G54" s="842"/>
      <c r="H54" s="841">
        <v>380824.12</v>
      </c>
      <c r="I54" s="843"/>
      <c r="J54" s="842"/>
      <c r="K54" s="454">
        <v>353965.57</v>
      </c>
      <c r="L54" s="454">
        <v>253195.69</v>
      </c>
      <c r="M54" s="454">
        <v>987985.38</v>
      </c>
      <c r="N54" s="611"/>
    </row>
    <row r="55" spans="1:14" ht="18" customHeight="1" x14ac:dyDescent="0.75">
      <c r="A55" s="611"/>
      <c r="B55" s="612" t="s">
        <v>50</v>
      </c>
      <c r="C55" s="838" t="s">
        <v>589</v>
      </c>
      <c r="D55" s="839"/>
      <c r="E55" s="840"/>
      <c r="F55" s="850"/>
      <c r="G55" s="851"/>
      <c r="H55" s="841">
        <v>111477.13</v>
      </c>
      <c r="I55" s="843"/>
      <c r="J55" s="842"/>
      <c r="K55" s="454">
        <v>112273.59</v>
      </c>
      <c r="L55" s="454">
        <v>80246.89</v>
      </c>
      <c r="M55" s="454">
        <v>303997.61</v>
      </c>
      <c r="N55" s="611"/>
    </row>
    <row r="56" spans="1:14" ht="18" customHeight="1" x14ac:dyDescent="0.75">
      <c r="A56" s="611"/>
      <c r="B56" s="612" t="s">
        <v>716</v>
      </c>
      <c r="C56" s="838" t="s">
        <v>589</v>
      </c>
      <c r="D56" s="839"/>
      <c r="E56" s="840"/>
      <c r="F56" s="841">
        <v>0</v>
      </c>
      <c r="G56" s="842"/>
      <c r="H56" s="841">
        <v>0</v>
      </c>
      <c r="I56" s="843"/>
      <c r="J56" s="842"/>
      <c r="K56" s="454">
        <v>0</v>
      </c>
      <c r="L56" s="454">
        <v>0</v>
      </c>
      <c r="M56" s="454">
        <v>0</v>
      </c>
      <c r="N56" s="611"/>
    </row>
    <row r="57" spans="1:14" ht="18" customHeight="1" x14ac:dyDescent="0.75">
      <c r="A57" s="611"/>
      <c r="B57" s="612" t="s">
        <v>54</v>
      </c>
      <c r="C57" s="838" t="s">
        <v>590</v>
      </c>
      <c r="D57" s="839"/>
      <c r="E57" s="840"/>
      <c r="F57" s="841">
        <v>0</v>
      </c>
      <c r="G57" s="842"/>
      <c r="H57" s="841">
        <v>29299.61</v>
      </c>
      <c r="I57" s="843"/>
      <c r="J57" s="842"/>
      <c r="K57" s="454">
        <v>27964.47</v>
      </c>
      <c r="L57" s="454">
        <v>19945.41</v>
      </c>
      <c r="M57" s="454">
        <v>77209.490000000005</v>
      </c>
      <c r="N57" s="611"/>
    </row>
    <row r="58" spans="1:14" ht="18" customHeight="1" x14ac:dyDescent="0.75">
      <c r="A58" s="611"/>
      <c r="B58" s="612" t="s">
        <v>56</v>
      </c>
      <c r="C58" s="838" t="s">
        <v>590</v>
      </c>
      <c r="D58" s="839"/>
      <c r="E58" s="840"/>
      <c r="F58" s="850"/>
      <c r="G58" s="851"/>
      <c r="H58" s="841">
        <v>8247.99</v>
      </c>
      <c r="I58" s="843"/>
      <c r="J58" s="842"/>
      <c r="K58" s="454">
        <v>8592.3700000000008</v>
      </c>
      <c r="L58" s="454">
        <v>6129.16</v>
      </c>
      <c r="M58" s="454">
        <v>22969.52</v>
      </c>
      <c r="N58" s="611"/>
    </row>
    <row r="59" spans="1:14" ht="18" customHeight="1" x14ac:dyDescent="0.75">
      <c r="A59" s="611"/>
      <c r="B59" s="612" t="s">
        <v>717</v>
      </c>
      <c r="C59" s="838" t="s">
        <v>590</v>
      </c>
      <c r="D59" s="839"/>
      <c r="E59" s="840"/>
      <c r="F59" s="841">
        <v>0</v>
      </c>
      <c r="G59" s="842"/>
      <c r="H59" s="841">
        <v>0</v>
      </c>
      <c r="I59" s="843"/>
      <c r="J59" s="842"/>
      <c r="K59" s="454">
        <v>0</v>
      </c>
      <c r="L59" s="454">
        <v>0</v>
      </c>
      <c r="M59" s="454">
        <v>0</v>
      </c>
      <c r="N59" s="611"/>
    </row>
    <row r="60" spans="1:14" ht="18" customHeight="1" x14ac:dyDescent="0.75">
      <c r="A60" s="611"/>
      <c r="B60" s="612" t="s">
        <v>60</v>
      </c>
      <c r="C60" s="838" t="s">
        <v>591</v>
      </c>
      <c r="D60" s="839"/>
      <c r="E60" s="840"/>
      <c r="F60" s="841">
        <v>0</v>
      </c>
      <c r="G60" s="842"/>
      <c r="H60" s="841">
        <v>16501.46</v>
      </c>
      <c r="I60" s="843"/>
      <c r="J60" s="842"/>
      <c r="K60" s="454">
        <v>16128.44</v>
      </c>
      <c r="L60" s="454">
        <v>11487.5</v>
      </c>
      <c r="M60" s="454">
        <v>44117.4</v>
      </c>
      <c r="N60" s="611"/>
    </row>
    <row r="61" spans="1:14" ht="18" customHeight="1" x14ac:dyDescent="0.75">
      <c r="A61" s="611"/>
      <c r="B61" s="612" t="s">
        <v>62</v>
      </c>
      <c r="C61" s="838" t="s">
        <v>591</v>
      </c>
      <c r="D61" s="839"/>
      <c r="E61" s="840"/>
      <c r="F61" s="850"/>
      <c r="G61" s="851"/>
      <c r="H61" s="841">
        <v>5038.63</v>
      </c>
      <c r="I61" s="843"/>
      <c r="J61" s="842"/>
      <c r="K61" s="454">
        <v>5375.11</v>
      </c>
      <c r="L61" s="454">
        <v>3828.45</v>
      </c>
      <c r="M61" s="454">
        <v>14242.19</v>
      </c>
      <c r="N61" s="611"/>
    </row>
    <row r="62" spans="1:14" ht="18" customHeight="1" x14ac:dyDescent="0.75">
      <c r="A62" s="611"/>
      <c r="B62" s="612" t="s">
        <v>718</v>
      </c>
      <c r="C62" s="838" t="s">
        <v>591</v>
      </c>
      <c r="D62" s="839"/>
      <c r="E62" s="840"/>
      <c r="F62" s="841">
        <v>0</v>
      </c>
      <c r="G62" s="842"/>
      <c r="H62" s="841">
        <v>0</v>
      </c>
      <c r="I62" s="843"/>
      <c r="J62" s="842"/>
      <c r="K62" s="454">
        <v>0</v>
      </c>
      <c r="L62" s="454">
        <v>0</v>
      </c>
      <c r="M62" s="454">
        <v>0</v>
      </c>
      <c r="N62" s="611"/>
    </row>
    <row r="63" spans="1:14" ht="18" customHeight="1" x14ac:dyDescent="0.75">
      <c r="A63" s="611"/>
      <c r="B63" s="612" t="s">
        <v>82</v>
      </c>
      <c r="C63" s="838" t="s">
        <v>1107</v>
      </c>
      <c r="D63" s="839"/>
      <c r="E63" s="840"/>
      <c r="F63" s="841">
        <v>0</v>
      </c>
      <c r="G63" s="842"/>
      <c r="H63" s="841">
        <v>18986.759999999998</v>
      </c>
      <c r="I63" s="843"/>
      <c r="J63" s="842"/>
      <c r="K63" s="454">
        <v>17379.919999999998</v>
      </c>
      <c r="L63" s="454">
        <v>12463.94</v>
      </c>
      <c r="M63" s="454">
        <v>48830.62</v>
      </c>
      <c r="N63" s="611"/>
    </row>
    <row r="64" spans="1:14" ht="18" customHeight="1" x14ac:dyDescent="0.75">
      <c r="A64" s="611"/>
      <c r="B64" s="612" t="s">
        <v>1073</v>
      </c>
      <c r="C64" s="838" t="s">
        <v>1107</v>
      </c>
      <c r="D64" s="839"/>
      <c r="E64" s="840"/>
      <c r="F64" s="841">
        <v>0</v>
      </c>
      <c r="G64" s="842"/>
      <c r="H64" s="841">
        <v>0</v>
      </c>
      <c r="I64" s="843"/>
      <c r="J64" s="842"/>
      <c r="K64" s="454">
        <v>0</v>
      </c>
      <c r="L64" s="454">
        <v>0</v>
      </c>
      <c r="M64" s="454">
        <v>0</v>
      </c>
      <c r="N64" s="611"/>
    </row>
    <row r="65" spans="1:14" ht="18" customHeight="1" x14ac:dyDescent="0.75">
      <c r="A65" s="611"/>
      <c r="B65" s="844" t="s">
        <v>733</v>
      </c>
      <c r="C65" s="845"/>
      <c r="D65" s="845"/>
      <c r="E65" s="846"/>
      <c r="F65" s="847">
        <v>0</v>
      </c>
      <c r="G65" s="848"/>
      <c r="H65" s="847">
        <v>1096091.6200000001</v>
      </c>
      <c r="I65" s="849"/>
      <c r="J65" s="848"/>
      <c r="K65" s="452">
        <v>996745.74</v>
      </c>
      <c r="L65" s="452">
        <v>712209.37</v>
      </c>
      <c r="M65" s="452">
        <v>2805046.73</v>
      </c>
      <c r="N65" s="611"/>
    </row>
    <row r="66" spans="1:14" ht="12.45" customHeight="1" x14ac:dyDescent="0.75">
      <c r="A66" s="611"/>
      <c r="B66" s="832" t="s">
        <v>1447</v>
      </c>
      <c r="C66" s="833"/>
      <c r="D66" s="833"/>
      <c r="E66" s="834"/>
      <c r="F66" s="835">
        <v>0</v>
      </c>
      <c r="G66" s="836"/>
      <c r="H66" s="835">
        <v>4431410.71</v>
      </c>
      <c r="I66" s="837"/>
      <c r="J66" s="836"/>
      <c r="K66" s="451">
        <v>3905579.93</v>
      </c>
      <c r="L66" s="451">
        <v>2789055.94</v>
      </c>
      <c r="M66" s="451">
        <v>11126046.58</v>
      </c>
      <c r="N66" s="611"/>
    </row>
    <row r="67" spans="1:14" ht="18" customHeight="1" x14ac:dyDescent="0.75">
      <c r="A67" s="611"/>
      <c r="B67" s="612" t="s">
        <v>86</v>
      </c>
      <c r="C67" s="838" t="s">
        <v>592</v>
      </c>
      <c r="D67" s="839"/>
      <c r="E67" s="840"/>
      <c r="F67" s="841">
        <v>0</v>
      </c>
      <c r="G67" s="842"/>
      <c r="H67" s="841">
        <v>671615.26</v>
      </c>
      <c r="I67" s="843"/>
      <c r="J67" s="842"/>
      <c r="K67" s="454">
        <v>638008.48</v>
      </c>
      <c r="L67" s="454">
        <v>456170.14</v>
      </c>
      <c r="M67" s="454">
        <v>1765793.88</v>
      </c>
      <c r="N67" s="611"/>
    </row>
    <row r="68" spans="1:14" ht="18" customHeight="1" x14ac:dyDescent="0.75">
      <c r="A68" s="611"/>
      <c r="B68" s="612" t="s">
        <v>1642</v>
      </c>
      <c r="C68" s="838" t="s">
        <v>1664</v>
      </c>
      <c r="D68" s="839"/>
      <c r="E68" s="840"/>
      <c r="F68" s="841">
        <v>0</v>
      </c>
      <c r="G68" s="842"/>
      <c r="H68" s="841">
        <v>100665.76</v>
      </c>
      <c r="I68" s="843"/>
      <c r="J68" s="842"/>
      <c r="K68" s="454">
        <v>100494.75</v>
      </c>
      <c r="L68" s="454">
        <v>71577.69</v>
      </c>
      <c r="M68" s="454">
        <v>272738.2</v>
      </c>
      <c r="N68" s="611"/>
    </row>
    <row r="69" spans="1:14" ht="18" customHeight="1" x14ac:dyDescent="0.75">
      <c r="A69" s="611"/>
      <c r="B69" s="612" t="s">
        <v>1643</v>
      </c>
      <c r="C69" s="838" t="s">
        <v>1665</v>
      </c>
      <c r="D69" s="839"/>
      <c r="E69" s="840"/>
      <c r="F69" s="841">
        <v>0</v>
      </c>
      <c r="G69" s="842"/>
      <c r="H69" s="841">
        <v>75872.67</v>
      </c>
      <c r="I69" s="843"/>
      <c r="J69" s="842"/>
      <c r="K69" s="454">
        <v>66707.320000000007</v>
      </c>
      <c r="L69" s="454">
        <v>41901.46</v>
      </c>
      <c r="M69" s="454">
        <v>184481.45</v>
      </c>
      <c r="N69" s="611"/>
    </row>
    <row r="70" spans="1:14" ht="18" customHeight="1" x14ac:dyDescent="0.75">
      <c r="A70" s="611"/>
      <c r="B70" s="612" t="s">
        <v>88</v>
      </c>
      <c r="C70" s="838" t="s">
        <v>593</v>
      </c>
      <c r="D70" s="839"/>
      <c r="E70" s="840"/>
      <c r="F70" s="841">
        <v>0</v>
      </c>
      <c r="G70" s="842"/>
      <c r="H70" s="841">
        <v>14579.89</v>
      </c>
      <c r="I70" s="843"/>
      <c r="J70" s="842"/>
      <c r="K70" s="454">
        <v>13382.14</v>
      </c>
      <c r="L70" s="454">
        <v>9594.7999999999993</v>
      </c>
      <c r="M70" s="454">
        <v>37556.83</v>
      </c>
      <c r="N70" s="611"/>
    </row>
    <row r="71" spans="1:14" ht="18" customHeight="1" x14ac:dyDescent="0.75">
      <c r="A71" s="611"/>
      <c r="B71" s="612" t="s">
        <v>1645</v>
      </c>
      <c r="C71" s="838" t="s">
        <v>1666</v>
      </c>
      <c r="D71" s="839"/>
      <c r="E71" s="840"/>
      <c r="F71" s="850"/>
      <c r="G71" s="851"/>
      <c r="H71" s="841">
        <v>0</v>
      </c>
      <c r="I71" s="843"/>
      <c r="J71" s="842"/>
      <c r="K71" s="454">
        <v>0</v>
      </c>
      <c r="L71" s="454">
        <v>0</v>
      </c>
      <c r="M71" s="454">
        <v>0</v>
      </c>
      <c r="N71" s="611"/>
    </row>
    <row r="72" spans="1:14" ht="18" customHeight="1" x14ac:dyDescent="0.75">
      <c r="A72" s="611"/>
      <c r="B72" s="612" t="s">
        <v>90</v>
      </c>
      <c r="C72" s="838" t="s">
        <v>595</v>
      </c>
      <c r="D72" s="839"/>
      <c r="E72" s="840"/>
      <c r="F72" s="841">
        <v>0</v>
      </c>
      <c r="G72" s="842"/>
      <c r="H72" s="841">
        <v>2858.28</v>
      </c>
      <c r="I72" s="843"/>
      <c r="J72" s="842"/>
      <c r="K72" s="454">
        <v>2750.03</v>
      </c>
      <c r="L72" s="454">
        <v>1047.79</v>
      </c>
      <c r="M72" s="454">
        <v>6656.1</v>
      </c>
      <c r="N72" s="611"/>
    </row>
    <row r="73" spans="1:14" ht="18" customHeight="1" x14ac:dyDescent="0.75">
      <c r="A73" s="611"/>
      <c r="B73" s="612" t="s">
        <v>833</v>
      </c>
      <c r="C73" s="838" t="s">
        <v>594</v>
      </c>
      <c r="D73" s="839"/>
      <c r="E73" s="840"/>
      <c r="F73" s="841">
        <v>0</v>
      </c>
      <c r="G73" s="842"/>
      <c r="H73" s="841">
        <v>1889.99</v>
      </c>
      <c r="I73" s="843"/>
      <c r="J73" s="842"/>
      <c r="K73" s="454">
        <v>16.690000000000001</v>
      </c>
      <c r="L73" s="454">
        <v>9.26</v>
      </c>
      <c r="M73" s="454">
        <v>1915.94</v>
      </c>
      <c r="N73" s="611"/>
    </row>
    <row r="74" spans="1:14" ht="18" customHeight="1" x14ac:dyDescent="0.75">
      <c r="A74" s="611"/>
      <c r="B74" s="612" t="s">
        <v>92</v>
      </c>
      <c r="C74" s="838" t="s">
        <v>596</v>
      </c>
      <c r="D74" s="839"/>
      <c r="E74" s="840"/>
      <c r="F74" s="841">
        <v>0</v>
      </c>
      <c r="G74" s="842"/>
      <c r="H74" s="841">
        <v>11441.91</v>
      </c>
      <c r="I74" s="843"/>
      <c r="J74" s="842"/>
      <c r="K74" s="454">
        <v>10190.040000000001</v>
      </c>
      <c r="L74" s="454">
        <v>7324.45</v>
      </c>
      <c r="M74" s="454">
        <v>28956.400000000001</v>
      </c>
      <c r="N74" s="611"/>
    </row>
    <row r="75" spans="1:14" ht="18" customHeight="1" x14ac:dyDescent="0.75">
      <c r="A75" s="611"/>
      <c r="B75" s="612" t="s">
        <v>1333</v>
      </c>
      <c r="C75" s="838" t="s">
        <v>1464</v>
      </c>
      <c r="D75" s="839"/>
      <c r="E75" s="840"/>
      <c r="F75" s="841">
        <v>0</v>
      </c>
      <c r="G75" s="842"/>
      <c r="H75" s="841">
        <v>108267.35</v>
      </c>
      <c r="I75" s="843"/>
      <c r="J75" s="842"/>
      <c r="K75" s="454">
        <v>104809.33</v>
      </c>
      <c r="L75" s="454">
        <v>74827.58</v>
      </c>
      <c r="M75" s="454">
        <v>287904.26</v>
      </c>
      <c r="N75" s="611"/>
    </row>
    <row r="76" spans="1:14" ht="18" customHeight="1" x14ac:dyDescent="0.75">
      <c r="A76" s="611"/>
      <c r="B76" s="612" t="s">
        <v>677</v>
      </c>
      <c r="C76" s="838" t="s">
        <v>1112</v>
      </c>
      <c r="D76" s="839"/>
      <c r="E76" s="840"/>
      <c r="F76" s="841">
        <v>0</v>
      </c>
      <c r="G76" s="842"/>
      <c r="H76" s="841">
        <v>870.13</v>
      </c>
      <c r="I76" s="843"/>
      <c r="J76" s="842"/>
      <c r="K76" s="454">
        <v>862.17</v>
      </c>
      <c r="L76" s="454">
        <v>614.44000000000005</v>
      </c>
      <c r="M76" s="454">
        <v>2346.7399999999998</v>
      </c>
      <c r="N76" s="611"/>
    </row>
    <row r="77" spans="1:14" ht="18" customHeight="1" x14ac:dyDescent="0.75">
      <c r="A77" s="611"/>
      <c r="B77" s="612" t="s">
        <v>94</v>
      </c>
      <c r="C77" s="838" t="s">
        <v>1078</v>
      </c>
      <c r="D77" s="839"/>
      <c r="E77" s="840"/>
      <c r="F77" s="850"/>
      <c r="G77" s="851"/>
      <c r="H77" s="841">
        <v>390.04</v>
      </c>
      <c r="I77" s="843"/>
      <c r="J77" s="842"/>
      <c r="K77" s="453"/>
      <c r="L77" s="453"/>
      <c r="M77" s="454">
        <v>390.04</v>
      </c>
      <c r="N77" s="611"/>
    </row>
    <row r="78" spans="1:14" ht="18" customHeight="1" x14ac:dyDescent="0.75">
      <c r="A78" s="611"/>
      <c r="B78" s="844" t="s">
        <v>676</v>
      </c>
      <c r="C78" s="845"/>
      <c r="D78" s="845"/>
      <c r="E78" s="846"/>
      <c r="F78" s="847">
        <v>0</v>
      </c>
      <c r="G78" s="848"/>
      <c r="H78" s="847">
        <v>988451.28</v>
      </c>
      <c r="I78" s="849"/>
      <c r="J78" s="848"/>
      <c r="K78" s="452">
        <v>937220.95</v>
      </c>
      <c r="L78" s="452">
        <v>663067.61</v>
      </c>
      <c r="M78" s="452">
        <v>2588739.84</v>
      </c>
      <c r="N78" s="611"/>
    </row>
    <row r="79" spans="1:14" ht="18" customHeight="1" x14ac:dyDescent="0.75">
      <c r="A79" s="611"/>
      <c r="B79" s="612" t="s">
        <v>98</v>
      </c>
      <c r="C79" s="838" t="s">
        <v>597</v>
      </c>
      <c r="D79" s="839"/>
      <c r="E79" s="840"/>
      <c r="F79" s="841">
        <v>0</v>
      </c>
      <c r="G79" s="842"/>
      <c r="H79" s="841">
        <v>30629.47</v>
      </c>
      <c r="I79" s="843"/>
      <c r="J79" s="842"/>
      <c r="K79" s="454">
        <v>28831.61</v>
      </c>
      <c r="L79" s="454">
        <v>20444.47</v>
      </c>
      <c r="M79" s="454">
        <v>79905.55</v>
      </c>
      <c r="N79" s="611"/>
    </row>
    <row r="80" spans="1:14" ht="18" customHeight="1" x14ac:dyDescent="0.75">
      <c r="A80" s="611"/>
      <c r="B80" s="612" t="s">
        <v>550</v>
      </c>
      <c r="C80" s="838" t="s">
        <v>598</v>
      </c>
      <c r="D80" s="839"/>
      <c r="E80" s="840"/>
      <c r="F80" s="841">
        <v>0</v>
      </c>
      <c r="G80" s="842"/>
      <c r="H80" s="841">
        <v>143288.47</v>
      </c>
      <c r="I80" s="843"/>
      <c r="J80" s="842"/>
      <c r="K80" s="454">
        <v>134947.45000000001</v>
      </c>
      <c r="L80" s="454">
        <v>95797.16</v>
      </c>
      <c r="M80" s="454">
        <v>374033.08</v>
      </c>
      <c r="N80" s="611"/>
    </row>
    <row r="81" spans="1:14" ht="18" customHeight="1" x14ac:dyDescent="0.75">
      <c r="A81" s="611"/>
      <c r="B81" s="612" t="s">
        <v>100</v>
      </c>
      <c r="C81" s="838" t="s">
        <v>599</v>
      </c>
      <c r="D81" s="839"/>
      <c r="E81" s="840"/>
      <c r="F81" s="841">
        <v>0</v>
      </c>
      <c r="G81" s="842"/>
      <c r="H81" s="841">
        <v>22031.99</v>
      </c>
      <c r="I81" s="843"/>
      <c r="J81" s="842"/>
      <c r="K81" s="454">
        <v>23632.39</v>
      </c>
      <c r="L81" s="454">
        <v>16032.81</v>
      </c>
      <c r="M81" s="454">
        <v>61697.19</v>
      </c>
      <c r="N81" s="611"/>
    </row>
    <row r="82" spans="1:14" ht="18" customHeight="1" x14ac:dyDescent="0.75">
      <c r="A82" s="611"/>
      <c r="B82" s="612" t="s">
        <v>102</v>
      </c>
      <c r="C82" s="838" t="s">
        <v>600</v>
      </c>
      <c r="D82" s="839"/>
      <c r="E82" s="840"/>
      <c r="F82" s="841">
        <v>0</v>
      </c>
      <c r="G82" s="842"/>
      <c r="H82" s="841">
        <v>22199.18</v>
      </c>
      <c r="I82" s="843"/>
      <c r="J82" s="842"/>
      <c r="K82" s="454">
        <v>22161.47</v>
      </c>
      <c r="L82" s="454">
        <v>15784.58</v>
      </c>
      <c r="M82" s="454">
        <v>60145.23</v>
      </c>
      <c r="N82" s="611"/>
    </row>
    <row r="83" spans="1:14" ht="18" customHeight="1" x14ac:dyDescent="0.75">
      <c r="A83" s="611"/>
      <c r="B83" s="612" t="s">
        <v>108</v>
      </c>
      <c r="C83" s="838" t="s">
        <v>1118</v>
      </c>
      <c r="D83" s="839"/>
      <c r="E83" s="840"/>
      <c r="F83" s="841">
        <v>0</v>
      </c>
      <c r="G83" s="842"/>
      <c r="H83" s="841">
        <v>930.57</v>
      </c>
      <c r="I83" s="843"/>
      <c r="J83" s="842"/>
      <c r="K83" s="454">
        <v>840.81</v>
      </c>
      <c r="L83" s="454">
        <v>603.63</v>
      </c>
      <c r="M83" s="454">
        <v>2375.0100000000002</v>
      </c>
      <c r="N83" s="611"/>
    </row>
    <row r="84" spans="1:14" ht="18" customHeight="1" x14ac:dyDescent="0.75">
      <c r="A84" s="611"/>
      <c r="B84" s="612" t="s">
        <v>678</v>
      </c>
      <c r="C84" s="838" t="s">
        <v>602</v>
      </c>
      <c r="D84" s="839"/>
      <c r="E84" s="840"/>
      <c r="F84" s="841">
        <v>0</v>
      </c>
      <c r="G84" s="842"/>
      <c r="H84" s="841">
        <v>416.41</v>
      </c>
      <c r="I84" s="843"/>
      <c r="J84" s="842"/>
      <c r="K84" s="454">
        <v>370.4</v>
      </c>
      <c r="L84" s="454">
        <v>266.27</v>
      </c>
      <c r="M84" s="454">
        <v>1053.08</v>
      </c>
      <c r="N84" s="611"/>
    </row>
    <row r="85" spans="1:14" ht="18" customHeight="1" x14ac:dyDescent="0.75">
      <c r="A85" s="611"/>
      <c r="B85" s="612" t="s">
        <v>110</v>
      </c>
      <c r="C85" s="838" t="s">
        <v>603</v>
      </c>
      <c r="D85" s="839"/>
      <c r="E85" s="840"/>
      <c r="F85" s="841">
        <v>0</v>
      </c>
      <c r="G85" s="842"/>
      <c r="H85" s="841">
        <v>26485.11</v>
      </c>
      <c r="I85" s="843"/>
      <c r="J85" s="842"/>
      <c r="K85" s="454">
        <v>24144.880000000001</v>
      </c>
      <c r="L85" s="454">
        <v>17321.21</v>
      </c>
      <c r="M85" s="454">
        <v>67951.199999999997</v>
      </c>
      <c r="N85" s="611"/>
    </row>
    <row r="86" spans="1:14" ht="18" customHeight="1" x14ac:dyDescent="0.75">
      <c r="A86" s="611"/>
      <c r="B86" s="612" t="s">
        <v>1080</v>
      </c>
      <c r="C86" s="838" t="s">
        <v>1667</v>
      </c>
      <c r="D86" s="839"/>
      <c r="E86" s="840"/>
      <c r="F86" s="841">
        <v>0</v>
      </c>
      <c r="G86" s="842"/>
      <c r="H86" s="841">
        <v>0</v>
      </c>
      <c r="I86" s="843"/>
      <c r="J86" s="842"/>
      <c r="K86" s="454">
        <v>0</v>
      </c>
      <c r="L86" s="454">
        <v>0</v>
      </c>
      <c r="M86" s="454">
        <v>0</v>
      </c>
      <c r="N86" s="611"/>
    </row>
    <row r="87" spans="1:14" ht="18" customHeight="1" x14ac:dyDescent="0.75">
      <c r="A87" s="611"/>
      <c r="B87" s="612" t="s">
        <v>1648</v>
      </c>
      <c r="C87" s="838" t="s">
        <v>1649</v>
      </c>
      <c r="D87" s="839"/>
      <c r="E87" s="840"/>
      <c r="F87" s="841">
        <v>0</v>
      </c>
      <c r="G87" s="842"/>
      <c r="H87" s="841">
        <v>726.79</v>
      </c>
      <c r="I87" s="843"/>
      <c r="J87" s="842"/>
      <c r="K87" s="454">
        <v>686.89</v>
      </c>
      <c r="L87" s="454">
        <v>491.32</v>
      </c>
      <c r="M87" s="454">
        <v>1905</v>
      </c>
      <c r="N87" s="611"/>
    </row>
    <row r="88" spans="1:14" ht="18" customHeight="1" x14ac:dyDescent="0.75">
      <c r="A88" s="611"/>
      <c r="B88" s="612" t="s">
        <v>116</v>
      </c>
      <c r="C88" s="838" t="s">
        <v>607</v>
      </c>
      <c r="D88" s="839"/>
      <c r="E88" s="840"/>
      <c r="F88" s="841">
        <v>0</v>
      </c>
      <c r="G88" s="842"/>
      <c r="H88" s="841">
        <v>180240.32</v>
      </c>
      <c r="I88" s="843"/>
      <c r="J88" s="842"/>
      <c r="K88" s="454">
        <v>183190.87</v>
      </c>
      <c r="L88" s="454">
        <v>25088.76</v>
      </c>
      <c r="M88" s="454">
        <v>388519.95</v>
      </c>
      <c r="N88" s="611"/>
    </row>
    <row r="89" spans="1:14" ht="18" customHeight="1" x14ac:dyDescent="0.75">
      <c r="A89" s="611"/>
      <c r="B89" s="612" t="s">
        <v>681</v>
      </c>
      <c r="C89" s="838" t="s">
        <v>608</v>
      </c>
      <c r="D89" s="839"/>
      <c r="E89" s="840"/>
      <c r="F89" s="841">
        <v>0</v>
      </c>
      <c r="G89" s="842"/>
      <c r="H89" s="841">
        <v>2721.71</v>
      </c>
      <c r="I89" s="843"/>
      <c r="J89" s="842"/>
      <c r="K89" s="454">
        <v>2499.4699999999998</v>
      </c>
      <c r="L89" s="454">
        <v>1792.03</v>
      </c>
      <c r="M89" s="454">
        <v>7013.21</v>
      </c>
      <c r="N89" s="611"/>
    </row>
    <row r="90" spans="1:14" ht="18" customHeight="1" x14ac:dyDescent="0.75">
      <c r="A90" s="611"/>
      <c r="B90" s="612" t="s">
        <v>682</v>
      </c>
      <c r="C90" s="838" t="s">
        <v>1668</v>
      </c>
      <c r="D90" s="839"/>
      <c r="E90" s="840"/>
      <c r="F90" s="841">
        <v>0</v>
      </c>
      <c r="G90" s="842"/>
      <c r="H90" s="841">
        <v>41648.870000000003</v>
      </c>
      <c r="I90" s="843"/>
      <c r="J90" s="842"/>
      <c r="K90" s="454">
        <v>37965.14</v>
      </c>
      <c r="L90" s="454">
        <v>27235.93</v>
      </c>
      <c r="M90" s="454">
        <v>106849.94</v>
      </c>
      <c r="N90" s="611"/>
    </row>
    <row r="91" spans="1:14" ht="18" customHeight="1" x14ac:dyDescent="0.75">
      <c r="A91" s="611"/>
      <c r="B91" s="612" t="s">
        <v>1282</v>
      </c>
      <c r="C91" s="838" t="s">
        <v>1283</v>
      </c>
      <c r="D91" s="839"/>
      <c r="E91" s="840"/>
      <c r="F91" s="841">
        <v>0</v>
      </c>
      <c r="G91" s="842"/>
      <c r="H91" s="841">
        <v>5710.97</v>
      </c>
      <c r="I91" s="843"/>
      <c r="J91" s="842"/>
      <c r="K91" s="454">
        <v>5701.27</v>
      </c>
      <c r="L91" s="454">
        <v>4060.74</v>
      </c>
      <c r="M91" s="454">
        <v>15472.98</v>
      </c>
      <c r="N91" s="611"/>
    </row>
    <row r="92" spans="1:14" ht="18" customHeight="1" x14ac:dyDescent="0.75">
      <c r="A92" s="611"/>
      <c r="B92" s="612" t="s">
        <v>1650</v>
      </c>
      <c r="C92" s="838" t="s">
        <v>1439</v>
      </c>
      <c r="D92" s="839"/>
      <c r="E92" s="840"/>
      <c r="F92" s="841">
        <v>0</v>
      </c>
      <c r="G92" s="842"/>
      <c r="H92" s="841">
        <v>1852.84</v>
      </c>
      <c r="I92" s="843"/>
      <c r="J92" s="842"/>
      <c r="K92" s="454">
        <v>8363.74</v>
      </c>
      <c r="L92" s="454">
        <v>1284.71</v>
      </c>
      <c r="M92" s="454">
        <v>11501.29</v>
      </c>
      <c r="N92" s="611"/>
    </row>
    <row r="93" spans="1:14" ht="18" customHeight="1" x14ac:dyDescent="0.75">
      <c r="A93" s="611"/>
      <c r="B93" s="612" t="s">
        <v>1652</v>
      </c>
      <c r="C93" s="838" t="s">
        <v>1512</v>
      </c>
      <c r="D93" s="839"/>
      <c r="E93" s="840"/>
      <c r="F93" s="841">
        <v>0</v>
      </c>
      <c r="G93" s="842"/>
      <c r="H93" s="841">
        <v>9969.01</v>
      </c>
      <c r="I93" s="843"/>
      <c r="J93" s="842"/>
      <c r="K93" s="454">
        <v>7640.48</v>
      </c>
      <c r="L93" s="454">
        <v>7083.01</v>
      </c>
      <c r="M93" s="454">
        <v>24692.5</v>
      </c>
      <c r="N93" s="611"/>
    </row>
    <row r="94" spans="1:14" ht="18" customHeight="1" x14ac:dyDescent="0.75">
      <c r="A94" s="611"/>
      <c r="B94" s="612" t="s">
        <v>553</v>
      </c>
      <c r="C94" s="838" t="s">
        <v>609</v>
      </c>
      <c r="D94" s="839"/>
      <c r="E94" s="840"/>
      <c r="F94" s="841">
        <v>0</v>
      </c>
      <c r="G94" s="842"/>
      <c r="H94" s="841">
        <v>191066.54</v>
      </c>
      <c r="I94" s="843"/>
      <c r="J94" s="842"/>
      <c r="K94" s="454">
        <v>221631.21</v>
      </c>
      <c r="L94" s="454">
        <v>229949.21</v>
      </c>
      <c r="M94" s="454">
        <v>642646.96</v>
      </c>
      <c r="N94" s="611"/>
    </row>
    <row r="95" spans="1:14" ht="18" customHeight="1" x14ac:dyDescent="0.75">
      <c r="A95" s="611"/>
      <c r="B95" s="612" t="s">
        <v>835</v>
      </c>
      <c r="C95" s="838" t="s">
        <v>1128</v>
      </c>
      <c r="D95" s="839"/>
      <c r="E95" s="840"/>
      <c r="F95" s="841">
        <v>0</v>
      </c>
      <c r="G95" s="842"/>
      <c r="H95" s="841">
        <v>38393.32</v>
      </c>
      <c r="I95" s="843"/>
      <c r="J95" s="842"/>
      <c r="K95" s="454">
        <v>31658.36</v>
      </c>
      <c r="L95" s="454">
        <v>22947.82</v>
      </c>
      <c r="M95" s="454">
        <v>92999.5</v>
      </c>
      <c r="N95" s="611"/>
    </row>
    <row r="96" spans="1:14" ht="18" customHeight="1" x14ac:dyDescent="0.75">
      <c r="A96" s="611"/>
      <c r="B96" s="612" t="s">
        <v>1654</v>
      </c>
      <c r="C96" s="838" t="s">
        <v>1669</v>
      </c>
      <c r="D96" s="839"/>
      <c r="E96" s="840"/>
      <c r="F96" s="841">
        <v>0</v>
      </c>
      <c r="G96" s="842"/>
      <c r="H96" s="841">
        <v>23661.78</v>
      </c>
      <c r="I96" s="843"/>
      <c r="J96" s="842"/>
      <c r="K96" s="454">
        <v>22670.65</v>
      </c>
      <c r="L96" s="454">
        <v>16196.64</v>
      </c>
      <c r="M96" s="454">
        <v>62529.07</v>
      </c>
      <c r="N96" s="611"/>
    </row>
    <row r="97" spans="1:14" ht="18" customHeight="1" x14ac:dyDescent="0.75">
      <c r="A97" s="611"/>
      <c r="B97" s="612" t="s">
        <v>1285</v>
      </c>
      <c r="C97" s="838" t="s">
        <v>1286</v>
      </c>
      <c r="D97" s="839"/>
      <c r="E97" s="840"/>
      <c r="F97" s="841">
        <v>0</v>
      </c>
      <c r="G97" s="842"/>
      <c r="H97" s="841">
        <v>126466.69</v>
      </c>
      <c r="I97" s="843"/>
      <c r="J97" s="842"/>
      <c r="K97" s="454">
        <v>107815.03999999999</v>
      </c>
      <c r="L97" s="454">
        <v>77787.27</v>
      </c>
      <c r="M97" s="454">
        <v>312069</v>
      </c>
      <c r="N97" s="611"/>
    </row>
    <row r="98" spans="1:14" ht="18" customHeight="1" x14ac:dyDescent="0.75">
      <c r="A98" s="611"/>
      <c r="B98" s="612" t="s">
        <v>1287</v>
      </c>
      <c r="C98" s="838" t="s">
        <v>1288</v>
      </c>
      <c r="D98" s="839"/>
      <c r="E98" s="840"/>
      <c r="F98" s="841">
        <v>0</v>
      </c>
      <c r="G98" s="842"/>
      <c r="H98" s="841">
        <v>577.54</v>
      </c>
      <c r="I98" s="843"/>
      <c r="J98" s="842"/>
      <c r="K98" s="454">
        <v>495.89</v>
      </c>
      <c r="L98" s="454">
        <v>357.56</v>
      </c>
      <c r="M98" s="454">
        <v>1430.99</v>
      </c>
      <c r="N98" s="611"/>
    </row>
    <row r="99" spans="1:14" ht="18" customHeight="1" x14ac:dyDescent="0.75">
      <c r="A99" s="611"/>
      <c r="B99" s="612" t="s">
        <v>1250</v>
      </c>
      <c r="C99" s="838" t="s">
        <v>616</v>
      </c>
      <c r="D99" s="839"/>
      <c r="E99" s="840"/>
      <c r="F99" s="841">
        <v>0</v>
      </c>
      <c r="G99" s="842"/>
      <c r="H99" s="841">
        <v>59633</v>
      </c>
      <c r="I99" s="843"/>
      <c r="J99" s="842"/>
      <c r="K99" s="454">
        <v>19221</v>
      </c>
      <c r="L99" s="454">
        <v>0</v>
      </c>
      <c r="M99" s="454">
        <v>78854</v>
      </c>
      <c r="N99" s="611"/>
    </row>
    <row r="100" spans="1:14" ht="18" customHeight="1" x14ac:dyDescent="0.75">
      <c r="A100" s="611"/>
      <c r="B100" s="612" t="s">
        <v>1290</v>
      </c>
      <c r="C100" s="838" t="s">
        <v>1289</v>
      </c>
      <c r="D100" s="839"/>
      <c r="E100" s="840"/>
      <c r="F100" s="841">
        <v>0</v>
      </c>
      <c r="G100" s="842"/>
      <c r="H100" s="841">
        <v>103060.68</v>
      </c>
      <c r="I100" s="843"/>
      <c r="J100" s="842"/>
      <c r="K100" s="454">
        <v>86140.49</v>
      </c>
      <c r="L100" s="454">
        <v>58108.39</v>
      </c>
      <c r="M100" s="454">
        <v>247309.56</v>
      </c>
      <c r="N100" s="611"/>
    </row>
    <row r="101" spans="1:14" ht="18" customHeight="1" x14ac:dyDescent="0.75">
      <c r="A101" s="611"/>
      <c r="B101" s="612" t="s">
        <v>838</v>
      </c>
      <c r="C101" s="838" t="s">
        <v>1670</v>
      </c>
      <c r="D101" s="839"/>
      <c r="E101" s="840"/>
      <c r="F101" s="841">
        <v>0</v>
      </c>
      <c r="G101" s="842"/>
      <c r="H101" s="841">
        <v>653</v>
      </c>
      <c r="I101" s="843"/>
      <c r="J101" s="842"/>
      <c r="K101" s="454">
        <v>634.05999999999995</v>
      </c>
      <c r="L101" s="454">
        <v>452.58</v>
      </c>
      <c r="M101" s="454">
        <v>1739.64</v>
      </c>
      <c r="N101" s="611"/>
    </row>
    <row r="102" spans="1:14" ht="18" customHeight="1" x14ac:dyDescent="0.75">
      <c r="A102" s="611"/>
      <c r="B102" s="612" t="s">
        <v>118</v>
      </c>
      <c r="C102" s="838" t="s">
        <v>1463</v>
      </c>
      <c r="D102" s="839"/>
      <c r="E102" s="840"/>
      <c r="F102" s="841">
        <v>0</v>
      </c>
      <c r="G102" s="842"/>
      <c r="H102" s="841">
        <v>29515.08</v>
      </c>
      <c r="I102" s="843"/>
      <c r="J102" s="842"/>
      <c r="K102" s="454">
        <v>27387.93</v>
      </c>
      <c r="L102" s="454">
        <v>19384.05</v>
      </c>
      <c r="M102" s="454">
        <v>76287.06</v>
      </c>
      <c r="N102" s="611"/>
    </row>
    <row r="103" spans="1:14" ht="18" customHeight="1" x14ac:dyDescent="0.75">
      <c r="A103" s="611"/>
      <c r="B103" s="612" t="s">
        <v>1655</v>
      </c>
      <c r="C103" s="838" t="s">
        <v>1656</v>
      </c>
      <c r="D103" s="839"/>
      <c r="E103" s="840"/>
      <c r="F103" s="841">
        <v>0</v>
      </c>
      <c r="G103" s="842"/>
      <c r="H103" s="841">
        <v>110.73</v>
      </c>
      <c r="I103" s="843"/>
      <c r="J103" s="842"/>
      <c r="K103" s="454">
        <v>110.55</v>
      </c>
      <c r="L103" s="454">
        <v>78.739999999999995</v>
      </c>
      <c r="M103" s="454">
        <v>300.02</v>
      </c>
      <c r="N103" s="611"/>
    </row>
    <row r="104" spans="1:14" ht="18" customHeight="1" x14ac:dyDescent="0.75">
      <c r="A104" s="611"/>
      <c r="B104" s="844" t="s">
        <v>1462</v>
      </c>
      <c r="C104" s="845"/>
      <c r="D104" s="845"/>
      <c r="E104" s="846"/>
      <c r="F104" s="847">
        <v>0</v>
      </c>
      <c r="G104" s="848"/>
      <c r="H104" s="847">
        <v>1061990.07</v>
      </c>
      <c r="I104" s="849"/>
      <c r="J104" s="848"/>
      <c r="K104" s="452">
        <v>998742.05</v>
      </c>
      <c r="L104" s="452">
        <v>658548.89</v>
      </c>
      <c r="M104" s="452">
        <v>2719281.01</v>
      </c>
      <c r="N104" s="611"/>
    </row>
    <row r="105" spans="1:14" ht="18" customHeight="1" x14ac:dyDescent="0.75">
      <c r="A105" s="611"/>
      <c r="B105" s="844" t="s">
        <v>1961</v>
      </c>
      <c r="C105" s="845"/>
      <c r="D105" s="845"/>
      <c r="E105" s="846"/>
      <c r="F105" s="847">
        <v>0</v>
      </c>
      <c r="G105" s="848"/>
      <c r="H105" s="847">
        <v>0</v>
      </c>
      <c r="I105" s="849"/>
      <c r="J105" s="848"/>
      <c r="K105" s="452">
        <v>0</v>
      </c>
      <c r="L105" s="452">
        <v>0</v>
      </c>
      <c r="M105" s="452">
        <v>0</v>
      </c>
      <c r="N105" s="611"/>
    </row>
    <row r="106" spans="1:14" ht="12.45" customHeight="1" x14ac:dyDescent="0.75">
      <c r="A106" s="611"/>
      <c r="B106" s="832" t="s">
        <v>1960</v>
      </c>
      <c r="C106" s="833"/>
      <c r="D106" s="833"/>
      <c r="E106" s="834"/>
      <c r="F106" s="835">
        <v>0</v>
      </c>
      <c r="G106" s="836"/>
      <c r="H106" s="835">
        <v>2050441.35</v>
      </c>
      <c r="I106" s="837"/>
      <c r="J106" s="836"/>
      <c r="K106" s="451">
        <v>1935963</v>
      </c>
      <c r="L106" s="451">
        <v>1321616.5</v>
      </c>
      <c r="M106" s="451">
        <v>5308020.8499999996</v>
      </c>
      <c r="N106" s="611"/>
    </row>
    <row r="107" spans="1:14" ht="18" customHeight="1" x14ac:dyDescent="0.75">
      <c r="A107" s="611"/>
      <c r="B107" s="832" t="s">
        <v>730</v>
      </c>
      <c r="C107" s="833"/>
      <c r="D107" s="833"/>
      <c r="E107" s="834"/>
      <c r="F107" s="835">
        <v>0</v>
      </c>
      <c r="G107" s="836"/>
      <c r="H107" s="835">
        <v>6481852.0599999996</v>
      </c>
      <c r="I107" s="837"/>
      <c r="J107" s="836"/>
      <c r="K107" s="451">
        <v>5841542.9299999997</v>
      </c>
      <c r="L107" s="451">
        <v>4110672.44</v>
      </c>
      <c r="M107" s="451">
        <v>16434067.43</v>
      </c>
      <c r="N107" s="611"/>
    </row>
    <row r="108" spans="1:14" ht="18" customHeight="1" x14ac:dyDescent="0.75">
      <c r="A108" s="611"/>
      <c r="B108" s="832" t="s">
        <v>1460</v>
      </c>
      <c r="C108" s="833"/>
      <c r="D108" s="833"/>
      <c r="E108" s="834"/>
      <c r="F108" s="835">
        <v>10.199999999999999</v>
      </c>
      <c r="G108" s="836"/>
      <c r="H108" s="835">
        <v>885528.94</v>
      </c>
      <c r="I108" s="837"/>
      <c r="J108" s="836"/>
      <c r="K108" s="451">
        <v>-935687.29</v>
      </c>
      <c r="L108" s="451">
        <v>-557140.47999999998</v>
      </c>
      <c r="M108" s="451">
        <v>-607288.63</v>
      </c>
      <c r="N108" s="611"/>
    </row>
  </sheetData>
  <mergeCells count="301">
    <mergeCell ref="A3:H3"/>
    <mergeCell ref="A1:C1"/>
    <mergeCell ref="G1:N1"/>
    <mergeCell ref="J3:N3"/>
    <mergeCell ref="B6:D6"/>
    <mergeCell ref="E6:N6"/>
    <mergeCell ref="B7:D7"/>
    <mergeCell ref="E7:N7"/>
    <mergeCell ref="B8:D8"/>
    <mergeCell ref="E8:N8"/>
    <mergeCell ref="B9:D9"/>
    <mergeCell ref="E9:N9"/>
    <mergeCell ref="B10:D10"/>
    <mergeCell ref="E10:N10"/>
    <mergeCell ref="B11:D11"/>
    <mergeCell ref="E11:N11"/>
    <mergeCell ref="B12:D12"/>
    <mergeCell ref="E12:N12"/>
    <mergeCell ref="B13:D13"/>
    <mergeCell ref="E13:N13"/>
    <mergeCell ref="B14:D14"/>
    <mergeCell ref="E14:N14"/>
    <mergeCell ref="C16:E16"/>
    <mergeCell ref="F16:G16"/>
    <mergeCell ref="H16:J16"/>
    <mergeCell ref="C17:E17"/>
    <mergeCell ref="F17:G17"/>
    <mergeCell ref="H17:J17"/>
    <mergeCell ref="C18:E18"/>
    <mergeCell ref="F18:G18"/>
    <mergeCell ref="H18:J18"/>
    <mergeCell ref="C19:E19"/>
    <mergeCell ref="F19:G19"/>
    <mergeCell ref="H19:J19"/>
    <mergeCell ref="B20:E20"/>
    <mergeCell ref="F20:G20"/>
    <mergeCell ref="H20:J20"/>
    <mergeCell ref="C21:E21"/>
    <mergeCell ref="F21:G21"/>
    <mergeCell ref="H21:J21"/>
    <mergeCell ref="C22:E22"/>
    <mergeCell ref="F22:G22"/>
    <mergeCell ref="H22:J22"/>
    <mergeCell ref="C23:E23"/>
    <mergeCell ref="F23:G23"/>
    <mergeCell ref="H23:J23"/>
    <mergeCell ref="C24:E24"/>
    <mergeCell ref="F24:G24"/>
    <mergeCell ref="H24:J24"/>
    <mergeCell ref="C25:E25"/>
    <mergeCell ref="F25:G25"/>
    <mergeCell ref="H25:J25"/>
    <mergeCell ref="B26:E26"/>
    <mergeCell ref="F26:G26"/>
    <mergeCell ref="H26:J26"/>
    <mergeCell ref="C27:E27"/>
    <mergeCell ref="F27:G27"/>
    <mergeCell ref="H27:J27"/>
    <mergeCell ref="C28:E28"/>
    <mergeCell ref="F28:G28"/>
    <mergeCell ref="H28:J28"/>
    <mergeCell ref="C29:E29"/>
    <mergeCell ref="F29:G29"/>
    <mergeCell ref="H29:J29"/>
    <mergeCell ref="C30:E30"/>
    <mergeCell ref="F30:G30"/>
    <mergeCell ref="H30:J30"/>
    <mergeCell ref="B31:E31"/>
    <mergeCell ref="F31:G31"/>
    <mergeCell ref="H31:J31"/>
    <mergeCell ref="C32:E32"/>
    <mergeCell ref="F32:G32"/>
    <mergeCell ref="H32:J32"/>
    <mergeCell ref="C33:E33"/>
    <mergeCell ref="F33:G33"/>
    <mergeCell ref="H33:J33"/>
    <mergeCell ref="C34:E34"/>
    <mergeCell ref="F34:G34"/>
    <mergeCell ref="H34:J34"/>
    <mergeCell ref="C35:E35"/>
    <mergeCell ref="F35:G35"/>
    <mergeCell ref="H35:J35"/>
    <mergeCell ref="C36:E36"/>
    <mergeCell ref="F36:G36"/>
    <mergeCell ref="H36:J36"/>
    <mergeCell ref="B37:E37"/>
    <mergeCell ref="F37:G37"/>
    <mergeCell ref="H37:J37"/>
    <mergeCell ref="B38:E38"/>
    <mergeCell ref="F38:G38"/>
    <mergeCell ref="H38:J38"/>
    <mergeCell ref="C39:E39"/>
    <mergeCell ref="F39:G39"/>
    <mergeCell ref="H39:J39"/>
    <mergeCell ref="C40:E40"/>
    <mergeCell ref="F40:G40"/>
    <mergeCell ref="H40:J40"/>
    <mergeCell ref="C41:E41"/>
    <mergeCell ref="F41:G41"/>
    <mergeCell ref="H41:J41"/>
    <mergeCell ref="B42:E42"/>
    <mergeCell ref="F42:G42"/>
    <mergeCell ref="H42:J42"/>
    <mergeCell ref="C43:E43"/>
    <mergeCell ref="F43:G43"/>
    <mergeCell ref="H43:J43"/>
    <mergeCell ref="C44:E44"/>
    <mergeCell ref="F44:G44"/>
    <mergeCell ref="H44:J44"/>
    <mergeCell ref="C45:E45"/>
    <mergeCell ref="F45:G45"/>
    <mergeCell ref="H45:J45"/>
    <mergeCell ref="C46:E46"/>
    <mergeCell ref="F46:G46"/>
    <mergeCell ref="H46:J46"/>
    <mergeCell ref="C47:E47"/>
    <mergeCell ref="F47:G47"/>
    <mergeCell ref="H47:J47"/>
    <mergeCell ref="B48:E48"/>
    <mergeCell ref="F48:G48"/>
    <mergeCell ref="H48:J48"/>
    <mergeCell ref="C49:E49"/>
    <mergeCell ref="F49:G49"/>
    <mergeCell ref="H49:J49"/>
    <mergeCell ref="C50:E50"/>
    <mergeCell ref="F50:G50"/>
    <mergeCell ref="H50:J50"/>
    <mergeCell ref="C51:E51"/>
    <mergeCell ref="F51:G51"/>
    <mergeCell ref="H51:J51"/>
    <mergeCell ref="C52:E52"/>
    <mergeCell ref="F52:G52"/>
    <mergeCell ref="H52:J52"/>
    <mergeCell ref="C53:E53"/>
    <mergeCell ref="F53:G53"/>
    <mergeCell ref="H53:J53"/>
    <mergeCell ref="C54:E54"/>
    <mergeCell ref="F54:G54"/>
    <mergeCell ref="H54:J54"/>
    <mergeCell ref="C55:E55"/>
    <mergeCell ref="F55:G55"/>
    <mergeCell ref="H55:J55"/>
    <mergeCell ref="C56:E56"/>
    <mergeCell ref="F56:G56"/>
    <mergeCell ref="H56:J56"/>
    <mergeCell ref="C57:E57"/>
    <mergeCell ref="F57:G57"/>
    <mergeCell ref="H57:J57"/>
    <mergeCell ref="C58:E58"/>
    <mergeCell ref="F58:G58"/>
    <mergeCell ref="H58:J58"/>
    <mergeCell ref="C59:E59"/>
    <mergeCell ref="F59:G59"/>
    <mergeCell ref="H59:J59"/>
    <mergeCell ref="C60:E60"/>
    <mergeCell ref="F60:G60"/>
    <mergeCell ref="H60:J60"/>
    <mergeCell ref="C61:E61"/>
    <mergeCell ref="F61:G61"/>
    <mergeCell ref="H61:J61"/>
    <mergeCell ref="C62:E62"/>
    <mergeCell ref="F62:G62"/>
    <mergeCell ref="H62:J62"/>
    <mergeCell ref="C63:E63"/>
    <mergeCell ref="F63:G63"/>
    <mergeCell ref="H63:J63"/>
    <mergeCell ref="C64:E64"/>
    <mergeCell ref="F64:G64"/>
    <mergeCell ref="H64:J64"/>
    <mergeCell ref="B65:E65"/>
    <mergeCell ref="F65:G65"/>
    <mergeCell ref="H65:J65"/>
    <mergeCell ref="B66:E66"/>
    <mergeCell ref="F66:G66"/>
    <mergeCell ref="H66:J66"/>
    <mergeCell ref="C67:E67"/>
    <mergeCell ref="F67:G67"/>
    <mergeCell ref="H67:J67"/>
    <mergeCell ref="C68:E68"/>
    <mergeCell ref="F68:G68"/>
    <mergeCell ref="H68:J68"/>
    <mergeCell ref="C69:E69"/>
    <mergeCell ref="F69:G69"/>
    <mergeCell ref="H69:J69"/>
    <mergeCell ref="C70:E70"/>
    <mergeCell ref="F70:G70"/>
    <mergeCell ref="H70:J70"/>
    <mergeCell ref="C71:E71"/>
    <mergeCell ref="F71:G71"/>
    <mergeCell ref="H71:J71"/>
    <mergeCell ref="C72:E72"/>
    <mergeCell ref="F72:G72"/>
    <mergeCell ref="H72:J72"/>
    <mergeCell ref="C73:E73"/>
    <mergeCell ref="F73:G73"/>
    <mergeCell ref="H73:J73"/>
    <mergeCell ref="C74:E74"/>
    <mergeCell ref="F74:G74"/>
    <mergeCell ref="H74:J74"/>
    <mergeCell ref="C75:E75"/>
    <mergeCell ref="F75:G75"/>
    <mergeCell ref="H75:J75"/>
    <mergeCell ref="C76:E76"/>
    <mergeCell ref="F76:G76"/>
    <mergeCell ref="H76:J76"/>
    <mergeCell ref="C77:E77"/>
    <mergeCell ref="F77:G77"/>
    <mergeCell ref="H77:J77"/>
    <mergeCell ref="B78:E78"/>
    <mergeCell ref="F78:G78"/>
    <mergeCell ref="H78:J78"/>
    <mergeCell ref="C79:E79"/>
    <mergeCell ref="F79:G79"/>
    <mergeCell ref="H79:J79"/>
    <mergeCell ref="C80:E80"/>
    <mergeCell ref="F80:G80"/>
    <mergeCell ref="H80:J80"/>
    <mergeCell ref="C81:E81"/>
    <mergeCell ref="F81:G81"/>
    <mergeCell ref="H81:J81"/>
    <mergeCell ref="C82:E82"/>
    <mergeCell ref="F82:G82"/>
    <mergeCell ref="H82:J82"/>
    <mergeCell ref="C83:E83"/>
    <mergeCell ref="F83:G83"/>
    <mergeCell ref="H83:J83"/>
    <mergeCell ref="C84:E84"/>
    <mergeCell ref="F84:G84"/>
    <mergeCell ref="H84:J84"/>
    <mergeCell ref="C85:E85"/>
    <mergeCell ref="F85:G85"/>
    <mergeCell ref="H85:J85"/>
    <mergeCell ref="C86:E86"/>
    <mergeCell ref="F86:G86"/>
    <mergeCell ref="H86:J86"/>
    <mergeCell ref="C87:E87"/>
    <mergeCell ref="F87:G87"/>
    <mergeCell ref="H87:J87"/>
    <mergeCell ref="C88:E88"/>
    <mergeCell ref="F88:G88"/>
    <mergeCell ref="H88:J88"/>
    <mergeCell ref="C89:E89"/>
    <mergeCell ref="F89:G89"/>
    <mergeCell ref="H89:J89"/>
    <mergeCell ref="C90:E90"/>
    <mergeCell ref="F90:G90"/>
    <mergeCell ref="H90:J90"/>
    <mergeCell ref="C91:E91"/>
    <mergeCell ref="F91:G91"/>
    <mergeCell ref="H91:J91"/>
    <mergeCell ref="C92:E92"/>
    <mergeCell ref="F92:G92"/>
    <mergeCell ref="H92:J92"/>
    <mergeCell ref="C93:E93"/>
    <mergeCell ref="F93:G93"/>
    <mergeCell ref="H93:J93"/>
    <mergeCell ref="C94:E94"/>
    <mergeCell ref="F94:G94"/>
    <mergeCell ref="H94:J94"/>
    <mergeCell ref="C95:E95"/>
    <mergeCell ref="F95:G95"/>
    <mergeCell ref="H95:J95"/>
    <mergeCell ref="C96:E96"/>
    <mergeCell ref="F96:G96"/>
    <mergeCell ref="H96:J96"/>
    <mergeCell ref="C97:E97"/>
    <mergeCell ref="F97:G97"/>
    <mergeCell ref="H97:J97"/>
    <mergeCell ref="C98:E98"/>
    <mergeCell ref="F98:G98"/>
    <mergeCell ref="H98:J98"/>
    <mergeCell ref="C99:E99"/>
    <mergeCell ref="F99:G99"/>
    <mergeCell ref="H99:J99"/>
    <mergeCell ref="C100:E100"/>
    <mergeCell ref="F100:G100"/>
    <mergeCell ref="H100:J100"/>
    <mergeCell ref="C101:E101"/>
    <mergeCell ref="F101:G101"/>
    <mergeCell ref="H101:J101"/>
    <mergeCell ref="C102:E102"/>
    <mergeCell ref="F102:G102"/>
    <mergeCell ref="H102:J102"/>
    <mergeCell ref="C103:E103"/>
    <mergeCell ref="F103:G103"/>
    <mergeCell ref="H103:J103"/>
    <mergeCell ref="B104:E104"/>
    <mergeCell ref="F104:G104"/>
    <mergeCell ref="H104:J104"/>
    <mergeCell ref="B105:E105"/>
    <mergeCell ref="F105:G105"/>
    <mergeCell ref="H105:J105"/>
    <mergeCell ref="B106:E106"/>
    <mergeCell ref="F106:G106"/>
    <mergeCell ref="H106:J106"/>
    <mergeCell ref="B107:E107"/>
    <mergeCell ref="F107:G107"/>
    <mergeCell ref="H107:J107"/>
    <mergeCell ref="B108:E108"/>
    <mergeCell ref="F108:G108"/>
    <mergeCell ref="H108:J108"/>
  </mergeCells>
  <pageMargins left="0.20000000298023224" right="0.20000000298023224" top="0.20000000298023224" bottom="0.20000000298023224" header="0" footer="0"/>
  <pageSetup orientation="landscape"/>
  <headerFooter>
    <oddFooter>&amp;L&amp;"Verdana"&amp;9 Report run at 2/16/2022 11:54:36 AM&amp;R&amp;"Verdana"&amp;9 1</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8BE8A-E062-4673-BEC2-125F05A16B34}">
  <sheetPr>
    <tabColor theme="7"/>
  </sheetPr>
  <dimension ref="A1:AN838"/>
  <sheetViews>
    <sheetView zoomScale="50" zoomScaleNormal="50" workbookViewId="0">
      <selection activeCell="M18" sqref="M18"/>
    </sheetView>
  </sheetViews>
  <sheetFormatPr defaultColWidth="14.453125" defaultRowHeight="15" customHeight="1" x14ac:dyDescent="0.6"/>
  <cols>
    <col min="1" max="1" width="9.6796875" style="729" customWidth="1"/>
    <col min="2" max="2" width="43.31640625" style="729" customWidth="1"/>
    <col min="3" max="3" width="19.31640625" style="729" bestFit="1" customWidth="1"/>
    <col min="4" max="13" width="12.6796875" style="729" customWidth="1"/>
    <col min="14" max="14" width="14.453125" style="729" bestFit="1" customWidth="1"/>
    <col min="15" max="15" width="13.08984375" style="729" bestFit="1" customWidth="1"/>
    <col min="16" max="16" width="13.453125" style="729" bestFit="1" customWidth="1" collapsed="1"/>
    <col min="17" max="26" width="12.6796875" style="729" customWidth="1"/>
    <col min="27" max="28" width="14.453125" style="729"/>
    <col min="29" max="29" width="13.453125" style="729" bestFit="1" customWidth="1" collapsed="1"/>
    <col min="30" max="39" width="12.6796875" style="729" customWidth="1"/>
    <col min="40" max="16384" width="14.453125" style="729"/>
  </cols>
  <sheetData>
    <row r="1" spans="1:40" ht="29.4" customHeight="1" x14ac:dyDescent="0.75">
      <c r="C1" s="730"/>
      <c r="D1" s="870" t="s">
        <v>2113</v>
      </c>
      <c r="E1" s="870"/>
      <c r="F1" s="870"/>
      <c r="G1" s="870"/>
      <c r="H1" s="870"/>
      <c r="I1" s="870"/>
      <c r="J1" s="870"/>
      <c r="K1" s="870"/>
      <c r="L1" s="870"/>
      <c r="M1" s="870"/>
      <c r="P1" s="730"/>
      <c r="Q1" s="870" t="s">
        <v>2114</v>
      </c>
      <c r="R1" s="870"/>
      <c r="S1" s="870"/>
      <c r="T1" s="870"/>
      <c r="U1" s="870"/>
      <c r="V1" s="870"/>
      <c r="W1" s="870"/>
      <c r="X1" s="870"/>
      <c r="Y1" s="870"/>
      <c r="Z1" s="870"/>
      <c r="AC1" s="730"/>
      <c r="AD1" s="870" t="s">
        <v>2115</v>
      </c>
      <c r="AE1" s="870"/>
      <c r="AF1" s="870"/>
      <c r="AG1" s="870"/>
      <c r="AH1" s="870"/>
      <c r="AI1" s="870"/>
      <c r="AJ1" s="870"/>
      <c r="AK1" s="870"/>
      <c r="AL1" s="870"/>
      <c r="AM1" s="870"/>
    </row>
    <row r="2" spans="1:40" ht="12.75" customHeight="1" x14ac:dyDescent="0.6">
      <c r="A2" s="731" t="s">
        <v>2116</v>
      </c>
      <c r="C2" s="732"/>
      <c r="D2" s="733">
        <v>3401</v>
      </c>
      <c r="E2" s="733">
        <v>3402</v>
      </c>
      <c r="F2" s="733">
        <v>3101</v>
      </c>
      <c r="G2" s="733">
        <v>3901</v>
      </c>
      <c r="H2" s="733">
        <v>3301</v>
      </c>
      <c r="I2" s="733">
        <v>3302</v>
      </c>
      <c r="J2" s="733">
        <v>3501</v>
      </c>
      <c r="K2" s="733">
        <v>3502</v>
      </c>
      <c r="L2" s="733">
        <v>3601</v>
      </c>
      <c r="M2" s="733">
        <v>3602</v>
      </c>
      <c r="P2" s="732"/>
      <c r="Q2" s="733">
        <v>3401</v>
      </c>
      <c r="R2" s="733">
        <v>3402</v>
      </c>
      <c r="S2" s="733">
        <v>3101</v>
      </c>
      <c r="T2" s="733">
        <v>3901</v>
      </c>
      <c r="U2" s="733">
        <v>3301</v>
      </c>
      <c r="V2" s="733">
        <v>3302</v>
      </c>
      <c r="W2" s="733">
        <v>3501</v>
      </c>
      <c r="X2" s="733">
        <v>3502</v>
      </c>
      <c r="Y2" s="733">
        <v>3601</v>
      </c>
      <c r="Z2" s="733">
        <v>3602</v>
      </c>
      <c r="AC2" s="732"/>
      <c r="AD2" s="733">
        <v>3401</v>
      </c>
      <c r="AE2" s="733">
        <v>3402</v>
      </c>
      <c r="AF2" s="733">
        <v>3101</v>
      </c>
      <c r="AG2" s="733">
        <v>3901</v>
      </c>
      <c r="AH2" s="733">
        <v>3301</v>
      </c>
      <c r="AI2" s="733">
        <v>3302</v>
      </c>
      <c r="AJ2" s="733">
        <v>3501</v>
      </c>
      <c r="AK2" s="733">
        <v>3502</v>
      </c>
      <c r="AL2" s="733">
        <v>3601</v>
      </c>
      <c r="AM2" s="733">
        <v>3602</v>
      </c>
    </row>
    <row r="3" spans="1:40" ht="49.2" customHeight="1" x14ac:dyDescent="0.6">
      <c r="A3" s="734" t="s">
        <v>1494</v>
      </c>
      <c r="B3" s="734" t="s">
        <v>2117</v>
      </c>
      <c r="C3" s="735" t="s">
        <v>2118</v>
      </c>
      <c r="D3" s="734" t="s">
        <v>1935</v>
      </c>
      <c r="E3" s="734" t="s">
        <v>1518</v>
      </c>
      <c r="F3" s="734" t="s">
        <v>6</v>
      </c>
      <c r="G3" s="734" t="s">
        <v>2126</v>
      </c>
      <c r="H3" s="734" t="s">
        <v>1936</v>
      </c>
      <c r="I3" s="734" t="s">
        <v>1937</v>
      </c>
      <c r="J3" s="734" t="s">
        <v>1938</v>
      </c>
      <c r="K3" s="734" t="s">
        <v>1516</v>
      </c>
      <c r="L3" s="734" t="s">
        <v>1939</v>
      </c>
      <c r="M3" s="734" t="s">
        <v>1517</v>
      </c>
      <c r="N3" s="734" t="s">
        <v>2119</v>
      </c>
      <c r="P3" s="735" t="s">
        <v>2118</v>
      </c>
      <c r="Q3" s="734" t="s">
        <v>1935</v>
      </c>
      <c r="R3" s="734" t="s">
        <v>1518</v>
      </c>
      <c r="S3" s="734" t="s">
        <v>6</v>
      </c>
      <c r="T3" s="734" t="s">
        <v>2126</v>
      </c>
      <c r="U3" s="734" t="s">
        <v>1936</v>
      </c>
      <c r="V3" s="734" t="s">
        <v>1937</v>
      </c>
      <c r="W3" s="734" t="s">
        <v>1938</v>
      </c>
      <c r="X3" s="734" t="s">
        <v>1516</v>
      </c>
      <c r="Y3" s="734" t="s">
        <v>1939</v>
      </c>
      <c r="Z3" s="734" t="s">
        <v>1517</v>
      </c>
      <c r="AA3" s="734" t="s">
        <v>2119</v>
      </c>
      <c r="AC3" s="735" t="s">
        <v>2118</v>
      </c>
      <c r="AD3" s="734" t="s">
        <v>1935</v>
      </c>
      <c r="AE3" s="734" t="s">
        <v>1518</v>
      </c>
      <c r="AF3" s="734" t="s">
        <v>6</v>
      </c>
      <c r="AG3" s="734" t="s">
        <v>2126</v>
      </c>
      <c r="AH3" s="734" t="s">
        <v>1936</v>
      </c>
      <c r="AI3" s="734" t="s">
        <v>1937</v>
      </c>
      <c r="AJ3" s="734" t="s">
        <v>1938</v>
      </c>
      <c r="AK3" s="734" t="s">
        <v>1516</v>
      </c>
      <c r="AL3" s="734" t="s">
        <v>1939</v>
      </c>
      <c r="AM3" s="734" t="s">
        <v>1517</v>
      </c>
      <c r="AN3" s="734" t="s">
        <v>2119</v>
      </c>
    </row>
    <row r="4" spans="1:40" ht="12.75" customHeight="1" x14ac:dyDescent="0.6">
      <c r="A4" s="736">
        <v>1100</v>
      </c>
      <c r="B4" s="736" t="s">
        <v>1452</v>
      </c>
      <c r="C4" s="737">
        <f t="shared" ref="C4:N14" si="0">+P4+AC4</f>
        <v>10619942.333702598</v>
      </c>
      <c r="D4" s="738">
        <f t="shared" si="0"/>
        <v>1212237.6600000001</v>
      </c>
      <c r="E4" s="738">
        <f t="shared" si="0"/>
        <v>0</v>
      </c>
      <c r="F4" s="738">
        <f t="shared" si="0"/>
        <v>2028408.985737198</v>
      </c>
      <c r="G4" s="738">
        <f t="shared" si="0"/>
        <v>0</v>
      </c>
      <c r="H4" s="738">
        <f t="shared" si="0"/>
        <v>153989.1638386877</v>
      </c>
      <c r="I4" s="738">
        <f t="shared" si="0"/>
        <v>0</v>
      </c>
      <c r="J4" s="738">
        <f t="shared" si="0"/>
        <v>62652.000000000102</v>
      </c>
      <c r="K4" s="738">
        <f t="shared" si="0"/>
        <v>0</v>
      </c>
      <c r="L4" s="738">
        <f t="shared" si="0"/>
        <v>223018.78900775465</v>
      </c>
      <c r="M4" s="738">
        <f t="shared" si="0"/>
        <v>0</v>
      </c>
      <c r="N4" s="738">
        <f t="shared" si="0"/>
        <v>14300248.932286236</v>
      </c>
      <c r="P4" s="737">
        <f>+P23+P41+P59</f>
        <v>10619942.333702598</v>
      </c>
      <c r="Q4" s="738">
        <f t="shared" ref="Q4:AA4" si="1">+Q23+Q41+Q59</f>
        <v>1212237.6600000001</v>
      </c>
      <c r="R4" s="738">
        <f t="shared" si="1"/>
        <v>0</v>
      </c>
      <c r="S4" s="738">
        <f t="shared" si="1"/>
        <v>2028408.985737198</v>
      </c>
      <c r="T4" s="738">
        <f t="shared" si="1"/>
        <v>0</v>
      </c>
      <c r="U4" s="738">
        <f t="shared" si="1"/>
        <v>153989.1638386877</v>
      </c>
      <c r="V4" s="738">
        <f t="shared" si="1"/>
        <v>0</v>
      </c>
      <c r="W4" s="738">
        <f t="shared" si="1"/>
        <v>62652.000000000102</v>
      </c>
      <c r="X4" s="738">
        <f t="shared" si="1"/>
        <v>0</v>
      </c>
      <c r="Y4" s="738">
        <f t="shared" si="1"/>
        <v>223018.78900775465</v>
      </c>
      <c r="Z4" s="738">
        <f t="shared" si="1"/>
        <v>0</v>
      </c>
      <c r="AA4" s="738">
        <f t="shared" si="1"/>
        <v>14300248.932286236</v>
      </c>
      <c r="AC4" s="737">
        <f>+AC23+AC41+AC59</f>
        <v>0</v>
      </c>
      <c r="AD4" s="738">
        <f t="shared" ref="AD4:AN4" si="2">+AD23+AD41+AD59</f>
        <v>0</v>
      </c>
      <c r="AE4" s="738">
        <f t="shared" si="2"/>
        <v>0</v>
      </c>
      <c r="AF4" s="738">
        <f t="shared" si="2"/>
        <v>0</v>
      </c>
      <c r="AG4" s="738">
        <f t="shared" si="2"/>
        <v>0</v>
      </c>
      <c r="AH4" s="738">
        <f t="shared" si="2"/>
        <v>0</v>
      </c>
      <c r="AI4" s="738">
        <f t="shared" si="2"/>
        <v>0</v>
      </c>
      <c r="AJ4" s="738">
        <f t="shared" si="2"/>
        <v>0</v>
      </c>
      <c r="AK4" s="738">
        <f t="shared" si="2"/>
        <v>0</v>
      </c>
      <c r="AL4" s="738">
        <f t="shared" si="2"/>
        <v>0</v>
      </c>
      <c r="AM4" s="738">
        <f t="shared" si="2"/>
        <v>0</v>
      </c>
      <c r="AN4" s="738">
        <f t="shared" si="2"/>
        <v>0</v>
      </c>
    </row>
    <row r="5" spans="1:40" ht="12.75" customHeight="1" x14ac:dyDescent="0.6">
      <c r="A5" s="736">
        <v>1120</v>
      </c>
      <c r="B5" s="736" t="s">
        <v>2120</v>
      </c>
      <c r="C5" s="737">
        <f t="shared" si="0"/>
        <v>0</v>
      </c>
      <c r="D5" s="738">
        <f t="shared" si="0"/>
        <v>0</v>
      </c>
      <c r="E5" s="738">
        <f t="shared" si="0"/>
        <v>0</v>
      </c>
      <c r="F5" s="738">
        <f t="shared" si="0"/>
        <v>0</v>
      </c>
      <c r="G5" s="738">
        <f t="shared" si="0"/>
        <v>0</v>
      </c>
      <c r="H5" s="738">
        <f t="shared" si="0"/>
        <v>0</v>
      </c>
      <c r="I5" s="738">
        <f t="shared" si="0"/>
        <v>0</v>
      </c>
      <c r="J5" s="738">
        <f t="shared" si="0"/>
        <v>0</v>
      </c>
      <c r="K5" s="738">
        <f t="shared" si="0"/>
        <v>0</v>
      </c>
      <c r="L5" s="738">
        <f t="shared" si="0"/>
        <v>0</v>
      </c>
      <c r="M5" s="738">
        <f t="shared" si="0"/>
        <v>0</v>
      </c>
      <c r="N5" s="738">
        <f t="shared" si="0"/>
        <v>0</v>
      </c>
      <c r="P5" s="737">
        <f t="shared" ref="P5:AA5" si="3">+P24+P42+P60</f>
        <v>0</v>
      </c>
      <c r="Q5" s="738">
        <f t="shared" si="3"/>
        <v>0</v>
      </c>
      <c r="R5" s="738">
        <f t="shared" si="3"/>
        <v>0</v>
      </c>
      <c r="S5" s="738">
        <f t="shared" si="3"/>
        <v>0</v>
      </c>
      <c r="T5" s="738">
        <f t="shared" si="3"/>
        <v>0</v>
      </c>
      <c r="U5" s="738">
        <f t="shared" si="3"/>
        <v>0</v>
      </c>
      <c r="V5" s="738">
        <f t="shared" si="3"/>
        <v>0</v>
      </c>
      <c r="W5" s="738">
        <f t="shared" si="3"/>
        <v>0</v>
      </c>
      <c r="X5" s="738">
        <f t="shared" si="3"/>
        <v>0</v>
      </c>
      <c r="Y5" s="738">
        <f t="shared" si="3"/>
        <v>0</v>
      </c>
      <c r="Z5" s="738">
        <f t="shared" si="3"/>
        <v>0</v>
      </c>
      <c r="AA5" s="738">
        <f t="shared" si="3"/>
        <v>0</v>
      </c>
      <c r="AC5" s="737">
        <f t="shared" ref="AC5:AN5" si="4">+AC24+AC42+AC60</f>
        <v>0</v>
      </c>
      <c r="AD5" s="738">
        <f t="shared" si="4"/>
        <v>0</v>
      </c>
      <c r="AE5" s="738">
        <f t="shared" si="4"/>
        <v>0</v>
      </c>
      <c r="AF5" s="738">
        <f t="shared" si="4"/>
        <v>0</v>
      </c>
      <c r="AG5" s="738">
        <f t="shared" si="4"/>
        <v>0</v>
      </c>
      <c r="AH5" s="738">
        <f t="shared" si="4"/>
        <v>0</v>
      </c>
      <c r="AI5" s="738">
        <f t="shared" si="4"/>
        <v>0</v>
      </c>
      <c r="AJ5" s="738">
        <f t="shared" si="4"/>
        <v>0</v>
      </c>
      <c r="AK5" s="738">
        <f t="shared" si="4"/>
        <v>0</v>
      </c>
      <c r="AL5" s="738">
        <f t="shared" si="4"/>
        <v>0</v>
      </c>
      <c r="AM5" s="738">
        <f t="shared" si="4"/>
        <v>0</v>
      </c>
      <c r="AN5" s="738">
        <f t="shared" si="4"/>
        <v>0</v>
      </c>
    </row>
    <row r="6" spans="1:40" ht="12.75" customHeight="1" x14ac:dyDescent="0.6">
      <c r="A6" s="736">
        <v>1200</v>
      </c>
      <c r="B6" s="736" t="s">
        <v>572</v>
      </c>
      <c r="C6" s="737">
        <f t="shared" si="0"/>
        <v>1092599.3044340941</v>
      </c>
      <c r="D6" s="738">
        <f t="shared" si="0"/>
        <v>127800</v>
      </c>
      <c r="E6" s="738">
        <f t="shared" si="0"/>
        <v>0</v>
      </c>
      <c r="F6" s="738">
        <f t="shared" si="0"/>
        <v>208686.46714691201</v>
      </c>
      <c r="G6" s="738">
        <f t="shared" si="0"/>
        <v>0</v>
      </c>
      <c r="H6" s="738">
        <f t="shared" si="0"/>
        <v>15842.689914294366</v>
      </c>
      <c r="I6" s="738">
        <f t="shared" si="0"/>
        <v>0</v>
      </c>
      <c r="J6" s="738">
        <f t="shared" si="0"/>
        <v>5448</v>
      </c>
      <c r="K6" s="738">
        <f t="shared" si="0"/>
        <v>0</v>
      </c>
      <c r="L6" s="738">
        <f t="shared" si="0"/>
        <v>22944.585393115973</v>
      </c>
      <c r="M6" s="738">
        <f t="shared" si="0"/>
        <v>0</v>
      </c>
      <c r="N6" s="738">
        <f t="shared" si="0"/>
        <v>1473321.0468884162</v>
      </c>
      <c r="P6" s="737">
        <f t="shared" ref="P6:AA6" si="5">+P25+P43+P61</f>
        <v>1092599.3044340941</v>
      </c>
      <c r="Q6" s="738">
        <f t="shared" si="5"/>
        <v>127800</v>
      </c>
      <c r="R6" s="738">
        <f t="shared" si="5"/>
        <v>0</v>
      </c>
      <c r="S6" s="738">
        <f t="shared" si="5"/>
        <v>208686.46714691201</v>
      </c>
      <c r="T6" s="738">
        <f t="shared" si="5"/>
        <v>0</v>
      </c>
      <c r="U6" s="738">
        <f t="shared" si="5"/>
        <v>15842.689914294366</v>
      </c>
      <c r="V6" s="738">
        <f t="shared" si="5"/>
        <v>0</v>
      </c>
      <c r="W6" s="738">
        <f t="shared" si="5"/>
        <v>5448</v>
      </c>
      <c r="X6" s="738">
        <f t="shared" si="5"/>
        <v>0</v>
      </c>
      <c r="Y6" s="738">
        <f t="shared" si="5"/>
        <v>22944.585393115973</v>
      </c>
      <c r="Z6" s="738">
        <f t="shared" si="5"/>
        <v>0</v>
      </c>
      <c r="AA6" s="738">
        <f t="shared" si="5"/>
        <v>1473321.0468884162</v>
      </c>
      <c r="AC6" s="737">
        <f t="shared" ref="AC6:AN6" si="6">+AC25+AC43+AC61</f>
        <v>0</v>
      </c>
      <c r="AD6" s="738">
        <f t="shared" si="6"/>
        <v>0</v>
      </c>
      <c r="AE6" s="738">
        <f t="shared" si="6"/>
        <v>0</v>
      </c>
      <c r="AF6" s="738">
        <f t="shared" si="6"/>
        <v>0</v>
      </c>
      <c r="AG6" s="738">
        <f t="shared" si="6"/>
        <v>0</v>
      </c>
      <c r="AH6" s="738">
        <f t="shared" si="6"/>
        <v>0</v>
      </c>
      <c r="AI6" s="738">
        <f t="shared" si="6"/>
        <v>0</v>
      </c>
      <c r="AJ6" s="738">
        <f t="shared" si="6"/>
        <v>0</v>
      </c>
      <c r="AK6" s="738">
        <f t="shared" si="6"/>
        <v>0</v>
      </c>
      <c r="AL6" s="738">
        <f t="shared" si="6"/>
        <v>0</v>
      </c>
      <c r="AM6" s="738">
        <f t="shared" si="6"/>
        <v>0</v>
      </c>
      <c r="AN6" s="738">
        <f t="shared" si="6"/>
        <v>0</v>
      </c>
    </row>
    <row r="7" spans="1:40" ht="12.75" customHeight="1" x14ac:dyDescent="0.6">
      <c r="A7" s="736">
        <v>1300</v>
      </c>
      <c r="B7" s="736" t="s">
        <v>2121</v>
      </c>
      <c r="C7" s="737">
        <f t="shared" si="0"/>
        <v>1846053.0606241999</v>
      </c>
      <c r="D7" s="738">
        <f t="shared" si="0"/>
        <v>107465.42</v>
      </c>
      <c r="E7" s="738">
        <f t="shared" si="0"/>
        <v>5700</v>
      </c>
      <c r="F7" s="738">
        <f t="shared" si="0"/>
        <v>352596.13457922218</v>
      </c>
      <c r="G7" s="738">
        <f t="shared" si="0"/>
        <v>0</v>
      </c>
      <c r="H7" s="738">
        <f t="shared" si="0"/>
        <v>26767.769379050904</v>
      </c>
      <c r="I7" s="738">
        <f t="shared" si="0"/>
        <v>0</v>
      </c>
      <c r="J7" s="738">
        <f t="shared" si="0"/>
        <v>6810</v>
      </c>
      <c r="K7" s="738">
        <f t="shared" si="0"/>
        <v>0</v>
      </c>
      <c r="L7" s="738">
        <f t="shared" si="0"/>
        <v>38767.114273108207</v>
      </c>
      <c r="M7" s="738">
        <f t="shared" si="0"/>
        <v>0</v>
      </c>
      <c r="N7" s="738">
        <f t="shared" si="0"/>
        <v>2384159.4988555815</v>
      </c>
      <c r="P7" s="737">
        <f t="shared" ref="P7:AA7" si="7">+P26+P44+P62</f>
        <v>1846053.0606241999</v>
      </c>
      <c r="Q7" s="738">
        <f t="shared" si="7"/>
        <v>107465.42</v>
      </c>
      <c r="R7" s="738">
        <f t="shared" si="7"/>
        <v>5700</v>
      </c>
      <c r="S7" s="738">
        <f t="shared" si="7"/>
        <v>352596.13457922218</v>
      </c>
      <c r="T7" s="738">
        <f t="shared" si="7"/>
        <v>0</v>
      </c>
      <c r="U7" s="738">
        <f t="shared" si="7"/>
        <v>26767.769379050904</v>
      </c>
      <c r="V7" s="738">
        <f t="shared" si="7"/>
        <v>0</v>
      </c>
      <c r="W7" s="738">
        <f t="shared" si="7"/>
        <v>6810</v>
      </c>
      <c r="X7" s="738">
        <f t="shared" si="7"/>
        <v>0</v>
      </c>
      <c r="Y7" s="738">
        <f t="shared" si="7"/>
        <v>38767.114273108207</v>
      </c>
      <c r="Z7" s="738">
        <f t="shared" si="7"/>
        <v>0</v>
      </c>
      <c r="AA7" s="738">
        <f t="shared" si="7"/>
        <v>2384159.4988555815</v>
      </c>
      <c r="AC7" s="737">
        <f t="shared" ref="AC7:AN7" si="8">+AC26+AC44+AC62</f>
        <v>0</v>
      </c>
      <c r="AD7" s="738">
        <f t="shared" si="8"/>
        <v>0</v>
      </c>
      <c r="AE7" s="738">
        <f t="shared" si="8"/>
        <v>0</v>
      </c>
      <c r="AF7" s="738">
        <f t="shared" si="8"/>
        <v>0</v>
      </c>
      <c r="AG7" s="738">
        <f t="shared" si="8"/>
        <v>0</v>
      </c>
      <c r="AH7" s="738">
        <f t="shared" si="8"/>
        <v>0</v>
      </c>
      <c r="AI7" s="738">
        <f t="shared" si="8"/>
        <v>0</v>
      </c>
      <c r="AJ7" s="738">
        <f t="shared" si="8"/>
        <v>0</v>
      </c>
      <c r="AK7" s="738">
        <f t="shared" si="8"/>
        <v>0</v>
      </c>
      <c r="AL7" s="738">
        <f t="shared" si="8"/>
        <v>0</v>
      </c>
      <c r="AM7" s="738">
        <f t="shared" si="8"/>
        <v>0</v>
      </c>
      <c r="AN7" s="738">
        <f t="shared" si="8"/>
        <v>0</v>
      </c>
    </row>
    <row r="8" spans="1:40" ht="12.75" customHeight="1" x14ac:dyDescent="0.6">
      <c r="A8" s="736">
        <v>1900</v>
      </c>
      <c r="B8" s="736" t="s">
        <v>575</v>
      </c>
      <c r="C8" s="737">
        <f t="shared" si="0"/>
        <v>0</v>
      </c>
      <c r="D8" s="738">
        <f t="shared" si="0"/>
        <v>0</v>
      </c>
      <c r="E8" s="738">
        <f t="shared" si="0"/>
        <v>0</v>
      </c>
      <c r="F8" s="738">
        <f t="shared" si="0"/>
        <v>0</v>
      </c>
      <c r="G8" s="738">
        <f t="shared" si="0"/>
        <v>0</v>
      </c>
      <c r="H8" s="738">
        <f t="shared" si="0"/>
        <v>0</v>
      </c>
      <c r="I8" s="738">
        <f t="shared" si="0"/>
        <v>0</v>
      </c>
      <c r="J8" s="738">
        <f t="shared" si="0"/>
        <v>0</v>
      </c>
      <c r="K8" s="738">
        <f t="shared" si="0"/>
        <v>0</v>
      </c>
      <c r="L8" s="738">
        <f t="shared" si="0"/>
        <v>0</v>
      </c>
      <c r="M8" s="738">
        <f t="shared" si="0"/>
        <v>0</v>
      </c>
      <c r="N8" s="738">
        <f t="shared" si="0"/>
        <v>0</v>
      </c>
      <c r="P8" s="737">
        <f t="shared" ref="P8:AA8" si="9">+P27+P45+P63</f>
        <v>0</v>
      </c>
      <c r="Q8" s="738">
        <f t="shared" si="9"/>
        <v>0</v>
      </c>
      <c r="R8" s="738">
        <f t="shared" si="9"/>
        <v>0</v>
      </c>
      <c r="S8" s="738">
        <f t="shared" si="9"/>
        <v>0</v>
      </c>
      <c r="T8" s="738">
        <f t="shared" si="9"/>
        <v>0</v>
      </c>
      <c r="U8" s="738">
        <f t="shared" si="9"/>
        <v>0</v>
      </c>
      <c r="V8" s="738">
        <f t="shared" si="9"/>
        <v>0</v>
      </c>
      <c r="W8" s="738">
        <f t="shared" si="9"/>
        <v>0</v>
      </c>
      <c r="X8" s="738">
        <f t="shared" si="9"/>
        <v>0</v>
      </c>
      <c r="Y8" s="738">
        <f t="shared" si="9"/>
        <v>0</v>
      </c>
      <c r="Z8" s="738">
        <f t="shared" si="9"/>
        <v>0</v>
      </c>
      <c r="AA8" s="738">
        <f t="shared" si="9"/>
        <v>0</v>
      </c>
      <c r="AC8" s="737">
        <f t="shared" ref="AC8:AN8" si="10">+AC27+AC45+AC63</f>
        <v>0</v>
      </c>
      <c r="AD8" s="738">
        <f t="shared" si="10"/>
        <v>0</v>
      </c>
      <c r="AE8" s="738">
        <f t="shared" si="10"/>
        <v>0</v>
      </c>
      <c r="AF8" s="738">
        <f t="shared" si="10"/>
        <v>0</v>
      </c>
      <c r="AG8" s="738">
        <f t="shared" si="10"/>
        <v>0</v>
      </c>
      <c r="AH8" s="738">
        <f t="shared" si="10"/>
        <v>0</v>
      </c>
      <c r="AI8" s="738">
        <f t="shared" si="10"/>
        <v>0</v>
      </c>
      <c r="AJ8" s="738">
        <f t="shared" si="10"/>
        <v>0</v>
      </c>
      <c r="AK8" s="738">
        <f t="shared" si="10"/>
        <v>0</v>
      </c>
      <c r="AL8" s="738">
        <f t="shared" si="10"/>
        <v>0</v>
      </c>
      <c r="AM8" s="738">
        <f t="shared" si="10"/>
        <v>0</v>
      </c>
      <c r="AN8" s="738">
        <f t="shared" si="10"/>
        <v>0</v>
      </c>
    </row>
    <row r="9" spans="1:40" ht="12.75" customHeight="1" x14ac:dyDescent="0.6">
      <c r="A9" s="736">
        <v>2100</v>
      </c>
      <c r="B9" s="736" t="s">
        <v>577</v>
      </c>
      <c r="C9" s="737">
        <f t="shared" si="0"/>
        <v>363167.70930989995</v>
      </c>
      <c r="D9" s="738">
        <f t="shared" si="0"/>
        <v>0</v>
      </c>
      <c r="E9" s="738">
        <f t="shared" si="0"/>
        <v>26398</v>
      </c>
      <c r="F9" s="738">
        <f t="shared" si="0"/>
        <v>0</v>
      </c>
      <c r="G9" s="738">
        <f t="shared" si="0"/>
        <v>0</v>
      </c>
      <c r="H9" s="738">
        <f t="shared" si="0"/>
        <v>0</v>
      </c>
      <c r="I9" s="738">
        <f t="shared" si="0"/>
        <v>27782.329762207351</v>
      </c>
      <c r="J9" s="738">
        <f t="shared" si="0"/>
        <v>0</v>
      </c>
      <c r="K9" s="738">
        <f t="shared" si="0"/>
        <v>3178.0000000000005</v>
      </c>
      <c r="L9" s="738">
        <f t="shared" si="0"/>
        <v>0</v>
      </c>
      <c r="M9" s="738">
        <f t="shared" si="0"/>
        <v>7626.5218955078999</v>
      </c>
      <c r="N9" s="738">
        <f t="shared" si="0"/>
        <v>428152.56096761522</v>
      </c>
      <c r="P9" s="737">
        <f t="shared" ref="P9:AA9" si="11">+P28+P46+P64</f>
        <v>363167.70930989995</v>
      </c>
      <c r="Q9" s="738">
        <f t="shared" si="11"/>
        <v>0</v>
      </c>
      <c r="R9" s="738">
        <f t="shared" si="11"/>
        <v>26398</v>
      </c>
      <c r="S9" s="738">
        <f t="shared" si="11"/>
        <v>0</v>
      </c>
      <c r="T9" s="738">
        <f t="shared" si="11"/>
        <v>0</v>
      </c>
      <c r="U9" s="738">
        <f t="shared" si="11"/>
        <v>0</v>
      </c>
      <c r="V9" s="738">
        <f t="shared" si="11"/>
        <v>27782.329762207351</v>
      </c>
      <c r="W9" s="738">
        <f t="shared" si="11"/>
        <v>0</v>
      </c>
      <c r="X9" s="738">
        <f t="shared" si="11"/>
        <v>3178.0000000000005</v>
      </c>
      <c r="Y9" s="738">
        <f t="shared" si="11"/>
        <v>0</v>
      </c>
      <c r="Z9" s="738">
        <f t="shared" si="11"/>
        <v>7626.5218955078999</v>
      </c>
      <c r="AA9" s="738">
        <f t="shared" si="11"/>
        <v>428152.56096761522</v>
      </c>
      <c r="AC9" s="737">
        <f t="shared" ref="AC9:AN9" si="12">+AC28+AC46+AC64</f>
        <v>0</v>
      </c>
      <c r="AD9" s="738">
        <f t="shared" si="12"/>
        <v>0</v>
      </c>
      <c r="AE9" s="738">
        <f t="shared" si="12"/>
        <v>0</v>
      </c>
      <c r="AF9" s="738">
        <f t="shared" si="12"/>
        <v>0</v>
      </c>
      <c r="AG9" s="738">
        <f t="shared" si="12"/>
        <v>0</v>
      </c>
      <c r="AH9" s="738">
        <f t="shared" si="12"/>
        <v>0</v>
      </c>
      <c r="AI9" s="738">
        <f t="shared" si="12"/>
        <v>0</v>
      </c>
      <c r="AJ9" s="738">
        <f t="shared" si="12"/>
        <v>0</v>
      </c>
      <c r="AK9" s="738">
        <f t="shared" si="12"/>
        <v>0</v>
      </c>
      <c r="AL9" s="738">
        <f t="shared" si="12"/>
        <v>0</v>
      </c>
      <c r="AM9" s="738">
        <f t="shared" si="12"/>
        <v>0</v>
      </c>
      <c r="AN9" s="738">
        <f t="shared" si="12"/>
        <v>0</v>
      </c>
    </row>
    <row r="10" spans="1:40" ht="12.75" customHeight="1" x14ac:dyDescent="0.6">
      <c r="A10" s="736">
        <v>2200</v>
      </c>
      <c r="B10" s="736" t="s">
        <v>579</v>
      </c>
      <c r="C10" s="737">
        <f t="shared" si="0"/>
        <v>1615413.1333545281</v>
      </c>
      <c r="D10" s="738">
        <f t="shared" si="0"/>
        <v>0</v>
      </c>
      <c r="E10" s="738">
        <f t="shared" si="0"/>
        <v>212399.99999999997</v>
      </c>
      <c r="F10" s="738">
        <f t="shared" si="0"/>
        <v>0</v>
      </c>
      <c r="G10" s="738">
        <f t="shared" si="0"/>
        <v>39634.660000000003</v>
      </c>
      <c r="H10" s="738">
        <f t="shared" si="0"/>
        <v>0</v>
      </c>
      <c r="I10" s="738">
        <f t="shared" si="0"/>
        <v>123579.1047016214</v>
      </c>
      <c r="J10" s="738">
        <f t="shared" si="0"/>
        <v>0</v>
      </c>
      <c r="K10" s="738">
        <f t="shared" si="0"/>
        <v>9533.9999999999982</v>
      </c>
      <c r="L10" s="738">
        <f t="shared" si="0"/>
        <v>0</v>
      </c>
      <c r="M10" s="738">
        <f t="shared" si="0"/>
        <v>33923.675800445089</v>
      </c>
      <c r="N10" s="738">
        <f t="shared" si="0"/>
        <v>2034484.5738565945</v>
      </c>
      <c r="P10" s="737">
        <f t="shared" ref="P10:AA10" si="13">+P29+P47+P65</f>
        <v>1615413.1333545281</v>
      </c>
      <c r="Q10" s="738">
        <f t="shared" si="13"/>
        <v>0</v>
      </c>
      <c r="R10" s="738">
        <f t="shared" si="13"/>
        <v>212399.99999999997</v>
      </c>
      <c r="S10" s="738">
        <f t="shared" si="13"/>
        <v>0</v>
      </c>
      <c r="T10" s="738">
        <f t="shared" si="13"/>
        <v>39634.660000000003</v>
      </c>
      <c r="U10" s="738">
        <f t="shared" si="13"/>
        <v>0</v>
      </c>
      <c r="V10" s="738">
        <f t="shared" si="13"/>
        <v>123579.1047016214</v>
      </c>
      <c r="W10" s="738">
        <f t="shared" si="13"/>
        <v>0</v>
      </c>
      <c r="X10" s="738">
        <f t="shared" si="13"/>
        <v>9533.9999999999982</v>
      </c>
      <c r="Y10" s="738">
        <f t="shared" si="13"/>
        <v>0</v>
      </c>
      <c r="Z10" s="738">
        <f t="shared" si="13"/>
        <v>33923.675800445089</v>
      </c>
      <c r="AA10" s="738">
        <f t="shared" si="13"/>
        <v>2034484.5738565945</v>
      </c>
      <c r="AC10" s="737">
        <f t="shared" ref="AC10:AN10" si="14">+AC29+AC47+AC65</f>
        <v>0</v>
      </c>
      <c r="AD10" s="738">
        <f t="shared" si="14"/>
        <v>0</v>
      </c>
      <c r="AE10" s="738">
        <f t="shared" si="14"/>
        <v>0</v>
      </c>
      <c r="AF10" s="738">
        <f t="shared" si="14"/>
        <v>0</v>
      </c>
      <c r="AG10" s="738">
        <f t="shared" si="14"/>
        <v>0</v>
      </c>
      <c r="AH10" s="738">
        <f t="shared" si="14"/>
        <v>0</v>
      </c>
      <c r="AI10" s="738">
        <f t="shared" si="14"/>
        <v>0</v>
      </c>
      <c r="AJ10" s="738">
        <f t="shared" si="14"/>
        <v>0</v>
      </c>
      <c r="AK10" s="738">
        <f t="shared" si="14"/>
        <v>0</v>
      </c>
      <c r="AL10" s="738">
        <f t="shared" si="14"/>
        <v>0</v>
      </c>
      <c r="AM10" s="738">
        <f t="shared" si="14"/>
        <v>0</v>
      </c>
      <c r="AN10" s="738">
        <f t="shared" si="14"/>
        <v>0</v>
      </c>
    </row>
    <row r="11" spans="1:40" ht="12.75" customHeight="1" x14ac:dyDescent="0.6">
      <c r="A11" s="736">
        <v>2300</v>
      </c>
      <c r="B11" s="736" t="s">
        <v>581</v>
      </c>
      <c r="C11" s="737">
        <f t="shared" si="0"/>
        <v>587403.97866184008</v>
      </c>
      <c r="D11" s="738">
        <f t="shared" si="0"/>
        <v>0</v>
      </c>
      <c r="E11" s="738">
        <f t="shared" si="0"/>
        <v>56771</v>
      </c>
      <c r="F11" s="738">
        <f t="shared" si="0"/>
        <v>0</v>
      </c>
      <c r="G11" s="738">
        <f t="shared" si="0"/>
        <v>39181.002975597003</v>
      </c>
      <c r="H11" s="738">
        <f t="shared" si="0"/>
        <v>0</v>
      </c>
      <c r="I11" s="738">
        <f t="shared" si="0"/>
        <v>44936.404367630756</v>
      </c>
      <c r="J11" s="738">
        <f t="shared" si="0"/>
        <v>0</v>
      </c>
      <c r="K11" s="738">
        <f t="shared" si="0"/>
        <v>2270</v>
      </c>
      <c r="L11" s="738">
        <f t="shared" si="0"/>
        <v>0</v>
      </c>
      <c r="M11" s="738">
        <f t="shared" si="0"/>
        <v>12335.48355189864</v>
      </c>
      <c r="N11" s="738">
        <f t="shared" si="0"/>
        <v>742897.86955696647</v>
      </c>
      <c r="P11" s="737">
        <f t="shared" ref="P11:AA11" si="15">+P30+P48+P66</f>
        <v>587403.97866184008</v>
      </c>
      <c r="Q11" s="738">
        <f t="shared" si="15"/>
        <v>0</v>
      </c>
      <c r="R11" s="738">
        <f t="shared" si="15"/>
        <v>56771</v>
      </c>
      <c r="S11" s="738">
        <f t="shared" si="15"/>
        <v>0</v>
      </c>
      <c r="T11" s="738">
        <f t="shared" si="15"/>
        <v>39181.002975597003</v>
      </c>
      <c r="U11" s="738">
        <f t="shared" si="15"/>
        <v>0</v>
      </c>
      <c r="V11" s="738">
        <f t="shared" si="15"/>
        <v>44936.404367630756</v>
      </c>
      <c r="W11" s="738">
        <f t="shared" si="15"/>
        <v>0</v>
      </c>
      <c r="X11" s="738">
        <f t="shared" si="15"/>
        <v>2270</v>
      </c>
      <c r="Y11" s="738">
        <f t="shared" si="15"/>
        <v>0</v>
      </c>
      <c r="Z11" s="738">
        <f t="shared" si="15"/>
        <v>12335.48355189864</v>
      </c>
      <c r="AA11" s="738">
        <f t="shared" si="15"/>
        <v>742897.86955696647</v>
      </c>
      <c r="AC11" s="737">
        <f t="shared" ref="AC11:AN11" si="16">+AC30+AC48+AC66</f>
        <v>0</v>
      </c>
      <c r="AD11" s="738">
        <f t="shared" si="16"/>
        <v>0</v>
      </c>
      <c r="AE11" s="738">
        <f t="shared" si="16"/>
        <v>0</v>
      </c>
      <c r="AF11" s="738">
        <f t="shared" si="16"/>
        <v>0</v>
      </c>
      <c r="AG11" s="738">
        <f t="shared" si="16"/>
        <v>0</v>
      </c>
      <c r="AH11" s="738">
        <f t="shared" si="16"/>
        <v>0</v>
      </c>
      <c r="AI11" s="738">
        <f t="shared" si="16"/>
        <v>0</v>
      </c>
      <c r="AJ11" s="738">
        <f t="shared" si="16"/>
        <v>0</v>
      </c>
      <c r="AK11" s="738">
        <f t="shared" si="16"/>
        <v>0</v>
      </c>
      <c r="AL11" s="738">
        <f t="shared" si="16"/>
        <v>0</v>
      </c>
      <c r="AM11" s="738">
        <f t="shared" si="16"/>
        <v>0</v>
      </c>
      <c r="AN11" s="738">
        <f t="shared" si="16"/>
        <v>0</v>
      </c>
    </row>
    <row r="12" spans="1:40" ht="12.75" customHeight="1" x14ac:dyDescent="0.6">
      <c r="A12" s="736">
        <v>2400</v>
      </c>
      <c r="B12" s="736" t="s">
        <v>2122</v>
      </c>
      <c r="C12" s="737">
        <f t="shared" si="0"/>
        <v>710167.41654550796</v>
      </c>
      <c r="D12" s="738">
        <f t="shared" si="0"/>
        <v>0</v>
      </c>
      <c r="E12" s="738">
        <f t="shared" si="0"/>
        <v>104322</v>
      </c>
      <c r="F12" s="738">
        <f t="shared" si="0"/>
        <v>0</v>
      </c>
      <c r="G12" s="738">
        <f t="shared" si="0"/>
        <v>9900.7279999999992</v>
      </c>
      <c r="H12" s="738">
        <f t="shared" si="0"/>
        <v>0</v>
      </c>
      <c r="I12" s="738">
        <f t="shared" si="0"/>
        <v>54327.807365731358</v>
      </c>
      <c r="J12" s="738">
        <f t="shared" si="0"/>
        <v>0</v>
      </c>
      <c r="K12" s="738">
        <f t="shared" si="0"/>
        <v>4994</v>
      </c>
      <c r="L12" s="738">
        <f t="shared" si="0"/>
        <v>0</v>
      </c>
      <c r="M12" s="738">
        <f t="shared" si="0"/>
        <v>14913.515747455667</v>
      </c>
      <c r="N12" s="738">
        <f t="shared" si="0"/>
        <v>898625.46765869507</v>
      </c>
      <c r="P12" s="737">
        <f t="shared" ref="P12:AA12" si="17">+P31+P49+P67</f>
        <v>710167.41654550796</v>
      </c>
      <c r="Q12" s="738">
        <f t="shared" si="17"/>
        <v>0</v>
      </c>
      <c r="R12" s="738">
        <f t="shared" si="17"/>
        <v>104322</v>
      </c>
      <c r="S12" s="738">
        <f t="shared" si="17"/>
        <v>0</v>
      </c>
      <c r="T12" s="738">
        <f t="shared" si="17"/>
        <v>9900.7279999999992</v>
      </c>
      <c r="U12" s="738">
        <f t="shared" si="17"/>
        <v>0</v>
      </c>
      <c r="V12" s="738">
        <f t="shared" si="17"/>
        <v>54327.807365731358</v>
      </c>
      <c r="W12" s="738">
        <f t="shared" si="17"/>
        <v>0</v>
      </c>
      <c r="X12" s="738">
        <f t="shared" si="17"/>
        <v>4994</v>
      </c>
      <c r="Y12" s="738">
        <f t="shared" si="17"/>
        <v>0</v>
      </c>
      <c r="Z12" s="738">
        <f t="shared" si="17"/>
        <v>14913.515747455667</v>
      </c>
      <c r="AA12" s="738">
        <f t="shared" si="17"/>
        <v>898625.46765869507</v>
      </c>
      <c r="AC12" s="737">
        <f t="shared" ref="AC12:AN12" si="18">+AC31+AC49+AC67</f>
        <v>0</v>
      </c>
      <c r="AD12" s="738">
        <f t="shared" si="18"/>
        <v>0</v>
      </c>
      <c r="AE12" s="738">
        <f t="shared" si="18"/>
        <v>0</v>
      </c>
      <c r="AF12" s="738">
        <f t="shared" si="18"/>
        <v>0</v>
      </c>
      <c r="AG12" s="738">
        <f t="shared" si="18"/>
        <v>0</v>
      </c>
      <c r="AH12" s="738">
        <f t="shared" si="18"/>
        <v>0</v>
      </c>
      <c r="AI12" s="738">
        <f t="shared" si="18"/>
        <v>0</v>
      </c>
      <c r="AJ12" s="738">
        <f t="shared" si="18"/>
        <v>0</v>
      </c>
      <c r="AK12" s="738">
        <f t="shared" si="18"/>
        <v>0</v>
      </c>
      <c r="AL12" s="738">
        <f t="shared" si="18"/>
        <v>0</v>
      </c>
      <c r="AM12" s="738">
        <f t="shared" si="18"/>
        <v>0</v>
      </c>
      <c r="AN12" s="738">
        <f t="shared" si="18"/>
        <v>0</v>
      </c>
    </row>
    <row r="13" spans="1:40" ht="12.75" customHeight="1" x14ac:dyDescent="0.6">
      <c r="A13" s="736">
        <v>2900</v>
      </c>
      <c r="B13" s="736" t="s">
        <v>584</v>
      </c>
      <c r="C13" s="737">
        <f t="shared" si="0"/>
        <v>28800</v>
      </c>
      <c r="D13" s="738">
        <f t="shared" si="0"/>
        <v>0</v>
      </c>
      <c r="E13" s="738">
        <f t="shared" si="0"/>
        <v>0</v>
      </c>
      <c r="F13" s="738">
        <f t="shared" si="0"/>
        <v>0</v>
      </c>
      <c r="G13" s="738">
        <f t="shared" si="0"/>
        <v>0</v>
      </c>
      <c r="H13" s="738">
        <f t="shared" si="0"/>
        <v>0</v>
      </c>
      <c r="I13" s="738">
        <f t="shared" si="0"/>
        <v>2203.2000000000003</v>
      </c>
      <c r="J13" s="738">
        <f t="shared" si="0"/>
        <v>0</v>
      </c>
      <c r="K13" s="738">
        <f t="shared" si="0"/>
        <v>1362</v>
      </c>
      <c r="L13" s="738">
        <f t="shared" si="0"/>
        <v>0</v>
      </c>
      <c r="M13" s="738">
        <f t="shared" si="0"/>
        <v>604.80000000000007</v>
      </c>
      <c r="N13" s="738">
        <f t="shared" si="0"/>
        <v>32970</v>
      </c>
      <c r="P13" s="737">
        <f t="shared" ref="P13:AA13" si="19">+P32+P50+P68</f>
        <v>28800</v>
      </c>
      <c r="Q13" s="738">
        <f t="shared" si="19"/>
        <v>0</v>
      </c>
      <c r="R13" s="738">
        <f t="shared" si="19"/>
        <v>0</v>
      </c>
      <c r="S13" s="738">
        <f t="shared" si="19"/>
        <v>0</v>
      </c>
      <c r="T13" s="738">
        <f t="shared" si="19"/>
        <v>0</v>
      </c>
      <c r="U13" s="738">
        <f t="shared" si="19"/>
        <v>0</v>
      </c>
      <c r="V13" s="738">
        <f t="shared" si="19"/>
        <v>2203.2000000000003</v>
      </c>
      <c r="W13" s="738">
        <f t="shared" si="19"/>
        <v>0</v>
      </c>
      <c r="X13" s="738">
        <f t="shared" si="19"/>
        <v>1362</v>
      </c>
      <c r="Y13" s="738">
        <f t="shared" si="19"/>
        <v>0</v>
      </c>
      <c r="Z13" s="738">
        <f t="shared" si="19"/>
        <v>604.80000000000007</v>
      </c>
      <c r="AA13" s="738">
        <f t="shared" si="19"/>
        <v>32970</v>
      </c>
      <c r="AC13" s="737">
        <f t="shared" ref="AC13:AN13" si="20">+AC32+AC50+AC68</f>
        <v>0</v>
      </c>
      <c r="AD13" s="738">
        <f t="shared" si="20"/>
        <v>0</v>
      </c>
      <c r="AE13" s="738">
        <f t="shared" si="20"/>
        <v>0</v>
      </c>
      <c r="AF13" s="738">
        <f t="shared" si="20"/>
        <v>0</v>
      </c>
      <c r="AG13" s="738">
        <f t="shared" si="20"/>
        <v>0</v>
      </c>
      <c r="AH13" s="738">
        <f t="shared" si="20"/>
        <v>0</v>
      </c>
      <c r="AI13" s="738">
        <f t="shared" si="20"/>
        <v>0</v>
      </c>
      <c r="AJ13" s="738">
        <f t="shared" si="20"/>
        <v>0</v>
      </c>
      <c r="AK13" s="738">
        <f t="shared" si="20"/>
        <v>0</v>
      </c>
      <c r="AL13" s="738">
        <f t="shared" si="20"/>
        <v>0</v>
      </c>
      <c r="AM13" s="738">
        <f t="shared" si="20"/>
        <v>0</v>
      </c>
      <c r="AN13" s="738">
        <f t="shared" si="20"/>
        <v>0</v>
      </c>
    </row>
    <row r="14" spans="1:40" ht="12.75" customHeight="1" x14ac:dyDescent="0.6">
      <c r="B14" s="739" t="s">
        <v>1480</v>
      </c>
      <c r="C14" s="740">
        <f t="shared" si="0"/>
        <v>16863546.93663267</v>
      </c>
      <c r="D14" s="741">
        <f t="shared" si="0"/>
        <v>1447503.08</v>
      </c>
      <c r="E14" s="741">
        <f t="shared" si="0"/>
        <v>405591</v>
      </c>
      <c r="F14" s="741">
        <f t="shared" si="0"/>
        <v>2589691.5874633323</v>
      </c>
      <c r="G14" s="741">
        <f t="shared" si="0"/>
        <v>88716.390975596994</v>
      </c>
      <c r="H14" s="741">
        <f t="shared" si="0"/>
        <v>196599.62313203298</v>
      </c>
      <c r="I14" s="741">
        <f t="shared" si="0"/>
        <v>252828.84619719087</v>
      </c>
      <c r="J14" s="741">
        <f t="shared" si="0"/>
        <v>74910.000000000102</v>
      </c>
      <c r="K14" s="741">
        <f t="shared" si="0"/>
        <v>21338</v>
      </c>
      <c r="L14" s="741">
        <f t="shared" si="0"/>
        <v>284730.48867397883</v>
      </c>
      <c r="M14" s="741">
        <f t="shared" si="0"/>
        <v>69403.996995307301</v>
      </c>
      <c r="N14" s="741">
        <f t="shared" si="0"/>
        <v>22294859.950070105</v>
      </c>
      <c r="P14" s="740">
        <f t="shared" ref="P14:AA14" si="21">+P33+P51+P69</f>
        <v>16863546.93663267</v>
      </c>
      <c r="Q14" s="741">
        <f t="shared" si="21"/>
        <v>1447503.08</v>
      </c>
      <c r="R14" s="741">
        <f t="shared" si="21"/>
        <v>405591</v>
      </c>
      <c r="S14" s="741">
        <f t="shared" si="21"/>
        <v>2589691.5874633323</v>
      </c>
      <c r="T14" s="741">
        <f t="shared" si="21"/>
        <v>88716.390975596994</v>
      </c>
      <c r="U14" s="741">
        <f t="shared" si="21"/>
        <v>196599.62313203298</v>
      </c>
      <c r="V14" s="741">
        <f t="shared" si="21"/>
        <v>252828.84619719087</v>
      </c>
      <c r="W14" s="741">
        <f t="shared" si="21"/>
        <v>74910.000000000102</v>
      </c>
      <c r="X14" s="741">
        <f t="shared" si="21"/>
        <v>21338</v>
      </c>
      <c r="Y14" s="741">
        <f t="shared" si="21"/>
        <v>284730.48867397883</v>
      </c>
      <c r="Z14" s="741">
        <f t="shared" si="21"/>
        <v>69403.996995307301</v>
      </c>
      <c r="AA14" s="741">
        <f t="shared" si="21"/>
        <v>22294859.950070105</v>
      </c>
      <c r="AC14" s="740">
        <f t="shared" ref="AC14:AN14" si="22">+AC33+AC51+AC69</f>
        <v>0</v>
      </c>
      <c r="AD14" s="741">
        <f t="shared" si="22"/>
        <v>0</v>
      </c>
      <c r="AE14" s="741">
        <f t="shared" si="22"/>
        <v>0</v>
      </c>
      <c r="AF14" s="741">
        <f t="shared" si="22"/>
        <v>0</v>
      </c>
      <c r="AG14" s="741">
        <f t="shared" si="22"/>
        <v>0</v>
      </c>
      <c r="AH14" s="741">
        <f t="shared" si="22"/>
        <v>0</v>
      </c>
      <c r="AI14" s="741">
        <f t="shared" si="22"/>
        <v>0</v>
      </c>
      <c r="AJ14" s="741">
        <f t="shared" si="22"/>
        <v>0</v>
      </c>
      <c r="AK14" s="741">
        <f t="shared" si="22"/>
        <v>0</v>
      </c>
      <c r="AL14" s="741">
        <f t="shared" si="22"/>
        <v>0</v>
      </c>
      <c r="AM14" s="741">
        <f t="shared" si="22"/>
        <v>0</v>
      </c>
      <c r="AN14" s="741">
        <f t="shared" si="22"/>
        <v>0</v>
      </c>
    </row>
    <row r="15" spans="1:40" ht="12.75" customHeight="1" x14ac:dyDescent="0.6">
      <c r="B15" s="739" t="s">
        <v>2123</v>
      </c>
      <c r="C15" s="744">
        <v>16863546.936632674</v>
      </c>
      <c r="D15" s="744">
        <v>1447503.0799999998</v>
      </c>
      <c r="E15" s="744">
        <v>405591</v>
      </c>
      <c r="F15" s="744">
        <v>2589691.5874633347</v>
      </c>
      <c r="G15" s="744">
        <v>88716.390975597009</v>
      </c>
      <c r="H15" s="744">
        <v>196599.62313203301</v>
      </c>
      <c r="I15" s="744">
        <v>252828.8461971909</v>
      </c>
      <c r="J15" s="744">
        <v>74910</v>
      </c>
      <c r="K15" s="744">
        <v>21338</v>
      </c>
      <c r="L15" s="744">
        <v>284730.48867397866</v>
      </c>
      <c r="M15" s="744">
        <v>69403.996995307301</v>
      </c>
      <c r="N15" s="744">
        <v>22294859.950070098</v>
      </c>
      <c r="P15" s="737">
        <f t="shared" ref="P15:AA15" si="23">+P34+P52+P70</f>
        <v>0</v>
      </c>
      <c r="Q15" s="738">
        <f t="shared" si="23"/>
        <v>1447503.08</v>
      </c>
      <c r="R15" s="738">
        <f t="shared" si="23"/>
        <v>405591.00000000006</v>
      </c>
      <c r="S15" s="738">
        <f t="shared" si="23"/>
        <v>2589691.5874633323</v>
      </c>
      <c r="T15" s="738">
        <f t="shared" si="23"/>
        <v>88716.390975596994</v>
      </c>
      <c r="U15" s="738">
        <f t="shared" si="23"/>
        <v>196599.62313203304</v>
      </c>
      <c r="V15" s="738">
        <f t="shared" si="23"/>
        <v>252828.84619719087</v>
      </c>
      <c r="W15" s="738">
        <f t="shared" si="23"/>
        <v>74910.000000000087</v>
      </c>
      <c r="X15" s="738">
        <f t="shared" si="23"/>
        <v>21337.999999999993</v>
      </c>
      <c r="Y15" s="738">
        <f t="shared" si="23"/>
        <v>284730.48867397883</v>
      </c>
      <c r="Z15" s="738">
        <f t="shared" si="23"/>
        <v>69403.996995307301</v>
      </c>
      <c r="AA15" s="738">
        <f t="shared" si="23"/>
        <v>22294859.950070105</v>
      </c>
      <c r="AC15" s="737"/>
      <c r="AD15" s="738"/>
      <c r="AE15" s="738"/>
      <c r="AF15" s="738"/>
      <c r="AG15" s="738"/>
      <c r="AH15" s="738"/>
      <c r="AI15" s="738"/>
      <c r="AJ15" s="738"/>
      <c r="AK15" s="738"/>
      <c r="AL15" s="738"/>
      <c r="AM15" s="738"/>
      <c r="AN15" s="738"/>
    </row>
    <row r="16" spans="1:40" ht="12.75" customHeight="1" x14ac:dyDescent="0.6">
      <c r="B16" s="739" t="s">
        <v>1501</v>
      </c>
      <c r="C16" s="740">
        <f>+C14-C15</f>
        <v>0</v>
      </c>
      <c r="D16" s="741">
        <f t="shared" ref="D16:N16" si="24">+D14-D15</f>
        <v>0</v>
      </c>
      <c r="E16" s="741">
        <f t="shared" si="24"/>
        <v>0</v>
      </c>
      <c r="F16" s="741">
        <f t="shared" si="24"/>
        <v>0</v>
      </c>
      <c r="G16" s="741">
        <f t="shared" si="24"/>
        <v>0</v>
      </c>
      <c r="H16" s="741">
        <f t="shared" si="24"/>
        <v>0</v>
      </c>
      <c r="I16" s="741">
        <f t="shared" si="24"/>
        <v>0</v>
      </c>
      <c r="J16" s="741">
        <f t="shared" si="24"/>
        <v>0</v>
      </c>
      <c r="K16" s="741">
        <f t="shared" si="24"/>
        <v>0</v>
      </c>
      <c r="L16" s="741">
        <f t="shared" si="24"/>
        <v>0</v>
      </c>
      <c r="M16" s="741">
        <f t="shared" si="24"/>
        <v>0</v>
      </c>
      <c r="N16" s="741">
        <f t="shared" si="24"/>
        <v>0</v>
      </c>
      <c r="P16" s="740"/>
      <c r="Q16" s="741">
        <v>0</v>
      </c>
      <c r="R16" s="741">
        <v>0</v>
      </c>
      <c r="S16" s="741">
        <v>0</v>
      </c>
      <c r="T16" s="741">
        <v>0</v>
      </c>
      <c r="U16" s="741">
        <v>0</v>
      </c>
      <c r="V16" s="741">
        <v>0</v>
      </c>
      <c r="W16" s="741">
        <v>0</v>
      </c>
      <c r="X16" s="741">
        <v>0</v>
      </c>
      <c r="Y16" s="741">
        <v>0</v>
      </c>
      <c r="Z16" s="741">
        <v>0</v>
      </c>
      <c r="AA16" s="741">
        <v>0</v>
      </c>
      <c r="AC16" s="740">
        <f>+AC14-AC15</f>
        <v>0</v>
      </c>
      <c r="AD16" s="741">
        <f t="shared" ref="AD16:AN16" si="25">+AD14-AD15</f>
        <v>0</v>
      </c>
      <c r="AE16" s="741">
        <f t="shared" si="25"/>
        <v>0</v>
      </c>
      <c r="AF16" s="741">
        <f t="shared" si="25"/>
        <v>0</v>
      </c>
      <c r="AG16" s="741">
        <f t="shared" si="25"/>
        <v>0</v>
      </c>
      <c r="AH16" s="741">
        <f t="shared" si="25"/>
        <v>0</v>
      </c>
      <c r="AI16" s="741">
        <f t="shared" si="25"/>
        <v>0</v>
      </c>
      <c r="AJ16" s="741">
        <f t="shared" si="25"/>
        <v>0</v>
      </c>
      <c r="AK16" s="741">
        <f t="shared" si="25"/>
        <v>0</v>
      </c>
      <c r="AL16" s="741">
        <f t="shared" si="25"/>
        <v>0</v>
      </c>
      <c r="AM16" s="741">
        <f t="shared" si="25"/>
        <v>0</v>
      </c>
      <c r="AN16" s="741">
        <f t="shared" si="25"/>
        <v>0</v>
      </c>
    </row>
    <row r="17" spans="1:40" ht="12.75" customHeight="1" x14ac:dyDescent="0.6">
      <c r="C17" s="732"/>
      <c r="P17" s="732"/>
      <c r="AC17" s="732"/>
    </row>
    <row r="18" spans="1:40" ht="12.75" customHeight="1" x14ac:dyDescent="0.6">
      <c r="B18" s="739" t="s">
        <v>2124</v>
      </c>
      <c r="C18" s="738"/>
      <c r="D18" s="738"/>
      <c r="E18" s="738"/>
      <c r="F18" s="738"/>
      <c r="G18" s="738"/>
      <c r="H18" s="738"/>
      <c r="I18" s="738"/>
      <c r="J18" s="738"/>
      <c r="K18" s="738"/>
      <c r="L18" s="738"/>
      <c r="M18" s="738"/>
      <c r="N18" s="738"/>
      <c r="P18" s="738"/>
      <c r="Q18" s="738"/>
      <c r="R18" s="738"/>
      <c r="S18" s="738"/>
      <c r="T18" s="738"/>
      <c r="U18" s="738"/>
      <c r="V18" s="738"/>
      <c r="W18" s="738"/>
      <c r="X18" s="738"/>
      <c r="Y18" s="738"/>
      <c r="Z18" s="738"/>
      <c r="AA18" s="738"/>
      <c r="AC18" s="738"/>
      <c r="AD18" s="738"/>
      <c r="AE18" s="738"/>
      <c r="AF18" s="738"/>
      <c r="AG18" s="738"/>
      <c r="AH18" s="738"/>
      <c r="AI18" s="738"/>
      <c r="AJ18" s="738"/>
      <c r="AK18" s="738"/>
      <c r="AL18" s="738"/>
      <c r="AM18" s="738"/>
      <c r="AN18" s="738"/>
    </row>
    <row r="19" spans="1:40" ht="12.75" customHeight="1" x14ac:dyDescent="0.6">
      <c r="C19" s="738"/>
      <c r="D19" s="738"/>
      <c r="E19" s="738"/>
      <c r="F19" s="738"/>
      <c r="G19" s="738"/>
      <c r="H19" s="738"/>
      <c r="I19" s="738"/>
      <c r="J19" s="738"/>
      <c r="K19" s="738"/>
      <c r="L19" s="738"/>
      <c r="M19" s="738"/>
      <c r="N19" s="738"/>
      <c r="P19" s="738"/>
      <c r="Q19" s="738"/>
      <c r="R19" s="738"/>
      <c r="S19" s="738"/>
      <c r="T19" s="738"/>
      <c r="U19" s="738"/>
      <c r="V19" s="738"/>
      <c r="W19" s="738"/>
      <c r="X19" s="738"/>
      <c r="Y19" s="738"/>
      <c r="Z19" s="738"/>
      <c r="AA19" s="738"/>
      <c r="AC19" s="738"/>
      <c r="AD19" s="738"/>
      <c r="AE19" s="738"/>
      <c r="AF19" s="738"/>
      <c r="AG19" s="738"/>
      <c r="AH19" s="738"/>
      <c r="AI19" s="738"/>
      <c r="AJ19" s="738"/>
      <c r="AK19" s="738"/>
      <c r="AL19" s="738"/>
      <c r="AM19" s="738"/>
      <c r="AN19" s="738"/>
    </row>
    <row r="20" spans="1:40" ht="12.75" customHeight="1" x14ac:dyDescent="0.6">
      <c r="D20" s="742"/>
      <c r="E20" s="742"/>
      <c r="F20" s="742"/>
      <c r="G20" s="742"/>
      <c r="H20" s="742"/>
      <c r="I20" s="742"/>
      <c r="J20" s="742"/>
      <c r="K20" s="742"/>
      <c r="L20" s="742"/>
      <c r="M20" s="742"/>
      <c r="Q20" s="742"/>
      <c r="R20" s="742"/>
      <c r="S20" s="742"/>
      <c r="T20" s="742"/>
      <c r="U20" s="742"/>
      <c r="V20" s="742"/>
      <c r="W20" s="742"/>
      <c r="X20" s="742"/>
      <c r="Y20" s="742"/>
      <c r="Z20" s="742"/>
      <c r="AD20" s="742"/>
      <c r="AE20" s="742"/>
      <c r="AF20" s="742"/>
      <c r="AG20" s="742"/>
      <c r="AH20" s="742"/>
      <c r="AI20" s="742"/>
      <c r="AJ20" s="742"/>
      <c r="AK20" s="742"/>
      <c r="AL20" s="742"/>
      <c r="AM20" s="742"/>
    </row>
    <row r="21" spans="1:40" ht="12.75" customHeight="1" x14ac:dyDescent="0.6">
      <c r="A21" s="743" t="s">
        <v>1636</v>
      </c>
      <c r="C21" s="732"/>
      <c r="D21" s="733">
        <v>3401</v>
      </c>
      <c r="E21" s="733">
        <v>3402</v>
      </c>
      <c r="F21" s="733">
        <v>3101</v>
      </c>
      <c r="G21" s="733">
        <v>3901</v>
      </c>
      <c r="H21" s="733">
        <v>3301</v>
      </c>
      <c r="I21" s="733">
        <v>3302</v>
      </c>
      <c r="J21" s="733">
        <v>3501</v>
      </c>
      <c r="K21" s="733">
        <v>3502</v>
      </c>
      <c r="L21" s="733">
        <v>3601</v>
      </c>
      <c r="M21" s="733">
        <v>3602</v>
      </c>
      <c r="P21" s="732"/>
      <c r="Q21" s="733">
        <v>3401</v>
      </c>
      <c r="R21" s="733">
        <v>3402</v>
      </c>
      <c r="S21" s="733">
        <v>3101</v>
      </c>
      <c r="T21" s="733">
        <v>3901</v>
      </c>
      <c r="U21" s="733">
        <v>3301</v>
      </c>
      <c r="V21" s="733">
        <v>3302</v>
      </c>
      <c r="W21" s="733">
        <v>3501</v>
      </c>
      <c r="X21" s="733">
        <v>3502</v>
      </c>
      <c r="Y21" s="733">
        <v>3601</v>
      </c>
      <c r="Z21" s="733">
        <v>3602</v>
      </c>
      <c r="AC21" s="732"/>
      <c r="AD21" s="733">
        <v>3401</v>
      </c>
      <c r="AE21" s="733">
        <v>3402</v>
      </c>
      <c r="AF21" s="733">
        <v>3101</v>
      </c>
      <c r="AG21" s="733">
        <v>3901</v>
      </c>
      <c r="AH21" s="733">
        <v>3301</v>
      </c>
      <c r="AI21" s="733">
        <v>3302</v>
      </c>
      <c r="AJ21" s="733">
        <v>3501</v>
      </c>
      <c r="AK21" s="733">
        <v>3502</v>
      </c>
      <c r="AL21" s="733">
        <v>3601</v>
      </c>
      <c r="AM21" s="733">
        <v>3602</v>
      </c>
    </row>
    <row r="22" spans="1:40" ht="39" x14ac:dyDescent="0.6">
      <c r="A22" s="734" t="s">
        <v>1494</v>
      </c>
      <c r="B22" s="734" t="s">
        <v>2117</v>
      </c>
      <c r="C22" s="735" t="s">
        <v>2118</v>
      </c>
      <c r="D22" s="734" t="s">
        <v>1935</v>
      </c>
      <c r="E22" s="734" t="s">
        <v>1518</v>
      </c>
      <c r="F22" s="734" t="s">
        <v>6</v>
      </c>
      <c r="G22" s="734" t="s">
        <v>2126</v>
      </c>
      <c r="H22" s="734" t="s">
        <v>1936</v>
      </c>
      <c r="I22" s="734" t="s">
        <v>1937</v>
      </c>
      <c r="J22" s="734" t="s">
        <v>1938</v>
      </c>
      <c r="K22" s="734" t="s">
        <v>1516</v>
      </c>
      <c r="L22" s="734" t="s">
        <v>1939</v>
      </c>
      <c r="M22" s="734" t="s">
        <v>1517</v>
      </c>
      <c r="N22" s="734" t="s">
        <v>2119</v>
      </c>
      <c r="P22" s="735" t="s">
        <v>2118</v>
      </c>
      <c r="Q22" s="734" t="s">
        <v>1935</v>
      </c>
      <c r="R22" s="734" t="s">
        <v>1518</v>
      </c>
      <c r="S22" s="734" t="s">
        <v>6</v>
      </c>
      <c r="T22" s="734" t="s">
        <v>2126</v>
      </c>
      <c r="U22" s="734" t="s">
        <v>1936</v>
      </c>
      <c r="V22" s="734" t="s">
        <v>1937</v>
      </c>
      <c r="W22" s="734" t="s">
        <v>1938</v>
      </c>
      <c r="X22" s="734" t="s">
        <v>1516</v>
      </c>
      <c r="Y22" s="734" t="s">
        <v>1939</v>
      </c>
      <c r="Z22" s="734" t="s">
        <v>1517</v>
      </c>
      <c r="AA22" s="734" t="s">
        <v>2119</v>
      </c>
      <c r="AC22" s="735" t="s">
        <v>2118</v>
      </c>
      <c r="AD22" s="734" t="s">
        <v>1935</v>
      </c>
      <c r="AE22" s="734" t="s">
        <v>1518</v>
      </c>
      <c r="AF22" s="734" t="s">
        <v>6</v>
      </c>
      <c r="AG22" s="734" t="s">
        <v>2126</v>
      </c>
      <c r="AH22" s="734" t="s">
        <v>1936</v>
      </c>
      <c r="AI22" s="734" t="s">
        <v>1937</v>
      </c>
      <c r="AJ22" s="734" t="s">
        <v>1938</v>
      </c>
      <c r="AK22" s="734" t="s">
        <v>1516</v>
      </c>
      <c r="AL22" s="734" t="s">
        <v>1939</v>
      </c>
      <c r="AM22" s="734" t="s">
        <v>1517</v>
      </c>
      <c r="AN22" s="734" t="s">
        <v>2119</v>
      </c>
    </row>
    <row r="23" spans="1:40" ht="12.75" customHeight="1" x14ac:dyDescent="0.6">
      <c r="A23" s="736">
        <v>1100</v>
      </c>
      <c r="B23" s="736" t="s">
        <v>1452</v>
      </c>
      <c r="C23" s="737">
        <f t="shared" ref="C23:N34" si="26">+P23+AC23</f>
        <v>2714962.9578543818</v>
      </c>
      <c r="D23" s="738">
        <f t="shared" si="26"/>
        <v>305034.34728600015</v>
      </c>
      <c r="E23" s="738">
        <f t="shared" si="26"/>
        <v>0</v>
      </c>
      <c r="F23" s="738">
        <f t="shared" si="26"/>
        <v>518557.92495018762</v>
      </c>
      <c r="G23" s="738">
        <f t="shared" si="26"/>
        <v>0</v>
      </c>
      <c r="H23" s="738">
        <f t="shared" si="26"/>
        <v>39366.962888888571</v>
      </c>
      <c r="I23" s="738">
        <f t="shared" si="26"/>
        <v>0</v>
      </c>
      <c r="J23" s="738">
        <f t="shared" si="26"/>
        <v>16059.342000000021</v>
      </c>
      <c r="K23" s="738">
        <f t="shared" si="26"/>
        <v>0</v>
      </c>
      <c r="L23" s="738">
        <f t="shared" si="26"/>
        <v>57014.222114942007</v>
      </c>
      <c r="M23" s="738">
        <f t="shared" si="26"/>
        <v>0</v>
      </c>
      <c r="N23" s="738">
        <f t="shared" si="26"/>
        <v>3650995.7570944005</v>
      </c>
      <c r="P23" s="744">
        <v>2714962.9578543818</v>
      </c>
      <c r="Q23" s="744">
        <v>305034.34728600015</v>
      </c>
      <c r="R23" s="744">
        <v>0</v>
      </c>
      <c r="S23" s="744">
        <v>518557.92495018762</v>
      </c>
      <c r="T23" s="744">
        <v>0</v>
      </c>
      <c r="U23" s="744">
        <v>39366.962888888571</v>
      </c>
      <c r="V23" s="744">
        <v>0</v>
      </c>
      <c r="W23" s="744">
        <v>16059.342000000021</v>
      </c>
      <c r="X23" s="744">
        <v>0</v>
      </c>
      <c r="Y23" s="744">
        <v>57014.222114942007</v>
      </c>
      <c r="Z23" s="744">
        <v>0</v>
      </c>
      <c r="AA23" s="744">
        <v>3650995.7570944005</v>
      </c>
      <c r="AC23" s="737">
        <f>C77*'Budget Summary w MYP'!$F$9</f>
        <v>0</v>
      </c>
      <c r="AD23" s="738">
        <f>D77*'Budget Summary w MYP'!$F$9</f>
        <v>0</v>
      </c>
      <c r="AE23" s="738">
        <f>E77*'Budget Summary w MYP'!$F$9</f>
        <v>0</v>
      </c>
      <c r="AF23" s="738">
        <f>F77*'Budget Summary w MYP'!$F$9</f>
        <v>0</v>
      </c>
      <c r="AG23" s="738">
        <f>G77*'Budget Summary w MYP'!$F$9</f>
        <v>0</v>
      </c>
      <c r="AH23" s="738">
        <f>H77*'Budget Summary w MYP'!$F$9</f>
        <v>0</v>
      </c>
      <c r="AI23" s="738">
        <f>I77*'Budget Summary w MYP'!$F$9</f>
        <v>0</v>
      </c>
      <c r="AJ23" s="738">
        <f>J77*'Budget Summary w MYP'!$F$9</f>
        <v>0</v>
      </c>
      <c r="AK23" s="738">
        <f>K77*'Budget Summary w MYP'!$F$9</f>
        <v>0</v>
      </c>
      <c r="AL23" s="738">
        <f>L77*'Budget Summary w MYP'!$F$9</f>
        <v>0</v>
      </c>
      <c r="AM23" s="738">
        <f>M77*'Budget Summary w MYP'!$F$9</f>
        <v>0</v>
      </c>
      <c r="AN23" s="738">
        <f>N77*'Budget Summary w MYP'!$F$9</f>
        <v>0</v>
      </c>
    </row>
    <row r="24" spans="1:40" ht="12.75" customHeight="1" x14ac:dyDescent="0.6">
      <c r="A24" s="736">
        <v>1120</v>
      </c>
      <c r="B24" s="736" t="s">
        <v>2120</v>
      </c>
      <c r="C24" s="737">
        <f t="shared" si="26"/>
        <v>0</v>
      </c>
      <c r="D24" s="738">
        <f t="shared" si="26"/>
        <v>0</v>
      </c>
      <c r="E24" s="738">
        <f t="shared" si="26"/>
        <v>0</v>
      </c>
      <c r="F24" s="738">
        <f t="shared" si="26"/>
        <v>0</v>
      </c>
      <c r="G24" s="738">
        <f t="shared" si="26"/>
        <v>0</v>
      </c>
      <c r="H24" s="738">
        <f t="shared" si="26"/>
        <v>0</v>
      </c>
      <c r="I24" s="738">
        <f t="shared" si="26"/>
        <v>0</v>
      </c>
      <c r="J24" s="738">
        <f t="shared" si="26"/>
        <v>0</v>
      </c>
      <c r="K24" s="738">
        <f t="shared" si="26"/>
        <v>0</v>
      </c>
      <c r="L24" s="738">
        <f t="shared" si="26"/>
        <v>0</v>
      </c>
      <c r="M24" s="738">
        <f t="shared" si="26"/>
        <v>0</v>
      </c>
      <c r="N24" s="738">
        <f t="shared" si="26"/>
        <v>0</v>
      </c>
      <c r="P24" s="744">
        <v>0</v>
      </c>
      <c r="Q24" s="744">
        <v>0</v>
      </c>
      <c r="R24" s="744">
        <v>0</v>
      </c>
      <c r="S24" s="744">
        <v>0</v>
      </c>
      <c r="T24" s="744">
        <v>0</v>
      </c>
      <c r="U24" s="744">
        <v>0</v>
      </c>
      <c r="V24" s="744">
        <v>0</v>
      </c>
      <c r="W24" s="744">
        <v>0</v>
      </c>
      <c r="X24" s="744">
        <v>0</v>
      </c>
      <c r="Y24" s="744">
        <v>0</v>
      </c>
      <c r="Z24" s="744">
        <v>0</v>
      </c>
      <c r="AA24" s="744">
        <v>0</v>
      </c>
      <c r="AC24" s="737">
        <f>C78*'Budget Summary w MYP'!$F$9</f>
        <v>0</v>
      </c>
      <c r="AD24" s="738">
        <f>D78*'Budget Summary w MYP'!$F$9</f>
        <v>0</v>
      </c>
      <c r="AE24" s="738">
        <f>E78*'Budget Summary w MYP'!$F$9</f>
        <v>0</v>
      </c>
      <c r="AF24" s="738">
        <f>F78*'Budget Summary w MYP'!$F$9</f>
        <v>0</v>
      </c>
      <c r="AG24" s="738">
        <f>G78*'Budget Summary w MYP'!$F$9</f>
        <v>0</v>
      </c>
      <c r="AH24" s="738">
        <f>H78*'Budget Summary w MYP'!$F$9</f>
        <v>0</v>
      </c>
      <c r="AI24" s="738">
        <f>I78*'Budget Summary w MYP'!$F$9</f>
        <v>0</v>
      </c>
      <c r="AJ24" s="738">
        <f>J78*'Budget Summary w MYP'!$F$9</f>
        <v>0</v>
      </c>
      <c r="AK24" s="738">
        <f>K78*'Budget Summary w MYP'!$F$9</f>
        <v>0</v>
      </c>
      <c r="AL24" s="738">
        <f>L78*'Budget Summary w MYP'!$F$9</f>
        <v>0</v>
      </c>
      <c r="AM24" s="738">
        <f>M78*'Budget Summary w MYP'!$F$9</f>
        <v>0</v>
      </c>
      <c r="AN24" s="738">
        <f>N78*'Budget Summary w MYP'!$F$9</f>
        <v>0</v>
      </c>
    </row>
    <row r="25" spans="1:40" ht="12.75" customHeight="1" x14ac:dyDescent="0.6">
      <c r="A25" s="736">
        <v>1200</v>
      </c>
      <c r="B25" s="736" t="s">
        <v>572</v>
      </c>
      <c r="C25" s="737">
        <f t="shared" si="26"/>
        <v>297296.27073651704</v>
      </c>
      <c r="D25" s="738">
        <f t="shared" si="26"/>
        <v>34774.379999999997</v>
      </c>
      <c r="E25" s="738">
        <f t="shared" si="26"/>
        <v>0</v>
      </c>
      <c r="F25" s="738">
        <f t="shared" si="26"/>
        <v>56783.58771067475</v>
      </c>
      <c r="G25" s="738">
        <f t="shared" si="26"/>
        <v>0</v>
      </c>
      <c r="H25" s="738">
        <f t="shared" si="26"/>
        <v>4310.7959256794957</v>
      </c>
      <c r="I25" s="738">
        <f t="shared" si="26"/>
        <v>0</v>
      </c>
      <c r="J25" s="738">
        <f t="shared" si="26"/>
        <v>1482.4008000000001</v>
      </c>
      <c r="K25" s="738">
        <f t="shared" si="26"/>
        <v>0</v>
      </c>
      <c r="L25" s="738">
        <f t="shared" si="26"/>
        <v>6243.2216854668568</v>
      </c>
      <c r="M25" s="738">
        <f t="shared" si="26"/>
        <v>0</v>
      </c>
      <c r="N25" s="738">
        <f t="shared" si="26"/>
        <v>400890.6568583381</v>
      </c>
      <c r="P25" s="744">
        <v>297296.27073651704</v>
      </c>
      <c r="Q25" s="744">
        <v>34774.379999999997</v>
      </c>
      <c r="R25" s="744">
        <v>0</v>
      </c>
      <c r="S25" s="744">
        <v>56783.58771067475</v>
      </c>
      <c r="T25" s="744">
        <v>0</v>
      </c>
      <c r="U25" s="744">
        <v>4310.7959256794957</v>
      </c>
      <c r="V25" s="744">
        <v>0</v>
      </c>
      <c r="W25" s="744">
        <v>1482.4008000000001</v>
      </c>
      <c r="X25" s="744">
        <v>0</v>
      </c>
      <c r="Y25" s="744">
        <v>6243.2216854668568</v>
      </c>
      <c r="Z25" s="744">
        <v>0</v>
      </c>
      <c r="AA25" s="744">
        <v>400890.6568583381</v>
      </c>
      <c r="AC25" s="737">
        <f>C79*'Budget Summary w MYP'!$F$9</f>
        <v>0</v>
      </c>
      <c r="AD25" s="738">
        <f>D79*'Budget Summary w MYP'!$F$9</f>
        <v>0</v>
      </c>
      <c r="AE25" s="738">
        <f>E79*'Budget Summary w MYP'!$F$9</f>
        <v>0</v>
      </c>
      <c r="AF25" s="738">
        <f>F79*'Budget Summary w MYP'!$F$9</f>
        <v>0</v>
      </c>
      <c r="AG25" s="738">
        <f>G79*'Budget Summary w MYP'!$F$9</f>
        <v>0</v>
      </c>
      <c r="AH25" s="738">
        <f>H79*'Budget Summary w MYP'!$F$9</f>
        <v>0</v>
      </c>
      <c r="AI25" s="738">
        <f>I79*'Budget Summary w MYP'!$F$9</f>
        <v>0</v>
      </c>
      <c r="AJ25" s="738">
        <f>J79*'Budget Summary w MYP'!$F$9</f>
        <v>0</v>
      </c>
      <c r="AK25" s="738">
        <f>K79*'Budget Summary w MYP'!$F$9</f>
        <v>0</v>
      </c>
      <c r="AL25" s="738">
        <f>L79*'Budget Summary w MYP'!$F$9</f>
        <v>0</v>
      </c>
      <c r="AM25" s="738">
        <f>M79*'Budget Summary w MYP'!$F$9</f>
        <v>0</v>
      </c>
      <c r="AN25" s="738">
        <f>N79*'Budget Summary w MYP'!$F$9</f>
        <v>0</v>
      </c>
    </row>
    <row r="26" spans="1:40" ht="12.75" customHeight="1" x14ac:dyDescent="0.6">
      <c r="A26" s="736">
        <v>1300</v>
      </c>
      <c r="B26" s="736" t="s">
        <v>2121</v>
      </c>
      <c r="C26" s="737">
        <f t="shared" si="26"/>
        <v>502311.0377958449</v>
      </c>
      <c r="D26" s="738">
        <f t="shared" si="26"/>
        <v>29241.340781999999</v>
      </c>
      <c r="E26" s="738">
        <f t="shared" si="26"/>
        <v>1550.97</v>
      </c>
      <c r="F26" s="738">
        <f t="shared" si="26"/>
        <v>95941.408219006349</v>
      </c>
      <c r="G26" s="738">
        <f t="shared" si="26"/>
        <v>0</v>
      </c>
      <c r="H26" s="738">
        <f t="shared" si="26"/>
        <v>7283.5100480397496</v>
      </c>
      <c r="I26" s="738">
        <f t="shared" si="26"/>
        <v>0</v>
      </c>
      <c r="J26" s="738">
        <f t="shared" si="26"/>
        <v>1853.0010000000002</v>
      </c>
      <c r="K26" s="738">
        <f t="shared" si="26"/>
        <v>0</v>
      </c>
      <c r="L26" s="738">
        <f t="shared" si="26"/>
        <v>10548.531793712742</v>
      </c>
      <c r="M26" s="738">
        <f t="shared" si="26"/>
        <v>0</v>
      </c>
      <c r="N26" s="738">
        <f t="shared" si="26"/>
        <v>648729.79963860358</v>
      </c>
      <c r="P26" s="744">
        <v>502311.0377958449</v>
      </c>
      <c r="Q26" s="744">
        <v>29241.340781999999</v>
      </c>
      <c r="R26" s="744">
        <v>1550.97</v>
      </c>
      <c r="S26" s="744">
        <v>95941.408219006349</v>
      </c>
      <c r="T26" s="744">
        <v>0</v>
      </c>
      <c r="U26" s="744">
        <v>7283.5100480397496</v>
      </c>
      <c r="V26" s="744">
        <v>0</v>
      </c>
      <c r="W26" s="744">
        <v>1853.0010000000002</v>
      </c>
      <c r="X26" s="744">
        <v>0</v>
      </c>
      <c r="Y26" s="744">
        <v>10548.531793712742</v>
      </c>
      <c r="Z26" s="744">
        <v>0</v>
      </c>
      <c r="AA26" s="744">
        <v>648729.79963860358</v>
      </c>
      <c r="AC26" s="737">
        <f>C80*'Budget Summary w MYP'!$F$9</f>
        <v>0</v>
      </c>
      <c r="AD26" s="738">
        <f>D80*'Budget Summary w MYP'!$F$9</f>
        <v>0</v>
      </c>
      <c r="AE26" s="738">
        <f>E80*'Budget Summary w MYP'!$F$9</f>
        <v>0</v>
      </c>
      <c r="AF26" s="738">
        <f>F80*'Budget Summary w MYP'!$F$9</f>
        <v>0</v>
      </c>
      <c r="AG26" s="738">
        <f>G80*'Budget Summary w MYP'!$F$9</f>
        <v>0</v>
      </c>
      <c r="AH26" s="738">
        <f>H80*'Budget Summary w MYP'!$F$9</f>
        <v>0</v>
      </c>
      <c r="AI26" s="738">
        <f>I80*'Budget Summary w MYP'!$F$9</f>
        <v>0</v>
      </c>
      <c r="AJ26" s="738">
        <f>J80*'Budget Summary w MYP'!$F$9</f>
        <v>0</v>
      </c>
      <c r="AK26" s="738">
        <f>K80*'Budget Summary w MYP'!$F$9</f>
        <v>0</v>
      </c>
      <c r="AL26" s="738">
        <f>L80*'Budget Summary w MYP'!$F$9</f>
        <v>0</v>
      </c>
      <c r="AM26" s="738">
        <f>M80*'Budget Summary w MYP'!$F$9</f>
        <v>0</v>
      </c>
      <c r="AN26" s="738">
        <f>N80*'Budget Summary w MYP'!$F$9</f>
        <v>0</v>
      </c>
    </row>
    <row r="27" spans="1:40" ht="12.75" customHeight="1" x14ac:dyDescent="0.6">
      <c r="A27" s="736">
        <v>1900</v>
      </c>
      <c r="B27" s="736" t="s">
        <v>575</v>
      </c>
      <c r="C27" s="737">
        <f t="shared" si="26"/>
        <v>0</v>
      </c>
      <c r="D27" s="738">
        <f t="shared" si="26"/>
        <v>0</v>
      </c>
      <c r="E27" s="738">
        <f t="shared" si="26"/>
        <v>0</v>
      </c>
      <c r="F27" s="738">
        <f t="shared" si="26"/>
        <v>0</v>
      </c>
      <c r="G27" s="738">
        <f t="shared" si="26"/>
        <v>0</v>
      </c>
      <c r="H27" s="738">
        <f t="shared" si="26"/>
        <v>0</v>
      </c>
      <c r="I27" s="738">
        <f t="shared" si="26"/>
        <v>0</v>
      </c>
      <c r="J27" s="738">
        <f t="shared" si="26"/>
        <v>0</v>
      </c>
      <c r="K27" s="738">
        <f t="shared" si="26"/>
        <v>0</v>
      </c>
      <c r="L27" s="738">
        <f t="shared" si="26"/>
        <v>0</v>
      </c>
      <c r="M27" s="738">
        <f t="shared" si="26"/>
        <v>0</v>
      </c>
      <c r="N27" s="738">
        <f t="shared" si="26"/>
        <v>0</v>
      </c>
      <c r="P27" s="744">
        <v>0</v>
      </c>
      <c r="Q27" s="744">
        <v>0</v>
      </c>
      <c r="R27" s="744">
        <v>0</v>
      </c>
      <c r="S27" s="744">
        <v>0</v>
      </c>
      <c r="T27" s="744">
        <v>0</v>
      </c>
      <c r="U27" s="744">
        <v>0</v>
      </c>
      <c r="V27" s="744">
        <v>0</v>
      </c>
      <c r="W27" s="744">
        <v>0</v>
      </c>
      <c r="X27" s="744">
        <v>0</v>
      </c>
      <c r="Y27" s="744">
        <v>0</v>
      </c>
      <c r="Z27" s="744">
        <v>0</v>
      </c>
      <c r="AA27" s="744">
        <v>0</v>
      </c>
      <c r="AC27" s="737">
        <f>C81*'Budget Summary w MYP'!$F$9</f>
        <v>0</v>
      </c>
      <c r="AD27" s="738">
        <f>D81*'Budget Summary w MYP'!$F$9</f>
        <v>0</v>
      </c>
      <c r="AE27" s="738">
        <f>E81*'Budget Summary w MYP'!$F$9</f>
        <v>0</v>
      </c>
      <c r="AF27" s="738">
        <f>F81*'Budget Summary w MYP'!$F$9</f>
        <v>0</v>
      </c>
      <c r="AG27" s="738">
        <f>G81*'Budget Summary w MYP'!$F$9</f>
        <v>0</v>
      </c>
      <c r="AH27" s="738">
        <f>H81*'Budget Summary w MYP'!$F$9</f>
        <v>0</v>
      </c>
      <c r="AI27" s="738">
        <f>I81*'Budget Summary w MYP'!$F$9</f>
        <v>0</v>
      </c>
      <c r="AJ27" s="738">
        <f>J81*'Budget Summary w MYP'!$F$9</f>
        <v>0</v>
      </c>
      <c r="AK27" s="738">
        <f>K81*'Budget Summary w MYP'!$F$9</f>
        <v>0</v>
      </c>
      <c r="AL27" s="738">
        <f>L81*'Budget Summary w MYP'!$F$9</f>
        <v>0</v>
      </c>
      <c r="AM27" s="738">
        <f>M81*'Budget Summary w MYP'!$F$9</f>
        <v>0</v>
      </c>
      <c r="AN27" s="738">
        <f>N81*'Budget Summary w MYP'!$F$9</f>
        <v>0</v>
      </c>
    </row>
    <row r="28" spans="1:40" ht="12.75" customHeight="1" x14ac:dyDescent="0.6">
      <c r="A28" s="736">
        <v>2100</v>
      </c>
      <c r="B28" s="736" t="s">
        <v>577</v>
      </c>
      <c r="C28" s="737">
        <f t="shared" si="26"/>
        <v>98817.933703223796</v>
      </c>
      <c r="D28" s="738">
        <f t="shared" si="26"/>
        <v>0</v>
      </c>
      <c r="E28" s="738">
        <f t="shared" si="26"/>
        <v>7182.8958000000002</v>
      </c>
      <c r="F28" s="738">
        <f t="shared" si="26"/>
        <v>0</v>
      </c>
      <c r="G28" s="738">
        <f t="shared" si="26"/>
        <v>0</v>
      </c>
      <c r="H28" s="738">
        <f t="shared" si="26"/>
        <v>0</v>
      </c>
      <c r="I28" s="738">
        <f t="shared" si="26"/>
        <v>7559.5719282966202</v>
      </c>
      <c r="J28" s="738">
        <f t="shared" si="26"/>
        <v>0</v>
      </c>
      <c r="K28" s="738">
        <f t="shared" si="26"/>
        <v>864.73380000000009</v>
      </c>
      <c r="L28" s="738">
        <f t="shared" si="26"/>
        <v>0</v>
      </c>
      <c r="M28" s="738">
        <f t="shared" si="26"/>
        <v>2075.1766077676998</v>
      </c>
      <c r="N28" s="738">
        <f t="shared" si="26"/>
        <v>116500.3118392881</v>
      </c>
      <c r="P28" s="744">
        <v>98817.933703223796</v>
      </c>
      <c r="Q28" s="744">
        <v>0</v>
      </c>
      <c r="R28" s="744">
        <v>7182.8958000000002</v>
      </c>
      <c r="S28" s="744">
        <v>0</v>
      </c>
      <c r="T28" s="744">
        <v>0</v>
      </c>
      <c r="U28" s="744">
        <v>0</v>
      </c>
      <c r="V28" s="744">
        <v>7559.5719282966202</v>
      </c>
      <c r="W28" s="744">
        <v>0</v>
      </c>
      <c r="X28" s="744">
        <v>864.73380000000009</v>
      </c>
      <c r="Y28" s="744">
        <v>0</v>
      </c>
      <c r="Z28" s="744">
        <v>2075.1766077676998</v>
      </c>
      <c r="AA28" s="744">
        <v>116500.3118392881</v>
      </c>
      <c r="AC28" s="737">
        <f>C82*'Budget Summary w MYP'!$F$9</f>
        <v>0</v>
      </c>
      <c r="AD28" s="738">
        <f>D82*'Budget Summary w MYP'!$F$9</f>
        <v>0</v>
      </c>
      <c r="AE28" s="738">
        <f>E82*'Budget Summary w MYP'!$F$9</f>
        <v>0</v>
      </c>
      <c r="AF28" s="738">
        <f>F82*'Budget Summary w MYP'!$F$9</f>
        <v>0</v>
      </c>
      <c r="AG28" s="738">
        <f>G82*'Budget Summary w MYP'!$F$9</f>
        <v>0</v>
      </c>
      <c r="AH28" s="738">
        <f>H82*'Budget Summary w MYP'!$F$9</f>
        <v>0</v>
      </c>
      <c r="AI28" s="738">
        <f>I82*'Budget Summary w MYP'!$F$9</f>
        <v>0</v>
      </c>
      <c r="AJ28" s="738">
        <f>J82*'Budget Summary w MYP'!$F$9</f>
        <v>0</v>
      </c>
      <c r="AK28" s="738">
        <f>K82*'Budget Summary w MYP'!$F$9</f>
        <v>0</v>
      </c>
      <c r="AL28" s="738">
        <f>L82*'Budget Summary w MYP'!$F$9</f>
        <v>0</v>
      </c>
      <c r="AM28" s="738">
        <f>M82*'Budget Summary w MYP'!$F$9</f>
        <v>0</v>
      </c>
      <c r="AN28" s="738">
        <f>N82*'Budget Summary w MYP'!$F$9</f>
        <v>0</v>
      </c>
    </row>
    <row r="29" spans="1:40" ht="12.75" customHeight="1" x14ac:dyDescent="0.6">
      <c r="A29" s="736">
        <v>2200</v>
      </c>
      <c r="B29" s="736" t="s">
        <v>579</v>
      </c>
      <c r="C29" s="737">
        <f t="shared" si="26"/>
        <v>439553.91358576709</v>
      </c>
      <c r="D29" s="738">
        <f t="shared" si="26"/>
        <v>0</v>
      </c>
      <c r="E29" s="738">
        <f t="shared" si="26"/>
        <v>57794.040000000015</v>
      </c>
      <c r="F29" s="738">
        <f t="shared" si="26"/>
        <v>0</v>
      </c>
      <c r="G29" s="738">
        <f t="shared" si="26"/>
        <v>10784.590986000001</v>
      </c>
      <c r="H29" s="738">
        <f t="shared" si="26"/>
        <v>0</v>
      </c>
      <c r="I29" s="738">
        <f t="shared" si="26"/>
        <v>33625.87438931119</v>
      </c>
      <c r="J29" s="738">
        <f t="shared" si="26"/>
        <v>0</v>
      </c>
      <c r="K29" s="738">
        <f t="shared" si="26"/>
        <v>2594.2013999999995</v>
      </c>
      <c r="L29" s="738">
        <f t="shared" si="26"/>
        <v>0</v>
      </c>
      <c r="M29" s="738">
        <f t="shared" si="26"/>
        <v>9230.6321853011086</v>
      </c>
      <c r="N29" s="738">
        <f t="shared" si="26"/>
        <v>553583.25254637934</v>
      </c>
      <c r="P29" s="744">
        <v>439553.91358576709</v>
      </c>
      <c r="Q29" s="744">
        <v>0</v>
      </c>
      <c r="R29" s="744">
        <v>57794.040000000015</v>
      </c>
      <c r="S29" s="744">
        <v>0</v>
      </c>
      <c r="T29" s="744">
        <v>10784.590986000001</v>
      </c>
      <c r="U29" s="744">
        <v>0</v>
      </c>
      <c r="V29" s="744">
        <v>33625.87438931119</v>
      </c>
      <c r="W29" s="744">
        <v>0</v>
      </c>
      <c r="X29" s="744">
        <v>2594.2013999999995</v>
      </c>
      <c r="Y29" s="744">
        <v>0</v>
      </c>
      <c r="Z29" s="744">
        <v>9230.6321853011086</v>
      </c>
      <c r="AA29" s="744">
        <v>553583.25254637934</v>
      </c>
      <c r="AC29" s="737">
        <f>C83*'Budget Summary w MYP'!$F$9</f>
        <v>0</v>
      </c>
      <c r="AD29" s="738">
        <f>D83*'Budget Summary w MYP'!$F$9</f>
        <v>0</v>
      </c>
      <c r="AE29" s="738">
        <f>E83*'Budget Summary w MYP'!$F$9</f>
        <v>0</v>
      </c>
      <c r="AF29" s="738">
        <f>F83*'Budget Summary w MYP'!$F$9</f>
        <v>0</v>
      </c>
      <c r="AG29" s="738">
        <f>G83*'Budget Summary w MYP'!$F$9</f>
        <v>0</v>
      </c>
      <c r="AH29" s="738">
        <f>H83*'Budget Summary w MYP'!$F$9</f>
        <v>0</v>
      </c>
      <c r="AI29" s="738">
        <f>I83*'Budget Summary w MYP'!$F$9</f>
        <v>0</v>
      </c>
      <c r="AJ29" s="738">
        <f>J83*'Budget Summary w MYP'!$F$9</f>
        <v>0</v>
      </c>
      <c r="AK29" s="738">
        <f>K83*'Budget Summary w MYP'!$F$9</f>
        <v>0</v>
      </c>
      <c r="AL29" s="738">
        <f>L83*'Budget Summary w MYP'!$F$9</f>
        <v>0</v>
      </c>
      <c r="AM29" s="738">
        <f>M83*'Budget Summary w MYP'!$F$9</f>
        <v>0</v>
      </c>
      <c r="AN29" s="738">
        <f>N83*'Budget Summary w MYP'!$F$9</f>
        <v>0</v>
      </c>
    </row>
    <row r="30" spans="1:40" ht="12.75" customHeight="1" x14ac:dyDescent="0.6">
      <c r="A30" s="736">
        <v>2300</v>
      </c>
      <c r="B30" s="736" t="s">
        <v>581</v>
      </c>
      <c r="C30" s="737">
        <f t="shared" si="26"/>
        <v>159832.62259388668</v>
      </c>
      <c r="D30" s="738">
        <f t="shared" si="26"/>
        <v>0</v>
      </c>
      <c r="E30" s="738">
        <f t="shared" si="26"/>
        <v>15447.3891</v>
      </c>
      <c r="F30" s="738">
        <f t="shared" si="26"/>
        <v>0</v>
      </c>
      <c r="G30" s="738">
        <f t="shared" si="26"/>
        <v>10661.150909659944</v>
      </c>
      <c r="H30" s="738">
        <f t="shared" si="26"/>
        <v>0</v>
      </c>
      <c r="I30" s="738">
        <f t="shared" si="26"/>
        <v>12227.19562843233</v>
      </c>
      <c r="J30" s="738">
        <f t="shared" si="26"/>
        <v>0</v>
      </c>
      <c r="K30" s="738">
        <f t="shared" si="26"/>
        <v>617.66700000000003</v>
      </c>
      <c r="L30" s="738">
        <f t="shared" si="26"/>
        <v>0</v>
      </c>
      <c r="M30" s="738">
        <f t="shared" si="26"/>
        <v>3356.48507447162</v>
      </c>
      <c r="N30" s="738">
        <f t="shared" si="26"/>
        <v>202142.5103064506</v>
      </c>
      <c r="P30" s="744">
        <v>159832.62259388668</v>
      </c>
      <c r="Q30" s="744">
        <v>0</v>
      </c>
      <c r="R30" s="744">
        <v>15447.3891</v>
      </c>
      <c r="S30" s="744">
        <v>0</v>
      </c>
      <c r="T30" s="744">
        <v>10661.150909659944</v>
      </c>
      <c r="U30" s="744">
        <v>0</v>
      </c>
      <c r="V30" s="744">
        <v>12227.19562843233</v>
      </c>
      <c r="W30" s="744">
        <v>0</v>
      </c>
      <c r="X30" s="744">
        <v>617.66700000000003</v>
      </c>
      <c r="Y30" s="744">
        <v>0</v>
      </c>
      <c r="Z30" s="744">
        <v>3356.48507447162</v>
      </c>
      <c r="AA30" s="744">
        <v>202142.5103064506</v>
      </c>
      <c r="AC30" s="737">
        <f>C84*'Budget Summary w MYP'!$F$9</f>
        <v>0</v>
      </c>
      <c r="AD30" s="738">
        <f>D84*'Budget Summary w MYP'!$F$9</f>
        <v>0</v>
      </c>
      <c r="AE30" s="738">
        <f>E84*'Budget Summary w MYP'!$F$9</f>
        <v>0</v>
      </c>
      <c r="AF30" s="738">
        <f>F84*'Budget Summary w MYP'!$F$9</f>
        <v>0</v>
      </c>
      <c r="AG30" s="738">
        <f>G84*'Budget Summary w MYP'!$F$9</f>
        <v>0</v>
      </c>
      <c r="AH30" s="738">
        <f>H84*'Budget Summary w MYP'!$F$9</f>
        <v>0</v>
      </c>
      <c r="AI30" s="738">
        <f>I84*'Budget Summary w MYP'!$F$9</f>
        <v>0</v>
      </c>
      <c r="AJ30" s="738">
        <f>J84*'Budget Summary w MYP'!$F$9</f>
        <v>0</v>
      </c>
      <c r="AK30" s="738">
        <f>K84*'Budget Summary w MYP'!$F$9</f>
        <v>0</v>
      </c>
      <c r="AL30" s="738">
        <f>L84*'Budget Summary w MYP'!$F$9</f>
        <v>0</v>
      </c>
      <c r="AM30" s="738">
        <f>M84*'Budget Summary w MYP'!$F$9</f>
        <v>0</v>
      </c>
      <c r="AN30" s="738">
        <f>N84*'Budget Summary w MYP'!$F$9</f>
        <v>0</v>
      </c>
    </row>
    <row r="31" spans="1:40" ht="12.75" customHeight="1" x14ac:dyDescent="0.6">
      <c r="A31" s="736">
        <v>2400</v>
      </c>
      <c r="B31" s="736" t="s">
        <v>2122</v>
      </c>
      <c r="C31" s="737">
        <f t="shared" si="26"/>
        <v>193236.55404203272</v>
      </c>
      <c r="D31" s="738">
        <f t="shared" si="26"/>
        <v>0</v>
      </c>
      <c r="E31" s="738">
        <f t="shared" si="26"/>
        <v>28386.016199999998</v>
      </c>
      <c r="F31" s="738">
        <f t="shared" si="26"/>
        <v>0</v>
      </c>
      <c r="G31" s="738">
        <f t="shared" si="26"/>
        <v>2693.9880887999998</v>
      </c>
      <c r="H31" s="738">
        <f t="shared" si="26"/>
        <v>0</v>
      </c>
      <c r="I31" s="738">
        <f t="shared" si="26"/>
        <v>14782.596384215503</v>
      </c>
      <c r="J31" s="738">
        <f t="shared" si="26"/>
        <v>0</v>
      </c>
      <c r="K31" s="738">
        <f t="shared" si="26"/>
        <v>1358.8674000000001</v>
      </c>
      <c r="L31" s="738">
        <f t="shared" si="26"/>
        <v>0</v>
      </c>
      <c r="M31" s="738">
        <f t="shared" si="26"/>
        <v>4057.967634882687</v>
      </c>
      <c r="N31" s="738">
        <f t="shared" si="26"/>
        <v>244515.98974993092</v>
      </c>
      <c r="P31" s="744">
        <v>193236.55404203272</v>
      </c>
      <c r="Q31" s="744">
        <v>0</v>
      </c>
      <c r="R31" s="744">
        <v>28386.016199999998</v>
      </c>
      <c r="S31" s="744">
        <v>0</v>
      </c>
      <c r="T31" s="744">
        <v>2693.9880887999998</v>
      </c>
      <c r="U31" s="744">
        <v>0</v>
      </c>
      <c r="V31" s="744">
        <v>14782.596384215503</v>
      </c>
      <c r="W31" s="744">
        <v>0</v>
      </c>
      <c r="X31" s="744">
        <v>1358.8674000000001</v>
      </c>
      <c r="Y31" s="744">
        <v>0</v>
      </c>
      <c r="Z31" s="744">
        <v>4057.967634882687</v>
      </c>
      <c r="AA31" s="744">
        <v>244515.98974993092</v>
      </c>
      <c r="AC31" s="737">
        <f>C85*'Budget Summary w MYP'!$F$9</f>
        <v>0</v>
      </c>
      <c r="AD31" s="738">
        <f>D85*'Budget Summary w MYP'!$F$9</f>
        <v>0</v>
      </c>
      <c r="AE31" s="738">
        <f>E85*'Budget Summary w MYP'!$F$9</f>
        <v>0</v>
      </c>
      <c r="AF31" s="738">
        <f>F85*'Budget Summary w MYP'!$F$9</f>
        <v>0</v>
      </c>
      <c r="AG31" s="738">
        <f>G85*'Budget Summary w MYP'!$F$9</f>
        <v>0</v>
      </c>
      <c r="AH31" s="738">
        <f>H85*'Budget Summary w MYP'!$F$9</f>
        <v>0</v>
      </c>
      <c r="AI31" s="738">
        <f>I85*'Budget Summary w MYP'!$F$9</f>
        <v>0</v>
      </c>
      <c r="AJ31" s="738">
        <f>J85*'Budget Summary w MYP'!$F$9</f>
        <v>0</v>
      </c>
      <c r="AK31" s="738">
        <f>K85*'Budget Summary w MYP'!$F$9</f>
        <v>0</v>
      </c>
      <c r="AL31" s="738">
        <f>L85*'Budget Summary w MYP'!$F$9</f>
        <v>0</v>
      </c>
      <c r="AM31" s="738">
        <f>M85*'Budget Summary w MYP'!$F$9</f>
        <v>0</v>
      </c>
      <c r="AN31" s="738">
        <f>N85*'Budget Summary w MYP'!$F$9</f>
        <v>0</v>
      </c>
    </row>
    <row r="32" spans="1:40" ht="12.75" customHeight="1" x14ac:dyDescent="0.6">
      <c r="A32" s="736">
        <v>2900</v>
      </c>
      <c r="B32" s="736" t="s">
        <v>584</v>
      </c>
      <c r="C32" s="737">
        <f t="shared" si="26"/>
        <v>0</v>
      </c>
      <c r="D32" s="738">
        <f t="shared" si="26"/>
        <v>0</v>
      </c>
      <c r="E32" s="738">
        <f t="shared" si="26"/>
        <v>0</v>
      </c>
      <c r="F32" s="738">
        <f t="shared" si="26"/>
        <v>0</v>
      </c>
      <c r="G32" s="738">
        <f t="shared" si="26"/>
        <v>0</v>
      </c>
      <c r="H32" s="738">
        <f t="shared" si="26"/>
        <v>0</v>
      </c>
      <c r="I32" s="738">
        <f t="shared" si="26"/>
        <v>0</v>
      </c>
      <c r="J32" s="738">
        <f t="shared" si="26"/>
        <v>0</v>
      </c>
      <c r="K32" s="738">
        <f t="shared" si="26"/>
        <v>0</v>
      </c>
      <c r="L32" s="738">
        <f t="shared" si="26"/>
        <v>0</v>
      </c>
      <c r="M32" s="738">
        <f t="shared" si="26"/>
        <v>0</v>
      </c>
      <c r="N32" s="738">
        <f t="shared" si="26"/>
        <v>0</v>
      </c>
      <c r="P32" s="744">
        <v>0</v>
      </c>
      <c r="Q32" s="744">
        <v>0</v>
      </c>
      <c r="R32" s="744">
        <v>0</v>
      </c>
      <c r="S32" s="744">
        <v>0</v>
      </c>
      <c r="T32" s="744">
        <v>0</v>
      </c>
      <c r="U32" s="744">
        <v>0</v>
      </c>
      <c r="V32" s="744">
        <v>0</v>
      </c>
      <c r="W32" s="744">
        <v>0</v>
      </c>
      <c r="X32" s="744">
        <v>0</v>
      </c>
      <c r="Y32" s="744">
        <v>0</v>
      </c>
      <c r="Z32" s="744">
        <v>0</v>
      </c>
      <c r="AA32" s="744">
        <v>0</v>
      </c>
      <c r="AC32" s="737">
        <f>C86*'Budget Summary w MYP'!$F$9</f>
        <v>0</v>
      </c>
      <c r="AD32" s="738">
        <f>D86*'Budget Summary w MYP'!$F$9</f>
        <v>0</v>
      </c>
      <c r="AE32" s="738">
        <f>E86*'Budget Summary w MYP'!$F$9</f>
        <v>0</v>
      </c>
      <c r="AF32" s="738">
        <f>F86*'Budget Summary w MYP'!$F$9</f>
        <v>0</v>
      </c>
      <c r="AG32" s="738">
        <f>G86*'Budget Summary w MYP'!$F$9</f>
        <v>0</v>
      </c>
      <c r="AH32" s="738">
        <f>H86*'Budget Summary w MYP'!$F$9</f>
        <v>0</v>
      </c>
      <c r="AI32" s="738">
        <f>I86*'Budget Summary w MYP'!$F$9</f>
        <v>0</v>
      </c>
      <c r="AJ32" s="738">
        <f>J86*'Budget Summary w MYP'!$F$9</f>
        <v>0</v>
      </c>
      <c r="AK32" s="738">
        <f>K86*'Budget Summary w MYP'!$F$9</f>
        <v>0</v>
      </c>
      <c r="AL32" s="738">
        <f>L86*'Budget Summary w MYP'!$F$9</f>
        <v>0</v>
      </c>
      <c r="AM32" s="738">
        <f>M86*'Budget Summary w MYP'!$F$9</f>
        <v>0</v>
      </c>
      <c r="AN32" s="738">
        <f>N86*'Budget Summary w MYP'!$F$9</f>
        <v>0</v>
      </c>
    </row>
    <row r="33" spans="1:40" ht="12.75" customHeight="1" x14ac:dyDescent="0.6">
      <c r="B33" s="739" t="s">
        <v>1480</v>
      </c>
      <c r="C33" s="740">
        <f t="shared" si="26"/>
        <v>4406011.2903116541</v>
      </c>
      <c r="D33" s="741">
        <f t="shared" si="26"/>
        <v>369050.06806800014</v>
      </c>
      <c r="E33" s="741">
        <f t="shared" si="26"/>
        <v>110361.31110000001</v>
      </c>
      <c r="F33" s="741">
        <f t="shared" si="26"/>
        <v>671282.92087986879</v>
      </c>
      <c r="G33" s="741">
        <f t="shared" si="26"/>
        <v>24139.729984459944</v>
      </c>
      <c r="H33" s="741">
        <f t="shared" si="26"/>
        <v>50961.268862607816</v>
      </c>
      <c r="I33" s="741">
        <f t="shared" si="26"/>
        <v>68195.238330255641</v>
      </c>
      <c r="J33" s="741">
        <f t="shared" si="26"/>
        <v>19394.743800000022</v>
      </c>
      <c r="K33" s="741">
        <f t="shared" si="26"/>
        <v>5435.4695999999994</v>
      </c>
      <c r="L33" s="741">
        <f t="shared" si="26"/>
        <v>73805.975594121614</v>
      </c>
      <c r="M33" s="741">
        <f t="shared" si="26"/>
        <v>18720.261502423116</v>
      </c>
      <c r="N33" s="741">
        <f t="shared" si="26"/>
        <v>5817358.2780333906</v>
      </c>
      <c r="P33" s="745">
        <v>4406011.2903116541</v>
      </c>
      <c r="Q33" s="745">
        <v>369050.06806800014</v>
      </c>
      <c r="R33" s="745">
        <v>110361.31110000001</v>
      </c>
      <c r="S33" s="745">
        <v>671282.92087986879</v>
      </c>
      <c r="T33" s="745">
        <v>24139.729984459944</v>
      </c>
      <c r="U33" s="745">
        <v>50961.268862607816</v>
      </c>
      <c r="V33" s="745">
        <v>68195.238330255641</v>
      </c>
      <c r="W33" s="745">
        <v>19394.743800000022</v>
      </c>
      <c r="X33" s="745">
        <v>5435.4695999999994</v>
      </c>
      <c r="Y33" s="745">
        <v>73805.975594121614</v>
      </c>
      <c r="Z33" s="745">
        <v>18720.261502423116</v>
      </c>
      <c r="AA33" s="745">
        <v>5817358.2780333906</v>
      </c>
      <c r="AC33" s="740">
        <f>C87*'Budget Summary w MYP'!$F$9</f>
        <v>0</v>
      </c>
      <c r="AD33" s="741">
        <f>D87*'Budget Summary w MYP'!$F$9</f>
        <v>0</v>
      </c>
      <c r="AE33" s="741">
        <f>E87*'Budget Summary w MYP'!$F$9</f>
        <v>0</v>
      </c>
      <c r="AF33" s="741">
        <f>F87*'Budget Summary w MYP'!$F$9</f>
        <v>0</v>
      </c>
      <c r="AG33" s="741">
        <f>G87*'Budget Summary w MYP'!$F$9</f>
        <v>0</v>
      </c>
      <c r="AH33" s="741">
        <f>H87*'Budget Summary w MYP'!$F$9</f>
        <v>0</v>
      </c>
      <c r="AI33" s="741">
        <f>I87*'Budget Summary w MYP'!$F$9</f>
        <v>0</v>
      </c>
      <c r="AJ33" s="741">
        <f>J87*'Budget Summary w MYP'!$F$9</f>
        <v>0</v>
      </c>
      <c r="AK33" s="741">
        <f>K87*'Budget Summary w MYP'!$F$9</f>
        <v>0</v>
      </c>
      <c r="AL33" s="741">
        <f>L87*'Budget Summary w MYP'!$F$9</f>
        <v>0</v>
      </c>
      <c r="AM33" s="741">
        <f>M87*'Budget Summary w MYP'!$F$9</f>
        <v>0</v>
      </c>
      <c r="AN33" s="741">
        <f>N87*'Budget Summary w MYP'!$F$9</f>
        <v>0</v>
      </c>
    </row>
    <row r="34" spans="1:40" ht="12.75" customHeight="1" x14ac:dyDescent="0.6">
      <c r="B34" s="739" t="s">
        <v>2123</v>
      </c>
      <c r="C34" s="737">
        <f t="shared" si="26"/>
        <v>0</v>
      </c>
      <c r="D34" s="738">
        <f t="shared" si="26"/>
        <v>369050.06806800014</v>
      </c>
      <c r="E34" s="738">
        <f t="shared" si="26"/>
        <v>110361.31110000004</v>
      </c>
      <c r="F34" s="738">
        <f t="shared" si="26"/>
        <v>671282.92087986891</v>
      </c>
      <c r="G34" s="738">
        <f t="shared" si="26"/>
        <v>24139.729984459947</v>
      </c>
      <c r="H34" s="738">
        <f t="shared" si="26"/>
        <v>50961.268862607831</v>
      </c>
      <c r="I34" s="738">
        <f t="shared" si="26"/>
        <v>68195.238330255626</v>
      </c>
      <c r="J34" s="738">
        <f t="shared" si="26"/>
        <v>19394.743800000026</v>
      </c>
      <c r="K34" s="738">
        <f t="shared" si="26"/>
        <v>5435.4695999999994</v>
      </c>
      <c r="L34" s="738">
        <f t="shared" si="26"/>
        <v>73805.975594121657</v>
      </c>
      <c r="M34" s="738">
        <f t="shared" si="26"/>
        <v>18720.26150242312</v>
      </c>
      <c r="N34" s="738">
        <f t="shared" si="26"/>
        <v>5817358.2780333934</v>
      </c>
      <c r="P34" s="744"/>
      <c r="Q34" s="744">
        <v>369050.06806800014</v>
      </c>
      <c r="R34" s="744">
        <v>110361.31110000004</v>
      </c>
      <c r="S34" s="744">
        <v>671282.92087986891</v>
      </c>
      <c r="T34" s="744">
        <v>24139.729984459947</v>
      </c>
      <c r="U34" s="744">
        <v>50961.268862607831</v>
      </c>
      <c r="V34" s="744">
        <v>68195.238330255626</v>
      </c>
      <c r="W34" s="744">
        <v>19394.743800000026</v>
      </c>
      <c r="X34" s="744">
        <v>5435.4695999999994</v>
      </c>
      <c r="Y34" s="744">
        <v>73805.975594121657</v>
      </c>
      <c r="Z34" s="744">
        <v>18720.26150242312</v>
      </c>
      <c r="AA34" s="744">
        <v>5817358.2780333934</v>
      </c>
      <c r="AC34" s="737">
        <f>C88*'Budget Summary w MYP'!$F$9</f>
        <v>0</v>
      </c>
      <c r="AD34" s="738">
        <f>D88*'Budget Summary w MYP'!$F$9</f>
        <v>0</v>
      </c>
      <c r="AE34" s="738">
        <f>E88*'Budget Summary w MYP'!$F$9</f>
        <v>0</v>
      </c>
      <c r="AF34" s="738">
        <f>F88*'Budget Summary w MYP'!$F$9</f>
        <v>0</v>
      </c>
      <c r="AG34" s="738">
        <f>G88*'Budget Summary w MYP'!$F$9</f>
        <v>0</v>
      </c>
      <c r="AH34" s="738">
        <f>H88*'Budget Summary w MYP'!$F$9</f>
        <v>0</v>
      </c>
      <c r="AI34" s="738">
        <f>I88*'Budget Summary w MYP'!$F$9</f>
        <v>0</v>
      </c>
      <c r="AJ34" s="738">
        <f>J88*'Budget Summary w MYP'!$F$9</f>
        <v>0</v>
      </c>
      <c r="AK34" s="738">
        <f>K88*'Budget Summary w MYP'!$F$9</f>
        <v>0</v>
      </c>
      <c r="AL34" s="738">
        <f>L88*'Budget Summary w MYP'!$F$9</f>
        <v>0</v>
      </c>
      <c r="AM34" s="738">
        <f>M88*'Budget Summary w MYP'!$F$9</f>
        <v>0</v>
      </c>
      <c r="AN34" s="738">
        <f>N88*'Budget Summary w MYP'!$F$9</f>
        <v>0</v>
      </c>
    </row>
    <row r="35" spans="1:40" ht="12.75" customHeight="1" x14ac:dyDescent="0.6">
      <c r="B35" s="739" t="s">
        <v>1501</v>
      </c>
      <c r="C35" s="740"/>
      <c r="D35" s="741">
        <v>0</v>
      </c>
      <c r="E35" s="741">
        <v>0</v>
      </c>
      <c r="F35" s="741">
        <v>0</v>
      </c>
      <c r="G35" s="741">
        <v>0</v>
      </c>
      <c r="H35" s="741">
        <v>0</v>
      </c>
      <c r="I35" s="741">
        <v>0</v>
      </c>
      <c r="J35" s="741">
        <v>0</v>
      </c>
      <c r="K35" s="741">
        <v>0</v>
      </c>
      <c r="L35" s="741">
        <v>0</v>
      </c>
      <c r="M35" s="741">
        <v>0</v>
      </c>
      <c r="N35" s="741">
        <v>0</v>
      </c>
      <c r="P35" s="740"/>
      <c r="Q35" s="741">
        <v>0</v>
      </c>
      <c r="R35" s="741">
        <v>0</v>
      </c>
      <c r="S35" s="741">
        <v>0</v>
      </c>
      <c r="T35" s="741">
        <v>0</v>
      </c>
      <c r="U35" s="741">
        <v>0</v>
      </c>
      <c r="V35" s="741">
        <v>0</v>
      </c>
      <c r="W35" s="741">
        <v>0</v>
      </c>
      <c r="X35" s="741">
        <v>0</v>
      </c>
      <c r="Y35" s="741">
        <v>0</v>
      </c>
      <c r="Z35" s="741">
        <v>0</v>
      </c>
      <c r="AA35" s="741">
        <v>0</v>
      </c>
      <c r="AC35" s="740"/>
      <c r="AD35" s="741">
        <v>0</v>
      </c>
      <c r="AE35" s="741">
        <v>0</v>
      </c>
      <c r="AF35" s="741">
        <v>0</v>
      </c>
      <c r="AG35" s="741">
        <v>0</v>
      </c>
      <c r="AH35" s="741">
        <v>0</v>
      </c>
      <c r="AI35" s="741">
        <v>0</v>
      </c>
      <c r="AJ35" s="741">
        <v>0</v>
      </c>
      <c r="AK35" s="741">
        <v>0</v>
      </c>
      <c r="AL35" s="741">
        <v>0</v>
      </c>
      <c r="AM35" s="741">
        <v>0</v>
      </c>
      <c r="AN35" s="741">
        <v>0</v>
      </c>
    </row>
    <row r="36" spans="1:40" ht="12.75" customHeight="1" x14ac:dyDescent="0.6"/>
    <row r="37" spans="1:40" ht="12.75" customHeight="1" x14ac:dyDescent="0.6"/>
    <row r="38" spans="1:40" ht="12.75" customHeight="1" x14ac:dyDescent="0.6">
      <c r="D38" s="742"/>
      <c r="E38" s="742"/>
      <c r="F38" s="742"/>
      <c r="G38" s="742"/>
      <c r="H38" s="742"/>
      <c r="I38" s="742"/>
      <c r="J38" s="742"/>
      <c r="K38" s="742"/>
      <c r="L38" s="742"/>
      <c r="M38" s="742"/>
      <c r="Q38" s="742"/>
      <c r="R38" s="742"/>
      <c r="S38" s="742"/>
      <c r="T38" s="742"/>
      <c r="U38" s="742"/>
      <c r="V38" s="742"/>
      <c r="W38" s="742"/>
      <c r="X38" s="742"/>
      <c r="Y38" s="742"/>
      <c r="Z38" s="742"/>
      <c r="AD38" s="742"/>
      <c r="AE38" s="742"/>
      <c r="AF38" s="742"/>
      <c r="AG38" s="742"/>
      <c r="AH38" s="742"/>
      <c r="AI38" s="742"/>
      <c r="AJ38" s="742"/>
      <c r="AK38" s="742"/>
      <c r="AL38" s="742"/>
      <c r="AM38" s="742"/>
    </row>
    <row r="39" spans="1:40" ht="12.75" customHeight="1" x14ac:dyDescent="0.6">
      <c r="A39" s="743" t="s">
        <v>1631</v>
      </c>
      <c r="C39" s="732"/>
      <c r="D39" s="733">
        <v>3401</v>
      </c>
      <c r="E39" s="733">
        <v>3402</v>
      </c>
      <c r="F39" s="733">
        <v>3101</v>
      </c>
      <c r="G39" s="733">
        <v>3901</v>
      </c>
      <c r="H39" s="733">
        <v>3301</v>
      </c>
      <c r="I39" s="733">
        <v>3302</v>
      </c>
      <c r="J39" s="733">
        <v>3501</v>
      </c>
      <c r="K39" s="733">
        <v>3502</v>
      </c>
      <c r="L39" s="733">
        <v>3601</v>
      </c>
      <c r="M39" s="733">
        <v>3602</v>
      </c>
      <c r="P39" s="732"/>
      <c r="Q39" s="733">
        <v>3401</v>
      </c>
      <c r="R39" s="733">
        <v>3402</v>
      </c>
      <c r="S39" s="733">
        <v>3101</v>
      </c>
      <c r="T39" s="733">
        <v>3901</v>
      </c>
      <c r="U39" s="733">
        <v>3301</v>
      </c>
      <c r="V39" s="733">
        <v>3302</v>
      </c>
      <c r="W39" s="733">
        <v>3501</v>
      </c>
      <c r="X39" s="733">
        <v>3502</v>
      </c>
      <c r="Y39" s="733">
        <v>3601</v>
      </c>
      <c r="Z39" s="733">
        <v>3602</v>
      </c>
      <c r="AC39" s="732"/>
      <c r="AD39" s="733">
        <v>3401</v>
      </c>
      <c r="AE39" s="733">
        <v>3402</v>
      </c>
      <c r="AF39" s="733">
        <v>3101</v>
      </c>
      <c r="AG39" s="733">
        <v>3901</v>
      </c>
      <c r="AH39" s="733">
        <v>3301</v>
      </c>
      <c r="AI39" s="733">
        <v>3302</v>
      </c>
      <c r="AJ39" s="733">
        <v>3501</v>
      </c>
      <c r="AK39" s="733">
        <v>3502</v>
      </c>
      <c r="AL39" s="733">
        <v>3601</v>
      </c>
      <c r="AM39" s="733">
        <v>3602</v>
      </c>
    </row>
    <row r="40" spans="1:40" ht="39" x14ac:dyDescent="0.6">
      <c r="A40" s="734" t="s">
        <v>1494</v>
      </c>
      <c r="B40" s="734" t="s">
        <v>2117</v>
      </c>
      <c r="C40" s="735" t="s">
        <v>2118</v>
      </c>
      <c r="D40" s="734" t="s">
        <v>1935</v>
      </c>
      <c r="E40" s="734" t="s">
        <v>1518</v>
      </c>
      <c r="F40" s="734" t="s">
        <v>6</v>
      </c>
      <c r="G40" s="734" t="s">
        <v>2126</v>
      </c>
      <c r="H40" s="734" t="s">
        <v>1936</v>
      </c>
      <c r="I40" s="734" t="s">
        <v>1937</v>
      </c>
      <c r="J40" s="734" t="s">
        <v>1938</v>
      </c>
      <c r="K40" s="734" t="s">
        <v>1516</v>
      </c>
      <c r="L40" s="734" t="s">
        <v>1939</v>
      </c>
      <c r="M40" s="734" t="s">
        <v>1517</v>
      </c>
      <c r="N40" s="734" t="s">
        <v>2119</v>
      </c>
      <c r="P40" s="735" t="s">
        <v>2118</v>
      </c>
      <c r="Q40" s="734" t="s">
        <v>1935</v>
      </c>
      <c r="R40" s="734" t="s">
        <v>1518</v>
      </c>
      <c r="S40" s="734" t="s">
        <v>6</v>
      </c>
      <c r="T40" s="734" t="s">
        <v>2126</v>
      </c>
      <c r="U40" s="734" t="s">
        <v>1936</v>
      </c>
      <c r="V40" s="734" t="s">
        <v>1937</v>
      </c>
      <c r="W40" s="734" t="s">
        <v>1938</v>
      </c>
      <c r="X40" s="734" t="s">
        <v>1516</v>
      </c>
      <c r="Y40" s="734" t="s">
        <v>1939</v>
      </c>
      <c r="Z40" s="734" t="s">
        <v>1517</v>
      </c>
      <c r="AA40" s="734" t="s">
        <v>2119</v>
      </c>
      <c r="AC40" s="735" t="s">
        <v>2118</v>
      </c>
      <c r="AD40" s="734" t="s">
        <v>1935</v>
      </c>
      <c r="AE40" s="734" t="s">
        <v>1518</v>
      </c>
      <c r="AF40" s="734" t="s">
        <v>6</v>
      </c>
      <c r="AG40" s="734" t="s">
        <v>2126</v>
      </c>
      <c r="AH40" s="734" t="s">
        <v>1936</v>
      </c>
      <c r="AI40" s="734" t="s">
        <v>1937</v>
      </c>
      <c r="AJ40" s="734" t="s">
        <v>1938</v>
      </c>
      <c r="AK40" s="734" t="s">
        <v>1516</v>
      </c>
      <c r="AL40" s="734" t="s">
        <v>1939</v>
      </c>
      <c r="AM40" s="734" t="s">
        <v>1517</v>
      </c>
      <c r="AN40" s="734" t="s">
        <v>2119</v>
      </c>
    </row>
    <row r="41" spans="1:40" ht="12.75" customHeight="1" x14ac:dyDescent="0.6">
      <c r="A41" s="736">
        <v>1100</v>
      </c>
      <c r="B41" s="736" t="s">
        <v>1452</v>
      </c>
      <c r="C41" s="737">
        <f t="shared" ref="C41:N52" si="27">+P41+AC41</f>
        <v>3927823.0546399928</v>
      </c>
      <c r="D41" s="738">
        <f t="shared" si="27"/>
        <v>460357.70143800025</v>
      </c>
      <c r="E41" s="738">
        <f t="shared" si="27"/>
        <v>0</v>
      </c>
      <c r="F41" s="738">
        <f t="shared" si="27"/>
        <v>750214.20343623951</v>
      </c>
      <c r="G41" s="738">
        <f t="shared" si="27"/>
        <v>0</v>
      </c>
      <c r="H41" s="738">
        <f t="shared" si="27"/>
        <v>56953.434292279926</v>
      </c>
      <c r="I41" s="738">
        <f t="shared" si="27"/>
        <v>0</v>
      </c>
      <c r="J41" s="738">
        <f t="shared" si="27"/>
        <v>23067.286000000018</v>
      </c>
      <c r="K41" s="738">
        <f t="shared" si="27"/>
        <v>0</v>
      </c>
      <c r="L41" s="738">
        <f t="shared" si="27"/>
        <v>82484.284147439961</v>
      </c>
      <c r="M41" s="738">
        <f t="shared" si="27"/>
        <v>0</v>
      </c>
      <c r="N41" s="738">
        <f t="shared" si="27"/>
        <v>5300899.9639539542</v>
      </c>
      <c r="P41" s="744">
        <v>3927823.0546399928</v>
      </c>
      <c r="Q41" s="744">
        <v>460357.70143800025</v>
      </c>
      <c r="R41" s="744">
        <v>0</v>
      </c>
      <c r="S41" s="744">
        <v>750214.20343623951</v>
      </c>
      <c r="T41" s="744">
        <v>0</v>
      </c>
      <c r="U41" s="744">
        <v>56953.434292279926</v>
      </c>
      <c r="V41" s="744">
        <v>0</v>
      </c>
      <c r="W41" s="744">
        <v>23067.286000000018</v>
      </c>
      <c r="X41" s="744">
        <v>0</v>
      </c>
      <c r="Y41" s="744">
        <v>82484.284147439961</v>
      </c>
      <c r="Z41" s="744">
        <v>0</v>
      </c>
      <c r="AA41" s="744">
        <v>5300899.9639539542</v>
      </c>
      <c r="AC41" s="737">
        <f>C77*'Budget Summary w MYP'!$H$9</f>
        <v>0</v>
      </c>
      <c r="AD41" s="738">
        <f>D77*'Budget Summary w MYP'!$H$9</f>
        <v>0</v>
      </c>
      <c r="AE41" s="738">
        <f>E77*'Budget Summary w MYP'!$H$9</f>
        <v>0</v>
      </c>
      <c r="AF41" s="738">
        <f>F77*'Budget Summary w MYP'!$H$9</f>
        <v>0</v>
      </c>
      <c r="AG41" s="738">
        <f>G77*'Budget Summary w MYP'!$H$9</f>
        <v>0</v>
      </c>
      <c r="AH41" s="738">
        <f>H77*'Budget Summary w MYP'!$H$9</f>
        <v>0</v>
      </c>
      <c r="AI41" s="738">
        <f>I77*'Budget Summary w MYP'!$H$9</f>
        <v>0</v>
      </c>
      <c r="AJ41" s="738">
        <f>J77*'Budget Summary w MYP'!$H$9</f>
        <v>0</v>
      </c>
      <c r="AK41" s="738">
        <f>K77*'Budget Summary w MYP'!$H$9</f>
        <v>0</v>
      </c>
      <c r="AL41" s="738">
        <f>L77*'Budget Summary w MYP'!$H$9</f>
        <v>0</v>
      </c>
      <c r="AM41" s="738">
        <f>M77*'Budget Summary w MYP'!$H$9</f>
        <v>0</v>
      </c>
      <c r="AN41" s="738">
        <f>N77*'Budget Summary w MYP'!$H$9</f>
        <v>0</v>
      </c>
    </row>
    <row r="42" spans="1:40" ht="12.75" customHeight="1" x14ac:dyDescent="0.6">
      <c r="A42" s="736">
        <v>1120</v>
      </c>
      <c r="B42" s="736" t="s">
        <v>2120</v>
      </c>
      <c r="C42" s="737">
        <f t="shared" si="27"/>
        <v>0</v>
      </c>
      <c r="D42" s="738">
        <f t="shared" si="27"/>
        <v>0</v>
      </c>
      <c r="E42" s="738">
        <f t="shared" si="27"/>
        <v>0</v>
      </c>
      <c r="F42" s="738">
        <f t="shared" si="27"/>
        <v>0</v>
      </c>
      <c r="G42" s="738">
        <f t="shared" si="27"/>
        <v>0</v>
      </c>
      <c r="H42" s="738">
        <f t="shared" si="27"/>
        <v>0</v>
      </c>
      <c r="I42" s="738">
        <f t="shared" si="27"/>
        <v>0</v>
      </c>
      <c r="J42" s="738">
        <f t="shared" si="27"/>
        <v>0</v>
      </c>
      <c r="K42" s="738">
        <f t="shared" si="27"/>
        <v>0</v>
      </c>
      <c r="L42" s="738">
        <f t="shared" si="27"/>
        <v>0</v>
      </c>
      <c r="M42" s="738">
        <f t="shared" si="27"/>
        <v>0</v>
      </c>
      <c r="N42" s="738">
        <f t="shared" si="27"/>
        <v>0</v>
      </c>
      <c r="P42" s="744">
        <v>0</v>
      </c>
      <c r="Q42" s="744">
        <v>0</v>
      </c>
      <c r="R42" s="744">
        <v>0</v>
      </c>
      <c r="S42" s="744">
        <v>0</v>
      </c>
      <c r="T42" s="744">
        <v>0</v>
      </c>
      <c r="U42" s="744">
        <v>0</v>
      </c>
      <c r="V42" s="744">
        <v>0</v>
      </c>
      <c r="W42" s="744">
        <v>0</v>
      </c>
      <c r="X42" s="744">
        <v>0</v>
      </c>
      <c r="Y42" s="744">
        <v>0</v>
      </c>
      <c r="Z42" s="744">
        <v>0</v>
      </c>
      <c r="AA42" s="744">
        <v>0</v>
      </c>
      <c r="AC42" s="737">
        <f>C78*'Budget Summary w MYP'!$H$9</f>
        <v>0</v>
      </c>
      <c r="AD42" s="738">
        <f>D78*'Budget Summary w MYP'!$H$9</f>
        <v>0</v>
      </c>
      <c r="AE42" s="738">
        <f>E78*'Budget Summary w MYP'!$H$9</f>
        <v>0</v>
      </c>
      <c r="AF42" s="738">
        <f>F78*'Budget Summary w MYP'!$H$9</f>
        <v>0</v>
      </c>
      <c r="AG42" s="738">
        <f>G78*'Budget Summary w MYP'!$H$9</f>
        <v>0</v>
      </c>
      <c r="AH42" s="738">
        <f>H78*'Budget Summary w MYP'!$H$9</f>
        <v>0</v>
      </c>
      <c r="AI42" s="738">
        <f>I78*'Budget Summary w MYP'!$H$9</f>
        <v>0</v>
      </c>
      <c r="AJ42" s="738">
        <f>J78*'Budget Summary w MYP'!$H$9</f>
        <v>0</v>
      </c>
      <c r="AK42" s="738">
        <f>K78*'Budget Summary w MYP'!$H$9</f>
        <v>0</v>
      </c>
      <c r="AL42" s="738">
        <f>L78*'Budget Summary w MYP'!$H$9</f>
        <v>0</v>
      </c>
      <c r="AM42" s="738">
        <f>M78*'Budget Summary w MYP'!$H$9</f>
        <v>0</v>
      </c>
      <c r="AN42" s="738">
        <f>N78*'Budget Summary w MYP'!$H$9</f>
        <v>0</v>
      </c>
    </row>
    <row r="43" spans="1:40" ht="12.75" customHeight="1" x14ac:dyDescent="0.6">
      <c r="A43" s="736">
        <v>1200</v>
      </c>
      <c r="B43" s="736" t="s">
        <v>572</v>
      </c>
      <c r="C43" s="737">
        <f t="shared" si="27"/>
        <v>359792.95095014712</v>
      </c>
      <c r="D43" s="738">
        <f t="shared" si="27"/>
        <v>42084.539999999994</v>
      </c>
      <c r="E43" s="738">
        <f t="shared" si="27"/>
        <v>0</v>
      </c>
      <c r="F43" s="738">
        <f t="shared" si="27"/>
        <v>68720.4536314781</v>
      </c>
      <c r="G43" s="738">
        <f t="shared" si="27"/>
        <v>0</v>
      </c>
      <c r="H43" s="738">
        <f t="shared" si="27"/>
        <v>5216.9977887771347</v>
      </c>
      <c r="I43" s="738">
        <f t="shared" si="27"/>
        <v>0</v>
      </c>
      <c r="J43" s="738">
        <f t="shared" si="27"/>
        <v>1794.0263999999995</v>
      </c>
      <c r="K43" s="738">
        <f t="shared" si="27"/>
        <v>0</v>
      </c>
      <c r="L43" s="738">
        <f t="shared" si="27"/>
        <v>7555.65196995309</v>
      </c>
      <c r="M43" s="738">
        <f t="shared" si="27"/>
        <v>0</v>
      </c>
      <c r="N43" s="738">
        <f t="shared" si="27"/>
        <v>485164.62074035546</v>
      </c>
      <c r="P43" s="744">
        <v>359792.95095014712</v>
      </c>
      <c r="Q43" s="744">
        <v>42084.539999999994</v>
      </c>
      <c r="R43" s="744">
        <v>0</v>
      </c>
      <c r="S43" s="744">
        <v>68720.4536314781</v>
      </c>
      <c r="T43" s="744">
        <v>0</v>
      </c>
      <c r="U43" s="744">
        <v>5216.9977887771347</v>
      </c>
      <c r="V43" s="744">
        <v>0</v>
      </c>
      <c r="W43" s="744">
        <v>1794.0263999999995</v>
      </c>
      <c r="X43" s="744">
        <v>0</v>
      </c>
      <c r="Y43" s="744">
        <v>7555.65196995309</v>
      </c>
      <c r="Z43" s="744">
        <v>0</v>
      </c>
      <c r="AA43" s="744">
        <v>485164.62074035546</v>
      </c>
      <c r="AC43" s="737">
        <f>C79*'Budget Summary w MYP'!$H$9</f>
        <v>0</v>
      </c>
      <c r="AD43" s="738">
        <f>D79*'Budget Summary w MYP'!$H$9</f>
        <v>0</v>
      </c>
      <c r="AE43" s="738">
        <f>E79*'Budget Summary w MYP'!$H$9</f>
        <v>0</v>
      </c>
      <c r="AF43" s="738">
        <f>F79*'Budget Summary w MYP'!$H$9</f>
        <v>0</v>
      </c>
      <c r="AG43" s="738">
        <f>G79*'Budget Summary w MYP'!$H$9</f>
        <v>0</v>
      </c>
      <c r="AH43" s="738">
        <f>H79*'Budget Summary w MYP'!$H$9</f>
        <v>0</v>
      </c>
      <c r="AI43" s="738">
        <f>I79*'Budget Summary w MYP'!$H$9</f>
        <v>0</v>
      </c>
      <c r="AJ43" s="738">
        <f>J79*'Budget Summary w MYP'!$H$9</f>
        <v>0</v>
      </c>
      <c r="AK43" s="738">
        <f>K79*'Budget Summary w MYP'!$H$9</f>
        <v>0</v>
      </c>
      <c r="AL43" s="738">
        <f>L79*'Budget Summary w MYP'!$H$9</f>
        <v>0</v>
      </c>
      <c r="AM43" s="738">
        <f>M79*'Budget Summary w MYP'!$H$9</f>
        <v>0</v>
      </c>
      <c r="AN43" s="738">
        <f>N79*'Budget Summary w MYP'!$H$9</f>
        <v>0</v>
      </c>
    </row>
    <row r="44" spans="1:40" ht="12.75" customHeight="1" x14ac:dyDescent="0.6">
      <c r="A44" s="736">
        <v>1300</v>
      </c>
      <c r="B44" s="736" t="s">
        <v>2121</v>
      </c>
      <c r="C44" s="737">
        <f t="shared" si="27"/>
        <v>607905.27286354906</v>
      </c>
      <c r="D44" s="738">
        <f t="shared" si="27"/>
        <v>35388.362805999997</v>
      </c>
      <c r="E44" s="738">
        <f t="shared" si="27"/>
        <v>1877.01</v>
      </c>
      <c r="F44" s="738">
        <f t="shared" si="27"/>
        <v>116109.90711693786</v>
      </c>
      <c r="G44" s="738">
        <f t="shared" si="27"/>
        <v>0</v>
      </c>
      <c r="H44" s="738">
        <f t="shared" si="27"/>
        <v>8814.6264565214624</v>
      </c>
      <c r="I44" s="738">
        <f t="shared" si="27"/>
        <v>0</v>
      </c>
      <c r="J44" s="738">
        <f t="shared" si="27"/>
        <v>2242.5329999999994</v>
      </c>
      <c r="K44" s="738">
        <f t="shared" si="27"/>
        <v>0</v>
      </c>
      <c r="L44" s="738">
        <f t="shared" si="27"/>
        <v>12766.010730134529</v>
      </c>
      <c r="M44" s="738">
        <f t="shared" si="27"/>
        <v>0</v>
      </c>
      <c r="N44" s="738">
        <f t="shared" si="27"/>
        <v>785103.72297314298</v>
      </c>
      <c r="P44" s="744">
        <v>607905.27286354906</v>
      </c>
      <c r="Q44" s="744">
        <v>35388.362805999997</v>
      </c>
      <c r="R44" s="744">
        <v>1877.01</v>
      </c>
      <c r="S44" s="744">
        <v>116109.90711693786</v>
      </c>
      <c r="T44" s="744">
        <v>0</v>
      </c>
      <c r="U44" s="744">
        <v>8814.6264565214624</v>
      </c>
      <c r="V44" s="744">
        <v>0</v>
      </c>
      <c r="W44" s="744">
        <v>2242.5329999999994</v>
      </c>
      <c r="X44" s="744">
        <v>0</v>
      </c>
      <c r="Y44" s="744">
        <v>12766.010730134529</v>
      </c>
      <c r="Z44" s="744">
        <v>0</v>
      </c>
      <c r="AA44" s="744">
        <v>785103.72297314298</v>
      </c>
      <c r="AC44" s="737">
        <f>C80*'Budget Summary w MYP'!$H$9</f>
        <v>0</v>
      </c>
      <c r="AD44" s="738">
        <f>D80*'Budget Summary w MYP'!$H$9</f>
        <v>0</v>
      </c>
      <c r="AE44" s="738">
        <f>E80*'Budget Summary w MYP'!$H$9</f>
        <v>0</v>
      </c>
      <c r="AF44" s="738">
        <f>F80*'Budget Summary w MYP'!$H$9</f>
        <v>0</v>
      </c>
      <c r="AG44" s="738">
        <f>G80*'Budget Summary w MYP'!$H$9</f>
        <v>0</v>
      </c>
      <c r="AH44" s="738">
        <f>H80*'Budget Summary w MYP'!$H$9</f>
        <v>0</v>
      </c>
      <c r="AI44" s="738">
        <f>I80*'Budget Summary w MYP'!$H$9</f>
        <v>0</v>
      </c>
      <c r="AJ44" s="738">
        <f>J80*'Budget Summary w MYP'!$H$9</f>
        <v>0</v>
      </c>
      <c r="AK44" s="738">
        <f>K80*'Budget Summary w MYP'!$H$9</f>
        <v>0</v>
      </c>
      <c r="AL44" s="738">
        <f>L80*'Budget Summary w MYP'!$H$9</f>
        <v>0</v>
      </c>
      <c r="AM44" s="738">
        <f>M80*'Budget Summary w MYP'!$H$9</f>
        <v>0</v>
      </c>
      <c r="AN44" s="738">
        <f>N80*'Budget Summary w MYP'!$H$9</f>
        <v>0</v>
      </c>
    </row>
    <row r="45" spans="1:40" ht="12.75" customHeight="1" x14ac:dyDescent="0.6">
      <c r="A45" s="736">
        <v>1900</v>
      </c>
      <c r="B45" s="736" t="s">
        <v>575</v>
      </c>
      <c r="C45" s="737">
        <f t="shared" si="27"/>
        <v>0</v>
      </c>
      <c r="D45" s="738">
        <f t="shared" si="27"/>
        <v>0</v>
      </c>
      <c r="E45" s="738">
        <f t="shared" si="27"/>
        <v>0</v>
      </c>
      <c r="F45" s="738">
        <f t="shared" si="27"/>
        <v>0</v>
      </c>
      <c r="G45" s="738">
        <f t="shared" si="27"/>
        <v>0</v>
      </c>
      <c r="H45" s="738">
        <f t="shared" si="27"/>
        <v>0</v>
      </c>
      <c r="I45" s="738">
        <f t="shared" si="27"/>
        <v>0</v>
      </c>
      <c r="J45" s="738">
        <f t="shared" si="27"/>
        <v>0</v>
      </c>
      <c r="K45" s="738">
        <f t="shared" si="27"/>
        <v>0</v>
      </c>
      <c r="L45" s="738">
        <f t="shared" si="27"/>
        <v>0</v>
      </c>
      <c r="M45" s="738">
        <f t="shared" si="27"/>
        <v>0</v>
      </c>
      <c r="N45" s="738">
        <f t="shared" si="27"/>
        <v>0</v>
      </c>
      <c r="P45" s="744">
        <v>0</v>
      </c>
      <c r="Q45" s="744">
        <v>0</v>
      </c>
      <c r="R45" s="744">
        <v>0</v>
      </c>
      <c r="S45" s="744">
        <v>0</v>
      </c>
      <c r="T45" s="744">
        <v>0</v>
      </c>
      <c r="U45" s="744">
        <v>0</v>
      </c>
      <c r="V45" s="744">
        <v>0</v>
      </c>
      <c r="W45" s="744">
        <v>0</v>
      </c>
      <c r="X45" s="744">
        <v>0</v>
      </c>
      <c r="Y45" s="744">
        <v>0</v>
      </c>
      <c r="Z45" s="744">
        <v>0</v>
      </c>
      <c r="AA45" s="744">
        <v>0</v>
      </c>
      <c r="AC45" s="737">
        <f>C81*'Budget Summary w MYP'!$H$9</f>
        <v>0</v>
      </c>
      <c r="AD45" s="738">
        <f>D81*'Budget Summary w MYP'!$H$9</f>
        <v>0</v>
      </c>
      <c r="AE45" s="738">
        <f>E81*'Budget Summary w MYP'!$H$9</f>
        <v>0</v>
      </c>
      <c r="AF45" s="738">
        <f>F81*'Budget Summary w MYP'!$H$9</f>
        <v>0</v>
      </c>
      <c r="AG45" s="738">
        <f>G81*'Budget Summary w MYP'!$H$9</f>
        <v>0</v>
      </c>
      <c r="AH45" s="738">
        <f>H81*'Budget Summary w MYP'!$H$9</f>
        <v>0</v>
      </c>
      <c r="AI45" s="738">
        <f>I81*'Budget Summary w MYP'!$H$9</f>
        <v>0</v>
      </c>
      <c r="AJ45" s="738">
        <f>J81*'Budget Summary w MYP'!$H$9</f>
        <v>0</v>
      </c>
      <c r="AK45" s="738">
        <f>K81*'Budget Summary w MYP'!$H$9</f>
        <v>0</v>
      </c>
      <c r="AL45" s="738">
        <f>L81*'Budget Summary w MYP'!$H$9</f>
        <v>0</v>
      </c>
      <c r="AM45" s="738">
        <f>M81*'Budget Summary w MYP'!$H$9</f>
        <v>0</v>
      </c>
      <c r="AN45" s="738">
        <f>N81*'Budget Summary w MYP'!$H$9</f>
        <v>0</v>
      </c>
    </row>
    <row r="46" spans="1:40" ht="12.75" customHeight="1" x14ac:dyDescent="0.6">
      <c r="A46" s="736">
        <v>2100</v>
      </c>
      <c r="B46" s="736" t="s">
        <v>577</v>
      </c>
      <c r="C46" s="737">
        <f t="shared" si="27"/>
        <v>119591.12667575006</v>
      </c>
      <c r="D46" s="738">
        <f t="shared" si="27"/>
        <v>0</v>
      </c>
      <c r="E46" s="738">
        <f t="shared" si="27"/>
        <v>8692.861399999998</v>
      </c>
      <c r="F46" s="738">
        <f t="shared" si="27"/>
        <v>0</v>
      </c>
      <c r="G46" s="738">
        <f t="shared" si="27"/>
        <v>0</v>
      </c>
      <c r="H46" s="738">
        <f t="shared" si="27"/>
        <v>0</v>
      </c>
      <c r="I46" s="738">
        <f t="shared" si="27"/>
        <v>9148.7211906948796</v>
      </c>
      <c r="J46" s="738">
        <f t="shared" si="27"/>
        <v>0</v>
      </c>
      <c r="K46" s="738">
        <f t="shared" si="27"/>
        <v>1046.5154</v>
      </c>
      <c r="L46" s="738">
        <f t="shared" si="27"/>
        <v>0</v>
      </c>
      <c r="M46" s="738">
        <f t="shared" si="27"/>
        <v>2511.4136601907512</v>
      </c>
      <c r="N46" s="738">
        <f t="shared" si="27"/>
        <v>140990.6383266357</v>
      </c>
      <c r="P46" s="744">
        <v>119591.12667575006</v>
      </c>
      <c r="Q46" s="744">
        <v>0</v>
      </c>
      <c r="R46" s="744">
        <v>8692.861399999998</v>
      </c>
      <c r="S46" s="744">
        <v>0</v>
      </c>
      <c r="T46" s="744">
        <v>0</v>
      </c>
      <c r="U46" s="744">
        <v>0</v>
      </c>
      <c r="V46" s="744">
        <v>9148.7211906948796</v>
      </c>
      <c r="W46" s="744">
        <v>0</v>
      </c>
      <c r="X46" s="744">
        <v>1046.5154</v>
      </c>
      <c r="Y46" s="744">
        <v>0</v>
      </c>
      <c r="Z46" s="744">
        <v>2511.4136601907512</v>
      </c>
      <c r="AA46" s="744">
        <v>140990.6383266357</v>
      </c>
      <c r="AC46" s="737">
        <f>C82*'Budget Summary w MYP'!$H$9</f>
        <v>0</v>
      </c>
      <c r="AD46" s="738">
        <f>D82*'Budget Summary w MYP'!$H$9</f>
        <v>0</v>
      </c>
      <c r="AE46" s="738">
        <f>E82*'Budget Summary w MYP'!$H$9</f>
        <v>0</v>
      </c>
      <c r="AF46" s="738">
        <f>F82*'Budget Summary w MYP'!$H$9</f>
        <v>0</v>
      </c>
      <c r="AG46" s="738">
        <f>G82*'Budget Summary w MYP'!$H$9</f>
        <v>0</v>
      </c>
      <c r="AH46" s="738">
        <f>H82*'Budget Summary w MYP'!$H$9</f>
        <v>0</v>
      </c>
      <c r="AI46" s="738">
        <f>I82*'Budget Summary w MYP'!$H$9</f>
        <v>0</v>
      </c>
      <c r="AJ46" s="738">
        <f>J82*'Budget Summary w MYP'!$H$9</f>
        <v>0</v>
      </c>
      <c r="AK46" s="738">
        <f>K82*'Budget Summary w MYP'!$H$9</f>
        <v>0</v>
      </c>
      <c r="AL46" s="738">
        <f>L82*'Budget Summary w MYP'!$H$9</f>
        <v>0</v>
      </c>
      <c r="AM46" s="738">
        <f>M82*'Budget Summary w MYP'!$H$9</f>
        <v>0</v>
      </c>
      <c r="AN46" s="738">
        <f>N82*'Budget Summary w MYP'!$H$9</f>
        <v>0</v>
      </c>
    </row>
    <row r="47" spans="1:40" ht="12.75" customHeight="1" x14ac:dyDescent="0.6">
      <c r="A47" s="736">
        <v>2200</v>
      </c>
      <c r="B47" s="736" t="s">
        <v>579</v>
      </c>
      <c r="C47" s="737">
        <f t="shared" si="27"/>
        <v>531955.544813646</v>
      </c>
      <c r="D47" s="738">
        <f t="shared" si="27"/>
        <v>0</v>
      </c>
      <c r="E47" s="738">
        <f t="shared" si="27"/>
        <v>69943.319999999978</v>
      </c>
      <c r="F47" s="738">
        <f t="shared" si="27"/>
        <v>0</v>
      </c>
      <c r="G47" s="738">
        <f t="shared" si="27"/>
        <v>13051.693538</v>
      </c>
      <c r="H47" s="738">
        <f t="shared" si="27"/>
        <v>0</v>
      </c>
      <c r="I47" s="738">
        <f t="shared" si="27"/>
        <v>40694.599178243923</v>
      </c>
      <c r="J47" s="738">
        <f t="shared" si="27"/>
        <v>0</v>
      </c>
      <c r="K47" s="738">
        <f t="shared" si="27"/>
        <v>3139.5461999999989</v>
      </c>
      <c r="L47" s="738">
        <f t="shared" si="27"/>
        <v>0</v>
      </c>
      <c r="M47" s="738">
        <f t="shared" si="27"/>
        <v>11171.066441086567</v>
      </c>
      <c r="N47" s="738">
        <f t="shared" si="27"/>
        <v>669955.77017097664</v>
      </c>
      <c r="P47" s="744">
        <v>531955.544813646</v>
      </c>
      <c r="Q47" s="744">
        <v>0</v>
      </c>
      <c r="R47" s="744">
        <v>69943.319999999978</v>
      </c>
      <c r="S47" s="744">
        <v>0</v>
      </c>
      <c r="T47" s="744">
        <v>13051.693538</v>
      </c>
      <c r="U47" s="744">
        <v>0</v>
      </c>
      <c r="V47" s="744">
        <v>40694.599178243923</v>
      </c>
      <c r="W47" s="744">
        <v>0</v>
      </c>
      <c r="X47" s="744">
        <v>3139.5461999999989</v>
      </c>
      <c r="Y47" s="744">
        <v>0</v>
      </c>
      <c r="Z47" s="744">
        <v>11171.066441086567</v>
      </c>
      <c r="AA47" s="744">
        <v>669955.77017097664</v>
      </c>
      <c r="AC47" s="737">
        <f>C83*'Budget Summary w MYP'!$H$9</f>
        <v>0</v>
      </c>
      <c r="AD47" s="738">
        <f>D83*'Budget Summary w MYP'!$H$9</f>
        <v>0</v>
      </c>
      <c r="AE47" s="738">
        <f>E83*'Budget Summary w MYP'!$H$9</f>
        <v>0</v>
      </c>
      <c r="AF47" s="738">
        <f>F83*'Budget Summary w MYP'!$H$9</f>
        <v>0</v>
      </c>
      <c r="AG47" s="738">
        <f>G83*'Budget Summary w MYP'!$H$9</f>
        <v>0</v>
      </c>
      <c r="AH47" s="738">
        <f>H83*'Budget Summary w MYP'!$H$9</f>
        <v>0</v>
      </c>
      <c r="AI47" s="738">
        <f>I83*'Budget Summary w MYP'!$H$9</f>
        <v>0</v>
      </c>
      <c r="AJ47" s="738">
        <f>J83*'Budget Summary w MYP'!$H$9</f>
        <v>0</v>
      </c>
      <c r="AK47" s="738">
        <f>K83*'Budget Summary w MYP'!$H$9</f>
        <v>0</v>
      </c>
      <c r="AL47" s="738">
        <f>L83*'Budget Summary w MYP'!$H$9</f>
        <v>0</v>
      </c>
      <c r="AM47" s="738">
        <f>M83*'Budget Summary w MYP'!$H$9</f>
        <v>0</v>
      </c>
      <c r="AN47" s="738">
        <f>N83*'Budget Summary w MYP'!$H$9</f>
        <v>0</v>
      </c>
    </row>
    <row r="48" spans="1:40" ht="12.75" customHeight="1" x14ac:dyDescent="0.6">
      <c r="A48" s="736">
        <v>2300</v>
      </c>
      <c r="B48" s="736" t="s">
        <v>581</v>
      </c>
      <c r="C48" s="737">
        <f t="shared" si="27"/>
        <v>193432.13017334393</v>
      </c>
      <c r="D48" s="738">
        <f t="shared" si="27"/>
        <v>0</v>
      </c>
      <c r="E48" s="738">
        <f t="shared" si="27"/>
        <v>18694.690299999998</v>
      </c>
      <c r="F48" s="738">
        <f t="shared" si="27"/>
        <v>0</v>
      </c>
      <c r="G48" s="738">
        <f t="shared" si="27"/>
        <v>12902.304279864093</v>
      </c>
      <c r="H48" s="738">
        <f t="shared" si="27"/>
        <v>0</v>
      </c>
      <c r="I48" s="738">
        <f t="shared" si="27"/>
        <v>14797.557958260808</v>
      </c>
      <c r="J48" s="738">
        <f t="shared" si="27"/>
        <v>0</v>
      </c>
      <c r="K48" s="738">
        <f t="shared" si="27"/>
        <v>747.51099999999997</v>
      </c>
      <c r="L48" s="738">
        <f t="shared" si="27"/>
        <v>0</v>
      </c>
      <c r="M48" s="738">
        <f t="shared" si="27"/>
        <v>4062.0747336402219</v>
      </c>
      <c r="N48" s="738">
        <f t="shared" si="27"/>
        <v>244636.26844510902</v>
      </c>
      <c r="P48" s="744">
        <v>193432.13017334393</v>
      </c>
      <c r="Q48" s="744">
        <v>0</v>
      </c>
      <c r="R48" s="744">
        <v>18694.690299999998</v>
      </c>
      <c r="S48" s="744">
        <v>0</v>
      </c>
      <c r="T48" s="744">
        <v>12902.304279864093</v>
      </c>
      <c r="U48" s="744">
        <v>0</v>
      </c>
      <c r="V48" s="744">
        <v>14797.557958260808</v>
      </c>
      <c r="W48" s="744">
        <v>0</v>
      </c>
      <c r="X48" s="744">
        <v>747.51099999999997</v>
      </c>
      <c r="Y48" s="744">
        <v>0</v>
      </c>
      <c r="Z48" s="744">
        <v>4062.0747336402219</v>
      </c>
      <c r="AA48" s="744">
        <v>244636.26844510902</v>
      </c>
      <c r="AC48" s="737">
        <f>C84*'Budget Summary w MYP'!$H$9</f>
        <v>0</v>
      </c>
      <c r="AD48" s="738">
        <f>D84*'Budget Summary w MYP'!$H$9</f>
        <v>0</v>
      </c>
      <c r="AE48" s="738">
        <f>E84*'Budget Summary w MYP'!$H$9</f>
        <v>0</v>
      </c>
      <c r="AF48" s="738">
        <f>F84*'Budget Summary w MYP'!$H$9</f>
        <v>0</v>
      </c>
      <c r="AG48" s="738">
        <f>G84*'Budget Summary w MYP'!$H$9</f>
        <v>0</v>
      </c>
      <c r="AH48" s="738">
        <f>H84*'Budget Summary w MYP'!$H$9</f>
        <v>0</v>
      </c>
      <c r="AI48" s="738">
        <f>I84*'Budget Summary w MYP'!$H$9</f>
        <v>0</v>
      </c>
      <c r="AJ48" s="738">
        <f>J84*'Budget Summary w MYP'!$H$9</f>
        <v>0</v>
      </c>
      <c r="AK48" s="738">
        <f>K84*'Budget Summary w MYP'!$H$9</f>
        <v>0</v>
      </c>
      <c r="AL48" s="738">
        <f>L84*'Budget Summary w MYP'!$H$9</f>
        <v>0</v>
      </c>
      <c r="AM48" s="738">
        <f>M84*'Budget Summary w MYP'!$H$9</f>
        <v>0</v>
      </c>
      <c r="AN48" s="738">
        <f>N84*'Budget Summary w MYP'!$H$9</f>
        <v>0</v>
      </c>
    </row>
    <row r="49" spans="1:40" ht="12.75" customHeight="1" x14ac:dyDescent="0.6">
      <c r="A49" s="736">
        <v>2400</v>
      </c>
      <c r="B49" s="736" t="s">
        <v>2122</v>
      </c>
      <c r="C49" s="737">
        <f t="shared" si="27"/>
        <v>233858.13026843581</v>
      </c>
      <c r="D49" s="738">
        <f t="shared" si="27"/>
        <v>0</v>
      </c>
      <c r="E49" s="738">
        <f t="shared" si="27"/>
        <v>34353.234600000003</v>
      </c>
      <c r="F49" s="738">
        <f t="shared" si="27"/>
        <v>0</v>
      </c>
      <c r="G49" s="738">
        <f t="shared" si="27"/>
        <v>3260.3097303999994</v>
      </c>
      <c r="H49" s="738">
        <f t="shared" si="27"/>
        <v>0</v>
      </c>
      <c r="I49" s="738">
        <f t="shared" si="27"/>
        <v>17890.146965535336</v>
      </c>
      <c r="J49" s="738">
        <f t="shared" si="27"/>
        <v>0</v>
      </c>
      <c r="K49" s="738">
        <f t="shared" si="27"/>
        <v>1644.5241999999996</v>
      </c>
      <c r="L49" s="738">
        <f t="shared" si="27"/>
        <v>0</v>
      </c>
      <c r="M49" s="738">
        <f t="shared" si="27"/>
        <v>4911.0207356371511</v>
      </c>
      <c r="N49" s="738">
        <f t="shared" si="27"/>
        <v>295917.36650000827</v>
      </c>
      <c r="P49" s="744">
        <v>233858.13026843581</v>
      </c>
      <c r="Q49" s="744">
        <v>0</v>
      </c>
      <c r="R49" s="744">
        <v>34353.234600000003</v>
      </c>
      <c r="S49" s="744">
        <v>0</v>
      </c>
      <c r="T49" s="744">
        <v>3260.3097303999994</v>
      </c>
      <c r="U49" s="744">
        <v>0</v>
      </c>
      <c r="V49" s="744">
        <v>17890.146965535336</v>
      </c>
      <c r="W49" s="744">
        <v>0</v>
      </c>
      <c r="X49" s="744">
        <v>1644.5241999999996</v>
      </c>
      <c r="Y49" s="744">
        <v>0</v>
      </c>
      <c r="Z49" s="744">
        <v>4911.0207356371511</v>
      </c>
      <c r="AA49" s="744">
        <v>295917.36650000827</v>
      </c>
      <c r="AC49" s="737">
        <f>C85*'Budget Summary w MYP'!$H$9</f>
        <v>0</v>
      </c>
      <c r="AD49" s="738">
        <f>D85*'Budget Summary w MYP'!$H$9</f>
        <v>0</v>
      </c>
      <c r="AE49" s="738">
        <f>E85*'Budget Summary w MYP'!$H$9</f>
        <v>0</v>
      </c>
      <c r="AF49" s="738">
        <f>F85*'Budget Summary w MYP'!$H$9</f>
        <v>0</v>
      </c>
      <c r="AG49" s="738">
        <f>G85*'Budget Summary w MYP'!$H$9</f>
        <v>0</v>
      </c>
      <c r="AH49" s="738">
        <f>H85*'Budget Summary w MYP'!$H$9</f>
        <v>0</v>
      </c>
      <c r="AI49" s="738">
        <f>I85*'Budget Summary w MYP'!$H$9</f>
        <v>0</v>
      </c>
      <c r="AJ49" s="738">
        <f>J85*'Budget Summary w MYP'!$H$9</f>
        <v>0</v>
      </c>
      <c r="AK49" s="738">
        <f>K85*'Budget Summary w MYP'!$H$9</f>
        <v>0</v>
      </c>
      <c r="AL49" s="738">
        <f>L85*'Budget Summary w MYP'!$H$9</f>
        <v>0</v>
      </c>
      <c r="AM49" s="738">
        <f>M85*'Budget Summary w MYP'!$H$9</f>
        <v>0</v>
      </c>
      <c r="AN49" s="738">
        <f>N85*'Budget Summary w MYP'!$H$9</f>
        <v>0</v>
      </c>
    </row>
    <row r="50" spans="1:40" ht="12.75" customHeight="1" x14ac:dyDescent="0.6">
      <c r="A50" s="736">
        <v>2900</v>
      </c>
      <c r="B50" s="736" t="s">
        <v>584</v>
      </c>
      <c r="C50" s="737">
        <f t="shared" si="27"/>
        <v>28800</v>
      </c>
      <c r="D50" s="738">
        <f t="shared" si="27"/>
        <v>0</v>
      </c>
      <c r="E50" s="738">
        <f t="shared" si="27"/>
        <v>0</v>
      </c>
      <c r="F50" s="738">
        <f t="shared" si="27"/>
        <v>0</v>
      </c>
      <c r="G50" s="738">
        <f t="shared" si="27"/>
        <v>0</v>
      </c>
      <c r="H50" s="738">
        <f t="shared" si="27"/>
        <v>0</v>
      </c>
      <c r="I50" s="738">
        <f t="shared" si="27"/>
        <v>2203.2000000000003</v>
      </c>
      <c r="J50" s="738">
        <f t="shared" si="27"/>
        <v>0</v>
      </c>
      <c r="K50" s="738">
        <f t="shared" si="27"/>
        <v>1362</v>
      </c>
      <c r="L50" s="738">
        <f t="shared" si="27"/>
        <v>0</v>
      </c>
      <c r="M50" s="738">
        <f t="shared" si="27"/>
        <v>604.80000000000007</v>
      </c>
      <c r="N50" s="738">
        <f t="shared" si="27"/>
        <v>32970</v>
      </c>
      <c r="P50" s="744">
        <v>28800</v>
      </c>
      <c r="Q50" s="744">
        <v>0</v>
      </c>
      <c r="R50" s="744">
        <v>0</v>
      </c>
      <c r="S50" s="744">
        <v>0</v>
      </c>
      <c r="T50" s="744">
        <v>0</v>
      </c>
      <c r="U50" s="744">
        <v>0</v>
      </c>
      <c r="V50" s="744">
        <v>2203.2000000000003</v>
      </c>
      <c r="W50" s="744">
        <v>0</v>
      </c>
      <c r="X50" s="744">
        <v>1362</v>
      </c>
      <c r="Y50" s="744">
        <v>0</v>
      </c>
      <c r="Z50" s="744">
        <v>604.80000000000007</v>
      </c>
      <c r="AA50" s="744">
        <v>32970</v>
      </c>
      <c r="AC50" s="737">
        <f>C86*'Budget Summary w MYP'!$H$9</f>
        <v>0</v>
      </c>
      <c r="AD50" s="738">
        <f>D86*'Budget Summary w MYP'!$H$9</f>
        <v>0</v>
      </c>
      <c r="AE50" s="738">
        <f>E86*'Budget Summary w MYP'!$H$9</f>
        <v>0</v>
      </c>
      <c r="AF50" s="738">
        <f>F86*'Budget Summary w MYP'!$H$9</f>
        <v>0</v>
      </c>
      <c r="AG50" s="738">
        <f>G86*'Budget Summary w MYP'!$H$9</f>
        <v>0</v>
      </c>
      <c r="AH50" s="738">
        <f>H86*'Budget Summary w MYP'!$H$9</f>
        <v>0</v>
      </c>
      <c r="AI50" s="738">
        <f>I86*'Budget Summary w MYP'!$H$9</f>
        <v>0</v>
      </c>
      <c r="AJ50" s="738">
        <f>J86*'Budget Summary w MYP'!$H$9</f>
        <v>0</v>
      </c>
      <c r="AK50" s="738">
        <f>K86*'Budget Summary w MYP'!$H$9</f>
        <v>0</v>
      </c>
      <c r="AL50" s="738">
        <f>L86*'Budget Summary w MYP'!$H$9</f>
        <v>0</v>
      </c>
      <c r="AM50" s="738">
        <f>M86*'Budget Summary w MYP'!$H$9</f>
        <v>0</v>
      </c>
      <c r="AN50" s="738">
        <f>N86*'Budget Summary w MYP'!$H$9</f>
        <v>0</v>
      </c>
    </row>
    <row r="51" spans="1:40" ht="12.75" customHeight="1" x14ac:dyDescent="0.6">
      <c r="B51" s="739" t="s">
        <v>1480</v>
      </c>
      <c r="C51" s="740">
        <f t="shared" si="27"/>
        <v>6003158.2103848653</v>
      </c>
      <c r="D51" s="741">
        <f t="shared" si="27"/>
        <v>537830.60424400028</v>
      </c>
      <c r="E51" s="741">
        <f t="shared" si="27"/>
        <v>133561.11629999999</v>
      </c>
      <c r="F51" s="741">
        <f t="shared" si="27"/>
        <v>935044.56418465544</v>
      </c>
      <c r="G51" s="741">
        <f t="shared" si="27"/>
        <v>29214.307548264092</v>
      </c>
      <c r="H51" s="741">
        <f t="shared" si="27"/>
        <v>70985.05853757853</v>
      </c>
      <c r="I51" s="741">
        <f t="shared" si="27"/>
        <v>84734.225292734933</v>
      </c>
      <c r="J51" s="741">
        <f t="shared" si="27"/>
        <v>27103.845400000017</v>
      </c>
      <c r="K51" s="741">
        <f t="shared" si="27"/>
        <v>7940.0967999999993</v>
      </c>
      <c r="L51" s="741">
        <f t="shared" si="27"/>
        <v>102805.94684752758</v>
      </c>
      <c r="M51" s="741">
        <f t="shared" si="27"/>
        <v>23260.375570554686</v>
      </c>
      <c r="N51" s="741">
        <f t="shared" si="27"/>
        <v>7955638.3511101808</v>
      </c>
      <c r="P51" s="745">
        <v>6003158.2103848653</v>
      </c>
      <c r="Q51" s="745">
        <v>537830.60424400028</v>
      </c>
      <c r="R51" s="745">
        <v>133561.11629999999</v>
      </c>
      <c r="S51" s="745">
        <v>935044.56418465544</v>
      </c>
      <c r="T51" s="745">
        <v>29214.307548264092</v>
      </c>
      <c r="U51" s="745">
        <v>70985.05853757853</v>
      </c>
      <c r="V51" s="745">
        <v>84734.225292734933</v>
      </c>
      <c r="W51" s="745">
        <v>27103.845400000017</v>
      </c>
      <c r="X51" s="745">
        <v>7940.0967999999993</v>
      </c>
      <c r="Y51" s="745">
        <v>102805.94684752758</v>
      </c>
      <c r="Z51" s="745">
        <v>23260.375570554686</v>
      </c>
      <c r="AA51" s="745">
        <v>7955638.3511101808</v>
      </c>
      <c r="AC51" s="740">
        <f>C87*'Budget Summary w MYP'!$H$9</f>
        <v>0</v>
      </c>
      <c r="AD51" s="741">
        <f>D87*'Budget Summary w MYP'!$H$9</f>
        <v>0</v>
      </c>
      <c r="AE51" s="741">
        <f>E87*'Budget Summary w MYP'!$H$9</f>
        <v>0</v>
      </c>
      <c r="AF51" s="741">
        <f>F87*'Budget Summary w MYP'!$H$9</f>
        <v>0</v>
      </c>
      <c r="AG51" s="741">
        <f>G87*'Budget Summary w MYP'!$H$9</f>
        <v>0</v>
      </c>
      <c r="AH51" s="741">
        <f>H87*'Budget Summary w MYP'!$H$9</f>
        <v>0</v>
      </c>
      <c r="AI51" s="741">
        <f>I87*'Budget Summary w MYP'!$H$9</f>
        <v>0</v>
      </c>
      <c r="AJ51" s="741">
        <f>J87*'Budget Summary w MYP'!$H$9</f>
        <v>0</v>
      </c>
      <c r="AK51" s="741">
        <f>K87*'Budget Summary w MYP'!$H$9</f>
        <v>0</v>
      </c>
      <c r="AL51" s="741">
        <f>L87*'Budget Summary w MYP'!$H$9</f>
        <v>0</v>
      </c>
      <c r="AM51" s="741">
        <f>M87*'Budget Summary w MYP'!$H$9</f>
        <v>0</v>
      </c>
      <c r="AN51" s="741">
        <f>N87*'Budget Summary w MYP'!$H$9</f>
        <v>0</v>
      </c>
    </row>
    <row r="52" spans="1:40" ht="12.75" customHeight="1" x14ac:dyDescent="0.6">
      <c r="B52" s="739" t="s">
        <v>2123</v>
      </c>
      <c r="C52" s="737">
        <f t="shared" si="27"/>
        <v>0</v>
      </c>
      <c r="D52" s="738">
        <f t="shared" si="27"/>
        <v>537830.60424400039</v>
      </c>
      <c r="E52" s="738">
        <f t="shared" si="27"/>
        <v>133561.11630000005</v>
      </c>
      <c r="F52" s="738">
        <f t="shared" si="27"/>
        <v>935044.56418465544</v>
      </c>
      <c r="G52" s="738">
        <f t="shared" si="27"/>
        <v>29214.307548264089</v>
      </c>
      <c r="H52" s="738">
        <f t="shared" si="27"/>
        <v>70985.05853757853</v>
      </c>
      <c r="I52" s="738">
        <f t="shared" si="27"/>
        <v>84734.225292734947</v>
      </c>
      <c r="J52" s="738">
        <f t="shared" si="27"/>
        <v>27103.845399999991</v>
      </c>
      <c r="K52" s="738">
        <f t="shared" si="27"/>
        <v>7940.0967999999966</v>
      </c>
      <c r="L52" s="738">
        <f t="shared" si="27"/>
        <v>102805.94684752756</v>
      </c>
      <c r="M52" s="738">
        <f t="shared" si="27"/>
        <v>23260.375570554694</v>
      </c>
      <c r="N52" s="738">
        <f t="shared" si="27"/>
        <v>7955638.3511101799</v>
      </c>
      <c r="P52" s="744"/>
      <c r="Q52" s="744">
        <v>537830.60424400039</v>
      </c>
      <c r="R52" s="744">
        <v>133561.11630000005</v>
      </c>
      <c r="S52" s="744">
        <v>935044.56418465544</v>
      </c>
      <c r="T52" s="744">
        <v>29214.307548264089</v>
      </c>
      <c r="U52" s="744">
        <v>70985.05853757853</v>
      </c>
      <c r="V52" s="744">
        <v>84734.225292734947</v>
      </c>
      <c r="W52" s="744">
        <v>27103.845399999991</v>
      </c>
      <c r="X52" s="744">
        <v>7940.0967999999966</v>
      </c>
      <c r="Y52" s="744">
        <v>102805.94684752756</v>
      </c>
      <c r="Z52" s="744">
        <v>23260.375570554694</v>
      </c>
      <c r="AA52" s="744">
        <v>7955638.3511101799</v>
      </c>
      <c r="AC52" s="737">
        <f>C88*'Budget Summary w MYP'!$H$9</f>
        <v>0</v>
      </c>
      <c r="AD52" s="738">
        <f>D88*'Budget Summary w MYP'!$H$9</f>
        <v>0</v>
      </c>
      <c r="AE52" s="738">
        <f>E88*'Budget Summary w MYP'!$H$9</f>
        <v>0</v>
      </c>
      <c r="AF52" s="738">
        <f>F88*'Budget Summary w MYP'!$H$9</f>
        <v>0</v>
      </c>
      <c r="AG52" s="738">
        <f>G88*'Budget Summary w MYP'!$H$9</f>
        <v>0</v>
      </c>
      <c r="AH52" s="738">
        <f>H88*'Budget Summary w MYP'!$H$9</f>
        <v>0</v>
      </c>
      <c r="AI52" s="738">
        <f>I88*'Budget Summary w MYP'!$H$9</f>
        <v>0</v>
      </c>
      <c r="AJ52" s="738">
        <f>J88*'Budget Summary w MYP'!$H$9</f>
        <v>0</v>
      </c>
      <c r="AK52" s="738">
        <f>K88*'Budget Summary w MYP'!$H$9</f>
        <v>0</v>
      </c>
      <c r="AL52" s="738">
        <f>L88*'Budget Summary w MYP'!$H$9</f>
        <v>0</v>
      </c>
      <c r="AM52" s="738">
        <f>M88*'Budget Summary w MYP'!$H$9</f>
        <v>0</v>
      </c>
      <c r="AN52" s="738">
        <f>N88*'Budget Summary w MYP'!$H$9</f>
        <v>0</v>
      </c>
    </row>
    <row r="53" spans="1:40" ht="12.75" customHeight="1" x14ac:dyDescent="0.6">
      <c r="B53" s="739" t="s">
        <v>1501</v>
      </c>
      <c r="C53" s="740"/>
      <c r="D53" s="741">
        <v>0</v>
      </c>
      <c r="E53" s="741">
        <v>0</v>
      </c>
      <c r="F53" s="741">
        <v>0</v>
      </c>
      <c r="G53" s="741">
        <v>0</v>
      </c>
      <c r="H53" s="741">
        <v>0</v>
      </c>
      <c r="I53" s="741">
        <v>0</v>
      </c>
      <c r="J53" s="741">
        <v>0</v>
      </c>
      <c r="K53" s="741">
        <v>0</v>
      </c>
      <c r="L53" s="741">
        <v>0</v>
      </c>
      <c r="M53" s="741">
        <v>0</v>
      </c>
      <c r="N53" s="741">
        <v>0</v>
      </c>
      <c r="P53" s="740"/>
      <c r="Q53" s="741">
        <v>0</v>
      </c>
      <c r="R53" s="741">
        <v>0</v>
      </c>
      <c r="S53" s="741">
        <v>0</v>
      </c>
      <c r="T53" s="741">
        <v>0</v>
      </c>
      <c r="U53" s="741">
        <v>0</v>
      </c>
      <c r="V53" s="741">
        <v>0</v>
      </c>
      <c r="W53" s="741">
        <v>0</v>
      </c>
      <c r="X53" s="741">
        <v>0</v>
      </c>
      <c r="Y53" s="741">
        <v>0</v>
      </c>
      <c r="Z53" s="741">
        <v>0</v>
      </c>
      <c r="AA53" s="741">
        <v>0</v>
      </c>
      <c r="AC53" s="740"/>
      <c r="AD53" s="741">
        <v>0</v>
      </c>
      <c r="AE53" s="741">
        <v>0</v>
      </c>
      <c r="AF53" s="741">
        <v>0</v>
      </c>
      <c r="AG53" s="741">
        <v>0</v>
      </c>
      <c r="AH53" s="741">
        <v>0</v>
      </c>
      <c r="AI53" s="741">
        <v>0</v>
      </c>
      <c r="AJ53" s="741">
        <v>0</v>
      </c>
      <c r="AK53" s="741">
        <v>0</v>
      </c>
      <c r="AL53" s="741">
        <v>0</v>
      </c>
      <c r="AM53" s="741">
        <v>0</v>
      </c>
      <c r="AN53" s="741">
        <v>0</v>
      </c>
    </row>
    <row r="54" spans="1:40" ht="12.75" customHeight="1" x14ac:dyDescent="0.6"/>
    <row r="55" spans="1:40" ht="12.75" customHeight="1" x14ac:dyDescent="0.6"/>
    <row r="56" spans="1:40" ht="12.75" customHeight="1" x14ac:dyDescent="0.6">
      <c r="D56" s="742"/>
      <c r="E56" s="742"/>
      <c r="F56" s="742"/>
      <c r="G56" s="742"/>
      <c r="H56" s="742"/>
      <c r="I56" s="742"/>
      <c r="J56" s="742"/>
      <c r="K56" s="742"/>
      <c r="L56" s="742"/>
      <c r="M56" s="742"/>
      <c r="Q56" s="742"/>
      <c r="R56" s="742"/>
      <c r="S56" s="742"/>
      <c r="T56" s="742"/>
      <c r="U56" s="742"/>
      <c r="V56" s="742"/>
      <c r="W56" s="742"/>
      <c r="X56" s="742"/>
      <c r="Y56" s="742"/>
      <c r="Z56" s="742"/>
      <c r="AD56" s="742"/>
      <c r="AE56" s="742"/>
      <c r="AF56" s="742"/>
      <c r="AG56" s="742"/>
      <c r="AH56" s="742"/>
      <c r="AI56" s="742"/>
      <c r="AJ56" s="742"/>
      <c r="AK56" s="742"/>
      <c r="AL56" s="742"/>
      <c r="AM56" s="742"/>
    </row>
    <row r="57" spans="1:40" ht="12.75" customHeight="1" x14ac:dyDescent="0.6">
      <c r="A57" s="743" t="s">
        <v>1632</v>
      </c>
      <c r="C57" s="732"/>
      <c r="D57" s="733">
        <v>3401</v>
      </c>
      <c r="E57" s="733">
        <v>3402</v>
      </c>
      <c r="F57" s="733">
        <v>3101</v>
      </c>
      <c r="G57" s="733">
        <v>3901</v>
      </c>
      <c r="H57" s="733">
        <v>3301</v>
      </c>
      <c r="I57" s="733">
        <v>3302</v>
      </c>
      <c r="J57" s="733">
        <v>3501</v>
      </c>
      <c r="K57" s="733">
        <v>3502</v>
      </c>
      <c r="L57" s="733">
        <v>3601</v>
      </c>
      <c r="M57" s="733">
        <v>3602</v>
      </c>
      <c r="P57" s="732"/>
      <c r="Q57" s="733">
        <v>3401</v>
      </c>
      <c r="R57" s="733">
        <v>3402</v>
      </c>
      <c r="S57" s="733">
        <v>3101</v>
      </c>
      <c r="T57" s="733">
        <v>3901</v>
      </c>
      <c r="U57" s="733">
        <v>3301</v>
      </c>
      <c r="V57" s="733">
        <v>3302</v>
      </c>
      <c r="W57" s="733">
        <v>3501</v>
      </c>
      <c r="X57" s="733">
        <v>3502</v>
      </c>
      <c r="Y57" s="733">
        <v>3601</v>
      </c>
      <c r="Z57" s="733">
        <v>3602</v>
      </c>
      <c r="AC57" s="732"/>
      <c r="AD57" s="733">
        <v>3401</v>
      </c>
      <c r="AE57" s="733">
        <v>3402</v>
      </c>
      <c r="AF57" s="733">
        <v>3101</v>
      </c>
      <c r="AG57" s="733">
        <v>3901</v>
      </c>
      <c r="AH57" s="733">
        <v>3301</v>
      </c>
      <c r="AI57" s="733">
        <v>3302</v>
      </c>
      <c r="AJ57" s="733">
        <v>3501</v>
      </c>
      <c r="AK57" s="733">
        <v>3502</v>
      </c>
      <c r="AL57" s="733">
        <v>3601</v>
      </c>
      <c r="AM57" s="733">
        <v>3602</v>
      </c>
    </row>
    <row r="58" spans="1:40" ht="39" x14ac:dyDescent="0.6">
      <c r="A58" s="734" t="s">
        <v>1494</v>
      </c>
      <c r="B58" s="734" t="s">
        <v>2117</v>
      </c>
      <c r="C58" s="735" t="s">
        <v>2118</v>
      </c>
      <c r="D58" s="734" t="s">
        <v>1935</v>
      </c>
      <c r="E58" s="734" t="s">
        <v>1518</v>
      </c>
      <c r="F58" s="734" t="s">
        <v>6</v>
      </c>
      <c r="G58" s="734" t="s">
        <v>2126</v>
      </c>
      <c r="H58" s="734" t="s">
        <v>1936</v>
      </c>
      <c r="I58" s="734" t="s">
        <v>1937</v>
      </c>
      <c r="J58" s="734" t="s">
        <v>1938</v>
      </c>
      <c r="K58" s="734" t="s">
        <v>1516</v>
      </c>
      <c r="L58" s="734" t="s">
        <v>1939</v>
      </c>
      <c r="M58" s="734" t="s">
        <v>1517</v>
      </c>
      <c r="N58" s="734" t="s">
        <v>2119</v>
      </c>
      <c r="P58" s="735" t="s">
        <v>2118</v>
      </c>
      <c r="Q58" s="734" t="s">
        <v>1935</v>
      </c>
      <c r="R58" s="734" t="s">
        <v>1518</v>
      </c>
      <c r="S58" s="734" t="s">
        <v>6</v>
      </c>
      <c r="T58" s="734" t="s">
        <v>2126</v>
      </c>
      <c r="U58" s="734" t="s">
        <v>1936</v>
      </c>
      <c r="V58" s="734" t="s">
        <v>1937</v>
      </c>
      <c r="W58" s="734" t="s">
        <v>1938</v>
      </c>
      <c r="X58" s="734" t="s">
        <v>1516</v>
      </c>
      <c r="Y58" s="734" t="s">
        <v>1939</v>
      </c>
      <c r="Z58" s="734" t="s">
        <v>1517</v>
      </c>
      <c r="AA58" s="734" t="s">
        <v>2119</v>
      </c>
      <c r="AC58" s="735" t="s">
        <v>2118</v>
      </c>
      <c r="AD58" s="734" t="s">
        <v>1935</v>
      </c>
      <c r="AE58" s="734" t="s">
        <v>1518</v>
      </c>
      <c r="AF58" s="734" t="s">
        <v>6</v>
      </c>
      <c r="AG58" s="734" t="s">
        <v>2126</v>
      </c>
      <c r="AH58" s="734" t="s">
        <v>1936</v>
      </c>
      <c r="AI58" s="734" t="s">
        <v>1937</v>
      </c>
      <c r="AJ58" s="734" t="s">
        <v>1938</v>
      </c>
      <c r="AK58" s="734" t="s">
        <v>1516</v>
      </c>
      <c r="AL58" s="734" t="s">
        <v>1939</v>
      </c>
      <c r="AM58" s="734" t="s">
        <v>1517</v>
      </c>
      <c r="AN58" s="734" t="s">
        <v>2119</v>
      </c>
    </row>
    <row r="59" spans="1:40" ht="12.75" customHeight="1" x14ac:dyDescent="0.6">
      <c r="A59" s="736">
        <v>1100</v>
      </c>
      <c r="B59" s="736" t="s">
        <v>1452</v>
      </c>
      <c r="C59" s="737">
        <f t="shared" ref="C59:N70" si="28">+P59+AC59</f>
        <v>3977156.3212082246</v>
      </c>
      <c r="D59" s="738">
        <f t="shared" si="28"/>
        <v>446845.61127599975</v>
      </c>
      <c r="E59" s="738">
        <f t="shared" si="28"/>
        <v>0</v>
      </c>
      <c r="F59" s="738">
        <f t="shared" si="28"/>
        <v>759636.85735077085</v>
      </c>
      <c r="G59" s="738">
        <f t="shared" si="28"/>
        <v>0</v>
      </c>
      <c r="H59" s="738">
        <f t="shared" si="28"/>
        <v>57668.766657519227</v>
      </c>
      <c r="I59" s="738">
        <f t="shared" si="28"/>
        <v>0</v>
      </c>
      <c r="J59" s="738">
        <f t="shared" si="28"/>
        <v>23525.372000000058</v>
      </c>
      <c r="K59" s="738">
        <f t="shared" si="28"/>
        <v>0</v>
      </c>
      <c r="L59" s="738">
        <f t="shared" si="28"/>
        <v>83520.282745372664</v>
      </c>
      <c r="M59" s="738">
        <f t="shared" si="28"/>
        <v>0</v>
      </c>
      <c r="N59" s="738">
        <f t="shared" si="28"/>
        <v>5348353.2112378823</v>
      </c>
      <c r="P59" s="744">
        <v>3977156.3212082246</v>
      </c>
      <c r="Q59" s="744">
        <v>446845.61127599975</v>
      </c>
      <c r="R59" s="744">
        <v>0</v>
      </c>
      <c r="S59" s="744">
        <v>759636.85735077085</v>
      </c>
      <c r="T59" s="744">
        <v>0</v>
      </c>
      <c r="U59" s="744">
        <v>57668.766657519227</v>
      </c>
      <c r="V59" s="744">
        <v>0</v>
      </c>
      <c r="W59" s="744">
        <v>23525.372000000058</v>
      </c>
      <c r="X59" s="744">
        <v>0</v>
      </c>
      <c r="Y59" s="744">
        <v>83520.282745372664</v>
      </c>
      <c r="Z59" s="744">
        <v>0</v>
      </c>
      <c r="AA59" s="744">
        <v>5348353.2112378823</v>
      </c>
      <c r="AC59" s="737">
        <f>C77*'Budget Summary w MYP'!$J$9</f>
        <v>0</v>
      </c>
      <c r="AD59" s="738">
        <f>D77*'Budget Summary w MYP'!$J$9</f>
        <v>0</v>
      </c>
      <c r="AE59" s="738">
        <f>E77*'Budget Summary w MYP'!$J$9</f>
        <v>0</v>
      </c>
      <c r="AF59" s="738">
        <f>F77*'Budget Summary w MYP'!$J$9</f>
        <v>0</v>
      </c>
      <c r="AG59" s="738">
        <f>G77*'Budget Summary w MYP'!$J$9</f>
        <v>0</v>
      </c>
      <c r="AH59" s="738">
        <f>H77*'Budget Summary w MYP'!$J$9</f>
        <v>0</v>
      </c>
      <c r="AI59" s="738">
        <f>I77*'Budget Summary w MYP'!$J$9</f>
        <v>0</v>
      </c>
      <c r="AJ59" s="738">
        <f>J77*'Budget Summary w MYP'!$J$9</f>
        <v>0</v>
      </c>
      <c r="AK59" s="738">
        <f>K77*'Budget Summary w MYP'!$J$9</f>
        <v>0</v>
      </c>
      <c r="AL59" s="738">
        <f>L77*'Budget Summary w MYP'!$J$9</f>
        <v>0</v>
      </c>
      <c r="AM59" s="738">
        <f>M77*'Budget Summary w MYP'!$J$9</f>
        <v>0</v>
      </c>
      <c r="AN59" s="738">
        <f>N77*'Budget Summary w MYP'!$J$9</f>
        <v>0</v>
      </c>
    </row>
    <row r="60" spans="1:40" ht="12.75" customHeight="1" x14ac:dyDescent="0.6">
      <c r="A60" s="736">
        <v>1120</v>
      </c>
      <c r="B60" s="736" t="s">
        <v>2120</v>
      </c>
      <c r="C60" s="737">
        <f t="shared" si="28"/>
        <v>0</v>
      </c>
      <c r="D60" s="738">
        <f t="shared" si="28"/>
        <v>0</v>
      </c>
      <c r="E60" s="738">
        <f t="shared" si="28"/>
        <v>0</v>
      </c>
      <c r="F60" s="738">
        <f t="shared" si="28"/>
        <v>0</v>
      </c>
      <c r="G60" s="738">
        <f t="shared" si="28"/>
        <v>0</v>
      </c>
      <c r="H60" s="738">
        <f t="shared" si="28"/>
        <v>0</v>
      </c>
      <c r="I60" s="738">
        <f t="shared" si="28"/>
        <v>0</v>
      </c>
      <c r="J60" s="738">
        <f t="shared" si="28"/>
        <v>0</v>
      </c>
      <c r="K60" s="738">
        <f t="shared" si="28"/>
        <v>0</v>
      </c>
      <c r="L60" s="738">
        <f t="shared" si="28"/>
        <v>0</v>
      </c>
      <c r="M60" s="738">
        <f t="shared" si="28"/>
        <v>0</v>
      </c>
      <c r="N60" s="738">
        <f t="shared" si="28"/>
        <v>0</v>
      </c>
      <c r="P60" s="744">
        <v>0</v>
      </c>
      <c r="Q60" s="744">
        <v>0</v>
      </c>
      <c r="R60" s="744">
        <v>0</v>
      </c>
      <c r="S60" s="744">
        <v>0</v>
      </c>
      <c r="T60" s="744">
        <v>0</v>
      </c>
      <c r="U60" s="744">
        <v>0</v>
      </c>
      <c r="V60" s="744">
        <v>0</v>
      </c>
      <c r="W60" s="744">
        <v>0</v>
      </c>
      <c r="X60" s="744">
        <v>0</v>
      </c>
      <c r="Y60" s="744">
        <v>0</v>
      </c>
      <c r="Z60" s="744">
        <v>0</v>
      </c>
      <c r="AA60" s="744">
        <v>0</v>
      </c>
      <c r="AC60" s="737">
        <f>C78*'Budget Summary w MYP'!$J$9</f>
        <v>0</v>
      </c>
      <c r="AD60" s="738">
        <f>D78*'Budget Summary w MYP'!$J$9</f>
        <v>0</v>
      </c>
      <c r="AE60" s="738">
        <f>E78*'Budget Summary w MYP'!$J$9</f>
        <v>0</v>
      </c>
      <c r="AF60" s="738">
        <f>F78*'Budget Summary w MYP'!$J$9</f>
        <v>0</v>
      </c>
      <c r="AG60" s="738">
        <f>G78*'Budget Summary w MYP'!$J$9</f>
        <v>0</v>
      </c>
      <c r="AH60" s="738">
        <f>H78*'Budget Summary w MYP'!$J$9</f>
        <v>0</v>
      </c>
      <c r="AI60" s="738">
        <f>I78*'Budget Summary w MYP'!$J$9</f>
        <v>0</v>
      </c>
      <c r="AJ60" s="738">
        <f>J78*'Budget Summary w MYP'!$J$9</f>
        <v>0</v>
      </c>
      <c r="AK60" s="738">
        <f>K78*'Budget Summary w MYP'!$J$9</f>
        <v>0</v>
      </c>
      <c r="AL60" s="738">
        <f>L78*'Budget Summary w MYP'!$J$9</f>
        <v>0</v>
      </c>
      <c r="AM60" s="738">
        <f>M78*'Budget Summary w MYP'!$J$9</f>
        <v>0</v>
      </c>
      <c r="AN60" s="738">
        <f>N78*'Budget Summary w MYP'!$J$9</f>
        <v>0</v>
      </c>
    </row>
    <row r="61" spans="1:40" ht="12.75" customHeight="1" x14ac:dyDescent="0.6">
      <c r="A61" s="736">
        <v>1200</v>
      </c>
      <c r="B61" s="736" t="s">
        <v>572</v>
      </c>
      <c r="C61" s="737">
        <f t="shared" si="28"/>
        <v>435510.08274742996</v>
      </c>
      <c r="D61" s="738">
        <f t="shared" si="28"/>
        <v>50941.080000000009</v>
      </c>
      <c r="E61" s="738">
        <f t="shared" si="28"/>
        <v>0</v>
      </c>
      <c r="F61" s="738">
        <f t="shared" si="28"/>
        <v>83182.425804759143</v>
      </c>
      <c r="G61" s="738">
        <f t="shared" si="28"/>
        <v>0</v>
      </c>
      <c r="H61" s="738">
        <f t="shared" si="28"/>
        <v>6314.8961998377335</v>
      </c>
      <c r="I61" s="738">
        <f t="shared" si="28"/>
        <v>0</v>
      </c>
      <c r="J61" s="738">
        <f t="shared" si="28"/>
        <v>2171.5728000000004</v>
      </c>
      <c r="K61" s="738">
        <f t="shared" si="28"/>
        <v>0</v>
      </c>
      <c r="L61" s="738">
        <f t="shared" si="28"/>
        <v>9145.7117376960286</v>
      </c>
      <c r="M61" s="738">
        <f t="shared" si="28"/>
        <v>0</v>
      </c>
      <c r="N61" s="738">
        <f t="shared" si="28"/>
        <v>587265.76928972267</v>
      </c>
      <c r="P61" s="744">
        <v>435510.08274742996</v>
      </c>
      <c r="Q61" s="744">
        <v>50941.080000000009</v>
      </c>
      <c r="R61" s="744">
        <v>0</v>
      </c>
      <c r="S61" s="744">
        <v>83182.425804759143</v>
      </c>
      <c r="T61" s="744">
        <v>0</v>
      </c>
      <c r="U61" s="744">
        <v>6314.8961998377335</v>
      </c>
      <c r="V61" s="744">
        <v>0</v>
      </c>
      <c r="W61" s="744">
        <v>2171.5728000000004</v>
      </c>
      <c r="X61" s="744">
        <v>0</v>
      </c>
      <c r="Y61" s="744">
        <v>9145.7117376960286</v>
      </c>
      <c r="Z61" s="744">
        <v>0</v>
      </c>
      <c r="AA61" s="744">
        <v>587265.76928972267</v>
      </c>
      <c r="AC61" s="737">
        <f>C79*'Budget Summary w MYP'!$J$9</f>
        <v>0</v>
      </c>
      <c r="AD61" s="738">
        <f>D79*'Budget Summary w MYP'!$J$9</f>
        <v>0</v>
      </c>
      <c r="AE61" s="738">
        <f>E79*'Budget Summary w MYP'!$J$9</f>
        <v>0</v>
      </c>
      <c r="AF61" s="738">
        <f>F79*'Budget Summary w MYP'!$J$9</f>
        <v>0</v>
      </c>
      <c r="AG61" s="738">
        <f>G79*'Budget Summary w MYP'!$J$9</f>
        <v>0</v>
      </c>
      <c r="AH61" s="738">
        <f>H79*'Budget Summary w MYP'!$J$9</f>
        <v>0</v>
      </c>
      <c r="AI61" s="738">
        <f>I79*'Budget Summary w MYP'!$J$9</f>
        <v>0</v>
      </c>
      <c r="AJ61" s="738">
        <f>J79*'Budget Summary w MYP'!$J$9</f>
        <v>0</v>
      </c>
      <c r="AK61" s="738">
        <f>K79*'Budget Summary w MYP'!$J$9</f>
        <v>0</v>
      </c>
      <c r="AL61" s="738">
        <f>L79*'Budget Summary w MYP'!$J$9</f>
        <v>0</v>
      </c>
      <c r="AM61" s="738">
        <f>M79*'Budget Summary w MYP'!$J$9</f>
        <v>0</v>
      </c>
      <c r="AN61" s="738">
        <f>N79*'Budget Summary w MYP'!$J$9</f>
        <v>0</v>
      </c>
    </row>
    <row r="62" spans="1:40" ht="12.75" customHeight="1" x14ac:dyDescent="0.6">
      <c r="A62" s="736">
        <v>1300</v>
      </c>
      <c r="B62" s="736" t="s">
        <v>2121</v>
      </c>
      <c r="C62" s="737">
        <f t="shared" si="28"/>
        <v>735836.74996480613</v>
      </c>
      <c r="D62" s="738">
        <f t="shared" si="28"/>
        <v>42835.716412000002</v>
      </c>
      <c r="E62" s="738">
        <f t="shared" si="28"/>
        <v>2272.02</v>
      </c>
      <c r="F62" s="738">
        <f t="shared" si="28"/>
        <v>140544.81924327798</v>
      </c>
      <c r="G62" s="738">
        <f t="shared" si="28"/>
        <v>0</v>
      </c>
      <c r="H62" s="738">
        <f t="shared" si="28"/>
        <v>10669.632874489693</v>
      </c>
      <c r="I62" s="738">
        <f t="shared" si="28"/>
        <v>0</v>
      </c>
      <c r="J62" s="738">
        <f t="shared" si="28"/>
        <v>2714.4659999999999</v>
      </c>
      <c r="K62" s="738">
        <f t="shared" si="28"/>
        <v>0</v>
      </c>
      <c r="L62" s="738">
        <f t="shared" si="28"/>
        <v>15452.571749260933</v>
      </c>
      <c r="M62" s="738">
        <f t="shared" si="28"/>
        <v>0</v>
      </c>
      <c r="N62" s="738">
        <f t="shared" si="28"/>
        <v>950325.97624383483</v>
      </c>
      <c r="P62" s="744">
        <v>735836.74996480613</v>
      </c>
      <c r="Q62" s="744">
        <v>42835.716412000002</v>
      </c>
      <c r="R62" s="744">
        <v>2272.02</v>
      </c>
      <c r="S62" s="744">
        <v>140544.81924327798</v>
      </c>
      <c r="T62" s="744">
        <v>0</v>
      </c>
      <c r="U62" s="744">
        <v>10669.632874489693</v>
      </c>
      <c r="V62" s="744">
        <v>0</v>
      </c>
      <c r="W62" s="744">
        <v>2714.4659999999999</v>
      </c>
      <c r="X62" s="744">
        <v>0</v>
      </c>
      <c r="Y62" s="744">
        <v>15452.571749260933</v>
      </c>
      <c r="Z62" s="744">
        <v>0</v>
      </c>
      <c r="AA62" s="744">
        <v>950325.97624383483</v>
      </c>
      <c r="AC62" s="737">
        <f>C80*'Budget Summary w MYP'!$J$9</f>
        <v>0</v>
      </c>
      <c r="AD62" s="738">
        <f>D80*'Budget Summary w MYP'!$J$9</f>
        <v>0</v>
      </c>
      <c r="AE62" s="738">
        <f>E80*'Budget Summary w MYP'!$J$9</f>
        <v>0</v>
      </c>
      <c r="AF62" s="738">
        <f>F80*'Budget Summary w MYP'!$J$9</f>
        <v>0</v>
      </c>
      <c r="AG62" s="738">
        <f>G80*'Budget Summary w MYP'!$J$9</f>
        <v>0</v>
      </c>
      <c r="AH62" s="738">
        <f>H80*'Budget Summary w MYP'!$J$9</f>
        <v>0</v>
      </c>
      <c r="AI62" s="738">
        <f>I80*'Budget Summary w MYP'!$J$9</f>
        <v>0</v>
      </c>
      <c r="AJ62" s="738">
        <f>J80*'Budget Summary w MYP'!$J$9</f>
        <v>0</v>
      </c>
      <c r="AK62" s="738">
        <f>K80*'Budget Summary w MYP'!$J$9</f>
        <v>0</v>
      </c>
      <c r="AL62" s="738">
        <f>L80*'Budget Summary w MYP'!$J$9</f>
        <v>0</v>
      </c>
      <c r="AM62" s="738">
        <f>M80*'Budget Summary w MYP'!$J$9</f>
        <v>0</v>
      </c>
      <c r="AN62" s="738">
        <f>N80*'Budget Summary w MYP'!$J$9</f>
        <v>0</v>
      </c>
    </row>
    <row r="63" spans="1:40" ht="12.75" customHeight="1" x14ac:dyDescent="0.6">
      <c r="A63" s="736">
        <v>1900</v>
      </c>
      <c r="B63" s="736" t="s">
        <v>575</v>
      </c>
      <c r="C63" s="737">
        <f t="shared" si="28"/>
        <v>0</v>
      </c>
      <c r="D63" s="738">
        <f t="shared" si="28"/>
        <v>0</v>
      </c>
      <c r="E63" s="738">
        <f t="shared" si="28"/>
        <v>0</v>
      </c>
      <c r="F63" s="738">
        <f t="shared" si="28"/>
        <v>0</v>
      </c>
      <c r="G63" s="738">
        <f t="shared" si="28"/>
        <v>0</v>
      </c>
      <c r="H63" s="738">
        <f t="shared" si="28"/>
        <v>0</v>
      </c>
      <c r="I63" s="738">
        <f t="shared" si="28"/>
        <v>0</v>
      </c>
      <c r="J63" s="738">
        <f t="shared" si="28"/>
        <v>0</v>
      </c>
      <c r="K63" s="738">
        <f t="shared" si="28"/>
        <v>0</v>
      </c>
      <c r="L63" s="738">
        <f t="shared" si="28"/>
        <v>0</v>
      </c>
      <c r="M63" s="738">
        <f t="shared" si="28"/>
        <v>0</v>
      </c>
      <c r="N63" s="738">
        <f t="shared" si="28"/>
        <v>0</v>
      </c>
      <c r="P63" s="744">
        <v>0</v>
      </c>
      <c r="Q63" s="744">
        <v>0</v>
      </c>
      <c r="R63" s="744">
        <v>0</v>
      </c>
      <c r="S63" s="744">
        <v>0</v>
      </c>
      <c r="T63" s="744">
        <v>0</v>
      </c>
      <c r="U63" s="744">
        <v>0</v>
      </c>
      <c r="V63" s="744">
        <v>0</v>
      </c>
      <c r="W63" s="744">
        <v>0</v>
      </c>
      <c r="X63" s="744">
        <v>0</v>
      </c>
      <c r="Y63" s="744">
        <v>0</v>
      </c>
      <c r="Z63" s="744">
        <v>0</v>
      </c>
      <c r="AA63" s="744">
        <v>0</v>
      </c>
      <c r="AC63" s="737">
        <f>C81*'Budget Summary w MYP'!$J$9</f>
        <v>0</v>
      </c>
      <c r="AD63" s="738">
        <f>D81*'Budget Summary w MYP'!$J$9</f>
        <v>0</v>
      </c>
      <c r="AE63" s="738">
        <f>E81*'Budget Summary w MYP'!$J$9</f>
        <v>0</v>
      </c>
      <c r="AF63" s="738">
        <f>F81*'Budget Summary w MYP'!$J$9</f>
        <v>0</v>
      </c>
      <c r="AG63" s="738">
        <f>G81*'Budget Summary w MYP'!$J$9</f>
        <v>0</v>
      </c>
      <c r="AH63" s="738">
        <f>H81*'Budget Summary w MYP'!$J$9</f>
        <v>0</v>
      </c>
      <c r="AI63" s="738">
        <f>I81*'Budget Summary w MYP'!$J$9</f>
        <v>0</v>
      </c>
      <c r="AJ63" s="738">
        <f>J81*'Budget Summary w MYP'!$J$9</f>
        <v>0</v>
      </c>
      <c r="AK63" s="738">
        <f>K81*'Budget Summary w MYP'!$J$9</f>
        <v>0</v>
      </c>
      <c r="AL63" s="738">
        <f>L81*'Budget Summary w MYP'!$J$9</f>
        <v>0</v>
      </c>
      <c r="AM63" s="738">
        <f>M81*'Budget Summary w MYP'!$J$9</f>
        <v>0</v>
      </c>
      <c r="AN63" s="738">
        <f>N81*'Budget Summary w MYP'!$J$9</f>
        <v>0</v>
      </c>
    </row>
    <row r="64" spans="1:40" ht="12.75" customHeight="1" x14ac:dyDescent="0.6">
      <c r="A64" s="736">
        <v>2100</v>
      </c>
      <c r="B64" s="736" t="s">
        <v>577</v>
      </c>
      <c r="C64" s="737">
        <f t="shared" si="28"/>
        <v>144758.64893092614</v>
      </c>
      <c r="D64" s="738">
        <f t="shared" si="28"/>
        <v>0</v>
      </c>
      <c r="E64" s="738">
        <f t="shared" si="28"/>
        <v>10522.2428</v>
      </c>
      <c r="F64" s="738">
        <f t="shared" si="28"/>
        <v>0</v>
      </c>
      <c r="G64" s="738">
        <f t="shared" si="28"/>
        <v>0</v>
      </c>
      <c r="H64" s="738">
        <f t="shared" si="28"/>
        <v>0</v>
      </c>
      <c r="I64" s="738">
        <f t="shared" si="28"/>
        <v>11074.03664321585</v>
      </c>
      <c r="J64" s="738">
        <f t="shared" si="28"/>
        <v>0</v>
      </c>
      <c r="K64" s="738">
        <f t="shared" si="28"/>
        <v>1266.7508000000003</v>
      </c>
      <c r="L64" s="738">
        <f t="shared" si="28"/>
        <v>0</v>
      </c>
      <c r="M64" s="738">
        <f t="shared" si="28"/>
        <v>3039.9316275494489</v>
      </c>
      <c r="N64" s="738">
        <f t="shared" si="28"/>
        <v>170661.61080169145</v>
      </c>
      <c r="P64" s="744">
        <v>144758.64893092614</v>
      </c>
      <c r="Q64" s="744">
        <v>0</v>
      </c>
      <c r="R64" s="744">
        <v>10522.2428</v>
      </c>
      <c r="S64" s="744">
        <v>0</v>
      </c>
      <c r="T64" s="744">
        <v>0</v>
      </c>
      <c r="U64" s="744">
        <v>0</v>
      </c>
      <c r="V64" s="744">
        <v>11074.03664321585</v>
      </c>
      <c r="W64" s="744">
        <v>0</v>
      </c>
      <c r="X64" s="744">
        <v>1266.7508000000003</v>
      </c>
      <c r="Y64" s="744">
        <v>0</v>
      </c>
      <c r="Z64" s="744">
        <v>3039.9316275494489</v>
      </c>
      <c r="AA64" s="744">
        <v>170661.61080169145</v>
      </c>
      <c r="AC64" s="737">
        <f>C82*'Budget Summary w MYP'!$J$9</f>
        <v>0</v>
      </c>
      <c r="AD64" s="738">
        <f>D82*'Budget Summary w MYP'!$J$9</f>
        <v>0</v>
      </c>
      <c r="AE64" s="738">
        <f>E82*'Budget Summary w MYP'!$J$9</f>
        <v>0</v>
      </c>
      <c r="AF64" s="738">
        <f>F82*'Budget Summary w MYP'!$J$9</f>
        <v>0</v>
      </c>
      <c r="AG64" s="738">
        <f>G82*'Budget Summary w MYP'!$J$9</f>
        <v>0</v>
      </c>
      <c r="AH64" s="738">
        <f>H82*'Budget Summary w MYP'!$J$9</f>
        <v>0</v>
      </c>
      <c r="AI64" s="738">
        <f>I82*'Budget Summary w MYP'!$J$9</f>
        <v>0</v>
      </c>
      <c r="AJ64" s="738">
        <f>J82*'Budget Summary w MYP'!$J$9</f>
        <v>0</v>
      </c>
      <c r="AK64" s="738">
        <f>K82*'Budget Summary w MYP'!$J$9</f>
        <v>0</v>
      </c>
      <c r="AL64" s="738">
        <f>L82*'Budget Summary w MYP'!$J$9</f>
        <v>0</v>
      </c>
      <c r="AM64" s="738">
        <f>M82*'Budget Summary w MYP'!$J$9</f>
        <v>0</v>
      </c>
      <c r="AN64" s="738">
        <f>N82*'Budget Summary w MYP'!$J$9</f>
        <v>0</v>
      </c>
    </row>
    <row r="65" spans="1:40" ht="12.75" customHeight="1" x14ac:dyDescent="0.6">
      <c r="A65" s="736">
        <v>2200</v>
      </c>
      <c r="B65" s="736" t="s">
        <v>579</v>
      </c>
      <c r="C65" s="737">
        <f t="shared" si="28"/>
        <v>643903.67495511496</v>
      </c>
      <c r="D65" s="738">
        <f t="shared" si="28"/>
        <v>0</v>
      </c>
      <c r="E65" s="738">
        <f t="shared" si="28"/>
        <v>84662.639999999985</v>
      </c>
      <c r="F65" s="738">
        <f t="shared" si="28"/>
        <v>0</v>
      </c>
      <c r="G65" s="738">
        <f t="shared" si="28"/>
        <v>15798.375476000001</v>
      </c>
      <c r="H65" s="738">
        <f t="shared" si="28"/>
        <v>0</v>
      </c>
      <c r="I65" s="738">
        <f t="shared" si="28"/>
        <v>49258.631134066294</v>
      </c>
      <c r="J65" s="738">
        <f t="shared" si="28"/>
        <v>0</v>
      </c>
      <c r="K65" s="738">
        <f t="shared" si="28"/>
        <v>3800.2523999999989</v>
      </c>
      <c r="L65" s="738">
        <f t="shared" si="28"/>
        <v>0</v>
      </c>
      <c r="M65" s="738">
        <f t="shared" si="28"/>
        <v>13521.977174057414</v>
      </c>
      <c r="N65" s="738">
        <f t="shared" si="28"/>
        <v>810945.55113923852</v>
      </c>
      <c r="P65" s="744">
        <v>643903.67495511496</v>
      </c>
      <c r="Q65" s="744">
        <v>0</v>
      </c>
      <c r="R65" s="744">
        <v>84662.639999999985</v>
      </c>
      <c r="S65" s="744">
        <v>0</v>
      </c>
      <c r="T65" s="744">
        <v>15798.375476000001</v>
      </c>
      <c r="U65" s="744">
        <v>0</v>
      </c>
      <c r="V65" s="744">
        <v>49258.631134066294</v>
      </c>
      <c r="W65" s="744">
        <v>0</v>
      </c>
      <c r="X65" s="744">
        <v>3800.2523999999989</v>
      </c>
      <c r="Y65" s="744">
        <v>0</v>
      </c>
      <c r="Z65" s="744">
        <v>13521.977174057414</v>
      </c>
      <c r="AA65" s="744">
        <v>810945.55113923852</v>
      </c>
      <c r="AC65" s="737">
        <f>C83*'Budget Summary w MYP'!$J$9</f>
        <v>0</v>
      </c>
      <c r="AD65" s="738">
        <f>D83*'Budget Summary w MYP'!$J$9</f>
        <v>0</v>
      </c>
      <c r="AE65" s="738">
        <f>E83*'Budget Summary w MYP'!$J$9</f>
        <v>0</v>
      </c>
      <c r="AF65" s="738">
        <f>F83*'Budget Summary w MYP'!$J$9</f>
        <v>0</v>
      </c>
      <c r="AG65" s="738">
        <f>G83*'Budget Summary w MYP'!$J$9</f>
        <v>0</v>
      </c>
      <c r="AH65" s="738">
        <f>H83*'Budget Summary w MYP'!$J$9</f>
        <v>0</v>
      </c>
      <c r="AI65" s="738">
        <f>I83*'Budget Summary w MYP'!$J$9</f>
        <v>0</v>
      </c>
      <c r="AJ65" s="738">
        <f>J83*'Budget Summary w MYP'!$J$9</f>
        <v>0</v>
      </c>
      <c r="AK65" s="738">
        <f>K83*'Budget Summary w MYP'!$J$9</f>
        <v>0</v>
      </c>
      <c r="AL65" s="738">
        <f>L83*'Budget Summary w MYP'!$J$9</f>
        <v>0</v>
      </c>
      <c r="AM65" s="738">
        <f>M83*'Budget Summary w MYP'!$J$9</f>
        <v>0</v>
      </c>
      <c r="AN65" s="738">
        <f>N83*'Budget Summary w MYP'!$J$9</f>
        <v>0</v>
      </c>
    </row>
    <row r="66" spans="1:40" ht="12.75" customHeight="1" x14ac:dyDescent="0.6">
      <c r="A66" s="736">
        <v>2300</v>
      </c>
      <c r="B66" s="736" t="s">
        <v>581</v>
      </c>
      <c r="C66" s="737">
        <f t="shared" si="28"/>
        <v>234139.22589460947</v>
      </c>
      <c r="D66" s="738">
        <f t="shared" si="28"/>
        <v>0</v>
      </c>
      <c r="E66" s="738">
        <f t="shared" si="28"/>
        <v>22628.920600000001</v>
      </c>
      <c r="F66" s="738">
        <f t="shared" si="28"/>
        <v>0</v>
      </c>
      <c r="G66" s="738">
        <f t="shared" si="28"/>
        <v>15617.547786072968</v>
      </c>
      <c r="H66" s="738">
        <f t="shared" si="28"/>
        <v>0</v>
      </c>
      <c r="I66" s="738">
        <f t="shared" si="28"/>
        <v>17911.65078093762</v>
      </c>
      <c r="J66" s="738">
        <f t="shared" si="28"/>
        <v>0</v>
      </c>
      <c r="K66" s="738">
        <f t="shared" si="28"/>
        <v>904.82200000000012</v>
      </c>
      <c r="L66" s="738">
        <f t="shared" si="28"/>
        <v>0</v>
      </c>
      <c r="M66" s="738">
        <f t="shared" si="28"/>
        <v>4916.9237437867987</v>
      </c>
      <c r="N66" s="738">
        <f t="shared" si="28"/>
        <v>296119.0908054068</v>
      </c>
      <c r="P66" s="744">
        <v>234139.22589460947</v>
      </c>
      <c r="Q66" s="744">
        <v>0</v>
      </c>
      <c r="R66" s="744">
        <v>22628.920600000001</v>
      </c>
      <c r="S66" s="744">
        <v>0</v>
      </c>
      <c r="T66" s="744">
        <v>15617.547786072968</v>
      </c>
      <c r="U66" s="744">
        <v>0</v>
      </c>
      <c r="V66" s="744">
        <v>17911.65078093762</v>
      </c>
      <c r="W66" s="744">
        <v>0</v>
      </c>
      <c r="X66" s="744">
        <v>904.82200000000012</v>
      </c>
      <c r="Y66" s="744">
        <v>0</v>
      </c>
      <c r="Z66" s="744">
        <v>4916.9237437867987</v>
      </c>
      <c r="AA66" s="744">
        <v>296119.0908054068</v>
      </c>
      <c r="AC66" s="737">
        <f>C84*'Budget Summary w MYP'!$J$9</f>
        <v>0</v>
      </c>
      <c r="AD66" s="738">
        <f>D84*'Budget Summary w MYP'!$J$9</f>
        <v>0</v>
      </c>
      <c r="AE66" s="738">
        <f>E84*'Budget Summary w MYP'!$J$9</f>
        <v>0</v>
      </c>
      <c r="AF66" s="738">
        <f>F84*'Budget Summary w MYP'!$J$9</f>
        <v>0</v>
      </c>
      <c r="AG66" s="738">
        <f>G84*'Budget Summary w MYP'!$J$9</f>
        <v>0</v>
      </c>
      <c r="AH66" s="738">
        <f>H84*'Budget Summary w MYP'!$J$9</f>
        <v>0</v>
      </c>
      <c r="AI66" s="738">
        <f>I84*'Budget Summary w MYP'!$J$9</f>
        <v>0</v>
      </c>
      <c r="AJ66" s="738">
        <f>J84*'Budget Summary w MYP'!$J$9</f>
        <v>0</v>
      </c>
      <c r="AK66" s="738">
        <f>K84*'Budget Summary w MYP'!$J$9</f>
        <v>0</v>
      </c>
      <c r="AL66" s="738">
        <f>L84*'Budget Summary w MYP'!$J$9</f>
        <v>0</v>
      </c>
      <c r="AM66" s="738">
        <f>M84*'Budget Summary w MYP'!$J$9</f>
        <v>0</v>
      </c>
      <c r="AN66" s="738">
        <f>N84*'Budget Summary w MYP'!$J$9</f>
        <v>0</v>
      </c>
    </row>
    <row r="67" spans="1:40" ht="12.75" customHeight="1" x14ac:dyDescent="0.6">
      <c r="A67" s="736">
        <v>2400</v>
      </c>
      <c r="B67" s="736" t="s">
        <v>2122</v>
      </c>
      <c r="C67" s="737">
        <f t="shared" si="28"/>
        <v>283072.73223503947</v>
      </c>
      <c r="D67" s="738">
        <f t="shared" si="28"/>
        <v>0</v>
      </c>
      <c r="E67" s="738">
        <f t="shared" si="28"/>
        <v>41582.749200000006</v>
      </c>
      <c r="F67" s="738">
        <f t="shared" si="28"/>
        <v>0</v>
      </c>
      <c r="G67" s="738">
        <f t="shared" si="28"/>
        <v>3946.4301808000005</v>
      </c>
      <c r="H67" s="738">
        <f t="shared" si="28"/>
        <v>0</v>
      </c>
      <c r="I67" s="738">
        <f t="shared" si="28"/>
        <v>21655.064015980519</v>
      </c>
      <c r="J67" s="738">
        <f t="shared" si="28"/>
        <v>0</v>
      </c>
      <c r="K67" s="738">
        <f t="shared" si="28"/>
        <v>1990.6084000000005</v>
      </c>
      <c r="L67" s="738">
        <f t="shared" si="28"/>
        <v>0</v>
      </c>
      <c r="M67" s="738">
        <f t="shared" si="28"/>
        <v>5944.52737693583</v>
      </c>
      <c r="N67" s="738">
        <f t="shared" si="28"/>
        <v>358192.11140875582</v>
      </c>
      <c r="P67" s="744">
        <v>283072.73223503947</v>
      </c>
      <c r="Q67" s="744">
        <v>0</v>
      </c>
      <c r="R67" s="744">
        <v>41582.749200000006</v>
      </c>
      <c r="S67" s="744">
        <v>0</v>
      </c>
      <c r="T67" s="744">
        <v>3946.4301808000005</v>
      </c>
      <c r="U67" s="744">
        <v>0</v>
      </c>
      <c r="V67" s="744">
        <v>21655.064015980519</v>
      </c>
      <c r="W67" s="744">
        <v>0</v>
      </c>
      <c r="X67" s="744">
        <v>1990.6084000000005</v>
      </c>
      <c r="Y67" s="744">
        <v>0</v>
      </c>
      <c r="Z67" s="744">
        <v>5944.52737693583</v>
      </c>
      <c r="AA67" s="744">
        <v>358192.11140875582</v>
      </c>
      <c r="AC67" s="737">
        <f>C85*'Budget Summary w MYP'!$J$9</f>
        <v>0</v>
      </c>
      <c r="AD67" s="738">
        <f>D85*'Budget Summary w MYP'!$J$9</f>
        <v>0</v>
      </c>
      <c r="AE67" s="738">
        <f>E85*'Budget Summary w MYP'!$J$9</f>
        <v>0</v>
      </c>
      <c r="AF67" s="738">
        <f>F85*'Budget Summary w MYP'!$J$9</f>
        <v>0</v>
      </c>
      <c r="AG67" s="738">
        <f>G85*'Budget Summary w MYP'!$J$9</f>
        <v>0</v>
      </c>
      <c r="AH67" s="738">
        <f>H85*'Budget Summary w MYP'!$J$9</f>
        <v>0</v>
      </c>
      <c r="AI67" s="738">
        <f>I85*'Budget Summary w MYP'!$J$9</f>
        <v>0</v>
      </c>
      <c r="AJ67" s="738">
        <f>J85*'Budget Summary w MYP'!$J$9</f>
        <v>0</v>
      </c>
      <c r="AK67" s="738">
        <f>K85*'Budget Summary w MYP'!$J$9</f>
        <v>0</v>
      </c>
      <c r="AL67" s="738">
        <f>L85*'Budget Summary w MYP'!$J$9</f>
        <v>0</v>
      </c>
      <c r="AM67" s="738">
        <f>M85*'Budget Summary w MYP'!$J$9</f>
        <v>0</v>
      </c>
      <c r="AN67" s="738">
        <f>N85*'Budget Summary w MYP'!$J$9</f>
        <v>0</v>
      </c>
    </row>
    <row r="68" spans="1:40" ht="12.75" customHeight="1" x14ac:dyDescent="0.6">
      <c r="A68" s="736">
        <v>2900</v>
      </c>
      <c r="B68" s="736" t="s">
        <v>584</v>
      </c>
      <c r="C68" s="737">
        <f t="shared" si="28"/>
        <v>0</v>
      </c>
      <c r="D68" s="738">
        <f t="shared" si="28"/>
        <v>0</v>
      </c>
      <c r="E68" s="738">
        <f t="shared" si="28"/>
        <v>0</v>
      </c>
      <c r="F68" s="738">
        <f t="shared" si="28"/>
        <v>0</v>
      </c>
      <c r="G68" s="738">
        <f t="shared" si="28"/>
        <v>0</v>
      </c>
      <c r="H68" s="738">
        <f t="shared" si="28"/>
        <v>0</v>
      </c>
      <c r="I68" s="738">
        <f t="shared" si="28"/>
        <v>0</v>
      </c>
      <c r="J68" s="738">
        <f t="shared" si="28"/>
        <v>0</v>
      </c>
      <c r="K68" s="738">
        <f t="shared" si="28"/>
        <v>0</v>
      </c>
      <c r="L68" s="738">
        <f t="shared" si="28"/>
        <v>0</v>
      </c>
      <c r="M68" s="738">
        <f t="shared" si="28"/>
        <v>0</v>
      </c>
      <c r="N68" s="738">
        <f t="shared" si="28"/>
        <v>0</v>
      </c>
      <c r="P68" s="744">
        <v>0</v>
      </c>
      <c r="Q68" s="744">
        <v>0</v>
      </c>
      <c r="R68" s="744">
        <v>0</v>
      </c>
      <c r="S68" s="744">
        <v>0</v>
      </c>
      <c r="T68" s="744">
        <v>0</v>
      </c>
      <c r="U68" s="744">
        <v>0</v>
      </c>
      <c r="V68" s="744">
        <v>0</v>
      </c>
      <c r="W68" s="744">
        <v>0</v>
      </c>
      <c r="X68" s="744">
        <v>0</v>
      </c>
      <c r="Y68" s="744">
        <v>0</v>
      </c>
      <c r="Z68" s="744">
        <v>0</v>
      </c>
      <c r="AA68" s="744">
        <v>0</v>
      </c>
      <c r="AC68" s="737">
        <f>C86*'Budget Summary w MYP'!$J$9</f>
        <v>0</v>
      </c>
      <c r="AD68" s="738">
        <f>D86*'Budget Summary w MYP'!$J$9</f>
        <v>0</v>
      </c>
      <c r="AE68" s="738">
        <f>E86*'Budget Summary w MYP'!$J$9</f>
        <v>0</v>
      </c>
      <c r="AF68" s="738">
        <f>F86*'Budget Summary w MYP'!$J$9</f>
        <v>0</v>
      </c>
      <c r="AG68" s="738">
        <f>G86*'Budget Summary w MYP'!$J$9</f>
        <v>0</v>
      </c>
      <c r="AH68" s="738">
        <f>H86*'Budget Summary w MYP'!$J$9</f>
        <v>0</v>
      </c>
      <c r="AI68" s="738">
        <f>I86*'Budget Summary w MYP'!$J$9</f>
        <v>0</v>
      </c>
      <c r="AJ68" s="738">
        <f>J86*'Budget Summary w MYP'!$J$9</f>
        <v>0</v>
      </c>
      <c r="AK68" s="738">
        <f>K86*'Budget Summary w MYP'!$J$9</f>
        <v>0</v>
      </c>
      <c r="AL68" s="738">
        <f>L86*'Budget Summary w MYP'!$J$9</f>
        <v>0</v>
      </c>
      <c r="AM68" s="738">
        <f>M86*'Budget Summary w MYP'!$J$9</f>
        <v>0</v>
      </c>
      <c r="AN68" s="738">
        <f>N86*'Budget Summary w MYP'!$J$9</f>
        <v>0</v>
      </c>
    </row>
    <row r="69" spans="1:40" ht="12.75" customHeight="1" x14ac:dyDescent="0.6">
      <c r="B69" s="739" t="s">
        <v>1480</v>
      </c>
      <c r="C69" s="740">
        <f t="shared" si="28"/>
        <v>6454377.4359361501</v>
      </c>
      <c r="D69" s="741">
        <f t="shared" si="28"/>
        <v>540622.40768799977</v>
      </c>
      <c r="E69" s="741">
        <f t="shared" si="28"/>
        <v>161668.57259999998</v>
      </c>
      <c r="F69" s="741">
        <f t="shared" si="28"/>
        <v>983364.102398808</v>
      </c>
      <c r="G69" s="741">
        <f t="shared" si="28"/>
        <v>35362.353442872969</v>
      </c>
      <c r="H69" s="741">
        <f t="shared" si="28"/>
        <v>74653.295731846651</v>
      </c>
      <c r="I69" s="741">
        <f t="shared" si="28"/>
        <v>99899.382574200281</v>
      </c>
      <c r="J69" s="741">
        <f t="shared" si="28"/>
        <v>28411.41080000006</v>
      </c>
      <c r="K69" s="741">
        <f t="shared" si="28"/>
        <v>7962.4336000000003</v>
      </c>
      <c r="L69" s="741">
        <f t="shared" si="28"/>
        <v>108118.56623232961</v>
      </c>
      <c r="M69" s="741">
        <f t="shared" si="28"/>
        <v>27423.359922329495</v>
      </c>
      <c r="N69" s="741">
        <f t="shared" si="28"/>
        <v>8521863.3209265321</v>
      </c>
      <c r="P69" s="745">
        <v>6454377.4359361501</v>
      </c>
      <c r="Q69" s="745">
        <v>540622.40768799977</v>
      </c>
      <c r="R69" s="745">
        <v>161668.57259999998</v>
      </c>
      <c r="S69" s="745">
        <v>983364.102398808</v>
      </c>
      <c r="T69" s="745">
        <v>35362.353442872969</v>
      </c>
      <c r="U69" s="745">
        <v>74653.295731846651</v>
      </c>
      <c r="V69" s="745">
        <v>99899.382574200281</v>
      </c>
      <c r="W69" s="745">
        <v>28411.41080000006</v>
      </c>
      <c r="X69" s="745">
        <v>7962.4336000000003</v>
      </c>
      <c r="Y69" s="745">
        <v>108118.56623232961</v>
      </c>
      <c r="Z69" s="745">
        <v>27423.359922329495</v>
      </c>
      <c r="AA69" s="745">
        <v>8521863.3209265321</v>
      </c>
      <c r="AC69" s="740">
        <f>C87*'Budget Summary w MYP'!$J$9</f>
        <v>0</v>
      </c>
      <c r="AD69" s="741">
        <f>D87*'Budget Summary w MYP'!$J$9</f>
        <v>0</v>
      </c>
      <c r="AE69" s="741">
        <f>E87*'Budget Summary w MYP'!$J$9</f>
        <v>0</v>
      </c>
      <c r="AF69" s="741">
        <f>F87*'Budget Summary w MYP'!$J$9</f>
        <v>0</v>
      </c>
      <c r="AG69" s="741">
        <f>G87*'Budget Summary w MYP'!$J$9</f>
        <v>0</v>
      </c>
      <c r="AH69" s="741">
        <f>H87*'Budget Summary w MYP'!$J$9</f>
        <v>0</v>
      </c>
      <c r="AI69" s="741">
        <f>I87*'Budget Summary w MYP'!$J$9</f>
        <v>0</v>
      </c>
      <c r="AJ69" s="741">
        <f>J87*'Budget Summary w MYP'!$J$9</f>
        <v>0</v>
      </c>
      <c r="AK69" s="741">
        <f>K87*'Budget Summary w MYP'!$J$9</f>
        <v>0</v>
      </c>
      <c r="AL69" s="741">
        <f>L87*'Budget Summary w MYP'!$J$9</f>
        <v>0</v>
      </c>
      <c r="AM69" s="741">
        <f>M87*'Budget Summary w MYP'!$J$9</f>
        <v>0</v>
      </c>
      <c r="AN69" s="741">
        <f>N87*'Budget Summary w MYP'!$J$9</f>
        <v>0</v>
      </c>
    </row>
    <row r="70" spans="1:40" ht="12.75" customHeight="1" x14ac:dyDescent="0.6">
      <c r="B70" s="739" t="s">
        <v>2123</v>
      </c>
      <c r="C70" s="737">
        <f t="shared" si="28"/>
        <v>0</v>
      </c>
      <c r="D70" s="738">
        <f t="shared" si="28"/>
        <v>540622.40768799954</v>
      </c>
      <c r="E70" s="738">
        <f t="shared" si="28"/>
        <v>161668.57259999996</v>
      </c>
      <c r="F70" s="738">
        <f t="shared" si="28"/>
        <v>983364.10239880788</v>
      </c>
      <c r="G70" s="738">
        <f t="shared" si="28"/>
        <v>35362.353442872962</v>
      </c>
      <c r="H70" s="738">
        <f t="shared" si="28"/>
        <v>74653.29573184668</v>
      </c>
      <c r="I70" s="738">
        <f t="shared" si="28"/>
        <v>99899.382574200266</v>
      </c>
      <c r="J70" s="738">
        <f t="shared" si="28"/>
        <v>28411.410800000078</v>
      </c>
      <c r="K70" s="738">
        <f t="shared" si="28"/>
        <v>7962.4335999999957</v>
      </c>
      <c r="L70" s="738">
        <f t="shared" si="28"/>
        <v>108118.56623232963</v>
      </c>
      <c r="M70" s="738">
        <f t="shared" si="28"/>
        <v>27423.359922329488</v>
      </c>
      <c r="N70" s="738">
        <f t="shared" si="28"/>
        <v>8521863.3209265303</v>
      </c>
      <c r="P70" s="744"/>
      <c r="Q70" s="744">
        <v>540622.40768799954</v>
      </c>
      <c r="R70" s="744">
        <v>161668.57259999996</v>
      </c>
      <c r="S70" s="744">
        <v>983364.10239880788</v>
      </c>
      <c r="T70" s="744">
        <v>35362.353442872962</v>
      </c>
      <c r="U70" s="744">
        <v>74653.29573184668</v>
      </c>
      <c r="V70" s="744">
        <v>99899.382574200266</v>
      </c>
      <c r="W70" s="744">
        <v>28411.410800000078</v>
      </c>
      <c r="X70" s="744">
        <v>7962.4335999999957</v>
      </c>
      <c r="Y70" s="744">
        <v>108118.56623232963</v>
      </c>
      <c r="Z70" s="744">
        <v>27423.359922329488</v>
      </c>
      <c r="AA70" s="744">
        <v>8521863.3209265303</v>
      </c>
      <c r="AC70" s="737">
        <f>C88*'Budget Summary w MYP'!$J$9</f>
        <v>0</v>
      </c>
      <c r="AD70" s="738">
        <f>D88*'Budget Summary w MYP'!$J$9</f>
        <v>0</v>
      </c>
      <c r="AE70" s="738">
        <f>E88*'Budget Summary w MYP'!$J$9</f>
        <v>0</v>
      </c>
      <c r="AF70" s="738">
        <f>F88*'Budget Summary w MYP'!$J$9</f>
        <v>0</v>
      </c>
      <c r="AG70" s="738">
        <f>G88*'Budget Summary w MYP'!$J$9</f>
        <v>0</v>
      </c>
      <c r="AH70" s="738">
        <f>H88*'Budget Summary w MYP'!$J$9</f>
        <v>0</v>
      </c>
      <c r="AI70" s="738">
        <f>I88*'Budget Summary w MYP'!$J$9</f>
        <v>0</v>
      </c>
      <c r="AJ70" s="738">
        <f>J88*'Budget Summary w MYP'!$J$9</f>
        <v>0</v>
      </c>
      <c r="AK70" s="738">
        <f>K88*'Budget Summary w MYP'!$J$9</f>
        <v>0</v>
      </c>
      <c r="AL70" s="738">
        <f>L88*'Budget Summary w MYP'!$J$9</f>
        <v>0</v>
      </c>
      <c r="AM70" s="738">
        <f>M88*'Budget Summary w MYP'!$J$9</f>
        <v>0</v>
      </c>
      <c r="AN70" s="738">
        <f>N88*'Budget Summary w MYP'!$J$9</f>
        <v>0</v>
      </c>
    </row>
    <row r="71" spans="1:40" ht="12.75" customHeight="1" x14ac:dyDescent="0.6">
      <c r="B71" s="739" t="s">
        <v>1501</v>
      </c>
      <c r="C71" s="740"/>
      <c r="D71" s="741">
        <v>0</v>
      </c>
      <c r="E71" s="741">
        <v>0</v>
      </c>
      <c r="F71" s="741">
        <v>0</v>
      </c>
      <c r="G71" s="741">
        <v>0</v>
      </c>
      <c r="H71" s="741">
        <v>0</v>
      </c>
      <c r="I71" s="741">
        <v>0</v>
      </c>
      <c r="J71" s="741">
        <v>0</v>
      </c>
      <c r="K71" s="741">
        <v>0</v>
      </c>
      <c r="L71" s="741">
        <v>0</v>
      </c>
      <c r="M71" s="741">
        <v>0</v>
      </c>
      <c r="N71" s="741">
        <v>0</v>
      </c>
      <c r="P71" s="740"/>
      <c r="Q71" s="741">
        <v>0</v>
      </c>
      <c r="R71" s="741">
        <v>0</v>
      </c>
      <c r="S71" s="741">
        <v>0</v>
      </c>
      <c r="T71" s="741">
        <v>0</v>
      </c>
      <c r="U71" s="741">
        <v>0</v>
      </c>
      <c r="V71" s="741">
        <v>0</v>
      </c>
      <c r="W71" s="741">
        <v>0</v>
      </c>
      <c r="X71" s="741">
        <v>0</v>
      </c>
      <c r="Y71" s="741">
        <v>0</v>
      </c>
      <c r="Z71" s="741">
        <v>0</v>
      </c>
      <c r="AA71" s="741">
        <v>0</v>
      </c>
      <c r="AC71" s="740"/>
      <c r="AD71" s="741">
        <v>0</v>
      </c>
      <c r="AE71" s="741">
        <v>0</v>
      </c>
      <c r="AF71" s="741">
        <v>0</v>
      </c>
      <c r="AG71" s="741">
        <v>0</v>
      </c>
      <c r="AH71" s="741">
        <v>0</v>
      </c>
      <c r="AI71" s="741">
        <v>0</v>
      </c>
      <c r="AJ71" s="741">
        <v>0</v>
      </c>
      <c r="AK71" s="741">
        <v>0</v>
      </c>
      <c r="AL71" s="741">
        <v>0</v>
      </c>
      <c r="AM71" s="741">
        <v>0</v>
      </c>
      <c r="AN71" s="741">
        <v>0</v>
      </c>
    </row>
    <row r="72" spans="1:40" ht="12.75" customHeight="1" x14ac:dyDescent="0.6"/>
    <row r="73" spans="1:40" ht="12.75" customHeight="1" x14ac:dyDescent="0.6"/>
    <row r="74" spans="1:40" ht="12.75" customHeight="1" x14ac:dyDescent="0.6">
      <c r="D74" s="742"/>
      <c r="E74" s="742"/>
      <c r="F74" s="742"/>
      <c r="G74" s="742"/>
      <c r="H74" s="742"/>
      <c r="I74" s="742"/>
      <c r="J74" s="742"/>
      <c r="K74" s="742"/>
      <c r="L74" s="742"/>
      <c r="M74" s="742"/>
      <c r="Q74" s="742"/>
      <c r="R74" s="742"/>
      <c r="S74" s="742"/>
      <c r="T74" s="742"/>
      <c r="U74" s="742"/>
      <c r="V74" s="742"/>
      <c r="W74" s="742"/>
      <c r="X74" s="742"/>
      <c r="Y74" s="742"/>
      <c r="Z74" s="742"/>
      <c r="AD74" s="742"/>
      <c r="AE74" s="742"/>
      <c r="AF74" s="742"/>
      <c r="AG74" s="742"/>
      <c r="AH74" s="742"/>
      <c r="AI74" s="742"/>
      <c r="AJ74" s="742"/>
      <c r="AK74" s="742"/>
      <c r="AL74" s="742"/>
      <c r="AM74" s="742"/>
    </row>
    <row r="75" spans="1:40" ht="12.75" customHeight="1" x14ac:dyDescent="0.6">
      <c r="A75" s="743" t="s">
        <v>2125</v>
      </c>
      <c r="C75" s="732"/>
      <c r="D75" s="733">
        <v>3401</v>
      </c>
      <c r="E75" s="733">
        <v>3402</v>
      </c>
      <c r="F75" s="733">
        <v>3101</v>
      </c>
      <c r="G75" s="733">
        <v>3901</v>
      </c>
      <c r="H75" s="733">
        <v>3301</v>
      </c>
      <c r="I75" s="733">
        <v>3302</v>
      </c>
      <c r="J75" s="733">
        <v>3501</v>
      </c>
      <c r="K75" s="733">
        <v>3502</v>
      </c>
      <c r="L75" s="733">
        <v>3601</v>
      </c>
      <c r="M75" s="733">
        <v>3602</v>
      </c>
      <c r="P75" s="732"/>
      <c r="Q75" s="733">
        <v>3401</v>
      </c>
      <c r="R75" s="733">
        <v>3402</v>
      </c>
      <c r="S75" s="733">
        <v>3101</v>
      </c>
      <c r="T75" s="733">
        <v>3901</v>
      </c>
      <c r="U75" s="733">
        <v>3301</v>
      </c>
      <c r="V75" s="733">
        <v>3302</v>
      </c>
      <c r="W75" s="733">
        <v>3501</v>
      </c>
      <c r="X75" s="733">
        <v>3502</v>
      </c>
      <c r="Y75" s="733">
        <v>3601</v>
      </c>
      <c r="Z75" s="733">
        <v>3602</v>
      </c>
      <c r="AC75" s="732"/>
      <c r="AD75" s="733">
        <v>3401</v>
      </c>
      <c r="AE75" s="733">
        <v>3402</v>
      </c>
      <c r="AF75" s="733">
        <v>3101</v>
      </c>
      <c r="AG75" s="733">
        <v>3901</v>
      </c>
      <c r="AH75" s="733">
        <v>3301</v>
      </c>
      <c r="AI75" s="733">
        <v>3302</v>
      </c>
      <c r="AJ75" s="733">
        <v>3501</v>
      </c>
      <c r="AK75" s="733">
        <v>3502</v>
      </c>
      <c r="AL75" s="733">
        <v>3601</v>
      </c>
      <c r="AM75" s="733">
        <v>3602</v>
      </c>
    </row>
    <row r="76" spans="1:40" ht="39" x14ac:dyDescent="0.6">
      <c r="A76" s="734" t="s">
        <v>1494</v>
      </c>
      <c r="B76" s="734" t="s">
        <v>2117</v>
      </c>
      <c r="C76" s="735" t="s">
        <v>2118</v>
      </c>
      <c r="D76" s="734" t="s">
        <v>1935</v>
      </c>
      <c r="E76" s="734" t="s">
        <v>1518</v>
      </c>
      <c r="F76" s="734" t="s">
        <v>6</v>
      </c>
      <c r="G76" s="734" t="s">
        <v>2126</v>
      </c>
      <c r="H76" s="734" t="s">
        <v>1936</v>
      </c>
      <c r="I76" s="734" t="s">
        <v>1937</v>
      </c>
      <c r="J76" s="734" t="s">
        <v>1938</v>
      </c>
      <c r="K76" s="734" t="s">
        <v>1516</v>
      </c>
      <c r="L76" s="734" t="s">
        <v>1939</v>
      </c>
      <c r="M76" s="734" t="s">
        <v>1517</v>
      </c>
      <c r="N76" s="734" t="s">
        <v>2119</v>
      </c>
      <c r="P76" s="735" t="s">
        <v>2118</v>
      </c>
      <c r="Q76" s="734" t="s">
        <v>1935</v>
      </c>
      <c r="R76" s="734" t="s">
        <v>1518</v>
      </c>
      <c r="S76" s="734" t="s">
        <v>6</v>
      </c>
      <c r="T76" s="734" t="s">
        <v>2126</v>
      </c>
      <c r="U76" s="734" t="s">
        <v>1936</v>
      </c>
      <c r="V76" s="734" t="s">
        <v>1937</v>
      </c>
      <c r="W76" s="734" t="s">
        <v>1938</v>
      </c>
      <c r="X76" s="734" t="s">
        <v>1516</v>
      </c>
      <c r="Y76" s="734" t="s">
        <v>1939</v>
      </c>
      <c r="Z76" s="734" t="s">
        <v>1517</v>
      </c>
      <c r="AA76" s="734" t="s">
        <v>2119</v>
      </c>
      <c r="AC76" s="735" t="s">
        <v>2118</v>
      </c>
      <c r="AD76" s="734" t="s">
        <v>1935</v>
      </c>
      <c r="AE76" s="734" t="s">
        <v>1518</v>
      </c>
      <c r="AF76" s="734" t="s">
        <v>6</v>
      </c>
      <c r="AG76" s="734" t="s">
        <v>2126</v>
      </c>
      <c r="AH76" s="734" t="s">
        <v>1936</v>
      </c>
      <c r="AI76" s="734" t="s">
        <v>1937</v>
      </c>
      <c r="AJ76" s="734" t="s">
        <v>1938</v>
      </c>
      <c r="AK76" s="734" t="s">
        <v>1516</v>
      </c>
      <c r="AL76" s="734" t="s">
        <v>1939</v>
      </c>
      <c r="AM76" s="734" t="s">
        <v>1517</v>
      </c>
      <c r="AN76" s="734" t="s">
        <v>2119</v>
      </c>
    </row>
    <row r="77" spans="1:40" ht="12.75" customHeight="1" x14ac:dyDescent="0.6">
      <c r="A77" s="736">
        <v>1100</v>
      </c>
      <c r="B77" s="736" t="s">
        <v>1452</v>
      </c>
      <c r="C77" s="737">
        <f t="shared" ref="C77:N88" si="29">+P77+AC77</f>
        <v>0</v>
      </c>
      <c r="D77" s="738">
        <f t="shared" si="29"/>
        <v>0</v>
      </c>
      <c r="E77" s="738">
        <f t="shared" si="29"/>
        <v>0</v>
      </c>
      <c r="F77" s="738">
        <f t="shared" si="29"/>
        <v>0</v>
      </c>
      <c r="G77" s="738">
        <f t="shared" si="29"/>
        <v>0</v>
      </c>
      <c r="H77" s="738">
        <f t="shared" si="29"/>
        <v>0</v>
      </c>
      <c r="I77" s="738">
        <f t="shared" si="29"/>
        <v>0</v>
      </c>
      <c r="J77" s="738">
        <f t="shared" si="29"/>
        <v>0</v>
      </c>
      <c r="K77" s="738">
        <f t="shared" si="29"/>
        <v>0</v>
      </c>
      <c r="L77" s="738">
        <f t="shared" si="29"/>
        <v>0</v>
      </c>
      <c r="M77" s="738">
        <f t="shared" si="29"/>
        <v>0</v>
      </c>
      <c r="N77" s="738">
        <f t="shared" si="29"/>
        <v>0</v>
      </c>
      <c r="P77" s="737">
        <v>0</v>
      </c>
      <c r="Q77" s="738">
        <v>0</v>
      </c>
      <c r="R77" s="738">
        <v>0</v>
      </c>
      <c r="S77" s="738">
        <v>0</v>
      </c>
      <c r="T77" s="738">
        <v>0</v>
      </c>
      <c r="U77" s="738">
        <v>0</v>
      </c>
      <c r="V77" s="738">
        <v>0</v>
      </c>
      <c r="W77" s="738">
        <v>0</v>
      </c>
      <c r="X77" s="738">
        <v>0</v>
      </c>
      <c r="Y77" s="738">
        <v>0</v>
      </c>
      <c r="Z77" s="738">
        <v>0</v>
      </c>
      <c r="AA77" s="738">
        <v>0</v>
      </c>
      <c r="AC77" s="744">
        <v>0</v>
      </c>
      <c r="AD77" s="744">
        <v>0</v>
      </c>
      <c r="AE77" s="744">
        <v>0</v>
      </c>
      <c r="AF77" s="744">
        <v>0</v>
      </c>
      <c r="AG77" s="744">
        <v>0</v>
      </c>
      <c r="AH77" s="744">
        <v>0</v>
      </c>
      <c r="AI77" s="744">
        <v>0</v>
      </c>
      <c r="AJ77" s="744">
        <v>0</v>
      </c>
      <c r="AK77" s="744">
        <v>0</v>
      </c>
      <c r="AL77" s="744">
        <v>0</v>
      </c>
      <c r="AM77" s="744">
        <v>0</v>
      </c>
      <c r="AN77" s="744">
        <v>0</v>
      </c>
    </row>
    <row r="78" spans="1:40" ht="12.75" customHeight="1" x14ac:dyDescent="0.6">
      <c r="A78" s="736">
        <v>1120</v>
      </c>
      <c r="B78" s="736" t="s">
        <v>2120</v>
      </c>
      <c r="C78" s="737">
        <f t="shared" si="29"/>
        <v>0</v>
      </c>
      <c r="D78" s="738">
        <f t="shared" si="29"/>
        <v>0</v>
      </c>
      <c r="E78" s="738">
        <f t="shared" si="29"/>
        <v>0</v>
      </c>
      <c r="F78" s="738">
        <f t="shared" si="29"/>
        <v>0</v>
      </c>
      <c r="G78" s="738">
        <f t="shared" si="29"/>
        <v>0</v>
      </c>
      <c r="H78" s="738">
        <f t="shared" si="29"/>
        <v>0</v>
      </c>
      <c r="I78" s="738">
        <f t="shared" si="29"/>
        <v>0</v>
      </c>
      <c r="J78" s="738">
        <f t="shared" si="29"/>
        <v>0</v>
      </c>
      <c r="K78" s="738">
        <f t="shared" si="29"/>
        <v>0</v>
      </c>
      <c r="L78" s="738">
        <f t="shared" si="29"/>
        <v>0</v>
      </c>
      <c r="M78" s="738">
        <f t="shared" si="29"/>
        <v>0</v>
      </c>
      <c r="N78" s="738">
        <f t="shared" si="29"/>
        <v>0</v>
      </c>
      <c r="P78" s="737">
        <v>0</v>
      </c>
      <c r="Q78" s="738">
        <v>0</v>
      </c>
      <c r="R78" s="738">
        <v>0</v>
      </c>
      <c r="S78" s="738">
        <v>0</v>
      </c>
      <c r="T78" s="738">
        <v>0</v>
      </c>
      <c r="U78" s="738">
        <v>0</v>
      </c>
      <c r="V78" s="738">
        <v>0</v>
      </c>
      <c r="W78" s="738">
        <v>0</v>
      </c>
      <c r="X78" s="738">
        <v>0</v>
      </c>
      <c r="Y78" s="738">
        <v>0</v>
      </c>
      <c r="Z78" s="738">
        <v>0</v>
      </c>
      <c r="AA78" s="738">
        <v>0</v>
      </c>
      <c r="AC78" s="744">
        <v>0</v>
      </c>
      <c r="AD78" s="744">
        <v>0</v>
      </c>
      <c r="AE78" s="744">
        <v>0</v>
      </c>
      <c r="AF78" s="744">
        <v>0</v>
      </c>
      <c r="AG78" s="744">
        <v>0</v>
      </c>
      <c r="AH78" s="744">
        <v>0</v>
      </c>
      <c r="AI78" s="744">
        <v>0</v>
      </c>
      <c r="AJ78" s="744">
        <v>0</v>
      </c>
      <c r="AK78" s="744">
        <v>0</v>
      </c>
      <c r="AL78" s="744">
        <v>0</v>
      </c>
      <c r="AM78" s="744">
        <v>0</v>
      </c>
      <c r="AN78" s="744">
        <v>0</v>
      </c>
    </row>
    <row r="79" spans="1:40" ht="12.75" customHeight="1" x14ac:dyDescent="0.6">
      <c r="A79" s="736">
        <v>1200</v>
      </c>
      <c r="B79" s="736" t="s">
        <v>572</v>
      </c>
      <c r="C79" s="737">
        <f t="shared" si="29"/>
        <v>0</v>
      </c>
      <c r="D79" s="738">
        <f t="shared" si="29"/>
        <v>0</v>
      </c>
      <c r="E79" s="738">
        <f t="shared" si="29"/>
        <v>0</v>
      </c>
      <c r="F79" s="738">
        <f t="shared" si="29"/>
        <v>0</v>
      </c>
      <c r="G79" s="738">
        <f t="shared" si="29"/>
        <v>0</v>
      </c>
      <c r="H79" s="738">
        <f t="shared" si="29"/>
        <v>0</v>
      </c>
      <c r="I79" s="738">
        <f t="shared" si="29"/>
        <v>0</v>
      </c>
      <c r="J79" s="738">
        <f t="shared" si="29"/>
        <v>0</v>
      </c>
      <c r="K79" s="738">
        <f t="shared" si="29"/>
        <v>0</v>
      </c>
      <c r="L79" s="738">
        <f t="shared" si="29"/>
        <v>0</v>
      </c>
      <c r="M79" s="738">
        <f t="shared" si="29"/>
        <v>0</v>
      </c>
      <c r="N79" s="738">
        <f t="shared" si="29"/>
        <v>0</v>
      </c>
      <c r="P79" s="737">
        <v>0</v>
      </c>
      <c r="Q79" s="738">
        <v>0</v>
      </c>
      <c r="R79" s="738">
        <v>0</v>
      </c>
      <c r="S79" s="738">
        <v>0</v>
      </c>
      <c r="T79" s="738">
        <v>0</v>
      </c>
      <c r="U79" s="738">
        <v>0</v>
      </c>
      <c r="V79" s="738">
        <v>0</v>
      </c>
      <c r="W79" s="738">
        <v>0</v>
      </c>
      <c r="X79" s="738">
        <v>0</v>
      </c>
      <c r="Y79" s="738">
        <v>0</v>
      </c>
      <c r="Z79" s="738">
        <v>0</v>
      </c>
      <c r="AA79" s="738">
        <v>0</v>
      </c>
      <c r="AC79" s="744">
        <v>0</v>
      </c>
      <c r="AD79" s="744">
        <v>0</v>
      </c>
      <c r="AE79" s="744">
        <v>0</v>
      </c>
      <c r="AF79" s="744">
        <v>0</v>
      </c>
      <c r="AG79" s="744">
        <v>0</v>
      </c>
      <c r="AH79" s="744">
        <v>0</v>
      </c>
      <c r="AI79" s="744">
        <v>0</v>
      </c>
      <c r="AJ79" s="744">
        <v>0</v>
      </c>
      <c r="AK79" s="744">
        <v>0</v>
      </c>
      <c r="AL79" s="744">
        <v>0</v>
      </c>
      <c r="AM79" s="744">
        <v>0</v>
      </c>
      <c r="AN79" s="744">
        <v>0</v>
      </c>
    </row>
    <row r="80" spans="1:40" ht="12.75" customHeight="1" x14ac:dyDescent="0.6">
      <c r="A80" s="736">
        <v>1300</v>
      </c>
      <c r="B80" s="736" t="s">
        <v>2121</v>
      </c>
      <c r="C80" s="737">
        <f t="shared" si="29"/>
        <v>0</v>
      </c>
      <c r="D80" s="738">
        <f t="shared" si="29"/>
        <v>0</v>
      </c>
      <c r="E80" s="738">
        <f t="shared" si="29"/>
        <v>0</v>
      </c>
      <c r="F80" s="738">
        <f t="shared" si="29"/>
        <v>0</v>
      </c>
      <c r="G80" s="738">
        <f t="shared" si="29"/>
        <v>0</v>
      </c>
      <c r="H80" s="738">
        <f t="shared" si="29"/>
        <v>0</v>
      </c>
      <c r="I80" s="738">
        <f t="shared" si="29"/>
        <v>0</v>
      </c>
      <c r="J80" s="738">
        <f t="shared" si="29"/>
        <v>0</v>
      </c>
      <c r="K80" s="738">
        <f t="shared" si="29"/>
        <v>0</v>
      </c>
      <c r="L80" s="738">
        <f t="shared" si="29"/>
        <v>0</v>
      </c>
      <c r="M80" s="738">
        <f t="shared" si="29"/>
        <v>0</v>
      </c>
      <c r="N80" s="738">
        <f t="shared" si="29"/>
        <v>0</v>
      </c>
      <c r="P80" s="737">
        <v>0</v>
      </c>
      <c r="Q80" s="738">
        <v>0</v>
      </c>
      <c r="R80" s="738">
        <v>0</v>
      </c>
      <c r="S80" s="738">
        <v>0</v>
      </c>
      <c r="T80" s="738">
        <v>0</v>
      </c>
      <c r="U80" s="738">
        <v>0</v>
      </c>
      <c r="V80" s="738">
        <v>0</v>
      </c>
      <c r="W80" s="738">
        <v>0</v>
      </c>
      <c r="X80" s="738">
        <v>0</v>
      </c>
      <c r="Y80" s="738">
        <v>0</v>
      </c>
      <c r="Z80" s="738">
        <v>0</v>
      </c>
      <c r="AA80" s="738">
        <v>0</v>
      </c>
      <c r="AC80" s="744">
        <v>0</v>
      </c>
      <c r="AD80" s="744">
        <v>0</v>
      </c>
      <c r="AE80" s="744">
        <v>0</v>
      </c>
      <c r="AF80" s="744">
        <v>0</v>
      </c>
      <c r="AG80" s="744">
        <v>0</v>
      </c>
      <c r="AH80" s="744">
        <v>0</v>
      </c>
      <c r="AI80" s="744">
        <v>0</v>
      </c>
      <c r="AJ80" s="744">
        <v>0</v>
      </c>
      <c r="AK80" s="744">
        <v>0</v>
      </c>
      <c r="AL80" s="744">
        <v>0</v>
      </c>
      <c r="AM80" s="744">
        <v>0</v>
      </c>
      <c r="AN80" s="744">
        <v>0</v>
      </c>
    </row>
    <row r="81" spans="1:40" ht="12.75" customHeight="1" x14ac:dyDescent="0.6">
      <c r="A81" s="736">
        <v>1900</v>
      </c>
      <c r="B81" s="736" t="s">
        <v>575</v>
      </c>
      <c r="C81" s="737">
        <f t="shared" si="29"/>
        <v>0</v>
      </c>
      <c r="D81" s="738">
        <f t="shared" si="29"/>
        <v>0</v>
      </c>
      <c r="E81" s="738">
        <f t="shared" si="29"/>
        <v>0</v>
      </c>
      <c r="F81" s="738">
        <f t="shared" si="29"/>
        <v>0</v>
      </c>
      <c r="G81" s="738">
        <f t="shared" si="29"/>
        <v>0</v>
      </c>
      <c r="H81" s="738">
        <f t="shared" si="29"/>
        <v>0</v>
      </c>
      <c r="I81" s="738">
        <f t="shared" si="29"/>
        <v>0</v>
      </c>
      <c r="J81" s="738">
        <f t="shared" si="29"/>
        <v>0</v>
      </c>
      <c r="K81" s="738">
        <f t="shared" si="29"/>
        <v>0</v>
      </c>
      <c r="L81" s="738">
        <f t="shared" si="29"/>
        <v>0</v>
      </c>
      <c r="M81" s="738">
        <f t="shared" si="29"/>
        <v>0</v>
      </c>
      <c r="N81" s="738">
        <f t="shared" si="29"/>
        <v>0</v>
      </c>
      <c r="P81" s="737">
        <v>0</v>
      </c>
      <c r="Q81" s="738">
        <v>0</v>
      </c>
      <c r="R81" s="738">
        <v>0</v>
      </c>
      <c r="S81" s="738">
        <v>0</v>
      </c>
      <c r="T81" s="738">
        <v>0</v>
      </c>
      <c r="U81" s="738">
        <v>0</v>
      </c>
      <c r="V81" s="738">
        <v>0</v>
      </c>
      <c r="W81" s="738">
        <v>0</v>
      </c>
      <c r="X81" s="738">
        <v>0</v>
      </c>
      <c r="Y81" s="738">
        <v>0</v>
      </c>
      <c r="Z81" s="738">
        <v>0</v>
      </c>
      <c r="AA81" s="738">
        <v>0</v>
      </c>
      <c r="AC81" s="744">
        <v>0</v>
      </c>
      <c r="AD81" s="744">
        <v>0</v>
      </c>
      <c r="AE81" s="744">
        <v>0</v>
      </c>
      <c r="AF81" s="744">
        <v>0</v>
      </c>
      <c r="AG81" s="744">
        <v>0</v>
      </c>
      <c r="AH81" s="744">
        <v>0</v>
      </c>
      <c r="AI81" s="744">
        <v>0</v>
      </c>
      <c r="AJ81" s="744">
        <v>0</v>
      </c>
      <c r="AK81" s="744">
        <v>0</v>
      </c>
      <c r="AL81" s="744">
        <v>0</v>
      </c>
      <c r="AM81" s="744">
        <v>0</v>
      </c>
      <c r="AN81" s="744">
        <v>0</v>
      </c>
    </row>
    <row r="82" spans="1:40" ht="12.75" customHeight="1" x14ac:dyDescent="0.6">
      <c r="A82" s="736">
        <v>2100</v>
      </c>
      <c r="B82" s="736" t="s">
        <v>577</v>
      </c>
      <c r="C82" s="737">
        <f t="shared" si="29"/>
        <v>0</v>
      </c>
      <c r="D82" s="738">
        <f t="shared" si="29"/>
        <v>0</v>
      </c>
      <c r="E82" s="738">
        <f t="shared" si="29"/>
        <v>0</v>
      </c>
      <c r="F82" s="738">
        <f t="shared" si="29"/>
        <v>0</v>
      </c>
      <c r="G82" s="738">
        <f t="shared" si="29"/>
        <v>0</v>
      </c>
      <c r="H82" s="738">
        <f t="shared" si="29"/>
        <v>0</v>
      </c>
      <c r="I82" s="738">
        <f t="shared" si="29"/>
        <v>0</v>
      </c>
      <c r="J82" s="738">
        <f t="shared" si="29"/>
        <v>0</v>
      </c>
      <c r="K82" s="738">
        <f t="shared" si="29"/>
        <v>0</v>
      </c>
      <c r="L82" s="738">
        <f t="shared" si="29"/>
        <v>0</v>
      </c>
      <c r="M82" s="738">
        <f t="shared" si="29"/>
        <v>0</v>
      </c>
      <c r="N82" s="738">
        <f t="shared" si="29"/>
        <v>0</v>
      </c>
      <c r="P82" s="737">
        <v>0</v>
      </c>
      <c r="Q82" s="738">
        <v>0</v>
      </c>
      <c r="R82" s="738">
        <v>0</v>
      </c>
      <c r="S82" s="738">
        <v>0</v>
      </c>
      <c r="T82" s="738">
        <v>0</v>
      </c>
      <c r="U82" s="738">
        <v>0</v>
      </c>
      <c r="V82" s="738">
        <v>0</v>
      </c>
      <c r="W82" s="738">
        <v>0</v>
      </c>
      <c r="X82" s="738">
        <v>0</v>
      </c>
      <c r="Y82" s="738">
        <v>0</v>
      </c>
      <c r="Z82" s="738">
        <v>0</v>
      </c>
      <c r="AA82" s="738">
        <v>0</v>
      </c>
      <c r="AC82" s="744">
        <v>0</v>
      </c>
      <c r="AD82" s="744">
        <v>0</v>
      </c>
      <c r="AE82" s="744">
        <v>0</v>
      </c>
      <c r="AF82" s="744">
        <v>0</v>
      </c>
      <c r="AG82" s="744">
        <v>0</v>
      </c>
      <c r="AH82" s="744">
        <v>0</v>
      </c>
      <c r="AI82" s="744">
        <v>0</v>
      </c>
      <c r="AJ82" s="744">
        <v>0</v>
      </c>
      <c r="AK82" s="744">
        <v>0</v>
      </c>
      <c r="AL82" s="744">
        <v>0</v>
      </c>
      <c r="AM82" s="744">
        <v>0</v>
      </c>
      <c r="AN82" s="744">
        <v>0</v>
      </c>
    </row>
    <row r="83" spans="1:40" ht="12.75" customHeight="1" x14ac:dyDescent="0.6">
      <c r="A83" s="736">
        <v>2200</v>
      </c>
      <c r="B83" s="736" t="s">
        <v>579</v>
      </c>
      <c r="C83" s="737">
        <f t="shared" si="29"/>
        <v>0</v>
      </c>
      <c r="D83" s="738">
        <f t="shared" si="29"/>
        <v>0</v>
      </c>
      <c r="E83" s="738">
        <f t="shared" si="29"/>
        <v>0</v>
      </c>
      <c r="F83" s="738">
        <f t="shared" si="29"/>
        <v>0</v>
      </c>
      <c r="G83" s="738">
        <f t="shared" si="29"/>
        <v>0</v>
      </c>
      <c r="H83" s="738">
        <f t="shared" si="29"/>
        <v>0</v>
      </c>
      <c r="I83" s="738">
        <f t="shared" si="29"/>
        <v>0</v>
      </c>
      <c r="J83" s="738">
        <f t="shared" si="29"/>
        <v>0</v>
      </c>
      <c r="K83" s="738">
        <f t="shared" si="29"/>
        <v>0</v>
      </c>
      <c r="L83" s="738">
        <f t="shared" si="29"/>
        <v>0</v>
      </c>
      <c r="M83" s="738">
        <f t="shared" si="29"/>
        <v>0</v>
      </c>
      <c r="N83" s="738">
        <f t="shared" si="29"/>
        <v>0</v>
      </c>
      <c r="P83" s="737">
        <v>0</v>
      </c>
      <c r="Q83" s="738">
        <v>0</v>
      </c>
      <c r="R83" s="738">
        <v>0</v>
      </c>
      <c r="S83" s="738">
        <v>0</v>
      </c>
      <c r="T83" s="738">
        <v>0</v>
      </c>
      <c r="U83" s="738">
        <v>0</v>
      </c>
      <c r="V83" s="738">
        <v>0</v>
      </c>
      <c r="W83" s="738">
        <v>0</v>
      </c>
      <c r="X83" s="738">
        <v>0</v>
      </c>
      <c r="Y83" s="738">
        <v>0</v>
      </c>
      <c r="Z83" s="738">
        <v>0</v>
      </c>
      <c r="AA83" s="738">
        <v>0</v>
      </c>
      <c r="AC83" s="744">
        <v>0</v>
      </c>
      <c r="AD83" s="744">
        <v>0</v>
      </c>
      <c r="AE83" s="744">
        <v>0</v>
      </c>
      <c r="AF83" s="744">
        <v>0</v>
      </c>
      <c r="AG83" s="744">
        <v>0</v>
      </c>
      <c r="AH83" s="744">
        <v>0</v>
      </c>
      <c r="AI83" s="744">
        <v>0</v>
      </c>
      <c r="AJ83" s="744">
        <v>0</v>
      </c>
      <c r="AK83" s="744">
        <v>0</v>
      </c>
      <c r="AL83" s="744">
        <v>0</v>
      </c>
      <c r="AM83" s="744">
        <v>0</v>
      </c>
      <c r="AN83" s="744">
        <v>0</v>
      </c>
    </row>
    <row r="84" spans="1:40" ht="12.75" customHeight="1" x14ac:dyDescent="0.6">
      <c r="A84" s="736">
        <v>2300</v>
      </c>
      <c r="B84" s="736" t="s">
        <v>581</v>
      </c>
      <c r="C84" s="737">
        <f t="shared" si="29"/>
        <v>0</v>
      </c>
      <c r="D84" s="738">
        <f t="shared" si="29"/>
        <v>0</v>
      </c>
      <c r="E84" s="738">
        <f t="shared" si="29"/>
        <v>0</v>
      </c>
      <c r="F84" s="738">
        <f t="shared" si="29"/>
        <v>0</v>
      </c>
      <c r="G84" s="738">
        <f t="shared" si="29"/>
        <v>0</v>
      </c>
      <c r="H84" s="738">
        <f t="shared" si="29"/>
        <v>0</v>
      </c>
      <c r="I84" s="738">
        <f t="shared" si="29"/>
        <v>0</v>
      </c>
      <c r="J84" s="738">
        <f t="shared" si="29"/>
        <v>0</v>
      </c>
      <c r="K84" s="738">
        <f t="shared" si="29"/>
        <v>0</v>
      </c>
      <c r="L84" s="738">
        <f t="shared" si="29"/>
        <v>0</v>
      </c>
      <c r="M84" s="738">
        <f t="shared" si="29"/>
        <v>0</v>
      </c>
      <c r="N84" s="738">
        <f t="shared" si="29"/>
        <v>0</v>
      </c>
      <c r="P84" s="737">
        <v>0</v>
      </c>
      <c r="Q84" s="738">
        <v>0</v>
      </c>
      <c r="R84" s="738">
        <v>0</v>
      </c>
      <c r="S84" s="738">
        <v>0</v>
      </c>
      <c r="T84" s="738">
        <v>0</v>
      </c>
      <c r="U84" s="738">
        <v>0</v>
      </c>
      <c r="V84" s="738">
        <v>0</v>
      </c>
      <c r="W84" s="738">
        <v>0</v>
      </c>
      <c r="X84" s="738">
        <v>0</v>
      </c>
      <c r="Y84" s="738">
        <v>0</v>
      </c>
      <c r="Z84" s="738">
        <v>0</v>
      </c>
      <c r="AA84" s="738">
        <v>0</v>
      </c>
      <c r="AC84" s="744">
        <v>0</v>
      </c>
      <c r="AD84" s="744">
        <v>0</v>
      </c>
      <c r="AE84" s="744">
        <v>0</v>
      </c>
      <c r="AF84" s="744">
        <v>0</v>
      </c>
      <c r="AG84" s="744">
        <v>0</v>
      </c>
      <c r="AH84" s="744">
        <v>0</v>
      </c>
      <c r="AI84" s="744">
        <v>0</v>
      </c>
      <c r="AJ84" s="744">
        <v>0</v>
      </c>
      <c r="AK84" s="744">
        <v>0</v>
      </c>
      <c r="AL84" s="744">
        <v>0</v>
      </c>
      <c r="AM84" s="744">
        <v>0</v>
      </c>
      <c r="AN84" s="744">
        <v>0</v>
      </c>
    </row>
    <row r="85" spans="1:40" ht="12.75" customHeight="1" x14ac:dyDescent="0.6">
      <c r="A85" s="736">
        <v>2400</v>
      </c>
      <c r="B85" s="736" t="s">
        <v>2122</v>
      </c>
      <c r="C85" s="737">
        <f t="shared" si="29"/>
        <v>0</v>
      </c>
      <c r="D85" s="738">
        <f t="shared" si="29"/>
        <v>0</v>
      </c>
      <c r="E85" s="738">
        <f t="shared" si="29"/>
        <v>0</v>
      </c>
      <c r="F85" s="738">
        <f t="shared" si="29"/>
        <v>0</v>
      </c>
      <c r="G85" s="738">
        <f t="shared" si="29"/>
        <v>0</v>
      </c>
      <c r="H85" s="738">
        <f t="shared" si="29"/>
        <v>0</v>
      </c>
      <c r="I85" s="738">
        <f t="shared" si="29"/>
        <v>0</v>
      </c>
      <c r="J85" s="738">
        <f t="shared" si="29"/>
        <v>0</v>
      </c>
      <c r="K85" s="738">
        <f t="shared" si="29"/>
        <v>0</v>
      </c>
      <c r="L85" s="738">
        <f t="shared" si="29"/>
        <v>0</v>
      </c>
      <c r="M85" s="738">
        <f t="shared" si="29"/>
        <v>0</v>
      </c>
      <c r="N85" s="738">
        <f t="shared" si="29"/>
        <v>0</v>
      </c>
      <c r="P85" s="737">
        <v>0</v>
      </c>
      <c r="Q85" s="738">
        <v>0</v>
      </c>
      <c r="R85" s="738">
        <v>0</v>
      </c>
      <c r="S85" s="738">
        <v>0</v>
      </c>
      <c r="T85" s="738">
        <v>0</v>
      </c>
      <c r="U85" s="738">
        <v>0</v>
      </c>
      <c r="V85" s="738">
        <v>0</v>
      </c>
      <c r="W85" s="738">
        <v>0</v>
      </c>
      <c r="X85" s="738">
        <v>0</v>
      </c>
      <c r="Y85" s="738">
        <v>0</v>
      </c>
      <c r="Z85" s="738">
        <v>0</v>
      </c>
      <c r="AA85" s="738">
        <v>0</v>
      </c>
      <c r="AC85" s="744">
        <v>0</v>
      </c>
      <c r="AD85" s="744">
        <v>0</v>
      </c>
      <c r="AE85" s="744">
        <v>0</v>
      </c>
      <c r="AF85" s="744">
        <v>0</v>
      </c>
      <c r="AG85" s="744">
        <v>0</v>
      </c>
      <c r="AH85" s="744">
        <v>0</v>
      </c>
      <c r="AI85" s="744">
        <v>0</v>
      </c>
      <c r="AJ85" s="744">
        <v>0</v>
      </c>
      <c r="AK85" s="744">
        <v>0</v>
      </c>
      <c r="AL85" s="744">
        <v>0</v>
      </c>
      <c r="AM85" s="744">
        <v>0</v>
      </c>
      <c r="AN85" s="744">
        <v>0</v>
      </c>
    </row>
    <row r="86" spans="1:40" ht="12.75" customHeight="1" x14ac:dyDescent="0.6">
      <c r="A86" s="736">
        <v>2900</v>
      </c>
      <c r="B86" s="736" t="s">
        <v>584</v>
      </c>
      <c r="C86" s="737">
        <f t="shared" si="29"/>
        <v>0</v>
      </c>
      <c r="D86" s="738">
        <f t="shared" si="29"/>
        <v>0</v>
      </c>
      <c r="E86" s="738">
        <f t="shared" si="29"/>
        <v>0</v>
      </c>
      <c r="F86" s="738">
        <f t="shared" si="29"/>
        <v>0</v>
      </c>
      <c r="G86" s="738">
        <f t="shared" si="29"/>
        <v>0</v>
      </c>
      <c r="H86" s="738">
        <f t="shared" si="29"/>
        <v>0</v>
      </c>
      <c r="I86" s="738">
        <f t="shared" si="29"/>
        <v>0</v>
      </c>
      <c r="J86" s="738">
        <f t="shared" si="29"/>
        <v>0</v>
      </c>
      <c r="K86" s="738">
        <f t="shared" si="29"/>
        <v>0</v>
      </c>
      <c r="L86" s="738">
        <f t="shared" si="29"/>
        <v>0</v>
      </c>
      <c r="M86" s="738">
        <f t="shared" si="29"/>
        <v>0</v>
      </c>
      <c r="N86" s="738">
        <f t="shared" si="29"/>
        <v>0</v>
      </c>
      <c r="P86" s="737">
        <v>0</v>
      </c>
      <c r="Q86" s="738">
        <v>0</v>
      </c>
      <c r="R86" s="738">
        <v>0</v>
      </c>
      <c r="S86" s="738">
        <v>0</v>
      </c>
      <c r="T86" s="738">
        <v>0</v>
      </c>
      <c r="U86" s="738">
        <v>0</v>
      </c>
      <c r="V86" s="738">
        <v>0</v>
      </c>
      <c r="W86" s="738">
        <v>0</v>
      </c>
      <c r="X86" s="738">
        <v>0</v>
      </c>
      <c r="Y86" s="738">
        <v>0</v>
      </c>
      <c r="Z86" s="738">
        <v>0</v>
      </c>
      <c r="AA86" s="738">
        <v>0</v>
      </c>
      <c r="AC86" s="744">
        <v>0</v>
      </c>
      <c r="AD86" s="744">
        <v>0</v>
      </c>
      <c r="AE86" s="744">
        <v>0</v>
      </c>
      <c r="AF86" s="744">
        <v>0</v>
      </c>
      <c r="AG86" s="744">
        <v>0</v>
      </c>
      <c r="AH86" s="744">
        <v>0</v>
      </c>
      <c r="AI86" s="744">
        <v>0</v>
      </c>
      <c r="AJ86" s="744">
        <v>0</v>
      </c>
      <c r="AK86" s="744">
        <v>0</v>
      </c>
      <c r="AL86" s="744">
        <v>0</v>
      </c>
      <c r="AM86" s="744">
        <v>0</v>
      </c>
      <c r="AN86" s="744">
        <v>0</v>
      </c>
    </row>
    <row r="87" spans="1:40" ht="12.75" customHeight="1" x14ac:dyDescent="0.6">
      <c r="B87" s="739" t="s">
        <v>1480</v>
      </c>
      <c r="C87" s="740">
        <f t="shared" si="29"/>
        <v>0</v>
      </c>
      <c r="D87" s="741">
        <f t="shared" si="29"/>
        <v>0</v>
      </c>
      <c r="E87" s="741">
        <f t="shared" si="29"/>
        <v>0</v>
      </c>
      <c r="F87" s="741">
        <f t="shared" si="29"/>
        <v>0</v>
      </c>
      <c r="G87" s="741">
        <f t="shared" si="29"/>
        <v>0</v>
      </c>
      <c r="H87" s="741">
        <f t="shared" si="29"/>
        <v>0</v>
      </c>
      <c r="I87" s="741">
        <f t="shared" si="29"/>
        <v>0</v>
      </c>
      <c r="J87" s="741">
        <f t="shared" si="29"/>
        <v>0</v>
      </c>
      <c r="K87" s="741">
        <f t="shared" si="29"/>
        <v>0</v>
      </c>
      <c r="L87" s="741">
        <f t="shared" si="29"/>
        <v>0</v>
      </c>
      <c r="M87" s="741">
        <f t="shared" si="29"/>
        <v>0</v>
      </c>
      <c r="N87" s="741">
        <f t="shared" si="29"/>
        <v>0</v>
      </c>
      <c r="P87" s="740">
        <v>0</v>
      </c>
      <c r="Q87" s="741">
        <v>0</v>
      </c>
      <c r="R87" s="741">
        <v>0</v>
      </c>
      <c r="S87" s="741">
        <v>0</v>
      </c>
      <c r="T87" s="741">
        <v>0</v>
      </c>
      <c r="U87" s="741">
        <v>0</v>
      </c>
      <c r="V87" s="741">
        <v>0</v>
      </c>
      <c r="W87" s="741">
        <v>0</v>
      </c>
      <c r="X87" s="741">
        <v>0</v>
      </c>
      <c r="Y87" s="741">
        <v>0</v>
      </c>
      <c r="Z87" s="741">
        <v>0</v>
      </c>
      <c r="AA87" s="741">
        <v>0</v>
      </c>
      <c r="AC87" s="745">
        <v>0</v>
      </c>
      <c r="AD87" s="745">
        <v>0</v>
      </c>
      <c r="AE87" s="745">
        <v>0</v>
      </c>
      <c r="AF87" s="745">
        <v>0</v>
      </c>
      <c r="AG87" s="745">
        <v>0</v>
      </c>
      <c r="AH87" s="745">
        <v>0</v>
      </c>
      <c r="AI87" s="745">
        <v>0</v>
      </c>
      <c r="AJ87" s="745">
        <v>0</v>
      </c>
      <c r="AK87" s="745">
        <v>0</v>
      </c>
      <c r="AL87" s="745">
        <v>0</v>
      </c>
      <c r="AM87" s="745">
        <v>0</v>
      </c>
      <c r="AN87" s="745">
        <v>0</v>
      </c>
    </row>
    <row r="88" spans="1:40" ht="12.75" customHeight="1" x14ac:dyDescent="0.6">
      <c r="B88" s="739" t="s">
        <v>2123</v>
      </c>
      <c r="C88" s="737">
        <f t="shared" si="29"/>
        <v>0</v>
      </c>
      <c r="D88" s="738">
        <f t="shared" si="29"/>
        <v>0</v>
      </c>
      <c r="E88" s="738">
        <f t="shared" si="29"/>
        <v>0</v>
      </c>
      <c r="F88" s="738">
        <f t="shared" si="29"/>
        <v>0</v>
      </c>
      <c r="G88" s="738">
        <f t="shared" si="29"/>
        <v>0</v>
      </c>
      <c r="H88" s="738">
        <f t="shared" si="29"/>
        <v>0</v>
      </c>
      <c r="I88" s="738">
        <f t="shared" si="29"/>
        <v>0</v>
      </c>
      <c r="J88" s="738">
        <f t="shared" si="29"/>
        <v>0</v>
      </c>
      <c r="K88" s="738">
        <f t="shared" si="29"/>
        <v>0</v>
      </c>
      <c r="L88" s="738">
        <f t="shared" si="29"/>
        <v>0</v>
      </c>
      <c r="M88" s="738">
        <f t="shared" si="29"/>
        <v>0</v>
      </c>
      <c r="N88" s="738">
        <f t="shared" si="29"/>
        <v>0</v>
      </c>
      <c r="P88" s="737">
        <v>0</v>
      </c>
      <c r="Q88" s="738">
        <v>0</v>
      </c>
      <c r="R88" s="738">
        <v>0</v>
      </c>
      <c r="S88" s="738">
        <v>0</v>
      </c>
      <c r="T88" s="738">
        <v>0</v>
      </c>
      <c r="U88" s="738">
        <v>0</v>
      </c>
      <c r="V88" s="738">
        <v>0</v>
      </c>
      <c r="W88" s="738">
        <v>0</v>
      </c>
      <c r="X88" s="738">
        <v>0</v>
      </c>
      <c r="Y88" s="738">
        <v>0</v>
      </c>
      <c r="Z88" s="738">
        <v>0</v>
      </c>
      <c r="AA88" s="738">
        <v>0</v>
      </c>
      <c r="AC88" s="744"/>
      <c r="AD88" s="744">
        <v>0</v>
      </c>
      <c r="AE88" s="744">
        <v>0</v>
      </c>
      <c r="AF88" s="744">
        <v>0</v>
      </c>
      <c r="AG88" s="744">
        <v>0</v>
      </c>
      <c r="AH88" s="744">
        <v>0</v>
      </c>
      <c r="AI88" s="744">
        <v>0</v>
      </c>
      <c r="AJ88" s="744">
        <v>0</v>
      </c>
      <c r="AK88" s="744">
        <v>0</v>
      </c>
      <c r="AL88" s="744">
        <v>0</v>
      </c>
      <c r="AM88" s="744">
        <v>0</v>
      </c>
      <c r="AN88" s="744">
        <v>0</v>
      </c>
    </row>
    <row r="89" spans="1:40" ht="12.75" customHeight="1" x14ac:dyDescent="0.6">
      <c r="B89" s="739" t="s">
        <v>1501</v>
      </c>
      <c r="C89" s="740"/>
      <c r="D89" s="741">
        <v>0</v>
      </c>
      <c r="E89" s="741">
        <v>0</v>
      </c>
      <c r="F89" s="741">
        <v>0</v>
      </c>
      <c r="G89" s="741">
        <v>0</v>
      </c>
      <c r="H89" s="741">
        <v>0</v>
      </c>
      <c r="I89" s="741">
        <v>0</v>
      </c>
      <c r="J89" s="741">
        <v>0</v>
      </c>
      <c r="K89" s="741">
        <v>0</v>
      </c>
      <c r="L89" s="741">
        <v>0</v>
      </c>
      <c r="M89" s="741">
        <v>0</v>
      </c>
      <c r="N89" s="741">
        <v>0</v>
      </c>
      <c r="P89" s="740"/>
      <c r="Q89" s="741">
        <v>0</v>
      </c>
      <c r="R89" s="741">
        <v>0</v>
      </c>
      <c r="S89" s="741">
        <v>0</v>
      </c>
      <c r="T89" s="741">
        <v>0</v>
      </c>
      <c r="U89" s="741">
        <v>0</v>
      </c>
      <c r="V89" s="741">
        <v>0</v>
      </c>
      <c r="W89" s="741">
        <v>0</v>
      </c>
      <c r="X89" s="741">
        <v>0</v>
      </c>
      <c r="Y89" s="741">
        <v>0</v>
      </c>
      <c r="Z89" s="741">
        <v>0</v>
      </c>
      <c r="AA89" s="741">
        <v>0</v>
      </c>
      <c r="AC89" s="740"/>
      <c r="AD89" s="741">
        <v>0</v>
      </c>
      <c r="AE89" s="741">
        <v>0</v>
      </c>
      <c r="AF89" s="741">
        <v>0</v>
      </c>
      <c r="AG89" s="741">
        <v>0</v>
      </c>
      <c r="AH89" s="741">
        <v>0</v>
      </c>
      <c r="AI89" s="741">
        <v>0</v>
      </c>
      <c r="AJ89" s="741">
        <v>0</v>
      </c>
      <c r="AK89" s="741">
        <v>0</v>
      </c>
      <c r="AL89" s="741">
        <v>0</v>
      </c>
      <c r="AM89" s="741">
        <v>0</v>
      </c>
      <c r="AN89" s="741">
        <v>0</v>
      </c>
    </row>
    <row r="90" spans="1:40" ht="12.75" customHeight="1" x14ac:dyDescent="0.6"/>
    <row r="91" spans="1:40" ht="12.75" customHeight="1" x14ac:dyDescent="0.6"/>
    <row r="92" spans="1:40" ht="12.75" customHeight="1" x14ac:dyDescent="0.6"/>
    <row r="93" spans="1:40" ht="12.75" customHeight="1" x14ac:dyDescent="0.6"/>
    <row r="94" spans="1:40" ht="12.75" customHeight="1" x14ac:dyDescent="0.6"/>
    <row r="95" spans="1:40" ht="12.75" customHeight="1" x14ac:dyDescent="0.6"/>
    <row r="96" spans="1:40" ht="12.75" customHeight="1" x14ac:dyDescent="0.6"/>
    <row r="97" ht="12.75" customHeight="1" x14ac:dyDescent="0.6"/>
    <row r="98" ht="12.75" customHeight="1" x14ac:dyDescent="0.6"/>
    <row r="99" ht="12.75" customHeight="1" x14ac:dyDescent="0.6"/>
    <row r="100" ht="12.75" customHeight="1" x14ac:dyDescent="0.6"/>
    <row r="101" ht="12.75" customHeight="1" x14ac:dyDescent="0.6"/>
    <row r="102" ht="12.75" customHeight="1" x14ac:dyDescent="0.6"/>
    <row r="103" ht="12.75" customHeight="1" x14ac:dyDescent="0.6"/>
    <row r="104" ht="12.75" customHeight="1" x14ac:dyDescent="0.6"/>
    <row r="105" ht="12.75" customHeight="1" x14ac:dyDescent="0.6"/>
    <row r="106" ht="12.75" customHeight="1" x14ac:dyDescent="0.6"/>
    <row r="107" ht="12.75" customHeight="1" x14ac:dyDescent="0.6"/>
    <row r="108" ht="12.75" customHeight="1" x14ac:dyDescent="0.6"/>
    <row r="109" ht="12.75" customHeight="1" x14ac:dyDescent="0.6"/>
    <row r="110" ht="12.75" customHeight="1" x14ac:dyDescent="0.6"/>
    <row r="111" ht="12.75" customHeight="1" x14ac:dyDescent="0.6"/>
    <row r="112" ht="12.75" customHeight="1" x14ac:dyDescent="0.6"/>
    <row r="113" ht="12.75" customHeight="1" x14ac:dyDescent="0.6"/>
    <row r="114" ht="12.75" customHeight="1" x14ac:dyDescent="0.6"/>
    <row r="115" ht="12.75" customHeight="1" x14ac:dyDescent="0.6"/>
    <row r="116" ht="12.75" customHeight="1" x14ac:dyDescent="0.6"/>
    <row r="117" ht="12.75" customHeight="1" x14ac:dyDescent="0.6"/>
    <row r="118" ht="12.75" customHeight="1" x14ac:dyDescent="0.6"/>
    <row r="119" ht="12.75" customHeight="1" x14ac:dyDescent="0.6"/>
    <row r="120" ht="12.75" customHeight="1" x14ac:dyDescent="0.6"/>
    <row r="121" ht="12.75" customHeight="1" x14ac:dyDescent="0.6"/>
    <row r="122" ht="12.75" customHeight="1" x14ac:dyDescent="0.6"/>
    <row r="123" ht="12.75" customHeight="1" x14ac:dyDescent="0.6"/>
    <row r="124" ht="12.75" customHeight="1" x14ac:dyDescent="0.6"/>
    <row r="125" ht="12.75" customHeight="1" x14ac:dyDescent="0.6"/>
    <row r="126" ht="12.75" customHeight="1" x14ac:dyDescent="0.6"/>
    <row r="127" ht="12.75" customHeight="1" x14ac:dyDescent="0.6"/>
    <row r="128" ht="12.75" customHeight="1" x14ac:dyDescent="0.6"/>
    <row r="129" ht="12.75" customHeight="1" x14ac:dyDescent="0.6"/>
    <row r="130" ht="12.75" customHeight="1" x14ac:dyDescent="0.6"/>
    <row r="131" ht="12.75" customHeight="1" x14ac:dyDescent="0.6"/>
    <row r="132" ht="12.75" customHeight="1" x14ac:dyDescent="0.6"/>
    <row r="133" ht="12.75" customHeight="1" x14ac:dyDescent="0.6"/>
    <row r="134" ht="12.75" customHeight="1" x14ac:dyDescent="0.6"/>
    <row r="135" ht="12.75" customHeight="1" x14ac:dyDescent="0.6"/>
    <row r="136" ht="12.75" customHeight="1" x14ac:dyDescent="0.6"/>
    <row r="137" ht="12.75" customHeight="1" x14ac:dyDescent="0.6"/>
    <row r="138" ht="12.75" customHeight="1" x14ac:dyDescent="0.6"/>
    <row r="139" ht="12.75" customHeight="1" x14ac:dyDescent="0.6"/>
    <row r="140" ht="12.75" customHeight="1" x14ac:dyDescent="0.6"/>
    <row r="141" ht="12.75" customHeight="1" x14ac:dyDescent="0.6"/>
    <row r="142" ht="12.75" customHeight="1" x14ac:dyDescent="0.6"/>
    <row r="143" ht="12.75" customHeight="1" x14ac:dyDescent="0.6"/>
    <row r="144" ht="12.75" customHeight="1" x14ac:dyDescent="0.6"/>
    <row r="145" ht="12.75" customHeight="1" x14ac:dyDescent="0.6"/>
    <row r="146" ht="12.75" customHeight="1" x14ac:dyDescent="0.6"/>
    <row r="147" ht="12.75" customHeight="1" x14ac:dyDescent="0.6"/>
    <row r="148" ht="12.75" customHeight="1" x14ac:dyDescent="0.6"/>
    <row r="149" ht="12.75" customHeight="1" x14ac:dyDescent="0.6"/>
    <row r="150" ht="12.75" customHeight="1" x14ac:dyDescent="0.6"/>
    <row r="151" ht="12.75" customHeight="1" x14ac:dyDescent="0.6"/>
    <row r="152" ht="12.75" customHeight="1" x14ac:dyDescent="0.6"/>
    <row r="153" ht="12.75" customHeight="1" x14ac:dyDescent="0.6"/>
    <row r="154" ht="12.75" customHeight="1" x14ac:dyDescent="0.6"/>
    <row r="155" ht="12.75" customHeight="1" x14ac:dyDescent="0.6"/>
    <row r="156" ht="12.75" customHeight="1" x14ac:dyDescent="0.6"/>
    <row r="157" ht="12.75" customHeight="1" x14ac:dyDescent="0.6"/>
    <row r="158" ht="12.75" customHeight="1" x14ac:dyDescent="0.6"/>
    <row r="159" ht="12.75" customHeight="1" x14ac:dyDescent="0.6"/>
    <row r="160" ht="12.75" customHeight="1" x14ac:dyDescent="0.6"/>
    <row r="161" ht="12.75" customHeight="1" x14ac:dyDescent="0.6"/>
    <row r="162" ht="12.75" customHeight="1" x14ac:dyDescent="0.6"/>
    <row r="163" ht="12.75" customHeight="1" x14ac:dyDescent="0.6"/>
    <row r="164" ht="12.75" customHeight="1" x14ac:dyDescent="0.6"/>
    <row r="165" ht="12.75" customHeight="1" x14ac:dyDescent="0.6"/>
    <row r="166" ht="12.75" customHeight="1" x14ac:dyDescent="0.6"/>
    <row r="167" ht="12.75" customHeight="1" x14ac:dyDescent="0.6"/>
    <row r="168" ht="12.75" customHeight="1" x14ac:dyDescent="0.6"/>
    <row r="169" ht="12.75" customHeight="1" x14ac:dyDescent="0.6"/>
    <row r="170" ht="12.75" customHeight="1" x14ac:dyDescent="0.6"/>
    <row r="171" ht="12.75" customHeight="1" x14ac:dyDescent="0.6"/>
    <row r="172" ht="12.75" customHeight="1" x14ac:dyDescent="0.6"/>
    <row r="173" ht="12.75" customHeight="1" x14ac:dyDescent="0.6"/>
    <row r="174" ht="12.75" customHeight="1" x14ac:dyDescent="0.6"/>
    <row r="175" ht="12.75" customHeight="1" x14ac:dyDescent="0.6"/>
    <row r="176" ht="12.75" customHeight="1" x14ac:dyDescent="0.6"/>
    <row r="177" ht="12.75" customHeight="1" x14ac:dyDescent="0.6"/>
    <row r="178" ht="12.75" customHeight="1" x14ac:dyDescent="0.6"/>
    <row r="179" ht="12.75" customHeight="1" x14ac:dyDescent="0.6"/>
    <row r="180" ht="12.75" customHeight="1" x14ac:dyDescent="0.6"/>
    <row r="181" ht="12.75" customHeight="1" x14ac:dyDescent="0.6"/>
    <row r="182" ht="12.75" customHeight="1" x14ac:dyDescent="0.6"/>
    <row r="183" ht="12.75" customHeight="1" x14ac:dyDescent="0.6"/>
    <row r="184" ht="12.75" customHeight="1" x14ac:dyDescent="0.6"/>
    <row r="185" ht="12.75" customHeight="1" x14ac:dyDescent="0.6"/>
    <row r="186" ht="12.75" customHeight="1" x14ac:dyDescent="0.6"/>
    <row r="187" ht="12.75" customHeight="1" x14ac:dyDescent="0.6"/>
    <row r="188" ht="12.75" customHeight="1" x14ac:dyDescent="0.6"/>
    <row r="189" ht="12.75" customHeight="1" x14ac:dyDescent="0.6"/>
    <row r="190" ht="12.75" customHeight="1" x14ac:dyDescent="0.6"/>
    <row r="191" ht="12.75" customHeight="1" x14ac:dyDescent="0.6"/>
    <row r="192" ht="12.75" customHeight="1" x14ac:dyDescent="0.6"/>
    <row r="193" ht="12.75" customHeight="1" x14ac:dyDescent="0.6"/>
    <row r="194" ht="12.75" customHeight="1" x14ac:dyDescent="0.6"/>
    <row r="195" ht="12.75" customHeight="1" x14ac:dyDescent="0.6"/>
    <row r="196" ht="12.75" customHeight="1" x14ac:dyDescent="0.6"/>
    <row r="197" ht="12.75" customHeight="1" x14ac:dyDescent="0.6"/>
    <row r="198" ht="12.75" customHeight="1" x14ac:dyDescent="0.6"/>
    <row r="199" ht="12.75" customHeight="1" x14ac:dyDescent="0.6"/>
    <row r="200" ht="12.75" customHeight="1" x14ac:dyDescent="0.6"/>
    <row r="201" ht="12.75" customHeight="1" x14ac:dyDescent="0.6"/>
    <row r="202" ht="12.75" customHeight="1" x14ac:dyDescent="0.6"/>
    <row r="203" ht="12.75" customHeight="1" x14ac:dyDescent="0.6"/>
    <row r="204" ht="12.75" customHeight="1" x14ac:dyDescent="0.6"/>
    <row r="205" ht="12.75" customHeight="1" x14ac:dyDescent="0.6"/>
    <row r="206" ht="12.75" customHeight="1" x14ac:dyDescent="0.6"/>
    <row r="207" ht="12.75" customHeight="1" x14ac:dyDescent="0.6"/>
    <row r="208" ht="12.75" customHeight="1" x14ac:dyDescent="0.6"/>
    <row r="209" ht="12.75" customHeight="1" x14ac:dyDescent="0.6"/>
    <row r="210" ht="12.75" customHeight="1" x14ac:dyDescent="0.6"/>
    <row r="211" ht="12.75" customHeight="1" x14ac:dyDescent="0.6"/>
    <row r="212" ht="12.75" customHeight="1" x14ac:dyDescent="0.6"/>
    <row r="213" ht="12.75" customHeight="1" x14ac:dyDescent="0.6"/>
    <row r="214" ht="12.75" customHeight="1" x14ac:dyDescent="0.6"/>
    <row r="215" ht="12.75" customHeight="1" x14ac:dyDescent="0.6"/>
    <row r="216" ht="12.75" customHeight="1" x14ac:dyDescent="0.6"/>
    <row r="217" ht="12.75" customHeight="1" x14ac:dyDescent="0.6"/>
    <row r="218" ht="12.75" customHeight="1" x14ac:dyDescent="0.6"/>
    <row r="219" ht="12.75" customHeight="1" x14ac:dyDescent="0.6"/>
    <row r="220" ht="12.75" customHeight="1" x14ac:dyDescent="0.6"/>
    <row r="221" ht="12.75" customHeight="1" x14ac:dyDescent="0.6"/>
    <row r="222" ht="12.75" customHeight="1" x14ac:dyDescent="0.6"/>
    <row r="223" ht="12.75" customHeight="1" x14ac:dyDescent="0.6"/>
    <row r="224" ht="12.75" customHeight="1" x14ac:dyDescent="0.6"/>
    <row r="225" ht="12.75" customHeight="1" x14ac:dyDescent="0.6"/>
    <row r="226" ht="12.75" customHeight="1" x14ac:dyDescent="0.6"/>
    <row r="227" ht="12.75" customHeight="1" x14ac:dyDescent="0.6"/>
    <row r="228" ht="12.75" customHeight="1" x14ac:dyDescent="0.6"/>
    <row r="229" ht="12.75" customHeight="1" x14ac:dyDescent="0.6"/>
    <row r="230" ht="12.75" customHeight="1" x14ac:dyDescent="0.6"/>
    <row r="231" ht="12.75" customHeight="1" x14ac:dyDescent="0.6"/>
    <row r="232" ht="12.75" customHeight="1" x14ac:dyDescent="0.6"/>
    <row r="233" ht="12.75" customHeight="1" x14ac:dyDescent="0.6"/>
    <row r="234" ht="12.75" customHeight="1" x14ac:dyDescent="0.6"/>
    <row r="235" ht="12.75" customHeight="1" x14ac:dyDescent="0.6"/>
    <row r="236" ht="12.75" customHeight="1" x14ac:dyDescent="0.6"/>
    <row r="237" ht="12.75" customHeight="1" x14ac:dyDescent="0.6"/>
    <row r="238" ht="12.75" customHeight="1" x14ac:dyDescent="0.6"/>
    <row r="239" ht="12.75" customHeight="1" x14ac:dyDescent="0.6"/>
    <row r="240" ht="12.75" customHeight="1" x14ac:dyDescent="0.6"/>
    <row r="241" ht="12.75" customHeight="1" x14ac:dyDescent="0.6"/>
    <row r="242" ht="12.75" customHeight="1" x14ac:dyDescent="0.6"/>
    <row r="243" ht="12.75" customHeight="1" x14ac:dyDescent="0.6"/>
    <row r="244" ht="12.75" customHeight="1" x14ac:dyDescent="0.6"/>
    <row r="245" ht="12.75" customHeight="1" x14ac:dyDescent="0.6"/>
    <row r="246" ht="12.75" customHeight="1" x14ac:dyDescent="0.6"/>
    <row r="247" ht="12.75" customHeight="1" x14ac:dyDescent="0.6"/>
    <row r="248" ht="12.75" customHeight="1" x14ac:dyDescent="0.6"/>
    <row r="249" ht="12.75" customHeight="1" x14ac:dyDescent="0.6"/>
    <row r="250" ht="12.75" customHeight="1" x14ac:dyDescent="0.6"/>
    <row r="251" ht="12.75" customHeight="1" x14ac:dyDescent="0.6"/>
    <row r="252" ht="12.75" customHeight="1" x14ac:dyDescent="0.6"/>
    <row r="253" ht="12.75" customHeight="1" x14ac:dyDescent="0.6"/>
    <row r="254" ht="12.75" customHeight="1" x14ac:dyDescent="0.6"/>
    <row r="255" ht="12.75" customHeight="1" x14ac:dyDescent="0.6"/>
    <row r="256" ht="12.75" customHeight="1" x14ac:dyDescent="0.6"/>
    <row r="257" ht="12.75" customHeight="1" x14ac:dyDescent="0.6"/>
    <row r="258" ht="12.75" customHeight="1" x14ac:dyDescent="0.6"/>
    <row r="259" ht="12.75" customHeight="1" x14ac:dyDescent="0.6"/>
    <row r="260" ht="12.75" customHeight="1" x14ac:dyDescent="0.6"/>
    <row r="261" ht="12.75" customHeight="1" x14ac:dyDescent="0.6"/>
    <row r="262" ht="12.75" customHeight="1" x14ac:dyDescent="0.6"/>
    <row r="263" ht="12.75" customHeight="1" x14ac:dyDescent="0.6"/>
    <row r="264" ht="12.75" customHeight="1" x14ac:dyDescent="0.6"/>
    <row r="265" ht="12.75" customHeight="1" x14ac:dyDescent="0.6"/>
    <row r="266" ht="12.75" customHeight="1" x14ac:dyDescent="0.6"/>
    <row r="267" ht="12.75" customHeight="1" x14ac:dyDescent="0.6"/>
    <row r="268" ht="12.75" customHeight="1" x14ac:dyDescent="0.6"/>
    <row r="269" ht="12.75" customHeight="1" x14ac:dyDescent="0.6"/>
    <row r="270" ht="12.75" customHeight="1" x14ac:dyDescent="0.6"/>
    <row r="271" ht="12.75" customHeight="1" x14ac:dyDescent="0.6"/>
    <row r="272" ht="12.75" customHeight="1" x14ac:dyDescent="0.6"/>
    <row r="273" ht="12.75" customHeight="1" x14ac:dyDescent="0.6"/>
    <row r="274" ht="12.75" customHeight="1" x14ac:dyDescent="0.6"/>
    <row r="275" ht="12.75" customHeight="1" x14ac:dyDescent="0.6"/>
    <row r="276" ht="12.75" customHeight="1" x14ac:dyDescent="0.6"/>
    <row r="277" ht="12.75" customHeight="1" x14ac:dyDescent="0.6"/>
    <row r="278" ht="12.75" customHeight="1" x14ac:dyDescent="0.6"/>
    <row r="279" ht="12.75" customHeight="1" x14ac:dyDescent="0.6"/>
    <row r="280" ht="12.75" customHeight="1" x14ac:dyDescent="0.6"/>
    <row r="281" ht="12.75" customHeight="1" x14ac:dyDescent="0.6"/>
    <row r="282" ht="12.75" customHeight="1" x14ac:dyDescent="0.6"/>
    <row r="283" ht="12.75" customHeight="1" x14ac:dyDescent="0.6"/>
    <row r="284" ht="12.75" customHeight="1" x14ac:dyDescent="0.6"/>
    <row r="285" ht="12.75" customHeight="1" x14ac:dyDescent="0.6"/>
    <row r="286" ht="12.75" customHeight="1" x14ac:dyDescent="0.6"/>
    <row r="287" ht="12.75" customHeight="1" x14ac:dyDescent="0.6"/>
    <row r="288" ht="12.75" customHeight="1" x14ac:dyDescent="0.6"/>
    <row r="289" ht="12.75" customHeight="1" x14ac:dyDescent="0.6"/>
    <row r="290" ht="12.75" customHeight="1" x14ac:dyDescent="0.6"/>
    <row r="291" ht="12.75" customHeight="1" x14ac:dyDescent="0.6"/>
    <row r="292" ht="12.75" customHeight="1" x14ac:dyDescent="0.6"/>
    <row r="293" ht="12.75" customHeight="1" x14ac:dyDescent="0.6"/>
    <row r="294" ht="12.75" customHeight="1" x14ac:dyDescent="0.6"/>
    <row r="295" ht="12.75" customHeight="1" x14ac:dyDescent="0.6"/>
    <row r="296" ht="12.75" customHeight="1" x14ac:dyDescent="0.6"/>
    <row r="297" ht="12.75" customHeight="1" x14ac:dyDescent="0.6"/>
    <row r="298" ht="12.75" customHeight="1" x14ac:dyDescent="0.6"/>
    <row r="299" ht="12.75" customHeight="1" x14ac:dyDescent="0.6"/>
    <row r="300" ht="12.75" customHeight="1" x14ac:dyDescent="0.6"/>
    <row r="301" ht="12.75" customHeight="1" x14ac:dyDescent="0.6"/>
    <row r="302" ht="12.75" customHeight="1" x14ac:dyDescent="0.6"/>
    <row r="303" ht="12.75" customHeight="1" x14ac:dyDescent="0.6"/>
    <row r="304" ht="12.75" customHeight="1" x14ac:dyDescent="0.6"/>
    <row r="305" ht="12.75" customHeight="1" x14ac:dyDescent="0.6"/>
    <row r="306" ht="12.75" customHeight="1" x14ac:dyDescent="0.6"/>
    <row r="307" ht="12.75" customHeight="1" x14ac:dyDescent="0.6"/>
    <row r="308" ht="12.75" customHeight="1" x14ac:dyDescent="0.6"/>
    <row r="309" ht="12.75" customHeight="1" x14ac:dyDescent="0.6"/>
    <row r="310" ht="12.75" customHeight="1" x14ac:dyDescent="0.6"/>
    <row r="311" ht="12.75" customHeight="1" x14ac:dyDescent="0.6"/>
    <row r="312" ht="12.75" customHeight="1" x14ac:dyDescent="0.6"/>
    <row r="313" ht="12.75" customHeight="1" x14ac:dyDescent="0.6"/>
    <row r="314" ht="12.75" customHeight="1" x14ac:dyDescent="0.6"/>
    <row r="315" ht="12.75" customHeight="1" x14ac:dyDescent="0.6"/>
    <row r="316" ht="12.75" customHeight="1" x14ac:dyDescent="0.6"/>
    <row r="317" ht="12.75" customHeight="1" x14ac:dyDescent="0.6"/>
    <row r="318" ht="12.75" customHeight="1" x14ac:dyDescent="0.6"/>
    <row r="319" ht="12.75" customHeight="1" x14ac:dyDescent="0.6"/>
    <row r="320" ht="12.75" customHeight="1" x14ac:dyDescent="0.6"/>
    <row r="321" ht="12.75" customHeight="1" x14ac:dyDescent="0.6"/>
    <row r="322" ht="12.75" customHeight="1" x14ac:dyDescent="0.6"/>
    <row r="323" ht="12.75" customHeight="1" x14ac:dyDescent="0.6"/>
    <row r="324" ht="12.75" customHeight="1" x14ac:dyDescent="0.6"/>
    <row r="325" ht="12.75" customHeight="1" x14ac:dyDescent="0.6"/>
    <row r="326" ht="12.75" customHeight="1" x14ac:dyDescent="0.6"/>
    <row r="327" ht="12.75" customHeight="1" x14ac:dyDescent="0.6"/>
    <row r="328" ht="12.75" customHeight="1" x14ac:dyDescent="0.6"/>
    <row r="329" ht="12.75" customHeight="1" x14ac:dyDescent="0.6"/>
    <row r="330" ht="12.75" customHeight="1" x14ac:dyDescent="0.6"/>
    <row r="331" ht="12.75" customHeight="1" x14ac:dyDescent="0.6"/>
    <row r="332" ht="12.75" customHeight="1" x14ac:dyDescent="0.6"/>
    <row r="333" ht="12.75" customHeight="1" x14ac:dyDescent="0.6"/>
    <row r="334" ht="12.75" customHeight="1" x14ac:dyDescent="0.6"/>
    <row r="335" ht="12.75" customHeight="1" x14ac:dyDescent="0.6"/>
    <row r="336" ht="12.75" customHeight="1" x14ac:dyDescent="0.6"/>
    <row r="337" ht="12.75" customHeight="1" x14ac:dyDescent="0.6"/>
    <row r="338" ht="12.75" customHeight="1" x14ac:dyDescent="0.6"/>
    <row r="339" ht="12.75" customHeight="1" x14ac:dyDescent="0.6"/>
    <row r="340" ht="12.75" customHeight="1" x14ac:dyDescent="0.6"/>
    <row r="341" ht="12.75" customHeight="1" x14ac:dyDescent="0.6"/>
    <row r="342" ht="12.75" customHeight="1" x14ac:dyDescent="0.6"/>
    <row r="343" ht="12.75" customHeight="1" x14ac:dyDescent="0.6"/>
    <row r="344" ht="12.75" customHeight="1" x14ac:dyDescent="0.6"/>
    <row r="345" ht="12.75" customHeight="1" x14ac:dyDescent="0.6"/>
    <row r="346" ht="12.75" customHeight="1" x14ac:dyDescent="0.6"/>
    <row r="347" ht="12.75" customHeight="1" x14ac:dyDescent="0.6"/>
    <row r="348" ht="12.75" customHeight="1" x14ac:dyDescent="0.6"/>
    <row r="349" ht="12.75" customHeight="1" x14ac:dyDescent="0.6"/>
    <row r="350" ht="12.75" customHeight="1" x14ac:dyDescent="0.6"/>
    <row r="351" ht="12.75" customHeight="1" x14ac:dyDescent="0.6"/>
    <row r="352" ht="12.75" customHeight="1" x14ac:dyDescent="0.6"/>
    <row r="353" ht="12.75" customHeight="1" x14ac:dyDescent="0.6"/>
    <row r="354" ht="12.75" customHeight="1" x14ac:dyDescent="0.6"/>
    <row r="355" ht="12.75" customHeight="1" x14ac:dyDescent="0.6"/>
    <row r="356" ht="12.75" customHeight="1" x14ac:dyDescent="0.6"/>
    <row r="357" ht="12.75" customHeight="1" x14ac:dyDescent="0.6"/>
    <row r="358" ht="12.75" customHeight="1" x14ac:dyDescent="0.6"/>
    <row r="359" ht="12.75" customHeight="1" x14ac:dyDescent="0.6"/>
    <row r="360" ht="12.75" customHeight="1" x14ac:dyDescent="0.6"/>
    <row r="361" ht="12.75" customHeight="1" x14ac:dyDescent="0.6"/>
    <row r="362" ht="12.75" customHeight="1" x14ac:dyDescent="0.6"/>
    <row r="363" ht="12.75" customHeight="1" x14ac:dyDescent="0.6"/>
    <row r="364" ht="12.75" customHeight="1" x14ac:dyDescent="0.6"/>
    <row r="365" ht="12.75" customHeight="1" x14ac:dyDescent="0.6"/>
    <row r="366" ht="12.75" customHeight="1" x14ac:dyDescent="0.6"/>
    <row r="367" ht="12.75" customHeight="1" x14ac:dyDescent="0.6"/>
    <row r="368" ht="12.75" customHeight="1" x14ac:dyDescent="0.6"/>
    <row r="369" ht="12.75" customHeight="1" x14ac:dyDescent="0.6"/>
    <row r="370" ht="12.75" customHeight="1" x14ac:dyDescent="0.6"/>
    <row r="371" ht="12.75" customHeight="1" x14ac:dyDescent="0.6"/>
    <row r="372" ht="12.75" customHeight="1" x14ac:dyDescent="0.6"/>
    <row r="373" ht="12.75" customHeight="1" x14ac:dyDescent="0.6"/>
    <row r="374" ht="12.75" customHeight="1" x14ac:dyDescent="0.6"/>
    <row r="375" ht="12.75" customHeight="1" x14ac:dyDescent="0.6"/>
    <row r="376" ht="12.75" customHeight="1" x14ac:dyDescent="0.6"/>
    <row r="377" ht="12.75" customHeight="1" x14ac:dyDescent="0.6"/>
    <row r="378" ht="12.75" customHeight="1" x14ac:dyDescent="0.6"/>
    <row r="379" ht="12.75" customHeight="1" x14ac:dyDescent="0.6"/>
    <row r="380" ht="12.75" customHeight="1" x14ac:dyDescent="0.6"/>
    <row r="381" ht="12.75" customHeight="1" x14ac:dyDescent="0.6"/>
    <row r="382" ht="12.75" customHeight="1" x14ac:dyDescent="0.6"/>
    <row r="383" ht="12.75" customHeight="1" x14ac:dyDescent="0.6"/>
    <row r="384" ht="12.75" customHeight="1" x14ac:dyDescent="0.6"/>
    <row r="385" ht="12.75" customHeight="1" x14ac:dyDescent="0.6"/>
    <row r="386" ht="12.75" customHeight="1" x14ac:dyDescent="0.6"/>
    <row r="387" ht="12.75" customHeight="1" x14ac:dyDescent="0.6"/>
    <row r="388" ht="12.75" customHeight="1" x14ac:dyDescent="0.6"/>
    <row r="389" ht="12.75" customHeight="1" x14ac:dyDescent="0.6"/>
    <row r="390" ht="12.75" customHeight="1" x14ac:dyDescent="0.6"/>
    <row r="391" ht="12.75" customHeight="1" x14ac:dyDescent="0.6"/>
    <row r="392" ht="12.75" customHeight="1" x14ac:dyDescent="0.6"/>
    <row r="393" ht="12.75" customHeight="1" x14ac:dyDescent="0.6"/>
    <row r="394" ht="12.75" customHeight="1" x14ac:dyDescent="0.6"/>
    <row r="395" ht="12.75" customHeight="1" x14ac:dyDescent="0.6"/>
    <row r="396" ht="12.75" customHeight="1" x14ac:dyDescent="0.6"/>
    <row r="397" ht="12.75" customHeight="1" x14ac:dyDescent="0.6"/>
    <row r="398" ht="12.75" customHeight="1" x14ac:dyDescent="0.6"/>
    <row r="399" ht="12.75" customHeight="1" x14ac:dyDescent="0.6"/>
    <row r="400" ht="12.75" customHeight="1" x14ac:dyDescent="0.6"/>
    <row r="401" ht="12.75" customHeight="1" x14ac:dyDescent="0.6"/>
    <row r="402" ht="12.75" customHeight="1" x14ac:dyDescent="0.6"/>
    <row r="403" ht="12.75" customHeight="1" x14ac:dyDescent="0.6"/>
    <row r="404" ht="12.75" customHeight="1" x14ac:dyDescent="0.6"/>
    <row r="405" ht="12.75" customHeight="1" x14ac:dyDescent="0.6"/>
    <row r="406" ht="12.75" customHeight="1" x14ac:dyDescent="0.6"/>
    <row r="407" ht="12.75" customHeight="1" x14ac:dyDescent="0.6"/>
    <row r="408" ht="12.75" customHeight="1" x14ac:dyDescent="0.6"/>
    <row r="409" ht="12.75" customHeight="1" x14ac:dyDescent="0.6"/>
    <row r="410" ht="12.75" customHeight="1" x14ac:dyDescent="0.6"/>
    <row r="411" ht="12.75" customHeight="1" x14ac:dyDescent="0.6"/>
    <row r="412" ht="12.75" customHeight="1" x14ac:dyDescent="0.6"/>
    <row r="413" ht="12.75" customHeight="1" x14ac:dyDescent="0.6"/>
    <row r="414" ht="12.75" customHeight="1" x14ac:dyDescent="0.6"/>
    <row r="415" ht="12.75" customHeight="1" x14ac:dyDescent="0.6"/>
    <row r="416" ht="12.75" customHeight="1" x14ac:dyDescent="0.6"/>
    <row r="417" ht="12.75" customHeight="1" x14ac:dyDescent="0.6"/>
    <row r="418" ht="12.75" customHeight="1" x14ac:dyDescent="0.6"/>
    <row r="419" ht="12.75" customHeight="1" x14ac:dyDescent="0.6"/>
    <row r="420" ht="12.75" customHeight="1" x14ac:dyDescent="0.6"/>
    <row r="421" ht="12.75" customHeight="1" x14ac:dyDescent="0.6"/>
    <row r="422" ht="12.75" customHeight="1" x14ac:dyDescent="0.6"/>
    <row r="423" ht="12.75" customHeight="1" x14ac:dyDescent="0.6"/>
    <row r="424" ht="12.75" customHeight="1" x14ac:dyDescent="0.6"/>
    <row r="425" ht="12.75" customHeight="1" x14ac:dyDescent="0.6"/>
    <row r="426" ht="12.75" customHeight="1" x14ac:dyDescent="0.6"/>
    <row r="427" ht="12.75" customHeight="1" x14ac:dyDescent="0.6"/>
    <row r="428" ht="12.75" customHeight="1" x14ac:dyDescent="0.6"/>
    <row r="429" ht="12.75" customHeight="1" x14ac:dyDescent="0.6"/>
    <row r="430" ht="12.75" customHeight="1" x14ac:dyDescent="0.6"/>
    <row r="431" ht="12.75" customHeight="1" x14ac:dyDescent="0.6"/>
    <row r="432" ht="12.75" customHeight="1" x14ac:dyDescent="0.6"/>
    <row r="433" ht="12.75" customHeight="1" x14ac:dyDescent="0.6"/>
    <row r="434" ht="12.75" customHeight="1" x14ac:dyDescent="0.6"/>
    <row r="435" ht="12.75" customHeight="1" x14ac:dyDescent="0.6"/>
    <row r="436" ht="12.75" customHeight="1" x14ac:dyDescent="0.6"/>
    <row r="437" ht="12.75" customHeight="1" x14ac:dyDescent="0.6"/>
    <row r="438" ht="12.75" customHeight="1" x14ac:dyDescent="0.6"/>
    <row r="439" ht="12.75" customHeight="1" x14ac:dyDescent="0.6"/>
    <row r="440" ht="12.75" customHeight="1" x14ac:dyDescent="0.6"/>
    <row r="441" ht="12.75" customHeight="1" x14ac:dyDescent="0.6"/>
    <row r="442" ht="12.75" customHeight="1" x14ac:dyDescent="0.6"/>
    <row r="443" ht="12.75" customHeight="1" x14ac:dyDescent="0.6"/>
    <row r="444" ht="12.75" customHeight="1" x14ac:dyDescent="0.6"/>
    <row r="445" ht="12.75" customHeight="1" x14ac:dyDescent="0.6"/>
    <row r="446" ht="12.75" customHeight="1" x14ac:dyDescent="0.6"/>
    <row r="447" ht="12.75" customHeight="1" x14ac:dyDescent="0.6"/>
    <row r="448" ht="12.75" customHeight="1" x14ac:dyDescent="0.6"/>
    <row r="449" ht="12.75" customHeight="1" x14ac:dyDescent="0.6"/>
    <row r="450" ht="12.75" customHeight="1" x14ac:dyDescent="0.6"/>
    <row r="451" ht="12.75" customHeight="1" x14ac:dyDescent="0.6"/>
    <row r="452" ht="12.75" customHeight="1" x14ac:dyDescent="0.6"/>
    <row r="453" ht="12.75" customHeight="1" x14ac:dyDescent="0.6"/>
    <row r="454" ht="12.75" customHeight="1" x14ac:dyDescent="0.6"/>
    <row r="455" ht="12.75" customHeight="1" x14ac:dyDescent="0.6"/>
    <row r="456" ht="12.75" customHeight="1" x14ac:dyDescent="0.6"/>
    <row r="457" ht="12.75" customHeight="1" x14ac:dyDescent="0.6"/>
    <row r="458" ht="12.75" customHeight="1" x14ac:dyDescent="0.6"/>
    <row r="459" ht="12.75" customHeight="1" x14ac:dyDescent="0.6"/>
    <row r="460" ht="12.75" customHeight="1" x14ac:dyDescent="0.6"/>
    <row r="461" ht="12.75" customHeight="1" x14ac:dyDescent="0.6"/>
    <row r="462" ht="12.75" customHeight="1" x14ac:dyDescent="0.6"/>
    <row r="463" ht="12.75" customHeight="1" x14ac:dyDescent="0.6"/>
    <row r="464" ht="12.75" customHeight="1" x14ac:dyDescent="0.6"/>
    <row r="465" ht="12.75" customHeight="1" x14ac:dyDescent="0.6"/>
    <row r="466" ht="12.75" customHeight="1" x14ac:dyDescent="0.6"/>
    <row r="467" ht="12.75" customHeight="1" x14ac:dyDescent="0.6"/>
    <row r="468" ht="12.75" customHeight="1" x14ac:dyDescent="0.6"/>
    <row r="469" ht="12.75" customHeight="1" x14ac:dyDescent="0.6"/>
    <row r="470" ht="12.75" customHeight="1" x14ac:dyDescent="0.6"/>
    <row r="471" ht="12.75" customHeight="1" x14ac:dyDescent="0.6"/>
    <row r="472" ht="12.75" customHeight="1" x14ac:dyDescent="0.6"/>
    <row r="473" ht="12.75" customHeight="1" x14ac:dyDescent="0.6"/>
    <row r="474" ht="12.75" customHeight="1" x14ac:dyDescent="0.6"/>
    <row r="475" ht="12.75" customHeight="1" x14ac:dyDescent="0.6"/>
    <row r="476" ht="12.75" customHeight="1" x14ac:dyDescent="0.6"/>
    <row r="477" ht="12.75" customHeight="1" x14ac:dyDescent="0.6"/>
    <row r="478" ht="12.75" customHeight="1" x14ac:dyDescent="0.6"/>
    <row r="479" ht="12.75" customHeight="1" x14ac:dyDescent="0.6"/>
    <row r="480" ht="12.75" customHeight="1" x14ac:dyDescent="0.6"/>
    <row r="481" ht="12.75" customHeight="1" x14ac:dyDescent="0.6"/>
    <row r="482" ht="12.75" customHeight="1" x14ac:dyDescent="0.6"/>
    <row r="483" ht="12.75" customHeight="1" x14ac:dyDescent="0.6"/>
    <row r="484" ht="12.75" customHeight="1" x14ac:dyDescent="0.6"/>
    <row r="485" ht="12.75" customHeight="1" x14ac:dyDescent="0.6"/>
    <row r="486" ht="12.75" customHeight="1" x14ac:dyDescent="0.6"/>
    <row r="487" ht="12.75" customHeight="1" x14ac:dyDescent="0.6"/>
    <row r="488" ht="12.75" customHeight="1" x14ac:dyDescent="0.6"/>
    <row r="489" ht="12.75" customHeight="1" x14ac:dyDescent="0.6"/>
    <row r="490" ht="12.75" customHeight="1" x14ac:dyDescent="0.6"/>
    <row r="491" ht="12.75" customHeight="1" x14ac:dyDescent="0.6"/>
    <row r="492" ht="12.75" customHeight="1" x14ac:dyDescent="0.6"/>
    <row r="493" ht="12.75" customHeight="1" x14ac:dyDescent="0.6"/>
    <row r="494" ht="12.75" customHeight="1" x14ac:dyDescent="0.6"/>
    <row r="495" ht="12.75" customHeight="1" x14ac:dyDescent="0.6"/>
    <row r="496" ht="12.75" customHeight="1" x14ac:dyDescent="0.6"/>
    <row r="497" ht="12.75" customHeight="1" x14ac:dyDescent="0.6"/>
    <row r="498" ht="12.75" customHeight="1" x14ac:dyDescent="0.6"/>
    <row r="499" ht="12.75" customHeight="1" x14ac:dyDescent="0.6"/>
    <row r="500" ht="12.75" customHeight="1" x14ac:dyDescent="0.6"/>
    <row r="501" ht="12.75" customHeight="1" x14ac:dyDescent="0.6"/>
    <row r="502" ht="12.75" customHeight="1" x14ac:dyDescent="0.6"/>
    <row r="503" ht="12.75" customHeight="1" x14ac:dyDescent="0.6"/>
    <row r="504" ht="12.75" customHeight="1" x14ac:dyDescent="0.6"/>
    <row r="505" ht="12.75" customHeight="1" x14ac:dyDescent="0.6"/>
    <row r="506" ht="12.75" customHeight="1" x14ac:dyDescent="0.6"/>
    <row r="507" ht="12.75" customHeight="1" x14ac:dyDescent="0.6"/>
    <row r="508" ht="12.75" customHeight="1" x14ac:dyDescent="0.6"/>
    <row r="509" ht="12.75" customHeight="1" x14ac:dyDescent="0.6"/>
    <row r="510" ht="12.75" customHeight="1" x14ac:dyDescent="0.6"/>
    <row r="511" ht="12.75" customHeight="1" x14ac:dyDescent="0.6"/>
    <row r="512" ht="12.75" customHeight="1" x14ac:dyDescent="0.6"/>
    <row r="513" ht="12.75" customHeight="1" x14ac:dyDescent="0.6"/>
    <row r="514" ht="12.75" customHeight="1" x14ac:dyDescent="0.6"/>
    <row r="515" ht="12.75" customHeight="1" x14ac:dyDescent="0.6"/>
    <row r="516" ht="12.75" customHeight="1" x14ac:dyDescent="0.6"/>
    <row r="517" ht="12.75" customHeight="1" x14ac:dyDescent="0.6"/>
    <row r="518" ht="12.75" customHeight="1" x14ac:dyDescent="0.6"/>
    <row r="519" ht="12.75" customHeight="1" x14ac:dyDescent="0.6"/>
    <row r="520" ht="12.75" customHeight="1" x14ac:dyDescent="0.6"/>
    <row r="521" ht="12.75" customHeight="1" x14ac:dyDescent="0.6"/>
    <row r="522" ht="12.75" customHeight="1" x14ac:dyDescent="0.6"/>
    <row r="523" ht="12.75" customHeight="1" x14ac:dyDescent="0.6"/>
    <row r="524" ht="12.75" customHeight="1" x14ac:dyDescent="0.6"/>
    <row r="525" ht="12.75" customHeight="1" x14ac:dyDescent="0.6"/>
    <row r="526" ht="12.75" customHeight="1" x14ac:dyDescent="0.6"/>
    <row r="527" ht="12.75" customHeight="1" x14ac:dyDescent="0.6"/>
    <row r="528" ht="12.75" customHeight="1" x14ac:dyDescent="0.6"/>
    <row r="529" ht="12.75" customHeight="1" x14ac:dyDescent="0.6"/>
    <row r="530" ht="12.75" customHeight="1" x14ac:dyDescent="0.6"/>
    <row r="531" ht="12.75" customHeight="1" x14ac:dyDescent="0.6"/>
    <row r="532" ht="12.75" customHeight="1" x14ac:dyDescent="0.6"/>
    <row r="533" ht="12.75" customHeight="1" x14ac:dyDescent="0.6"/>
    <row r="534" ht="12.75" customHeight="1" x14ac:dyDescent="0.6"/>
    <row r="535" ht="12.75" customHeight="1" x14ac:dyDescent="0.6"/>
    <row r="536" ht="12.75" customHeight="1" x14ac:dyDescent="0.6"/>
    <row r="537" ht="12.75" customHeight="1" x14ac:dyDescent="0.6"/>
    <row r="538" ht="12.75" customHeight="1" x14ac:dyDescent="0.6"/>
    <row r="539" ht="12.75" customHeight="1" x14ac:dyDescent="0.6"/>
    <row r="540" ht="12.75" customHeight="1" x14ac:dyDescent="0.6"/>
    <row r="541" ht="12.75" customHeight="1" x14ac:dyDescent="0.6"/>
    <row r="542" ht="12.75" customHeight="1" x14ac:dyDescent="0.6"/>
    <row r="543" ht="12.75" customHeight="1" x14ac:dyDescent="0.6"/>
    <row r="544" ht="12.75" customHeight="1" x14ac:dyDescent="0.6"/>
    <row r="545" ht="12.75" customHeight="1" x14ac:dyDescent="0.6"/>
    <row r="546" ht="12.75" customHeight="1" x14ac:dyDescent="0.6"/>
    <row r="547" ht="12.75" customHeight="1" x14ac:dyDescent="0.6"/>
    <row r="548" ht="12.75" customHeight="1" x14ac:dyDescent="0.6"/>
    <row r="549" ht="12.75" customHeight="1" x14ac:dyDescent="0.6"/>
    <row r="550" ht="12.75" customHeight="1" x14ac:dyDescent="0.6"/>
    <row r="551" ht="12.75" customHeight="1" x14ac:dyDescent="0.6"/>
    <row r="552" ht="12.75" customHeight="1" x14ac:dyDescent="0.6"/>
    <row r="553" ht="12.75" customHeight="1" x14ac:dyDescent="0.6"/>
    <row r="554" ht="12.75" customHeight="1" x14ac:dyDescent="0.6"/>
    <row r="555" ht="12.75" customHeight="1" x14ac:dyDescent="0.6"/>
    <row r="556" ht="12.75" customHeight="1" x14ac:dyDescent="0.6"/>
    <row r="557" ht="12.75" customHeight="1" x14ac:dyDescent="0.6"/>
    <row r="558" ht="12.75" customHeight="1" x14ac:dyDescent="0.6"/>
    <row r="559" ht="12.75" customHeight="1" x14ac:dyDescent="0.6"/>
    <row r="560" ht="12.75" customHeight="1" x14ac:dyDescent="0.6"/>
    <row r="561" ht="12.75" customHeight="1" x14ac:dyDescent="0.6"/>
    <row r="562" ht="12.75" customHeight="1" x14ac:dyDescent="0.6"/>
    <row r="563" ht="12.75" customHeight="1" x14ac:dyDescent="0.6"/>
    <row r="564" ht="12.75" customHeight="1" x14ac:dyDescent="0.6"/>
    <row r="565" ht="12.75" customHeight="1" x14ac:dyDescent="0.6"/>
    <row r="566" ht="12.75" customHeight="1" x14ac:dyDescent="0.6"/>
    <row r="567" ht="12.75" customHeight="1" x14ac:dyDescent="0.6"/>
    <row r="568" ht="12.75" customHeight="1" x14ac:dyDescent="0.6"/>
    <row r="569" ht="12.75" customHeight="1" x14ac:dyDescent="0.6"/>
    <row r="570" ht="12.75" customHeight="1" x14ac:dyDescent="0.6"/>
    <row r="571" ht="12.75" customHeight="1" x14ac:dyDescent="0.6"/>
    <row r="572" ht="12.75" customHeight="1" x14ac:dyDescent="0.6"/>
    <row r="573" ht="12.75" customHeight="1" x14ac:dyDescent="0.6"/>
    <row r="574" ht="12.75" customHeight="1" x14ac:dyDescent="0.6"/>
    <row r="575" ht="12.75" customHeight="1" x14ac:dyDescent="0.6"/>
    <row r="576" ht="12.75" customHeight="1" x14ac:dyDescent="0.6"/>
    <row r="577" ht="12.75" customHeight="1" x14ac:dyDescent="0.6"/>
    <row r="578" ht="12.75" customHeight="1" x14ac:dyDescent="0.6"/>
    <row r="579" ht="12.75" customHeight="1" x14ac:dyDescent="0.6"/>
    <row r="580" ht="12.75" customHeight="1" x14ac:dyDescent="0.6"/>
    <row r="581" ht="12.75" customHeight="1" x14ac:dyDescent="0.6"/>
    <row r="582" ht="12.75" customHeight="1" x14ac:dyDescent="0.6"/>
    <row r="583" ht="12.75" customHeight="1" x14ac:dyDescent="0.6"/>
    <row r="584" ht="12.75" customHeight="1" x14ac:dyDescent="0.6"/>
    <row r="585" ht="12.75" customHeight="1" x14ac:dyDescent="0.6"/>
    <row r="586" ht="12.75" customHeight="1" x14ac:dyDescent="0.6"/>
    <row r="587" ht="12.75" customHeight="1" x14ac:dyDescent="0.6"/>
    <row r="588" ht="12.75" customHeight="1" x14ac:dyDescent="0.6"/>
    <row r="589" ht="12.75" customHeight="1" x14ac:dyDescent="0.6"/>
    <row r="590" ht="12.75" customHeight="1" x14ac:dyDescent="0.6"/>
    <row r="591" ht="12.75" customHeight="1" x14ac:dyDescent="0.6"/>
    <row r="592" ht="12.75" customHeight="1" x14ac:dyDescent="0.6"/>
    <row r="593" ht="12.75" customHeight="1" x14ac:dyDescent="0.6"/>
    <row r="594" ht="12.75" customHeight="1" x14ac:dyDescent="0.6"/>
    <row r="595" ht="12.75" customHeight="1" x14ac:dyDescent="0.6"/>
    <row r="596" ht="12.75" customHeight="1" x14ac:dyDescent="0.6"/>
    <row r="597" ht="12.75" customHeight="1" x14ac:dyDescent="0.6"/>
    <row r="598" ht="12.75" customHeight="1" x14ac:dyDescent="0.6"/>
    <row r="599" ht="12.75" customHeight="1" x14ac:dyDescent="0.6"/>
    <row r="600" ht="12.75" customHeight="1" x14ac:dyDescent="0.6"/>
    <row r="601" ht="12.75" customHeight="1" x14ac:dyDescent="0.6"/>
    <row r="602" ht="12.75" customHeight="1" x14ac:dyDescent="0.6"/>
    <row r="603" ht="12.75" customHeight="1" x14ac:dyDescent="0.6"/>
    <row r="604" ht="12.75" customHeight="1" x14ac:dyDescent="0.6"/>
    <row r="605" ht="12.75" customHeight="1" x14ac:dyDescent="0.6"/>
    <row r="606" ht="12.75" customHeight="1" x14ac:dyDescent="0.6"/>
    <row r="607" ht="12.75" customHeight="1" x14ac:dyDescent="0.6"/>
    <row r="608" ht="12.75" customHeight="1" x14ac:dyDescent="0.6"/>
    <row r="609" ht="12.75" customHeight="1" x14ac:dyDescent="0.6"/>
    <row r="610" ht="12.75" customHeight="1" x14ac:dyDescent="0.6"/>
    <row r="611" ht="12.75" customHeight="1" x14ac:dyDescent="0.6"/>
    <row r="612" ht="12.75" customHeight="1" x14ac:dyDescent="0.6"/>
    <row r="613" ht="12.75" customHeight="1" x14ac:dyDescent="0.6"/>
    <row r="614" ht="12.75" customHeight="1" x14ac:dyDescent="0.6"/>
    <row r="615" ht="12.75" customHeight="1" x14ac:dyDescent="0.6"/>
    <row r="616" ht="12.75" customHeight="1" x14ac:dyDescent="0.6"/>
    <row r="617" ht="12.75" customHeight="1" x14ac:dyDescent="0.6"/>
    <row r="618" ht="12.75" customHeight="1" x14ac:dyDescent="0.6"/>
    <row r="619" ht="12.75" customHeight="1" x14ac:dyDescent="0.6"/>
    <row r="620" ht="12.75" customHeight="1" x14ac:dyDescent="0.6"/>
    <row r="621" ht="12.75" customHeight="1" x14ac:dyDescent="0.6"/>
    <row r="622" ht="12.75" customHeight="1" x14ac:dyDescent="0.6"/>
    <row r="623" ht="12.75" customHeight="1" x14ac:dyDescent="0.6"/>
    <row r="624" ht="12.75" customHeight="1" x14ac:dyDescent="0.6"/>
    <row r="625" ht="12.75" customHeight="1" x14ac:dyDescent="0.6"/>
    <row r="626" ht="12.75" customHeight="1" x14ac:dyDescent="0.6"/>
    <row r="627" ht="12.75" customHeight="1" x14ac:dyDescent="0.6"/>
    <row r="628" ht="12.75" customHeight="1" x14ac:dyDescent="0.6"/>
    <row r="629" ht="12.75" customHeight="1" x14ac:dyDescent="0.6"/>
    <row r="630" ht="12.75" customHeight="1" x14ac:dyDescent="0.6"/>
    <row r="631" ht="12.75" customHeight="1" x14ac:dyDescent="0.6"/>
    <row r="632" ht="12.75" customHeight="1" x14ac:dyDescent="0.6"/>
    <row r="633" ht="12.75" customHeight="1" x14ac:dyDescent="0.6"/>
    <row r="634" ht="12.75" customHeight="1" x14ac:dyDescent="0.6"/>
    <row r="635" ht="12.75" customHeight="1" x14ac:dyDescent="0.6"/>
    <row r="636" ht="12.75" customHeight="1" x14ac:dyDescent="0.6"/>
    <row r="637" ht="12.75" customHeight="1" x14ac:dyDescent="0.6"/>
    <row r="638" ht="12.75" customHeight="1" x14ac:dyDescent="0.6"/>
    <row r="639" ht="12.75" customHeight="1" x14ac:dyDescent="0.6"/>
    <row r="640" ht="12.75" customHeight="1" x14ac:dyDescent="0.6"/>
    <row r="641" ht="12.75" customHeight="1" x14ac:dyDescent="0.6"/>
    <row r="642" ht="12.75" customHeight="1" x14ac:dyDescent="0.6"/>
    <row r="643" ht="12.75" customHeight="1" x14ac:dyDescent="0.6"/>
    <row r="644" ht="12.75" customHeight="1" x14ac:dyDescent="0.6"/>
    <row r="645" ht="12.75" customHeight="1" x14ac:dyDescent="0.6"/>
    <row r="646" ht="12.75" customHeight="1" x14ac:dyDescent="0.6"/>
    <row r="647" ht="12.75" customHeight="1" x14ac:dyDescent="0.6"/>
    <row r="648" ht="12.75" customHeight="1" x14ac:dyDescent="0.6"/>
    <row r="649" ht="12.75" customHeight="1" x14ac:dyDescent="0.6"/>
    <row r="650" ht="12.75" customHeight="1" x14ac:dyDescent="0.6"/>
    <row r="651" ht="12.75" customHeight="1" x14ac:dyDescent="0.6"/>
    <row r="652" ht="12.75" customHeight="1" x14ac:dyDescent="0.6"/>
    <row r="653" ht="12.75" customHeight="1" x14ac:dyDescent="0.6"/>
    <row r="654" ht="12.75" customHeight="1" x14ac:dyDescent="0.6"/>
    <row r="655" ht="12.75" customHeight="1" x14ac:dyDescent="0.6"/>
    <row r="656" ht="12.75" customHeight="1" x14ac:dyDescent="0.6"/>
    <row r="657" ht="12.75" customHeight="1" x14ac:dyDescent="0.6"/>
    <row r="658" ht="12.75" customHeight="1" x14ac:dyDescent="0.6"/>
    <row r="659" ht="12.75" customHeight="1" x14ac:dyDescent="0.6"/>
    <row r="660" ht="12.75" customHeight="1" x14ac:dyDescent="0.6"/>
    <row r="661" ht="12.75" customHeight="1" x14ac:dyDescent="0.6"/>
    <row r="662" ht="12.75" customHeight="1" x14ac:dyDescent="0.6"/>
    <row r="663" ht="12.75" customHeight="1" x14ac:dyDescent="0.6"/>
    <row r="664" ht="12.75" customHeight="1" x14ac:dyDescent="0.6"/>
    <row r="665" ht="12.75" customHeight="1" x14ac:dyDescent="0.6"/>
    <row r="666" ht="12.75" customHeight="1" x14ac:dyDescent="0.6"/>
    <row r="667" ht="12.75" customHeight="1" x14ac:dyDescent="0.6"/>
    <row r="668" ht="12.75" customHeight="1" x14ac:dyDescent="0.6"/>
    <row r="669" ht="12.75" customHeight="1" x14ac:dyDescent="0.6"/>
    <row r="670" ht="12.75" customHeight="1" x14ac:dyDescent="0.6"/>
    <row r="671" ht="12.75" customHeight="1" x14ac:dyDescent="0.6"/>
    <row r="672" ht="12.75" customHeight="1" x14ac:dyDescent="0.6"/>
    <row r="673" ht="12.75" customHeight="1" x14ac:dyDescent="0.6"/>
    <row r="674" ht="12.75" customHeight="1" x14ac:dyDescent="0.6"/>
    <row r="675" ht="12.75" customHeight="1" x14ac:dyDescent="0.6"/>
    <row r="676" ht="12.75" customHeight="1" x14ac:dyDescent="0.6"/>
    <row r="677" ht="12.75" customHeight="1" x14ac:dyDescent="0.6"/>
    <row r="678" ht="12.75" customHeight="1" x14ac:dyDescent="0.6"/>
    <row r="679" ht="12.75" customHeight="1" x14ac:dyDescent="0.6"/>
    <row r="680" ht="12.75" customHeight="1" x14ac:dyDescent="0.6"/>
    <row r="681" ht="12.75" customHeight="1" x14ac:dyDescent="0.6"/>
    <row r="682" ht="12.75" customHeight="1" x14ac:dyDescent="0.6"/>
    <row r="683" ht="12.75" customHeight="1" x14ac:dyDescent="0.6"/>
    <row r="684" ht="12.75" customHeight="1" x14ac:dyDescent="0.6"/>
    <row r="685" ht="12.75" customHeight="1" x14ac:dyDescent="0.6"/>
    <row r="686" ht="12.75" customHeight="1" x14ac:dyDescent="0.6"/>
    <row r="687" ht="12.75" customHeight="1" x14ac:dyDescent="0.6"/>
    <row r="688" ht="12.75" customHeight="1" x14ac:dyDescent="0.6"/>
    <row r="689" ht="12.75" customHeight="1" x14ac:dyDescent="0.6"/>
    <row r="690" ht="12.75" customHeight="1" x14ac:dyDescent="0.6"/>
    <row r="691" ht="12.75" customHeight="1" x14ac:dyDescent="0.6"/>
    <row r="692" ht="12.75" customHeight="1" x14ac:dyDescent="0.6"/>
    <row r="693" ht="12.75" customHeight="1" x14ac:dyDescent="0.6"/>
    <row r="694" ht="12.75" customHeight="1" x14ac:dyDescent="0.6"/>
    <row r="695" ht="12.75" customHeight="1" x14ac:dyDescent="0.6"/>
    <row r="696" ht="12.75" customHeight="1" x14ac:dyDescent="0.6"/>
    <row r="697" ht="12.75" customHeight="1" x14ac:dyDescent="0.6"/>
    <row r="698" ht="12.75" customHeight="1" x14ac:dyDescent="0.6"/>
    <row r="699" ht="12.75" customHeight="1" x14ac:dyDescent="0.6"/>
    <row r="700" ht="12.75" customHeight="1" x14ac:dyDescent="0.6"/>
    <row r="701" ht="12.75" customHeight="1" x14ac:dyDescent="0.6"/>
    <row r="702" ht="12.75" customHeight="1" x14ac:dyDescent="0.6"/>
    <row r="703" ht="12.75" customHeight="1" x14ac:dyDescent="0.6"/>
    <row r="704" ht="12.75" customHeight="1" x14ac:dyDescent="0.6"/>
    <row r="705" ht="12.75" customHeight="1" x14ac:dyDescent="0.6"/>
    <row r="706" ht="12.75" customHeight="1" x14ac:dyDescent="0.6"/>
    <row r="707" ht="12.75" customHeight="1" x14ac:dyDescent="0.6"/>
    <row r="708" ht="12.75" customHeight="1" x14ac:dyDescent="0.6"/>
    <row r="709" ht="12.75" customHeight="1" x14ac:dyDescent="0.6"/>
    <row r="710" ht="12.75" customHeight="1" x14ac:dyDescent="0.6"/>
    <row r="711" ht="12.75" customHeight="1" x14ac:dyDescent="0.6"/>
    <row r="712" ht="12.75" customHeight="1" x14ac:dyDescent="0.6"/>
    <row r="713" ht="12.75" customHeight="1" x14ac:dyDescent="0.6"/>
    <row r="714" ht="12.75" customHeight="1" x14ac:dyDescent="0.6"/>
    <row r="715" ht="12.75" customHeight="1" x14ac:dyDescent="0.6"/>
    <row r="716" ht="12.75" customHeight="1" x14ac:dyDescent="0.6"/>
    <row r="717" ht="12.75" customHeight="1" x14ac:dyDescent="0.6"/>
    <row r="718" ht="12.75" customHeight="1" x14ac:dyDescent="0.6"/>
    <row r="719" ht="12.75" customHeight="1" x14ac:dyDescent="0.6"/>
    <row r="720" ht="12.75" customHeight="1" x14ac:dyDescent="0.6"/>
    <row r="721" ht="12.75" customHeight="1" x14ac:dyDescent="0.6"/>
    <row r="722" ht="12.75" customHeight="1" x14ac:dyDescent="0.6"/>
    <row r="723" ht="12.75" customHeight="1" x14ac:dyDescent="0.6"/>
    <row r="724" ht="12.75" customHeight="1" x14ac:dyDescent="0.6"/>
    <row r="725" ht="12.75" customHeight="1" x14ac:dyDescent="0.6"/>
    <row r="726" ht="12.75" customHeight="1" x14ac:dyDescent="0.6"/>
    <row r="727" ht="12.75" customHeight="1" x14ac:dyDescent="0.6"/>
    <row r="728" ht="12.75" customHeight="1" x14ac:dyDescent="0.6"/>
    <row r="729" ht="12.75" customHeight="1" x14ac:dyDescent="0.6"/>
    <row r="730" ht="12.75" customHeight="1" x14ac:dyDescent="0.6"/>
    <row r="731" ht="12.75" customHeight="1" x14ac:dyDescent="0.6"/>
    <row r="732" ht="12.75" customHeight="1" x14ac:dyDescent="0.6"/>
    <row r="733" ht="12.75" customHeight="1" x14ac:dyDescent="0.6"/>
    <row r="734" ht="12.75" customHeight="1" x14ac:dyDescent="0.6"/>
    <row r="735" ht="12.75" customHeight="1" x14ac:dyDescent="0.6"/>
    <row r="736" ht="12.75" customHeight="1" x14ac:dyDescent="0.6"/>
    <row r="737" ht="12.75" customHeight="1" x14ac:dyDescent="0.6"/>
    <row r="738" ht="12.75" customHeight="1" x14ac:dyDescent="0.6"/>
    <row r="739" ht="12.75" customHeight="1" x14ac:dyDescent="0.6"/>
    <row r="740" ht="12.75" customHeight="1" x14ac:dyDescent="0.6"/>
    <row r="741" ht="12.75" customHeight="1" x14ac:dyDescent="0.6"/>
    <row r="742" ht="12.75" customHeight="1" x14ac:dyDescent="0.6"/>
    <row r="743" ht="12.75" customHeight="1" x14ac:dyDescent="0.6"/>
    <row r="744" ht="12.75" customHeight="1" x14ac:dyDescent="0.6"/>
    <row r="745" ht="12.75" customHeight="1" x14ac:dyDescent="0.6"/>
    <row r="746" ht="12.75" customHeight="1" x14ac:dyDescent="0.6"/>
    <row r="747" ht="12.75" customHeight="1" x14ac:dyDescent="0.6"/>
    <row r="748" ht="12.75" customHeight="1" x14ac:dyDescent="0.6"/>
    <row r="749" ht="12.75" customHeight="1" x14ac:dyDescent="0.6"/>
    <row r="750" ht="12.75" customHeight="1" x14ac:dyDescent="0.6"/>
    <row r="751" ht="12.75" customHeight="1" x14ac:dyDescent="0.6"/>
    <row r="752" ht="12.75" customHeight="1" x14ac:dyDescent="0.6"/>
    <row r="753" ht="12.75" customHeight="1" x14ac:dyDescent="0.6"/>
    <row r="754" ht="12.75" customHeight="1" x14ac:dyDescent="0.6"/>
    <row r="755" ht="12.75" customHeight="1" x14ac:dyDescent="0.6"/>
    <row r="756" ht="12.75" customHeight="1" x14ac:dyDescent="0.6"/>
    <row r="757" ht="12.75" customHeight="1" x14ac:dyDescent="0.6"/>
    <row r="758" ht="12.75" customHeight="1" x14ac:dyDescent="0.6"/>
    <row r="759" ht="12.75" customHeight="1" x14ac:dyDescent="0.6"/>
    <row r="760" ht="12.75" customHeight="1" x14ac:dyDescent="0.6"/>
    <row r="761" ht="12.75" customHeight="1" x14ac:dyDescent="0.6"/>
    <row r="762" ht="12.75" customHeight="1" x14ac:dyDescent="0.6"/>
    <row r="763" ht="12.75" customHeight="1" x14ac:dyDescent="0.6"/>
    <row r="764" ht="12.75" customHeight="1" x14ac:dyDescent="0.6"/>
    <row r="765" ht="12.75" customHeight="1" x14ac:dyDescent="0.6"/>
    <row r="766" ht="12.75" customHeight="1" x14ac:dyDescent="0.6"/>
    <row r="767" ht="12.75" customHeight="1" x14ac:dyDescent="0.6"/>
    <row r="768" ht="12.75" customHeight="1" x14ac:dyDescent="0.6"/>
    <row r="769" ht="12.75" customHeight="1" x14ac:dyDescent="0.6"/>
    <row r="770" ht="12.75" customHeight="1" x14ac:dyDescent="0.6"/>
    <row r="771" ht="12.75" customHeight="1" x14ac:dyDescent="0.6"/>
    <row r="772" ht="12.75" customHeight="1" x14ac:dyDescent="0.6"/>
    <row r="773" ht="12.75" customHeight="1" x14ac:dyDescent="0.6"/>
    <row r="774" ht="12.75" customHeight="1" x14ac:dyDescent="0.6"/>
    <row r="775" ht="12.75" customHeight="1" x14ac:dyDescent="0.6"/>
    <row r="776" ht="12.75" customHeight="1" x14ac:dyDescent="0.6"/>
    <row r="777" ht="12.75" customHeight="1" x14ac:dyDescent="0.6"/>
    <row r="778" ht="12.75" customHeight="1" x14ac:dyDescent="0.6"/>
    <row r="779" ht="12.75" customHeight="1" x14ac:dyDescent="0.6"/>
    <row r="780" ht="12.75" customHeight="1" x14ac:dyDescent="0.6"/>
    <row r="781" ht="12.75" customHeight="1" x14ac:dyDescent="0.6"/>
    <row r="782" ht="12.75" customHeight="1" x14ac:dyDescent="0.6"/>
    <row r="783" ht="12.75" customHeight="1" x14ac:dyDescent="0.6"/>
    <row r="784" ht="12.75" customHeight="1" x14ac:dyDescent="0.6"/>
    <row r="785" ht="12.75" customHeight="1" x14ac:dyDescent="0.6"/>
    <row r="786" ht="12.75" customHeight="1" x14ac:dyDescent="0.6"/>
    <row r="787" ht="12.75" customHeight="1" x14ac:dyDescent="0.6"/>
    <row r="788" ht="12.75" customHeight="1" x14ac:dyDescent="0.6"/>
    <row r="789" ht="12.75" customHeight="1" x14ac:dyDescent="0.6"/>
    <row r="790" ht="12.75" customHeight="1" x14ac:dyDescent="0.6"/>
    <row r="791" ht="12.75" customHeight="1" x14ac:dyDescent="0.6"/>
    <row r="792" ht="12.75" customHeight="1" x14ac:dyDescent="0.6"/>
    <row r="793" ht="12.75" customHeight="1" x14ac:dyDescent="0.6"/>
    <row r="794" ht="12.75" customHeight="1" x14ac:dyDescent="0.6"/>
    <row r="795" ht="12.75" customHeight="1" x14ac:dyDescent="0.6"/>
    <row r="796" ht="12.75" customHeight="1" x14ac:dyDescent="0.6"/>
    <row r="797" ht="12.75" customHeight="1" x14ac:dyDescent="0.6"/>
    <row r="798" ht="12.75" customHeight="1" x14ac:dyDescent="0.6"/>
    <row r="799" ht="12.75" customHeight="1" x14ac:dyDescent="0.6"/>
    <row r="800" ht="12.75" customHeight="1" x14ac:dyDescent="0.6"/>
    <row r="801" ht="12.75" customHeight="1" x14ac:dyDescent="0.6"/>
    <row r="802" ht="12.75" customHeight="1" x14ac:dyDescent="0.6"/>
    <row r="803" ht="12.75" customHeight="1" x14ac:dyDescent="0.6"/>
    <row r="804" ht="12.75" customHeight="1" x14ac:dyDescent="0.6"/>
    <row r="805" ht="12.75" customHeight="1" x14ac:dyDescent="0.6"/>
    <row r="806" ht="12.75" customHeight="1" x14ac:dyDescent="0.6"/>
    <row r="807" ht="12.75" customHeight="1" x14ac:dyDescent="0.6"/>
    <row r="808" ht="12.75" customHeight="1" x14ac:dyDescent="0.6"/>
    <row r="809" ht="12.75" customHeight="1" x14ac:dyDescent="0.6"/>
    <row r="810" ht="12.75" customHeight="1" x14ac:dyDescent="0.6"/>
    <row r="811" ht="12.75" customHeight="1" x14ac:dyDescent="0.6"/>
    <row r="812" ht="12.75" customHeight="1" x14ac:dyDescent="0.6"/>
    <row r="813" ht="12.75" customHeight="1" x14ac:dyDescent="0.6"/>
    <row r="814" ht="12.75" customHeight="1" x14ac:dyDescent="0.6"/>
    <row r="815" ht="12.75" customHeight="1" x14ac:dyDescent="0.6"/>
    <row r="816" ht="12.75" customHeight="1" x14ac:dyDescent="0.6"/>
    <row r="817" ht="12.75" customHeight="1" x14ac:dyDescent="0.6"/>
    <row r="818" ht="12.75" customHeight="1" x14ac:dyDescent="0.6"/>
    <row r="819" ht="12.75" customHeight="1" x14ac:dyDescent="0.6"/>
    <row r="820" ht="12.75" customHeight="1" x14ac:dyDescent="0.6"/>
    <row r="821" ht="12.75" customHeight="1" x14ac:dyDescent="0.6"/>
    <row r="822" ht="12.75" customHeight="1" x14ac:dyDescent="0.6"/>
    <row r="823" ht="12.75" customHeight="1" x14ac:dyDescent="0.6"/>
    <row r="824" ht="12.75" customHeight="1" x14ac:dyDescent="0.6"/>
    <row r="825" ht="12.75" customHeight="1" x14ac:dyDescent="0.6"/>
    <row r="826" ht="12.75" customHeight="1" x14ac:dyDescent="0.6"/>
    <row r="827" ht="12.75" customHeight="1" x14ac:dyDescent="0.6"/>
    <row r="828" ht="12.75" customHeight="1" x14ac:dyDescent="0.6"/>
    <row r="829" ht="12.75" customHeight="1" x14ac:dyDescent="0.6"/>
    <row r="830" ht="12.75" customHeight="1" x14ac:dyDescent="0.6"/>
    <row r="831" ht="12.75" customHeight="1" x14ac:dyDescent="0.6"/>
    <row r="832" ht="12.75" customHeight="1" x14ac:dyDescent="0.6"/>
    <row r="833" ht="12.75" customHeight="1" x14ac:dyDescent="0.6"/>
    <row r="834" ht="12.75" customHeight="1" x14ac:dyDescent="0.6"/>
    <row r="835" ht="12.75" customHeight="1" x14ac:dyDescent="0.6"/>
    <row r="836" ht="12.75" customHeight="1" x14ac:dyDescent="0.6"/>
    <row r="837" ht="12.75" customHeight="1" x14ac:dyDescent="0.6"/>
    <row r="838" ht="12.75" customHeight="1" x14ac:dyDescent="0.6"/>
  </sheetData>
  <mergeCells count="3">
    <mergeCell ref="D1:M1"/>
    <mergeCell ref="Q1:Z1"/>
    <mergeCell ref="AD1:AM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pageSetUpPr fitToPage="1"/>
  </sheetPr>
  <dimension ref="A1:S156"/>
  <sheetViews>
    <sheetView showGridLines="0" zoomScale="70" zoomScaleNormal="70" workbookViewId="0">
      <pane xSplit="5" ySplit="6" topLeftCell="F7" activePane="bottomRight" state="frozen"/>
      <selection activeCell="H22" sqref="H22"/>
      <selection pane="topRight" activeCell="H22" sqref="H22"/>
      <selection pane="bottomLeft" activeCell="H22" sqref="H22"/>
      <selection pane="bottomRight" activeCell="N80" sqref="N80"/>
    </sheetView>
  </sheetViews>
  <sheetFormatPr defaultRowHeight="15.75" outlineLevelRow="1" x14ac:dyDescent="0.75"/>
  <cols>
    <col min="1" max="1" width="5.6796875" style="34" customWidth="1"/>
    <col min="2" max="2" width="5.08984375" style="1" customWidth="1"/>
    <col min="3" max="3" width="42.54296875" style="1" customWidth="1"/>
    <col min="4" max="4" width="16.6796875" style="31" hidden="1" customWidth="1"/>
    <col min="5" max="5" width="14.54296875" style="31" hidden="1" customWidth="1"/>
    <col min="6" max="6" width="14.54296875" style="31" customWidth="1"/>
    <col min="7" max="7" width="15" style="31" customWidth="1"/>
    <col min="8" max="9" width="14.54296875" style="31" customWidth="1"/>
    <col min="10" max="10" width="8.86328125" style="31" customWidth="1"/>
    <col min="11" max="11" width="11.31640625" style="31" customWidth="1"/>
    <col min="12" max="14" width="11.31640625" style="1" customWidth="1"/>
    <col min="15" max="15" width="3.6796875" style="1" customWidth="1"/>
    <col min="16" max="19" width="11.31640625" style="1" customWidth="1"/>
    <col min="20" max="257" width="9.08984375" style="1"/>
    <col min="258" max="258" width="22.86328125" style="1" customWidth="1"/>
    <col min="259" max="513" width="9.08984375" style="1"/>
    <col min="514" max="514" width="22.86328125" style="1" customWidth="1"/>
    <col min="515" max="769" width="9.08984375" style="1"/>
    <col min="770" max="770" width="22.86328125" style="1" customWidth="1"/>
    <col min="771" max="1025" width="9.08984375" style="1"/>
    <col min="1026" max="1026" width="22.86328125" style="1" customWidth="1"/>
    <col min="1027" max="1281" width="9.08984375" style="1"/>
    <col min="1282" max="1282" width="22.86328125" style="1" customWidth="1"/>
    <col min="1283" max="1537" width="9.08984375" style="1"/>
    <col min="1538" max="1538" width="22.86328125" style="1" customWidth="1"/>
    <col min="1539" max="1793" width="9.08984375" style="1"/>
    <col min="1794" max="1794" width="22.86328125" style="1" customWidth="1"/>
    <col min="1795" max="2049" width="9.08984375" style="1"/>
    <col min="2050" max="2050" width="22.86328125" style="1" customWidth="1"/>
    <col min="2051" max="2305" width="9.08984375" style="1"/>
    <col min="2306" max="2306" width="22.86328125" style="1" customWidth="1"/>
    <col min="2307" max="2561" width="9.08984375" style="1"/>
    <col min="2562" max="2562" width="22.86328125" style="1" customWidth="1"/>
    <col min="2563" max="2817" width="9.08984375" style="1"/>
    <col min="2818" max="2818" width="22.86328125" style="1" customWidth="1"/>
    <col min="2819" max="3073" width="9.08984375" style="1"/>
    <col min="3074" max="3074" width="22.86328125" style="1" customWidth="1"/>
    <col min="3075" max="3329" width="9.08984375" style="1"/>
    <col min="3330" max="3330" width="22.86328125" style="1" customWidth="1"/>
    <col min="3331" max="3585" width="9.08984375" style="1"/>
    <col min="3586" max="3586" width="22.86328125" style="1" customWidth="1"/>
    <col min="3587" max="3841" width="9.08984375" style="1"/>
    <col min="3842" max="3842" width="22.86328125" style="1" customWidth="1"/>
    <col min="3843" max="4097" width="9.08984375" style="1"/>
    <col min="4098" max="4098" width="22.86328125" style="1" customWidth="1"/>
    <col min="4099" max="4353" width="9.08984375" style="1"/>
    <col min="4354" max="4354" width="22.86328125" style="1" customWidth="1"/>
    <col min="4355" max="4609" width="9.08984375" style="1"/>
    <col min="4610" max="4610" width="22.86328125" style="1" customWidth="1"/>
    <col min="4611" max="4865" width="9.08984375" style="1"/>
    <col min="4866" max="4866" width="22.86328125" style="1" customWidth="1"/>
    <col min="4867" max="5121" width="9.08984375" style="1"/>
    <col min="5122" max="5122" width="22.86328125" style="1" customWidth="1"/>
    <col min="5123" max="5377" width="9.08984375" style="1"/>
    <col min="5378" max="5378" width="22.86328125" style="1" customWidth="1"/>
    <col min="5379" max="5633" width="9.08984375" style="1"/>
    <col min="5634" max="5634" width="22.86328125" style="1" customWidth="1"/>
    <col min="5635" max="5889" width="9.08984375" style="1"/>
    <col min="5890" max="5890" width="22.86328125" style="1" customWidth="1"/>
    <col min="5891" max="6145" width="9.08984375" style="1"/>
    <col min="6146" max="6146" width="22.86328125" style="1" customWidth="1"/>
    <col min="6147" max="6401" width="9.08984375" style="1"/>
    <col min="6402" max="6402" width="22.86328125" style="1" customWidth="1"/>
    <col min="6403" max="6657" width="9.08984375" style="1"/>
    <col min="6658" max="6658" width="22.86328125" style="1" customWidth="1"/>
    <col min="6659" max="6913" width="9.08984375" style="1"/>
    <col min="6914" max="6914" width="22.86328125" style="1" customWidth="1"/>
    <col min="6915" max="7169" width="9.08984375" style="1"/>
    <col min="7170" max="7170" width="22.86328125" style="1" customWidth="1"/>
    <col min="7171" max="7425" width="9.08984375" style="1"/>
    <col min="7426" max="7426" width="22.86328125" style="1" customWidth="1"/>
    <col min="7427" max="7681" width="9.08984375" style="1"/>
    <col min="7682" max="7682" width="22.86328125" style="1" customWidth="1"/>
    <col min="7683" max="7937" width="9.08984375" style="1"/>
    <col min="7938" max="7938" width="22.86328125" style="1" customWidth="1"/>
    <col min="7939" max="8193" width="9.08984375" style="1"/>
    <col min="8194" max="8194" width="22.86328125" style="1" customWidth="1"/>
    <col min="8195" max="8449" width="9.08984375" style="1"/>
    <col min="8450" max="8450" width="22.86328125" style="1" customWidth="1"/>
    <col min="8451" max="8705" width="9.08984375" style="1"/>
    <col min="8706" max="8706" width="22.86328125" style="1" customWidth="1"/>
    <col min="8707" max="8961" width="9.08984375" style="1"/>
    <col min="8962" max="8962" width="22.86328125" style="1" customWidth="1"/>
    <col min="8963" max="9217" width="9.08984375" style="1"/>
    <col min="9218" max="9218" width="22.86328125" style="1" customWidth="1"/>
    <col min="9219" max="9473" width="9.08984375" style="1"/>
    <col min="9474" max="9474" width="22.86328125" style="1" customWidth="1"/>
    <col min="9475" max="9729" width="9.08984375" style="1"/>
    <col min="9730" max="9730" width="22.86328125" style="1" customWidth="1"/>
    <col min="9731" max="9985" width="9.08984375" style="1"/>
    <col min="9986" max="9986" width="22.86328125" style="1" customWidth="1"/>
    <col min="9987" max="10241" width="9.08984375" style="1"/>
    <col min="10242" max="10242" width="22.86328125" style="1" customWidth="1"/>
    <col min="10243" max="10497" width="9.08984375" style="1"/>
    <col min="10498" max="10498" width="22.86328125" style="1" customWidth="1"/>
    <col min="10499" max="10753" width="9.08984375" style="1"/>
    <col min="10754" max="10754" width="22.86328125" style="1" customWidth="1"/>
    <col min="10755" max="11009" width="9.08984375" style="1"/>
    <col min="11010" max="11010" width="22.86328125" style="1" customWidth="1"/>
    <col min="11011" max="11265" width="9.08984375" style="1"/>
    <col min="11266" max="11266" width="22.86328125" style="1" customWidth="1"/>
    <col min="11267" max="11521" width="9.08984375" style="1"/>
    <col min="11522" max="11522" width="22.86328125" style="1" customWidth="1"/>
    <col min="11523" max="11777" width="9.08984375" style="1"/>
    <col min="11778" max="11778" width="22.86328125" style="1" customWidth="1"/>
    <col min="11779" max="12033" width="9.08984375" style="1"/>
    <col min="12034" max="12034" width="22.86328125" style="1" customWidth="1"/>
    <col min="12035" max="12289" width="9.08984375" style="1"/>
    <col min="12290" max="12290" width="22.86328125" style="1" customWidth="1"/>
    <col min="12291" max="12545" width="9.08984375" style="1"/>
    <col min="12546" max="12546" width="22.86328125" style="1" customWidth="1"/>
    <col min="12547" max="12801" width="9.08984375" style="1"/>
    <col min="12802" max="12802" width="22.86328125" style="1" customWidth="1"/>
    <col min="12803" max="13057" width="9.08984375" style="1"/>
    <col min="13058" max="13058" width="22.86328125" style="1" customWidth="1"/>
    <col min="13059" max="13313" width="9.08984375" style="1"/>
    <col min="13314" max="13314" width="22.86328125" style="1" customWidth="1"/>
    <col min="13315" max="13569" width="9.08984375" style="1"/>
    <col min="13570" max="13570" width="22.86328125" style="1" customWidth="1"/>
    <col min="13571" max="13825" width="9.08984375" style="1"/>
    <col min="13826" max="13826" width="22.86328125" style="1" customWidth="1"/>
    <col min="13827" max="14081" width="9.08984375" style="1"/>
    <col min="14082" max="14082" width="22.86328125" style="1" customWidth="1"/>
    <col min="14083" max="14337" width="9.08984375" style="1"/>
    <col min="14338" max="14338" width="22.86328125" style="1" customWidth="1"/>
    <col min="14339" max="14593" width="9.08984375" style="1"/>
    <col min="14594" max="14594" width="22.86328125" style="1" customWidth="1"/>
    <col min="14595" max="14849" width="9.08984375" style="1"/>
    <col min="14850" max="14850" width="22.86328125" style="1" customWidth="1"/>
    <col min="14851" max="15105" width="9.08984375" style="1"/>
    <col min="15106" max="15106" width="22.86328125" style="1" customWidth="1"/>
    <col min="15107" max="15361" width="9.08984375" style="1"/>
    <col min="15362" max="15362" width="22.86328125" style="1" customWidth="1"/>
    <col min="15363" max="15617" width="9.08984375" style="1"/>
    <col min="15618" max="15618" width="22.86328125" style="1" customWidth="1"/>
    <col min="15619" max="15873" width="9.08984375" style="1"/>
    <col min="15874" max="15874" width="22.86328125" style="1" customWidth="1"/>
    <col min="15875" max="16129" width="9.08984375" style="1"/>
    <col min="16130" max="16130" width="22.86328125" style="1" customWidth="1"/>
    <col min="16131" max="16384" width="9.08984375" style="1"/>
  </cols>
  <sheetData>
    <row r="1" spans="1:19" ht="20.25" x14ac:dyDescent="0.85">
      <c r="A1" s="20" t="s">
        <v>1633</v>
      </c>
    </row>
    <row r="2" spans="1:19" ht="17.75" x14ac:dyDescent="0.75">
      <c r="A2" s="21" t="s">
        <v>777</v>
      </c>
    </row>
    <row r="3" spans="1:19" ht="18.5" thickBot="1" x14ac:dyDescent="0.9">
      <c r="A3" s="136" t="s">
        <v>2169</v>
      </c>
    </row>
    <row r="4" spans="1:19" ht="18.649999999999999" customHeight="1" thickBot="1" x14ac:dyDescent="0.9">
      <c r="K4" s="806" t="s">
        <v>1957</v>
      </c>
      <c r="L4" s="807"/>
      <c r="M4" s="807"/>
      <c r="N4" s="807"/>
      <c r="O4" s="807"/>
      <c r="P4" s="807"/>
      <c r="Q4" s="807"/>
      <c r="R4" s="807"/>
      <c r="S4" s="808"/>
    </row>
    <row r="5" spans="1:19" ht="18.5" thickBot="1" x14ac:dyDescent="0.9">
      <c r="A5" s="29"/>
      <c r="B5" s="29"/>
      <c r="C5" s="29"/>
      <c r="K5" s="75" t="s">
        <v>2053</v>
      </c>
      <c r="L5" s="586">
        <v>0.05</v>
      </c>
      <c r="P5" s="75" t="s">
        <v>2078</v>
      </c>
      <c r="Q5" s="586">
        <v>0.05</v>
      </c>
    </row>
    <row r="6" spans="1:19" s="31" customFormat="1" ht="36.75" customHeight="1" thickBot="1" x14ac:dyDescent="0.9">
      <c r="A6" s="30"/>
      <c r="B6" s="30"/>
      <c r="C6" s="30"/>
      <c r="D6" s="67"/>
      <c r="E6" s="67"/>
      <c r="F6" s="211" t="s">
        <v>1630</v>
      </c>
      <c r="G6" s="211" t="s">
        <v>1631</v>
      </c>
      <c r="H6" s="211" t="s">
        <v>1632</v>
      </c>
      <c r="I6" s="67" t="s">
        <v>675</v>
      </c>
      <c r="K6" s="211" t="s">
        <v>1630</v>
      </c>
      <c r="L6" s="211" t="s">
        <v>1631</v>
      </c>
      <c r="M6" s="211" t="s">
        <v>1632</v>
      </c>
      <c r="N6" s="67" t="s">
        <v>675</v>
      </c>
      <c r="P6" s="211" t="s">
        <v>1630</v>
      </c>
      <c r="Q6" s="211" t="s">
        <v>1631</v>
      </c>
      <c r="R6" s="211" t="s">
        <v>1632</v>
      </c>
      <c r="S6" s="67" t="s">
        <v>675</v>
      </c>
    </row>
    <row r="7" spans="1:19" s="31" customFormat="1" x14ac:dyDescent="0.75">
      <c r="A7" s="47" t="s">
        <v>749</v>
      </c>
      <c r="B7" s="48"/>
      <c r="C7" s="47"/>
      <c r="D7" s="49"/>
      <c r="E7" s="49"/>
      <c r="F7" s="49"/>
      <c r="G7" s="49"/>
      <c r="H7" s="50"/>
      <c r="I7" s="50"/>
      <c r="K7" s="49"/>
      <c r="L7" s="49"/>
      <c r="M7" s="50"/>
      <c r="N7" s="50"/>
      <c r="P7" s="49"/>
      <c r="Q7" s="49"/>
      <c r="R7" s="50"/>
      <c r="S7" s="50"/>
    </row>
    <row r="8" spans="1:19" s="31" customFormat="1" outlineLevel="1" x14ac:dyDescent="0.75">
      <c r="A8" s="48"/>
      <c r="B8" s="51" t="s">
        <v>2055</v>
      </c>
      <c r="C8" s="52"/>
      <c r="D8" s="53"/>
      <c r="E8" s="53"/>
      <c r="F8" s="637">
        <v>86</v>
      </c>
      <c r="G8" s="637">
        <v>68</v>
      </c>
      <c r="H8" s="637">
        <v>81</v>
      </c>
      <c r="I8" s="53">
        <f>SUM(D8:H8)</f>
        <v>235</v>
      </c>
      <c r="J8" s="164">
        <f>+I8-48</f>
        <v>187</v>
      </c>
      <c r="K8" s="548">
        <f>+F8*(1+$L$5)</f>
        <v>90.3</v>
      </c>
      <c r="L8" s="548">
        <f t="shared" ref="L8:M8" si="0">+G8*(1+$L$5)</f>
        <v>71.400000000000006</v>
      </c>
      <c r="M8" s="548">
        <f t="shared" si="0"/>
        <v>85.05</v>
      </c>
      <c r="N8" s="53">
        <f>SUM(K8:M8)</f>
        <v>246.75</v>
      </c>
      <c r="P8" s="548">
        <f>+K8*(1+$Q$5)</f>
        <v>94.814999999999998</v>
      </c>
      <c r="Q8" s="548">
        <f t="shared" ref="Q8:R8" si="1">+L8*(1+$Q$5)</f>
        <v>74.970000000000013</v>
      </c>
      <c r="R8" s="548">
        <f t="shared" si="1"/>
        <v>89.302499999999995</v>
      </c>
      <c r="S8" s="53">
        <f>SUM(P8:R8)</f>
        <v>259.08750000000003</v>
      </c>
    </row>
    <row r="9" spans="1:19" s="31" customFormat="1" outlineLevel="1" x14ac:dyDescent="0.75">
      <c r="A9" s="48"/>
      <c r="B9" s="51" t="s">
        <v>750</v>
      </c>
      <c r="C9" s="52"/>
      <c r="D9" s="53"/>
      <c r="E9" s="53"/>
      <c r="F9" s="548">
        <v>68</v>
      </c>
      <c r="G9" s="548">
        <v>84</v>
      </c>
      <c r="H9" s="548">
        <v>91</v>
      </c>
      <c r="I9" s="53">
        <f t="shared" ref="I9:I20" si="2">SUM(D9:H9)</f>
        <v>243</v>
      </c>
      <c r="K9" s="548">
        <f t="shared" ref="K9:K20" si="3">+F9*(1+$L$5)</f>
        <v>71.400000000000006</v>
      </c>
      <c r="L9" s="548">
        <f t="shared" ref="L9:L20" si="4">+G9*(1+$L$5)</f>
        <v>88.2</v>
      </c>
      <c r="M9" s="548">
        <f t="shared" ref="M9:M20" si="5">+H9*(1+$L$5)</f>
        <v>95.55</v>
      </c>
      <c r="N9" s="53">
        <f t="shared" ref="N9:N20" si="6">SUM(K9:M9)</f>
        <v>255.15000000000003</v>
      </c>
      <c r="P9" s="548">
        <f t="shared" ref="P9:P20" si="7">+K9*(1+$Q$5)</f>
        <v>74.970000000000013</v>
      </c>
      <c r="Q9" s="548">
        <f t="shared" ref="Q9:Q20" si="8">+L9*(1+$Q$5)</f>
        <v>92.610000000000014</v>
      </c>
      <c r="R9" s="548">
        <f t="shared" ref="R9:R20" si="9">+M9*(1+$Q$5)</f>
        <v>100.3275</v>
      </c>
      <c r="S9" s="53">
        <f t="shared" ref="S9:S21" si="10">SUM(P9:R9)</f>
        <v>267.90750000000003</v>
      </c>
    </row>
    <row r="10" spans="1:19" s="31" customFormat="1" outlineLevel="1" x14ac:dyDescent="0.75">
      <c r="A10" s="48"/>
      <c r="B10" s="51" t="s">
        <v>751</v>
      </c>
      <c r="C10" s="52"/>
      <c r="D10" s="53"/>
      <c r="E10" s="53"/>
      <c r="F10" s="548">
        <v>64</v>
      </c>
      <c r="G10" s="548">
        <v>74</v>
      </c>
      <c r="H10" s="548">
        <v>78</v>
      </c>
      <c r="I10" s="53">
        <f t="shared" si="2"/>
        <v>216</v>
      </c>
      <c r="K10" s="548">
        <f t="shared" si="3"/>
        <v>67.2</v>
      </c>
      <c r="L10" s="548">
        <f t="shared" si="4"/>
        <v>77.7</v>
      </c>
      <c r="M10" s="548">
        <f t="shared" si="5"/>
        <v>81.900000000000006</v>
      </c>
      <c r="N10" s="53">
        <f t="shared" si="6"/>
        <v>226.8</v>
      </c>
      <c r="P10" s="548">
        <f t="shared" si="7"/>
        <v>70.56</v>
      </c>
      <c r="Q10" s="548">
        <f t="shared" si="8"/>
        <v>81.585000000000008</v>
      </c>
      <c r="R10" s="548">
        <f t="shared" si="9"/>
        <v>85.995000000000005</v>
      </c>
      <c r="S10" s="53">
        <f t="shared" si="10"/>
        <v>238.14000000000001</v>
      </c>
    </row>
    <row r="11" spans="1:19" s="31" customFormat="1" outlineLevel="1" x14ac:dyDescent="0.75">
      <c r="A11" s="48"/>
      <c r="B11" s="51" t="s">
        <v>752</v>
      </c>
      <c r="C11" s="52"/>
      <c r="D11" s="53"/>
      <c r="E11" s="53"/>
      <c r="F11" s="548">
        <v>61</v>
      </c>
      <c r="G11" s="548">
        <v>69</v>
      </c>
      <c r="H11" s="548">
        <v>77</v>
      </c>
      <c r="I11" s="53">
        <f t="shared" si="2"/>
        <v>207</v>
      </c>
      <c r="K11" s="548">
        <f t="shared" si="3"/>
        <v>64.05</v>
      </c>
      <c r="L11" s="548">
        <f t="shared" si="4"/>
        <v>72.45</v>
      </c>
      <c r="M11" s="548">
        <f t="shared" si="5"/>
        <v>80.850000000000009</v>
      </c>
      <c r="N11" s="53">
        <f t="shared" si="6"/>
        <v>217.35000000000002</v>
      </c>
      <c r="P11" s="548">
        <f t="shared" si="7"/>
        <v>67.252499999999998</v>
      </c>
      <c r="Q11" s="548">
        <f t="shared" si="8"/>
        <v>76.072500000000005</v>
      </c>
      <c r="R11" s="548">
        <f t="shared" si="9"/>
        <v>84.892500000000013</v>
      </c>
      <c r="S11" s="53">
        <f t="shared" si="10"/>
        <v>228.2175</v>
      </c>
    </row>
    <row r="12" spans="1:19" s="31" customFormat="1" outlineLevel="1" x14ac:dyDescent="0.75">
      <c r="A12" s="48"/>
      <c r="B12" s="51" t="s">
        <v>753</v>
      </c>
      <c r="C12" s="52"/>
      <c r="D12" s="53"/>
      <c r="E12" s="53"/>
      <c r="F12" s="548">
        <v>81</v>
      </c>
      <c r="G12" s="548">
        <v>75</v>
      </c>
      <c r="H12" s="548">
        <v>69</v>
      </c>
      <c r="I12" s="53">
        <f t="shared" si="2"/>
        <v>225</v>
      </c>
      <c r="K12" s="548">
        <f t="shared" si="3"/>
        <v>85.05</v>
      </c>
      <c r="L12" s="548">
        <f t="shared" si="4"/>
        <v>78.75</v>
      </c>
      <c r="M12" s="548">
        <f t="shared" si="5"/>
        <v>72.45</v>
      </c>
      <c r="N12" s="53">
        <f t="shared" si="6"/>
        <v>236.25</v>
      </c>
      <c r="P12" s="548">
        <f t="shared" si="7"/>
        <v>89.302499999999995</v>
      </c>
      <c r="Q12" s="548">
        <f t="shared" si="8"/>
        <v>82.6875</v>
      </c>
      <c r="R12" s="548">
        <f t="shared" si="9"/>
        <v>76.072500000000005</v>
      </c>
      <c r="S12" s="53">
        <f t="shared" si="10"/>
        <v>248.0625</v>
      </c>
    </row>
    <row r="13" spans="1:19" s="31" customFormat="1" outlineLevel="1" x14ac:dyDescent="0.75">
      <c r="A13" s="48"/>
      <c r="B13" s="51" t="s">
        <v>754</v>
      </c>
      <c r="C13" s="52"/>
      <c r="D13" s="53"/>
      <c r="E13" s="53"/>
      <c r="F13" s="548">
        <v>63</v>
      </c>
      <c r="G13" s="548">
        <v>70</v>
      </c>
      <c r="H13" s="548">
        <v>58</v>
      </c>
      <c r="I13" s="53">
        <f t="shared" si="2"/>
        <v>191</v>
      </c>
      <c r="K13" s="548">
        <f t="shared" si="3"/>
        <v>66.150000000000006</v>
      </c>
      <c r="L13" s="548">
        <f t="shared" si="4"/>
        <v>73.5</v>
      </c>
      <c r="M13" s="548">
        <f t="shared" si="5"/>
        <v>60.900000000000006</v>
      </c>
      <c r="N13" s="53">
        <f t="shared" si="6"/>
        <v>200.55</v>
      </c>
      <c r="P13" s="548">
        <f t="shared" si="7"/>
        <v>69.45750000000001</v>
      </c>
      <c r="Q13" s="548">
        <f t="shared" si="8"/>
        <v>77.174999999999997</v>
      </c>
      <c r="R13" s="548">
        <f t="shared" si="9"/>
        <v>63.945000000000007</v>
      </c>
      <c r="S13" s="53">
        <f t="shared" si="10"/>
        <v>210.57749999999999</v>
      </c>
    </row>
    <row r="14" spans="1:19" s="31" customFormat="1" outlineLevel="1" x14ac:dyDescent="0.75">
      <c r="A14" s="48"/>
      <c r="B14" s="51" t="s">
        <v>755</v>
      </c>
      <c r="C14" s="52"/>
      <c r="D14" s="53"/>
      <c r="E14" s="53"/>
      <c r="F14" s="548">
        <v>64</v>
      </c>
      <c r="G14" s="548">
        <v>80</v>
      </c>
      <c r="H14" s="548">
        <v>70</v>
      </c>
      <c r="I14" s="53">
        <f t="shared" si="2"/>
        <v>214</v>
      </c>
      <c r="K14" s="548">
        <f t="shared" si="3"/>
        <v>67.2</v>
      </c>
      <c r="L14" s="548">
        <f t="shared" si="4"/>
        <v>84</v>
      </c>
      <c r="M14" s="548">
        <f t="shared" si="5"/>
        <v>73.5</v>
      </c>
      <c r="N14" s="53">
        <f t="shared" si="6"/>
        <v>224.7</v>
      </c>
      <c r="P14" s="548">
        <f t="shared" si="7"/>
        <v>70.56</v>
      </c>
      <c r="Q14" s="548">
        <f t="shared" si="8"/>
        <v>88.2</v>
      </c>
      <c r="R14" s="548">
        <f t="shared" si="9"/>
        <v>77.174999999999997</v>
      </c>
      <c r="S14" s="53">
        <f t="shared" si="10"/>
        <v>235.935</v>
      </c>
    </row>
    <row r="15" spans="1:19" s="31" customFormat="1" outlineLevel="1" x14ac:dyDescent="0.75">
      <c r="A15" s="48"/>
      <c r="B15" s="51" t="s">
        <v>756</v>
      </c>
      <c r="C15" s="52"/>
      <c r="D15" s="53"/>
      <c r="E15" s="53"/>
      <c r="F15" s="548">
        <v>64</v>
      </c>
      <c r="G15" s="548">
        <v>76</v>
      </c>
      <c r="H15" s="548">
        <v>70</v>
      </c>
      <c r="I15" s="53">
        <f t="shared" si="2"/>
        <v>210</v>
      </c>
      <c r="K15" s="548">
        <f t="shared" si="3"/>
        <v>67.2</v>
      </c>
      <c r="L15" s="548">
        <f t="shared" si="4"/>
        <v>79.8</v>
      </c>
      <c r="M15" s="548">
        <f t="shared" si="5"/>
        <v>73.5</v>
      </c>
      <c r="N15" s="53">
        <f t="shared" si="6"/>
        <v>220.5</v>
      </c>
      <c r="P15" s="548">
        <f t="shared" si="7"/>
        <v>70.56</v>
      </c>
      <c r="Q15" s="548">
        <f t="shared" si="8"/>
        <v>83.79</v>
      </c>
      <c r="R15" s="548">
        <f t="shared" si="9"/>
        <v>77.174999999999997</v>
      </c>
      <c r="S15" s="53">
        <f t="shared" si="10"/>
        <v>231.52500000000003</v>
      </c>
    </row>
    <row r="16" spans="1:19" s="31" customFormat="1" outlineLevel="1" x14ac:dyDescent="0.75">
      <c r="A16" s="48"/>
      <c r="B16" s="51" t="s">
        <v>757</v>
      </c>
      <c r="C16" s="52"/>
      <c r="D16" s="53"/>
      <c r="E16" s="53"/>
      <c r="F16" s="548">
        <v>50</v>
      </c>
      <c r="G16" s="548">
        <v>60</v>
      </c>
      <c r="H16" s="548">
        <v>71</v>
      </c>
      <c r="I16" s="53">
        <f t="shared" si="2"/>
        <v>181</v>
      </c>
      <c r="K16" s="548">
        <f t="shared" si="3"/>
        <v>52.5</v>
      </c>
      <c r="L16" s="548">
        <f t="shared" si="4"/>
        <v>63</v>
      </c>
      <c r="M16" s="548">
        <f t="shared" si="5"/>
        <v>74.55</v>
      </c>
      <c r="N16" s="53">
        <f t="shared" si="6"/>
        <v>190.05</v>
      </c>
      <c r="P16" s="548">
        <f t="shared" si="7"/>
        <v>55.125</v>
      </c>
      <c r="Q16" s="548">
        <f t="shared" si="8"/>
        <v>66.150000000000006</v>
      </c>
      <c r="R16" s="548">
        <f t="shared" si="9"/>
        <v>78.277500000000003</v>
      </c>
      <c r="S16" s="53">
        <f t="shared" si="10"/>
        <v>199.55250000000001</v>
      </c>
    </row>
    <row r="17" spans="1:19" s="31" customFormat="1" outlineLevel="1" x14ac:dyDescent="0.75">
      <c r="A17" s="48"/>
      <c r="B17" s="51" t="s">
        <v>758</v>
      </c>
      <c r="C17" s="52"/>
      <c r="D17" s="53"/>
      <c r="E17" s="53"/>
      <c r="F17" s="548">
        <v>39</v>
      </c>
      <c r="G17" s="548">
        <v>42</v>
      </c>
      <c r="H17" s="548">
        <v>65</v>
      </c>
      <c r="I17" s="53">
        <f t="shared" si="2"/>
        <v>146</v>
      </c>
      <c r="K17" s="548">
        <f t="shared" si="3"/>
        <v>40.950000000000003</v>
      </c>
      <c r="L17" s="548">
        <f t="shared" si="4"/>
        <v>44.1</v>
      </c>
      <c r="M17" s="548">
        <f t="shared" si="5"/>
        <v>68.25</v>
      </c>
      <c r="N17" s="53">
        <f t="shared" si="6"/>
        <v>153.30000000000001</v>
      </c>
      <c r="P17" s="548">
        <f t="shared" si="7"/>
        <v>42.997500000000002</v>
      </c>
      <c r="Q17" s="548">
        <f t="shared" si="8"/>
        <v>46.305000000000007</v>
      </c>
      <c r="R17" s="548">
        <f t="shared" si="9"/>
        <v>71.662500000000009</v>
      </c>
      <c r="S17" s="53">
        <f t="shared" si="10"/>
        <v>160.96500000000003</v>
      </c>
    </row>
    <row r="18" spans="1:19" s="31" customFormat="1" outlineLevel="1" x14ac:dyDescent="0.75">
      <c r="A18" s="48"/>
      <c r="B18" s="51" t="s">
        <v>759</v>
      </c>
      <c r="C18" s="52"/>
      <c r="D18" s="53"/>
      <c r="E18" s="53"/>
      <c r="F18" s="548">
        <v>24</v>
      </c>
      <c r="G18" s="548">
        <v>59</v>
      </c>
      <c r="H18" s="548">
        <v>65</v>
      </c>
      <c r="I18" s="53">
        <f t="shared" si="2"/>
        <v>148</v>
      </c>
      <c r="K18" s="548">
        <f t="shared" si="3"/>
        <v>25.200000000000003</v>
      </c>
      <c r="L18" s="548">
        <f t="shared" si="4"/>
        <v>61.95</v>
      </c>
      <c r="M18" s="548">
        <f t="shared" si="5"/>
        <v>68.25</v>
      </c>
      <c r="N18" s="53">
        <f t="shared" si="6"/>
        <v>155.4</v>
      </c>
      <c r="P18" s="548">
        <f t="shared" si="7"/>
        <v>26.460000000000004</v>
      </c>
      <c r="Q18" s="548">
        <f t="shared" si="8"/>
        <v>65.047499999999999</v>
      </c>
      <c r="R18" s="548">
        <f t="shared" si="9"/>
        <v>71.662500000000009</v>
      </c>
      <c r="S18" s="53">
        <f t="shared" si="10"/>
        <v>163.17000000000002</v>
      </c>
    </row>
    <row r="19" spans="1:19" s="31" customFormat="1" outlineLevel="1" x14ac:dyDescent="0.75">
      <c r="A19" s="48"/>
      <c r="B19" s="51" t="s">
        <v>760</v>
      </c>
      <c r="C19" s="52"/>
      <c r="D19" s="53"/>
      <c r="E19" s="53"/>
      <c r="F19" s="548">
        <v>25</v>
      </c>
      <c r="G19" s="548">
        <v>47</v>
      </c>
      <c r="H19" s="548">
        <v>57</v>
      </c>
      <c r="I19" s="53">
        <f t="shared" si="2"/>
        <v>129</v>
      </c>
      <c r="K19" s="548">
        <f t="shared" si="3"/>
        <v>26.25</v>
      </c>
      <c r="L19" s="548">
        <f t="shared" si="4"/>
        <v>49.35</v>
      </c>
      <c r="M19" s="548">
        <f t="shared" si="5"/>
        <v>59.85</v>
      </c>
      <c r="N19" s="53">
        <f t="shared" si="6"/>
        <v>135.44999999999999</v>
      </c>
      <c r="P19" s="548">
        <f t="shared" si="7"/>
        <v>27.5625</v>
      </c>
      <c r="Q19" s="548">
        <f t="shared" si="8"/>
        <v>51.817500000000003</v>
      </c>
      <c r="R19" s="548">
        <f t="shared" si="9"/>
        <v>62.842500000000001</v>
      </c>
      <c r="S19" s="53">
        <f t="shared" si="10"/>
        <v>142.2225</v>
      </c>
    </row>
    <row r="20" spans="1:19" s="31" customFormat="1" outlineLevel="1" x14ac:dyDescent="0.75">
      <c r="A20" s="48"/>
      <c r="B20" s="51" t="s">
        <v>761</v>
      </c>
      <c r="C20" s="52"/>
      <c r="D20" s="53"/>
      <c r="E20" s="53"/>
      <c r="F20" s="548">
        <v>18</v>
      </c>
      <c r="G20" s="548">
        <v>38</v>
      </c>
      <c r="H20" s="548">
        <v>50</v>
      </c>
      <c r="I20" s="53">
        <f t="shared" si="2"/>
        <v>106</v>
      </c>
      <c r="K20" s="548">
        <f t="shared" si="3"/>
        <v>18.900000000000002</v>
      </c>
      <c r="L20" s="548">
        <f t="shared" si="4"/>
        <v>39.9</v>
      </c>
      <c r="M20" s="548">
        <f t="shared" si="5"/>
        <v>52.5</v>
      </c>
      <c r="N20" s="53">
        <f t="shared" si="6"/>
        <v>111.3</v>
      </c>
      <c r="P20" s="548">
        <f t="shared" si="7"/>
        <v>19.845000000000002</v>
      </c>
      <c r="Q20" s="548">
        <f t="shared" si="8"/>
        <v>41.895000000000003</v>
      </c>
      <c r="R20" s="548">
        <f t="shared" si="9"/>
        <v>55.125</v>
      </c>
      <c r="S20" s="53">
        <f t="shared" si="10"/>
        <v>116.86500000000001</v>
      </c>
    </row>
    <row r="21" spans="1:19" s="31" customFormat="1" outlineLevel="1" x14ac:dyDescent="0.75">
      <c r="A21" s="48"/>
      <c r="B21" s="51" t="s">
        <v>762</v>
      </c>
      <c r="C21" s="51"/>
      <c r="D21" s="53"/>
      <c r="E21" s="53"/>
      <c r="F21" s="53"/>
      <c r="G21" s="53"/>
      <c r="H21" s="53"/>
      <c r="I21" s="53">
        <v>0</v>
      </c>
      <c r="K21" s="53"/>
      <c r="L21" s="53"/>
      <c r="M21" s="53"/>
      <c r="N21" s="53">
        <v>0</v>
      </c>
      <c r="P21" s="53"/>
      <c r="Q21" s="53"/>
      <c r="R21" s="53"/>
      <c r="S21" s="53">
        <f t="shared" si="10"/>
        <v>0</v>
      </c>
    </row>
    <row r="22" spans="1:19" s="31" customFormat="1" outlineLevel="1" x14ac:dyDescent="0.75">
      <c r="A22" s="48"/>
      <c r="B22" s="52" t="s">
        <v>763</v>
      </c>
      <c r="C22" s="51"/>
      <c r="D22" s="57" t="str">
        <f t="shared" ref="D22:I22" si="11">IF(SUM(D8:D21)&gt;0,SUM(D8:D21),"")</f>
        <v/>
      </c>
      <c r="E22" s="57" t="str">
        <f t="shared" si="11"/>
        <v/>
      </c>
      <c r="F22" s="57">
        <f t="shared" si="11"/>
        <v>707</v>
      </c>
      <c r="G22" s="57">
        <f t="shared" si="11"/>
        <v>842</v>
      </c>
      <c r="H22" s="57">
        <f t="shared" si="11"/>
        <v>902</v>
      </c>
      <c r="I22" s="57">
        <f t="shared" si="11"/>
        <v>2451</v>
      </c>
      <c r="K22" s="57">
        <f t="shared" ref="K22:M22" si="12">IF(SUM(K8:K21)&gt;0,SUM(K8:K21),"")</f>
        <v>742.35</v>
      </c>
      <c r="L22" s="57">
        <f t="shared" si="12"/>
        <v>884.1</v>
      </c>
      <c r="M22" s="57">
        <f t="shared" si="12"/>
        <v>947.1</v>
      </c>
      <c r="N22" s="57">
        <f>IF(SUM(N8:N21)&gt;0,SUM(N8:N21),"")</f>
        <v>2573.5500000000002</v>
      </c>
      <c r="P22" s="57">
        <f t="shared" ref="P22:S22" si="13">IF(SUM(P8:P21)&gt;0,SUM(P8:P21),"")</f>
        <v>779.46749999999997</v>
      </c>
      <c r="Q22" s="57">
        <f t="shared" si="13"/>
        <v>928.30500000000006</v>
      </c>
      <c r="R22" s="57">
        <f t="shared" si="13"/>
        <v>994.45500000000004</v>
      </c>
      <c r="S22" s="57">
        <f t="shared" si="13"/>
        <v>2702.2275</v>
      </c>
    </row>
    <row r="23" spans="1:19" s="31" customFormat="1" ht="17.75" hidden="1" outlineLevel="1" x14ac:dyDescent="0.75">
      <c r="A23" s="29"/>
      <c r="B23" s="29"/>
      <c r="C23" s="29"/>
      <c r="D23" s="208"/>
      <c r="E23" s="208"/>
      <c r="F23" s="292">
        <f>+F22/I22</f>
        <v>0.28845369237046103</v>
      </c>
      <c r="G23" s="292">
        <f>+G22/I22</f>
        <v>0.34353325173398613</v>
      </c>
      <c r="H23" s="292">
        <f>+H22/I22</f>
        <v>0.36801305589555283</v>
      </c>
      <c r="I23" s="46"/>
      <c r="K23" s="292">
        <f>+K22/N22</f>
        <v>0.28845369237046103</v>
      </c>
      <c r="L23" s="292">
        <f>+L22/N22</f>
        <v>0.34353325173398613</v>
      </c>
      <c r="M23" s="292">
        <f>+M22/N22</f>
        <v>0.36801305589555283</v>
      </c>
      <c r="N23" s="46"/>
      <c r="P23" s="292">
        <f>+P22/S22</f>
        <v>0.28845369237046103</v>
      </c>
      <c r="Q23" s="292">
        <f>+Q22/S22</f>
        <v>0.34353325173398613</v>
      </c>
      <c r="R23" s="292">
        <f>+R22/S22</f>
        <v>0.36801305589555283</v>
      </c>
      <c r="S23" s="46"/>
    </row>
    <row r="24" spans="1:19" s="31" customFormat="1" hidden="1" outlineLevel="1" x14ac:dyDescent="0.75">
      <c r="A24" s="47" t="s">
        <v>764</v>
      </c>
      <c r="B24" s="48"/>
      <c r="C24" s="47"/>
      <c r="D24" s="49"/>
      <c r="E24" s="49"/>
      <c r="F24" s="49"/>
      <c r="G24" s="49"/>
      <c r="H24" s="50"/>
      <c r="I24" s="50"/>
      <c r="K24" s="49"/>
      <c r="L24" s="49"/>
      <c r="M24" s="50"/>
      <c r="N24" s="50"/>
      <c r="P24" s="49"/>
      <c r="Q24" s="49"/>
      <c r="R24" s="50"/>
      <c r="S24" s="50"/>
    </row>
    <row r="25" spans="1:19" s="31" customFormat="1" hidden="1" outlineLevel="1" x14ac:dyDescent="0.75">
      <c r="A25" s="48"/>
      <c r="B25" s="51" t="s">
        <v>2055</v>
      </c>
      <c r="C25" s="52"/>
      <c r="D25" s="56">
        <v>0.98</v>
      </c>
      <c r="E25" s="56">
        <v>0.98</v>
      </c>
      <c r="F25" s="550">
        <v>0.95920000000000005</v>
      </c>
      <c r="G25" s="550">
        <v>0.96860000000000002</v>
      </c>
      <c r="H25" s="550">
        <v>0.98299999999999998</v>
      </c>
      <c r="I25" s="56"/>
      <c r="K25" s="550">
        <v>0.95920000000000005</v>
      </c>
      <c r="L25" s="550">
        <v>0.96860000000000002</v>
      </c>
      <c r="M25" s="550">
        <v>0.98299999999999998</v>
      </c>
      <c r="N25" s="56"/>
      <c r="P25" s="550">
        <v>0.95920000000000005</v>
      </c>
      <c r="Q25" s="550">
        <v>0.96860000000000002</v>
      </c>
      <c r="R25" s="550">
        <v>0.98299999999999998</v>
      </c>
      <c r="S25" s="56"/>
    </row>
    <row r="26" spans="1:19" s="31" customFormat="1" ht="17.75" hidden="1" outlineLevel="1" x14ac:dyDescent="0.75">
      <c r="A26" s="29"/>
      <c r="B26" s="51" t="s">
        <v>750</v>
      </c>
      <c r="C26" s="52"/>
      <c r="D26" s="56">
        <v>0.98</v>
      </c>
      <c r="E26" s="56">
        <v>0.98</v>
      </c>
      <c r="F26" s="550">
        <v>0.95920000000000005</v>
      </c>
      <c r="G26" s="550">
        <v>0.96860000000000002</v>
      </c>
      <c r="H26" s="550">
        <v>0.98299999999999998</v>
      </c>
      <c r="I26" s="56"/>
      <c r="K26" s="550">
        <v>0.95920000000000005</v>
      </c>
      <c r="L26" s="550">
        <v>0.96860000000000002</v>
      </c>
      <c r="M26" s="550">
        <v>0.98299999999999998</v>
      </c>
      <c r="N26" s="56"/>
      <c r="P26" s="550">
        <v>0.95920000000000005</v>
      </c>
      <c r="Q26" s="550">
        <v>0.96860000000000002</v>
      </c>
      <c r="R26" s="550">
        <v>0.98299999999999998</v>
      </c>
      <c r="S26" s="56"/>
    </row>
    <row r="27" spans="1:19" s="31" customFormat="1" ht="17.75" hidden="1" outlineLevel="1" x14ac:dyDescent="0.75">
      <c r="A27" s="29"/>
      <c r="B27" s="51" t="s">
        <v>751</v>
      </c>
      <c r="C27" s="52"/>
      <c r="D27" s="56">
        <v>0.98</v>
      </c>
      <c r="E27" s="56">
        <v>0.98</v>
      </c>
      <c r="F27" s="550">
        <v>0.95920000000000005</v>
      </c>
      <c r="G27" s="550">
        <v>0.96860000000000002</v>
      </c>
      <c r="H27" s="550">
        <v>0.98299999999999998</v>
      </c>
      <c r="I27" s="56"/>
      <c r="K27" s="550">
        <v>0.95920000000000005</v>
      </c>
      <c r="L27" s="550">
        <v>0.96860000000000002</v>
      </c>
      <c r="M27" s="550">
        <v>0.98299999999999998</v>
      </c>
      <c r="N27" s="56"/>
      <c r="P27" s="550">
        <v>0.95920000000000005</v>
      </c>
      <c r="Q27" s="550">
        <v>0.96860000000000002</v>
      </c>
      <c r="R27" s="550">
        <v>0.98299999999999998</v>
      </c>
      <c r="S27" s="56"/>
    </row>
    <row r="28" spans="1:19" s="31" customFormat="1" ht="17.75" hidden="1" outlineLevel="1" x14ac:dyDescent="0.75">
      <c r="A28" s="29"/>
      <c r="B28" s="51" t="s">
        <v>752</v>
      </c>
      <c r="C28" s="52"/>
      <c r="D28" s="56">
        <v>0.98</v>
      </c>
      <c r="E28" s="56">
        <v>0.98</v>
      </c>
      <c r="F28" s="550">
        <v>0.95920000000000005</v>
      </c>
      <c r="G28" s="550">
        <v>0.96860000000000002</v>
      </c>
      <c r="H28" s="550">
        <v>0.98299999999999998</v>
      </c>
      <c r="I28" s="56"/>
      <c r="K28" s="550">
        <v>0.95920000000000005</v>
      </c>
      <c r="L28" s="550">
        <v>0.96860000000000002</v>
      </c>
      <c r="M28" s="550">
        <v>0.98299999999999998</v>
      </c>
      <c r="N28" s="56"/>
      <c r="P28" s="550">
        <v>0.95920000000000005</v>
      </c>
      <c r="Q28" s="550">
        <v>0.96860000000000002</v>
      </c>
      <c r="R28" s="550">
        <v>0.98299999999999998</v>
      </c>
      <c r="S28" s="56"/>
    </row>
    <row r="29" spans="1:19" s="31" customFormat="1" ht="17.75" hidden="1" outlineLevel="1" x14ac:dyDescent="0.75">
      <c r="A29" s="29"/>
      <c r="B29" s="51" t="s">
        <v>753</v>
      </c>
      <c r="C29" s="52"/>
      <c r="D29" s="56">
        <v>0.98</v>
      </c>
      <c r="E29" s="56">
        <v>0.98</v>
      </c>
      <c r="F29" s="550">
        <v>0.95920000000000005</v>
      </c>
      <c r="G29" s="550">
        <v>0.96860000000000002</v>
      </c>
      <c r="H29" s="550">
        <v>0.98299999999999998</v>
      </c>
      <c r="I29" s="56"/>
      <c r="K29" s="550">
        <v>0.95920000000000005</v>
      </c>
      <c r="L29" s="550">
        <v>0.96860000000000002</v>
      </c>
      <c r="M29" s="550">
        <v>0.98299999999999998</v>
      </c>
      <c r="N29" s="56"/>
      <c r="P29" s="550">
        <v>0.95920000000000005</v>
      </c>
      <c r="Q29" s="550">
        <v>0.96860000000000002</v>
      </c>
      <c r="R29" s="550">
        <v>0.98299999999999998</v>
      </c>
      <c r="S29" s="56"/>
    </row>
    <row r="30" spans="1:19" s="31" customFormat="1" ht="17.75" hidden="1" outlineLevel="1" x14ac:dyDescent="0.75">
      <c r="A30" s="29"/>
      <c r="B30" s="51" t="s">
        <v>754</v>
      </c>
      <c r="C30" s="52"/>
      <c r="D30" s="56">
        <v>0.98</v>
      </c>
      <c r="E30" s="56">
        <v>0.98</v>
      </c>
      <c r="F30" s="550">
        <v>0.95920000000000005</v>
      </c>
      <c r="G30" s="550">
        <v>0.96860000000000002</v>
      </c>
      <c r="H30" s="550">
        <v>0.98299999999999998</v>
      </c>
      <c r="I30" s="56"/>
      <c r="K30" s="550">
        <v>0.95920000000000005</v>
      </c>
      <c r="L30" s="550">
        <v>0.96860000000000002</v>
      </c>
      <c r="M30" s="550">
        <v>0.98299999999999998</v>
      </c>
      <c r="N30" s="56"/>
      <c r="P30" s="550">
        <v>0.95920000000000005</v>
      </c>
      <c r="Q30" s="550">
        <v>0.96860000000000002</v>
      </c>
      <c r="R30" s="550">
        <v>0.98299999999999998</v>
      </c>
      <c r="S30" s="56"/>
    </row>
    <row r="31" spans="1:19" s="31" customFormat="1" ht="17.75" hidden="1" outlineLevel="1" x14ac:dyDescent="0.75">
      <c r="A31" s="29"/>
      <c r="B31" s="51" t="s">
        <v>755</v>
      </c>
      <c r="C31" s="52"/>
      <c r="D31" s="56">
        <v>0.98</v>
      </c>
      <c r="E31" s="56">
        <v>0.98</v>
      </c>
      <c r="F31" s="550">
        <v>0.95920000000000005</v>
      </c>
      <c r="G31" s="550">
        <v>0.96860000000000002</v>
      </c>
      <c r="H31" s="550">
        <v>0.98299999999999998</v>
      </c>
      <c r="I31" s="56"/>
      <c r="K31" s="550">
        <v>0.95920000000000005</v>
      </c>
      <c r="L31" s="550">
        <v>0.96860000000000002</v>
      </c>
      <c r="M31" s="550">
        <v>0.98299999999999998</v>
      </c>
      <c r="N31" s="56"/>
      <c r="P31" s="550">
        <v>0.95920000000000005</v>
      </c>
      <c r="Q31" s="550">
        <v>0.96860000000000002</v>
      </c>
      <c r="R31" s="550">
        <v>0.98299999999999998</v>
      </c>
      <c r="S31" s="56"/>
    </row>
    <row r="32" spans="1:19" s="31" customFormat="1" ht="17.75" hidden="1" outlineLevel="1" x14ac:dyDescent="0.75">
      <c r="A32" s="29"/>
      <c r="B32" s="51" t="s">
        <v>756</v>
      </c>
      <c r="C32" s="52"/>
      <c r="D32" s="56">
        <v>0.98</v>
      </c>
      <c r="E32" s="56">
        <v>0.98</v>
      </c>
      <c r="F32" s="550">
        <v>0.95920000000000005</v>
      </c>
      <c r="G32" s="550">
        <v>0.96860000000000002</v>
      </c>
      <c r="H32" s="550">
        <v>0.98299999999999998</v>
      </c>
      <c r="I32" s="56"/>
      <c r="K32" s="550">
        <v>0.95920000000000005</v>
      </c>
      <c r="L32" s="550">
        <v>0.96860000000000002</v>
      </c>
      <c r="M32" s="550">
        <v>0.98299999999999998</v>
      </c>
      <c r="N32" s="56"/>
      <c r="P32" s="550">
        <v>0.95920000000000005</v>
      </c>
      <c r="Q32" s="550">
        <v>0.96860000000000002</v>
      </c>
      <c r="R32" s="550">
        <v>0.98299999999999998</v>
      </c>
      <c r="S32" s="56"/>
    </row>
    <row r="33" spans="1:19" s="31" customFormat="1" ht="17.75" hidden="1" outlineLevel="1" x14ac:dyDescent="0.75">
      <c r="A33" s="29"/>
      <c r="B33" s="51" t="s">
        <v>757</v>
      </c>
      <c r="C33" s="52"/>
      <c r="D33" s="56">
        <v>0.98</v>
      </c>
      <c r="E33" s="56">
        <v>0.98</v>
      </c>
      <c r="F33" s="550">
        <v>0.95920000000000005</v>
      </c>
      <c r="G33" s="550">
        <v>0.96860000000000002</v>
      </c>
      <c r="H33" s="550">
        <v>0.98299999999999998</v>
      </c>
      <c r="I33" s="56"/>
      <c r="K33" s="550">
        <v>0.95920000000000005</v>
      </c>
      <c r="L33" s="550">
        <v>0.96860000000000002</v>
      </c>
      <c r="M33" s="550">
        <v>0.98299999999999998</v>
      </c>
      <c r="N33" s="56"/>
      <c r="P33" s="550">
        <v>0.95920000000000005</v>
      </c>
      <c r="Q33" s="550">
        <v>0.96860000000000002</v>
      </c>
      <c r="R33" s="550">
        <v>0.98299999999999998</v>
      </c>
      <c r="S33" s="56"/>
    </row>
    <row r="34" spans="1:19" s="31" customFormat="1" ht="17.75" hidden="1" outlineLevel="1" x14ac:dyDescent="0.75">
      <c r="A34" s="29"/>
      <c r="B34" s="51" t="s">
        <v>758</v>
      </c>
      <c r="C34" s="52"/>
      <c r="D34" s="56">
        <v>0.98</v>
      </c>
      <c r="E34" s="56">
        <v>0.98</v>
      </c>
      <c r="F34" s="550">
        <v>0.95920000000000005</v>
      </c>
      <c r="G34" s="550">
        <v>0.96860000000000002</v>
      </c>
      <c r="H34" s="550">
        <v>0.98299999999999998</v>
      </c>
      <c r="I34" s="56"/>
      <c r="K34" s="550">
        <v>0.95920000000000005</v>
      </c>
      <c r="L34" s="550">
        <v>0.96860000000000002</v>
      </c>
      <c r="M34" s="550">
        <v>0.98299999999999998</v>
      </c>
      <c r="N34" s="56"/>
      <c r="P34" s="550">
        <v>0.95920000000000005</v>
      </c>
      <c r="Q34" s="550">
        <v>0.96860000000000002</v>
      </c>
      <c r="R34" s="550">
        <v>0.98299999999999998</v>
      </c>
      <c r="S34" s="56"/>
    </row>
    <row r="35" spans="1:19" s="31" customFormat="1" ht="17.75" hidden="1" outlineLevel="1" x14ac:dyDescent="0.75">
      <c r="A35" s="29"/>
      <c r="B35" s="51" t="s">
        <v>759</v>
      </c>
      <c r="C35" s="52"/>
      <c r="D35" s="56">
        <v>0.98</v>
      </c>
      <c r="E35" s="56">
        <v>0.98</v>
      </c>
      <c r="F35" s="550">
        <v>0.95920000000000005</v>
      </c>
      <c r="G35" s="550">
        <v>0.96860000000000002</v>
      </c>
      <c r="H35" s="550">
        <v>0.98299999999999998</v>
      </c>
      <c r="I35" s="56"/>
      <c r="K35" s="550">
        <v>0.95920000000000005</v>
      </c>
      <c r="L35" s="550">
        <v>0.96860000000000002</v>
      </c>
      <c r="M35" s="550">
        <v>0.98299999999999998</v>
      </c>
      <c r="N35" s="56"/>
      <c r="P35" s="550">
        <v>0.95920000000000005</v>
      </c>
      <c r="Q35" s="550">
        <v>0.96860000000000002</v>
      </c>
      <c r="R35" s="550">
        <v>0.98299999999999998</v>
      </c>
      <c r="S35" s="56"/>
    </row>
    <row r="36" spans="1:19" s="31" customFormat="1" ht="17.75" hidden="1" outlineLevel="1" x14ac:dyDescent="0.75">
      <c r="A36" s="29"/>
      <c r="B36" s="51" t="s">
        <v>760</v>
      </c>
      <c r="C36" s="52"/>
      <c r="D36" s="56">
        <v>0.98</v>
      </c>
      <c r="E36" s="56">
        <v>0.98</v>
      </c>
      <c r="F36" s="550">
        <v>0.95920000000000005</v>
      </c>
      <c r="G36" s="550">
        <v>0.96860000000000002</v>
      </c>
      <c r="H36" s="550">
        <v>0.98299999999999998</v>
      </c>
      <c r="I36" s="56"/>
      <c r="K36" s="550">
        <v>0.95920000000000005</v>
      </c>
      <c r="L36" s="550">
        <v>0.96860000000000002</v>
      </c>
      <c r="M36" s="550">
        <v>0.98299999999999998</v>
      </c>
      <c r="N36" s="56"/>
      <c r="P36" s="550">
        <v>0.95920000000000005</v>
      </c>
      <c r="Q36" s="550">
        <v>0.96860000000000002</v>
      </c>
      <c r="R36" s="550">
        <v>0.98299999999999998</v>
      </c>
      <c r="S36" s="56"/>
    </row>
    <row r="37" spans="1:19" s="31" customFormat="1" ht="17.75" hidden="1" outlineLevel="1" x14ac:dyDescent="0.75">
      <c r="A37" s="29"/>
      <c r="B37" s="51" t="s">
        <v>761</v>
      </c>
      <c r="C37" s="52"/>
      <c r="D37" s="56">
        <v>0.98</v>
      </c>
      <c r="E37" s="56">
        <v>0.98</v>
      </c>
      <c r="F37" s="550">
        <v>0.95920000000000005</v>
      </c>
      <c r="G37" s="550">
        <v>0.96860000000000002</v>
      </c>
      <c r="H37" s="550">
        <v>0.98299999999999998</v>
      </c>
      <c r="I37" s="56"/>
      <c r="K37" s="550">
        <v>0.95920000000000005</v>
      </c>
      <c r="L37" s="550">
        <v>0.96860000000000002</v>
      </c>
      <c r="M37" s="550">
        <v>0.98299999999999998</v>
      </c>
      <c r="N37" s="56"/>
      <c r="P37" s="550">
        <v>0.95920000000000005</v>
      </c>
      <c r="Q37" s="550">
        <v>0.96860000000000002</v>
      </c>
      <c r="R37" s="550">
        <v>0.98299999999999998</v>
      </c>
      <c r="S37" s="56"/>
    </row>
    <row r="38" spans="1:19" s="31" customFormat="1" ht="17.75" hidden="1" outlineLevel="1" x14ac:dyDescent="0.75">
      <c r="A38" s="29"/>
      <c r="B38" s="51" t="s">
        <v>762</v>
      </c>
      <c r="C38" s="51"/>
      <c r="D38" s="56">
        <v>0.98</v>
      </c>
      <c r="E38" s="56">
        <v>0.98</v>
      </c>
      <c r="F38" s="550">
        <v>0.95920000000000005</v>
      </c>
      <c r="G38" s="550">
        <v>0.96860000000000002</v>
      </c>
      <c r="H38" s="550">
        <v>0.98299999999999998</v>
      </c>
      <c r="I38" s="56"/>
      <c r="K38" s="550">
        <v>0.95920000000000005</v>
      </c>
      <c r="L38" s="550">
        <v>0.96860000000000002</v>
      </c>
      <c r="M38" s="550">
        <v>0.98299999999999998</v>
      </c>
      <c r="N38" s="56"/>
      <c r="P38" s="550">
        <v>0.95920000000000005</v>
      </c>
      <c r="Q38" s="550">
        <v>0.96860000000000002</v>
      </c>
      <c r="R38" s="550">
        <v>0.98299999999999998</v>
      </c>
      <c r="S38" s="56"/>
    </row>
    <row r="39" spans="1:19" s="31" customFormat="1" ht="17.75" hidden="1" outlineLevel="1" x14ac:dyDescent="0.75">
      <c r="A39" s="29"/>
      <c r="B39" s="52" t="s">
        <v>768</v>
      </c>
      <c r="C39" s="51"/>
      <c r="D39" s="59">
        <f>IF(AVERAGE(D25:D38)&gt;0,AVERAGE(D25:D38),"")</f>
        <v>0.98000000000000032</v>
      </c>
      <c r="E39" s="59">
        <f>IF(AVERAGE(E25:E38)&gt;0,AVERAGE(E25:E38),"")</f>
        <v>0.98000000000000032</v>
      </c>
      <c r="F39" s="535">
        <f>IF(AVERAGE(F25:F38)&gt;0,AVERAGE(F25:F38),"")</f>
        <v>0.95919999999999972</v>
      </c>
      <c r="G39" s="535">
        <f>IF(AVERAGE(G25:G38)&gt;0,AVERAGE(G25:G38),"")</f>
        <v>0.96860000000000024</v>
      </c>
      <c r="H39" s="535">
        <f>IF(AVERAGE(H25:H38)&gt;0,AVERAGE(H25:H38),"")</f>
        <v>0.98300000000000021</v>
      </c>
      <c r="I39" s="59"/>
      <c r="K39" s="535">
        <f>IF(AVERAGE(K25:K38)&gt;0,AVERAGE(K25:K38),"")</f>
        <v>0.95919999999999972</v>
      </c>
      <c r="L39" s="535">
        <f>IF(AVERAGE(L25:L38)&gt;0,AVERAGE(L25:L38),"")</f>
        <v>0.96860000000000024</v>
      </c>
      <c r="M39" s="535">
        <f>IF(AVERAGE(M25:M38)&gt;0,AVERAGE(M25:M38),"")</f>
        <v>0.98300000000000021</v>
      </c>
      <c r="N39" s="59"/>
      <c r="P39" s="535">
        <f>IF(AVERAGE(P25:P38)&gt;0,AVERAGE(P25:P38),"")</f>
        <v>0.95919999999999972</v>
      </c>
      <c r="Q39" s="535">
        <f>IF(AVERAGE(Q25:Q38)&gt;0,AVERAGE(Q25:Q38),"")</f>
        <v>0.96860000000000024</v>
      </c>
      <c r="R39" s="535">
        <f>IF(AVERAGE(R25:R38)&gt;0,AVERAGE(R25:R38),"")</f>
        <v>0.98300000000000021</v>
      </c>
      <c r="S39" s="59"/>
    </row>
    <row r="40" spans="1:19" s="31" customFormat="1" ht="17.75" hidden="1" outlineLevel="1" x14ac:dyDescent="0.75">
      <c r="A40" s="29"/>
      <c r="B40" s="47"/>
      <c r="C40" s="48"/>
      <c r="D40" s="54"/>
      <c r="E40" s="54"/>
      <c r="F40" s="54"/>
      <c r="G40" s="54"/>
      <c r="H40" s="54"/>
      <c r="I40" s="54"/>
      <c r="K40" s="54"/>
      <c r="L40" s="54"/>
      <c r="M40" s="54"/>
      <c r="N40" s="54"/>
      <c r="P40" s="54"/>
      <c r="Q40" s="54"/>
      <c r="R40" s="54"/>
      <c r="S40" s="54"/>
    </row>
    <row r="41" spans="1:19" s="31" customFormat="1" hidden="1" outlineLevel="1" x14ac:dyDescent="0.75">
      <c r="A41" s="47" t="s">
        <v>769</v>
      </c>
      <c r="B41" s="48"/>
      <c r="C41" s="47"/>
      <c r="D41" s="49"/>
      <c r="E41" s="49"/>
      <c r="F41" s="49"/>
      <c r="G41" s="49"/>
      <c r="H41" s="50"/>
      <c r="I41" s="50"/>
      <c r="K41" s="49"/>
      <c r="L41" s="49"/>
      <c r="M41" s="50"/>
      <c r="N41" s="50"/>
      <c r="P41" s="49"/>
      <c r="Q41" s="49"/>
      <c r="R41" s="50"/>
      <c r="S41" s="50"/>
    </row>
    <row r="42" spans="1:19" s="31" customFormat="1" hidden="1" outlineLevel="1" x14ac:dyDescent="0.75">
      <c r="A42" s="48"/>
      <c r="B42" s="51" t="s">
        <v>2055</v>
      </c>
      <c r="C42" s="52"/>
      <c r="D42" s="55" t="str">
        <f t="shared" ref="D42:H55" si="14">IF(D8&gt;0,D8*D25,"")</f>
        <v/>
      </c>
      <c r="E42" s="55" t="str">
        <f t="shared" si="14"/>
        <v/>
      </c>
      <c r="F42" s="55">
        <f t="shared" si="14"/>
        <v>82.491200000000006</v>
      </c>
      <c r="G42" s="55">
        <f t="shared" si="14"/>
        <v>65.864800000000002</v>
      </c>
      <c r="H42" s="55">
        <f t="shared" si="14"/>
        <v>79.623000000000005</v>
      </c>
      <c r="I42" s="55">
        <f>SUM(D42:H42)</f>
        <v>227.97899999999998</v>
      </c>
      <c r="K42" s="55">
        <f t="shared" ref="K42:M42" si="15">IF(K8&gt;0,K8*K25,"")</f>
        <v>86.615760000000009</v>
      </c>
      <c r="L42" s="55">
        <f t="shared" si="15"/>
        <v>69.15804</v>
      </c>
      <c r="M42" s="55">
        <f t="shared" si="15"/>
        <v>83.60414999999999</v>
      </c>
      <c r="N42" s="55">
        <f>SUM(K42:M42)</f>
        <v>239.37795</v>
      </c>
      <c r="P42" s="55">
        <f t="shared" ref="P42:R42" si="16">IF(P8&gt;0,P8*P25,"")</f>
        <v>90.946548000000007</v>
      </c>
      <c r="Q42" s="55">
        <f t="shared" si="16"/>
        <v>72.615942000000018</v>
      </c>
      <c r="R42" s="55">
        <f t="shared" si="16"/>
        <v>87.784357499999999</v>
      </c>
      <c r="S42" s="55">
        <f>SUM(P42:R42)</f>
        <v>251.34684750000002</v>
      </c>
    </row>
    <row r="43" spans="1:19" s="31" customFormat="1" ht="17.75" hidden="1" outlineLevel="1" x14ac:dyDescent="0.75">
      <c r="A43" s="29"/>
      <c r="B43" s="51" t="s">
        <v>750</v>
      </c>
      <c r="C43" s="52"/>
      <c r="D43" s="55" t="str">
        <f t="shared" si="14"/>
        <v/>
      </c>
      <c r="E43" s="55" t="str">
        <f t="shared" si="14"/>
        <v/>
      </c>
      <c r="F43" s="55">
        <f t="shared" si="14"/>
        <v>65.2256</v>
      </c>
      <c r="G43" s="55">
        <f t="shared" si="14"/>
        <v>81.362400000000008</v>
      </c>
      <c r="H43" s="55">
        <f t="shared" si="14"/>
        <v>89.453000000000003</v>
      </c>
      <c r="I43" s="55">
        <f t="shared" ref="I43:I56" si="17">SUM(D43:H43)</f>
        <v>236.04100000000003</v>
      </c>
      <c r="K43" s="55">
        <f t="shared" ref="K43:M43" si="18">IF(K9&gt;0,K9*K26,"")</f>
        <v>68.486880000000014</v>
      </c>
      <c r="L43" s="55">
        <f t="shared" si="18"/>
        <v>85.430520000000001</v>
      </c>
      <c r="M43" s="55">
        <f t="shared" si="18"/>
        <v>93.92564999999999</v>
      </c>
      <c r="N43" s="55">
        <f t="shared" ref="N43:N56" si="19">SUM(K43:M43)</f>
        <v>247.84305000000001</v>
      </c>
      <c r="P43" s="55">
        <f t="shared" ref="P43:R43" si="20">IF(P9&gt;0,P9*P26,"")</f>
        <v>71.911224000000018</v>
      </c>
      <c r="Q43" s="55">
        <f t="shared" si="20"/>
        <v>89.70204600000001</v>
      </c>
      <c r="R43" s="55">
        <f t="shared" si="20"/>
        <v>98.6219325</v>
      </c>
      <c r="S43" s="55">
        <f t="shared" ref="S43:S56" si="21">SUM(P43:R43)</f>
        <v>260.23520250000001</v>
      </c>
    </row>
    <row r="44" spans="1:19" s="31" customFormat="1" ht="17.75" hidden="1" outlineLevel="1" x14ac:dyDescent="0.75">
      <c r="A44" s="29"/>
      <c r="B44" s="51" t="s">
        <v>751</v>
      </c>
      <c r="C44" s="52"/>
      <c r="D44" s="55" t="str">
        <f t="shared" si="14"/>
        <v/>
      </c>
      <c r="E44" s="55" t="str">
        <f t="shared" si="14"/>
        <v/>
      </c>
      <c r="F44" s="55">
        <f t="shared" si="14"/>
        <v>61.388800000000003</v>
      </c>
      <c r="G44" s="55">
        <f t="shared" si="14"/>
        <v>71.676400000000001</v>
      </c>
      <c r="H44" s="55">
        <f t="shared" si="14"/>
        <v>76.673999999999992</v>
      </c>
      <c r="I44" s="55">
        <f t="shared" si="17"/>
        <v>209.73919999999998</v>
      </c>
      <c r="K44" s="55">
        <f t="shared" ref="K44:M44" si="22">IF(K10&gt;0,K10*K27,"")</f>
        <v>64.458240000000004</v>
      </c>
      <c r="L44" s="55">
        <f t="shared" si="22"/>
        <v>75.260220000000004</v>
      </c>
      <c r="M44" s="55">
        <f t="shared" si="22"/>
        <v>80.5077</v>
      </c>
      <c r="N44" s="55">
        <f t="shared" si="19"/>
        <v>220.22615999999999</v>
      </c>
      <c r="P44" s="55">
        <f t="shared" ref="P44:R44" si="23">IF(P10&gt;0,P10*P27,"")</f>
        <v>67.681152000000012</v>
      </c>
      <c r="Q44" s="55">
        <f t="shared" si="23"/>
        <v>79.02323100000001</v>
      </c>
      <c r="R44" s="55">
        <f t="shared" si="23"/>
        <v>84.533085</v>
      </c>
      <c r="S44" s="55">
        <f t="shared" si="21"/>
        <v>231.23746800000001</v>
      </c>
    </row>
    <row r="45" spans="1:19" s="31" customFormat="1" ht="17.75" hidden="1" outlineLevel="1" x14ac:dyDescent="0.75">
      <c r="A45" s="29"/>
      <c r="B45" s="51" t="s">
        <v>752</v>
      </c>
      <c r="C45" s="52"/>
      <c r="D45" s="55" t="str">
        <f t="shared" si="14"/>
        <v/>
      </c>
      <c r="E45" s="55" t="str">
        <f t="shared" si="14"/>
        <v/>
      </c>
      <c r="F45" s="55">
        <f t="shared" si="14"/>
        <v>58.511200000000002</v>
      </c>
      <c r="G45" s="55">
        <f t="shared" si="14"/>
        <v>66.833399999999997</v>
      </c>
      <c r="H45" s="55">
        <f t="shared" si="14"/>
        <v>75.691000000000003</v>
      </c>
      <c r="I45" s="55">
        <f t="shared" si="17"/>
        <v>201.03559999999999</v>
      </c>
      <c r="K45" s="55">
        <f t="shared" ref="K45:M45" si="24">IF(K11&gt;0,K11*K28,"")</f>
        <v>61.43676</v>
      </c>
      <c r="L45" s="55">
        <f t="shared" si="24"/>
        <v>70.175070000000005</v>
      </c>
      <c r="M45" s="55">
        <f t="shared" si="24"/>
        <v>79.475550000000013</v>
      </c>
      <c r="N45" s="55">
        <f t="shared" si="19"/>
        <v>211.08738</v>
      </c>
      <c r="P45" s="55">
        <f t="shared" ref="P45:R45" si="25">IF(P11&gt;0,P11*P28,"")</f>
        <v>64.508598000000006</v>
      </c>
      <c r="Q45" s="55">
        <f t="shared" si="25"/>
        <v>73.683823500000003</v>
      </c>
      <c r="R45" s="55">
        <f t="shared" si="25"/>
        <v>83.44932750000001</v>
      </c>
      <c r="S45" s="55">
        <f t="shared" si="21"/>
        <v>221.64174900000003</v>
      </c>
    </row>
    <row r="46" spans="1:19" s="31" customFormat="1" ht="17.75" hidden="1" outlineLevel="1" x14ac:dyDescent="0.75">
      <c r="A46" s="29"/>
      <c r="B46" s="51" t="s">
        <v>753</v>
      </c>
      <c r="C46" s="52"/>
      <c r="D46" s="55" t="str">
        <f t="shared" si="14"/>
        <v/>
      </c>
      <c r="E46" s="55" t="str">
        <f t="shared" si="14"/>
        <v/>
      </c>
      <c r="F46" s="55">
        <f t="shared" si="14"/>
        <v>77.6952</v>
      </c>
      <c r="G46" s="55">
        <f t="shared" si="14"/>
        <v>72.644999999999996</v>
      </c>
      <c r="H46" s="55">
        <f t="shared" si="14"/>
        <v>67.826999999999998</v>
      </c>
      <c r="I46" s="55">
        <f t="shared" si="17"/>
        <v>218.16719999999998</v>
      </c>
      <c r="K46" s="55">
        <f t="shared" ref="K46:M46" si="26">IF(K12&gt;0,K12*K29,"")</f>
        <v>81.57996</v>
      </c>
      <c r="L46" s="55">
        <f t="shared" si="26"/>
        <v>76.277249999999995</v>
      </c>
      <c r="M46" s="55">
        <f t="shared" si="26"/>
        <v>71.218350000000001</v>
      </c>
      <c r="N46" s="55">
        <f t="shared" si="19"/>
        <v>229.07556</v>
      </c>
      <c r="P46" s="55">
        <f t="shared" ref="P46:R46" si="27">IF(P12&gt;0,P12*P29,"")</f>
        <v>85.658957999999998</v>
      </c>
      <c r="Q46" s="55">
        <f t="shared" si="27"/>
        <v>80.091112500000008</v>
      </c>
      <c r="R46" s="55">
        <f t="shared" si="27"/>
        <v>74.779267500000003</v>
      </c>
      <c r="S46" s="55">
        <f t="shared" si="21"/>
        <v>240.529338</v>
      </c>
    </row>
    <row r="47" spans="1:19" s="31" customFormat="1" ht="17.75" hidden="1" outlineLevel="1" x14ac:dyDescent="0.75">
      <c r="A47" s="29"/>
      <c r="B47" s="51" t="s">
        <v>754</v>
      </c>
      <c r="C47" s="52"/>
      <c r="D47" s="55" t="str">
        <f t="shared" si="14"/>
        <v/>
      </c>
      <c r="E47" s="55" t="str">
        <f t="shared" si="14"/>
        <v/>
      </c>
      <c r="F47" s="55">
        <f t="shared" si="14"/>
        <v>60.429600000000001</v>
      </c>
      <c r="G47" s="55">
        <f t="shared" si="14"/>
        <v>67.802000000000007</v>
      </c>
      <c r="H47" s="55">
        <f t="shared" si="14"/>
        <v>57.013999999999996</v>
      </c>
      <c r="I47" s="55">
        <f t="shared" si="17"/>
        <v>185.24560000000002</v>
      </c>
      <c r="K47" s="55">
        <f t="shared" ref="K47:M47" si="28">IF(K13&gt;0,K13*K30,"")</f>
        <v>63.451080000000012</v>
      </c>
      <c r="L47" s="55">
        <f t="shared" si="28"/>
        <v>71.192099999999996</v>
      </c>
      <c r="M47" s="55">
        <f t="shared" si="28"/>
        <v>59.864700000000006</v>
      </c>
      <c r="N47" s="55">
        <f t="shared" si="19"/>
        <v>194.50788</v>
      </c>
      <c r="P47" s="55">
        <f t="shared" ref="P47:R47" si="29">IF(P13&gt;0,P13*P30,"")</f>
        <v>66.62363400000001</v>
      </c>
      <c r="Q47" s="55">
        <f t="shared" si="29"/>
        <v>74.751705000000001</v>
      </c>
      <c r="R47" s="55">
        <f t="shared" si="29"/>
        <v>62.857935000000005</v>
      </c>
      <c r="S47" s="55">
        <f t="shared" si="21"/>
        <v>204.23327399999999</v>
      </c>
    </row>
    <row r="48" spans="1:19" s="31" customFormat="1" ht="17.75" hidden="1" outlineLevel="1" x14ac:dyDescent="0.75">
      <c r="A48" s="29"/>
      <c r="B48" s="51" t="s">
        <v>755</v>
      </c>
      <c r="C48" s="52"/>
      <c r="D48" s="55" t="str">
        <f t="shared" si="14"/>
        <v/>
      </c>
      <c r="E48" s="55" t="str">
        <f t="shared" si="14"/>
        <v/>
      </c>
      <c r="F48" s="55">
        <f t="shared" si="14"/>
        <v>61.388800000000003</v>
      </c>
      <c r="G48" s="55">
        <f t="shared" si="14"/>
        <v>77.488</v>
      </c>
      <c r="H48" s="55">
        <f t="shared" si="14"/>
        <v>68.81</v>
      </c>
      <c r="I48" s="55">
        <f t="shared" si="17"/>
        <v>207.68680000000001</v>
      </c>
      <c r="K48" s="55">
        <f t="shared" ref="K48:M48" si="30">IF(K14&gt;0,K14*K31,"")</f>
        <v>64.458240000000004</v>
      </c>
      <c r="L48" s="55">
        <f t="shared" si="30"/>
        <v>81.362400000000008</v>
      </c>
      <c r="M48" s="55">
        <f t="shared" si="30"/>
        <v>72.250500000000002</v>
      </c>
      <c r="N48" s="55">
        <f t="shared" si="19"/>
        <v>218.07114000000001</v>
      </c>
      <c r="P48" s="55">
        <f t="shared" ref="P48:R48" si="31">IF(P14&gt;0,P14*P31,"")</f>
        <v>67.681152000000012</v>
      </c>
      <c r="Q48" s="55">
        <f t="shared" si="31"/>
        <v>85.430520000000001</v>
      </c>
      <c r="R48" s="55">
        <f t="shared" si="31"/>
        <v>75.863024999999993</v>
      </c>
      <c r="S48" s="55">
        <f t="shared" si="21"/>
        <v>228.97469699999999</v>
      </c>
    </row>
    <row r="49" spans="1:19" s="31" customFormat="1" ht="17.75" hidden="1" outlineLevel="1" x14ac:dyDescent="0.75">
      <c r="A49" s="29"/>
      <c r="B49" s="51" t="s">
        <v>756</v>
      </c>
      <c r="C49" s="52"/>
      <c r="D49" s="55" t="str">
        <f t="shared" si="14"/>
        <v/>
      </c>
      <c r="E49" s="55" t="str">
        <f t="shared" si="14"/>
        <v/>
      </c>
      <c r="F49" s="55">
        <f t="shared" si="14"/>
        <v>61.388800000000003</v>
      </c>
      <c r="G49" s="55">
        <f t="shared" si="14"/>
        <v>73.613600000000005</v>
      </c>
      <c r="H49" s="55">
        <f t="shared" si="14"/>
        <v>68.81</v>
      </c>
      <c r="I49" s="55">
        <f t="shared" si="17"/>
        <v>203.81240000000003</v>
      </c>
      <c r="K49" s="55">
        <f t="shared" ref="K49:M49" si="32">IF(K15&gt;0,K15*K32,"")</f>
        <v>64.458240000000004</v>
      </c>
      <c r="L49" s="55">
        <f t="shared" si="32"/>
        <v>77.294280000000001</v>
      </c>
      <c r="M49" s="55">
        <f t="shared" si="32"/>
        <v>72.250500000000002</v>
      </c>
      <c r="N49" s="55">
        <f t="shared" si="19"/>
        <v>214.00301999999999</v>
      </c>
      <c r="P49" s="55">
        <f t="shared" ref="P49:R49" si="33">IF(P15&gt;0,P15*P32,"")</f>
        <v>67.681152000000012</v>
      </c>
      <c r="Q49" s="55">
        <f t="shared" si="33"/>
        <v>81.158994000000007</v>
      </c>
      <c r="R49" s="55">
        <f t="shared" si="33"/>
        <v>75.863024999999993</v>
      </c>
      <c r="S49" s="55">
        <f t="shared" si="21"/>
        <v>224.703171</v>
      </c>
    </row>
    <row r="50" spans="1:19" s="31" customFormat="1" ht="17.75" hidden="1" outlineLevel="1" x14ac:dyDescent="0.75">
      <c r="A50" s="29"/>
      <c r="B50" s="51" t="s">
        <v>757</v>
      </c>
      <c r="C50" s="52"/>
      <c r="D50" s="55" t="str">
        <f t="shared" si="14"/>
        <v/>
      </c>
      <c r="E50" s="55" t="str">
        <f t="shared" si="14"/>
        <v/>
      </c>
      <c r="F50" s="55">
        <f t="shared" si="14"/>
        <v>47.96</v>
      </c>
      <c r="G50" s="55">
        <f t="shared" si="14"/>
        <v>58.116</v>
      </c>
      <c r="H50" s="55">
        <f t="shared" si="14"/>
        <v>69.792999999999992</v>
      </c>
      <c r="I50" s="55">
        <f t="shared" si="17"/>
        <v>175.86899999999997</v>
      </c>
      <c r="K50" s="55">
        <f t="shared" ref="K50:M50" si="34">IF(K16&gt;0,K16*K33,"")</f>
        <v>50.358000000000004</v>
      </c>
      <c r="L50" s="55">
        <f t="shared" si="34"/>
        <v>61.021799999999999</v>
      </c>
      <c r="M50" s="55">
        <f t="shared" si="34"/>
        <v>73.28264999999999</v>
      </c>
      <c r="N50" s="55">
        <f t="shared" si="19"/>
        <v>184.66244999999998</v>
      </c>
      <c r="P50" s="55">
        <f t="shared" ref="P50:R50" si="35">IF(P16&gt;0,P16*P33,"")</f>
        <v>52.875900000000001</v>
      </c>
      <c r="Q50" s="55">
        <f t="shared" si="35"/>
        <v>64.072890000000001</v>
      </c>
      <c r="R50" s="55">
        <f t="shared" si="35"/>
        <v>76.946782499999998</v>
      </c>
      <c r="S50" s="55">
        <f t="shared" si="21"/>
        <v>193.89557250000001</v>
      </c>
    </row>
    <row r="51" spans="1:19" s="31" customFormat="1" ht="17.75" hidden="1" outlineLevel="1" x14ac:dyDescent="0.75">
      <c r="A51" s="29"/>
      <c r="B51" s="51" t="s">
        <v>758</v>
      </c>
      <c r="C51" s="52"/>
      <c r="D51" s="55" t="str">
        <f t="shared" si="14"/>
        <v/>
      </c>
      <c r="E51" s="55" t="str">
        <f t="shared" si="14"/>
        <v/>
      </c>
      <c r="F51" s="55">
        <f t="shared" si="14"/>
        <v>37.408799999999999</v>
      </c>
      <c r="G51" s="55">
        <f t="shared" si="14"/>
        <v>40.681200000000004</v>
      </c>
      <c r="H51" s="55">
        <f t="shared" si="14"/>
        <v>63.894999999999996</v>
      </c>
      <c r="I51" s="55">
        <f t="shared" si="17"/>
        <v>141.98500000000001</v>
      </c>
      <c r="K51" s="55">
        <f t="shared" ref="K51:M51" si="36">IF(K17&gt;0,K17*K34,"")</f>
        <v>39.279240000000001</v>
      </c>
      <c r="L51" s="55">
        <f t="shared" si="36"/>
        <v>42.715260000000001</v>
      </c>
      <c r="M51" s="55">
        <f t="shared" si="36"/>
        <v>67.089749999999995</v>
      </c>
      <c r="N51" s="55">
        <f t="shared" si="19"/>
        <v>149.08425</v>
      </c>
      <c r="P51" s="55">
        <f t="shared" ref="P51:R51" si="37">IF(P17&gt;0,P17*P34,"")</f>
        <v>41.243202000000004</v>
      </c>
      <c r="Q51" s="55">
        <f t="shared" si="37"/>
        <v>44.851023000000005</v>
      </c>
      <c r="R51" s="55">
        <f t="shared" si="37"/>
        <v>70.444237500000014</v>
      </c>
      <c r="S51" s="55">
        <f t="shared" si="21"/>
        <v>156.53846250000004</v>
      </c>
    </row>
    <row r="52" spans="1:19" s="31" customFormat="1" ht="17.75" hidden="1" outlineLevel="1" x14ac:dyDescent="0.75">
      <c r="A52" s="29"/>
      <c r="B52" s="51" t="s">
        <v>759</v>
      </c>
      <c r="C52" s="52"/>
      <c r="D52" s="55" t="str">
        <f t="shared" si="14"/>
        <v/>
      </c>
      <c r="E52" s="55" t="str">
        <f t="shared" si="14"/>
        <v/>
      </c>
      <c r="F52" s="55">
        <f t="shared" si="14"/>
        <v>23.020800000000001</v>
      </c>
      <c r="G52" s="55">
        <f t="shared" si="14"/>
        <v>57.147399999999998</v>
      </c>
      <c r="H52" s="55">
        <f t="shared" si="14"/>
        <v>63.894999999999996</v>
      </c>
      <c r="I52" s="55">
        <f t="shared" si="17"/>
        <v>144.06319999999999</v>
      </c>
      <c r="K52" s="55">
        <f t="shared" ref="K52:M52" si="38">IF(K18&gt;0,K18*K35,"")</f>
        <v>24.171840000000003</v>
      </c>
      <c r="L52" s="55">
        <f t="shared" si="38"/>
        <v>60.004770000000001</v>
      </c>
      <c r="M52" s="55">
        <f t="shared" si="38"/>
        <v>67.089749999999995</v>
      </c>
      <c r="N52" s="55">
        <f t="shared" si="19"/>
        <v>151.26636000000002</v>
      </c>
      <c r="P52" s="55">
        <f t="shared" ref="P52:R52" si="39">IF(P18&gt;0,P18*P35,"")</f>
        <v>25.380432000000006</v>
      </c>
      <c r="Q52" s="55">
        <f t="shared" si="39"/>
        <v>63.005008500000002</v>
      </c>
      <c r="R52" s="55">
        <f t="shared" si="39"/>
        <v>70.444237500000014</v>
      </c>
      <c r="S52" s="55">
        <f t="shared" si="21"/>
        <v>158.82967800000003</v>
      </c>
    </row>
    <row r="53" spans="1:19" s="31" customFormat="1" ht="17.75" hidden="1" outlineLevel="1" x14ac:dyDescent="0.75">
      <c r="A53" s="29"/>
      <c r="B53" s="51" t="s">
        <v>760</v>
      </c>
      <c r="C53" s="52"/>
      <c r="D53" s="55" t="str">
        <f t="shared" si="14"/>
        <v/>
      </c>
      <c r="E53" s="55" t="str">
        <f t="shared" si="14"/>
        <v/>
      </c>
      <c r="F53" s="55">
        <f t="shared" si="14"/>
        <v>23.98</v>
      </c>
      <c r="G53" s="55">
        <f t="shared" si="14"/>
        <v>45.5242</v>
      </c>
      <c r="H53" s="55">
        <f t="shared" si="14"/>
        <v>56.030999999999999</v>
      </c>
      <c r="I53" s="55">
        <f t="shared" si="17"/>
        <v>125.5352</v>
      </c>
      <c r="K53" s="55">
        <f t="shared" ref="K53:M53" si="40">IF(K19&gt;0,K19*K36,"")</f>
        <v>25.179000000000002</v>
      </c>
      <c r="L53" s="55">
        <f t="shared" si="40"/>
        <v>47.800409999999999</v>
      </c>
      <c r="M53" s="55">
        <f t="shared" si="40"/>
        <v>58.832549999999998</v>
      </c>
      <c r="N53" s="55">
        <f t="shared" si="19"/>
        <v>131.81196</v>
      </c>
      <c r="P53" s="55">
        <f t="shared" ref="P53:R53" si="41">IF(P19&gt;0,P19*P36,"")</f>
        <v>26.437950000000001</v>
      </c>
      <c r="Q53" s="55">
        <f t="shared" si="41"/>
        <v>50.190430500000005</v>
      </c>
      <c r="R53" s="55">
        <f t="shared" si="41"/>
        <v>61.7741775</v>
      </c>
      <c r="S53" s="55">
        <f t="shared" si="21"/>
        <v>138.402558</v>
      </c>
    </row>
    <row r="54" spans="1:19" s="31" customFormat="1" ht="17.75" hidden="1" outlineLevel="1" x14ac:dyDescent="0.75">
      <c r="A54" s="29"/>
      <c r="B54" s="51" t="s">
        <v>761</v>
      </c>
      <c r="C54" s="52"/>
      <c r="D54" s="55" t="str">
        <f t="shared" si="14"/>
        <v/>
      </c>
      <c r="E54" s="55" t="str">
        <f t="shared" si="14"/>
        <v/>
      </c>
      <c r="F54" s="55">
        <f t="shared" si="14"/>
        <v>17.265599999999999</v>
      </c>
      <c r="G54" s="55">
        <f t="shared" si="14"/>
        <v>36.806800000000003</v>
      </c>
      <c r="H54" s="55">
        <f t="shared" si="14"/>
        <v>49.15</v>
      </c>
      <c r="I54" s="55">
        <f t="shared" si="17"/>
        <v>103.22239999999999</v>
      </c>
      <c r="K54" s="55">
        <f t="shared" ref="K54:M54" si="42">IF(K20&gt;0,K20*K37,"")</f>
        <v>18.128880000000002</v>
      </c>
      <c r="L54" s="55">
        <f t="shared" si="42"/>
        <v>38.64714</v>
      </c>
      <c r="M54" s="55">
        <f t="shared" si="42"/>
        <v>51.607500000000002</v>
      </c>
      <c r="N54" s="55">
        <f t="shared" si="19"/>
        <v>108.38352</v>
      </c>
      <c r="P54" s="55">
        <f t="shared" ref="P54:R54" si="43">IF(P20&gt;0,P20*P37,"")</f>
        <v>19.035324000000003</v>
      </c>
      <c r="Q54" s="55">
        <f t="shared" si="43"/>
        <v>40.579497000000003</v>
      </c>
      <c r="R54" s="55">
        <f t="shared" si="43"/>
        <v>54.187874999999998</v>
      </c>
      <c r="S54" s="55">
        <f t="shared" si="21"/>
        <v>113.802696</v>
      </c>
    </row>
    <row r="55" spans="1:19" s="31" customFormat="1" ht="17.75" hidden="1" outlineLevel="1" x14ac:dyDescent="0.75">
      <c r="A55" s="29"/>
      <c r="B55" s="51" t="s">
        <v>762</v>
      </c>
      <c r="C55" s="51"/>
      <c r="D55" s="55" t="str">
        <f t="shared" si="14"/>
        <v/>
      </c>
      <c r="E55" s="55" t="str">
        <f t="shared" si="14"/>
        <v/>
      </c>
      <c r="F55" s="55" t="str">
        <f t="shared" si="14"/>
        <v/>
      </c>
      <c r="G55" s="55" t="str">
        <f t="shared" si="14"/>
        <v/>
      </c>
      <c r="H55" s="55" t="str">
        <f t="shared" si="14"/>
        <v/>
      </c>
      <c r="I55" s="55">
        <f t="shared" si="17"/>
        <v>0</v>
      </c>
      <c r="K55" s="55" t="str">
        <f t="shared" ref="K55:M55" si="44">IF(K21&gt;0,K21*K38,"")</f>
        <v/>
      </c>
      <c r="L55" s="55" t="str">
        <f t="shared" si="44"/>
        <v/>
      </c>
      <c r="M55" s="55" t="str">
        <f t="shared" si="44"/>
        <v/>
      </c>
      <c r="N55" s="55">
        <f t="shared" si="19"/>
        <v>0</v>
      </c>
      <c r="P55" s="55" t="str">
        <f t="shared" ref="P55:R55" si="45">IF(P21&gt;0,P21*P38,"")</f>
        <v/>
      </c>
      <c r="Q55" s="55" t="str">
        <f t="shared" si="45"/>
        <v/>
      </c>
      <c r="R55" s="55" t="str">
        <f t="shared" si="45"/>
        <v/>
      </c>
      <c r="S55" s="55">
        <f t="shared" si="21"/>
        <v>0</v>
      </c>
    </row>
    <row r="56" spans="1:19" s="31" customFormat="1" ht="17.75" hidden="1" outlineLevel="1" x14ac:dyDescent="0.75">
      <c r="A56" s="29"/>
      <c r="B56" s="52" t="s">
        <v>770</v>
      </c>
      <c r="C56" s="51"/>
      <c r="D56" s="58" t="str">
        <f>IF(SUM(D42:D55)&gt;0,SUM(D42:D55),"")</f>
        <v/>
      </c>
      <c r="E56" s="58" t="str">
        <f>IF(SUM(E42:E55)&gt;0,SUM(E42:E55),"")</f>
        <v/>
      </c>
      <c r="F56" s="293">
        <f>IF(SUM(F42:F55)&gt;0,SUM(F42:F55),"")</f>
        <v>678.15440000000001</v>
      </c>
      <c r="G56" s="293">
        <f>IF(SUM(G42:G55)&gt;0,SUM(G42:G55),"")</f>
        <v>815.56119999999987</v>
      </c>
      <c r="H56" s="293">
        <f>IF(SUM(H42:H55)&gt;0,SUM(H42:H55),"")</f>
        <v>886.66599999999994</v>
      </c>
      <c r="I56" s="294">
        <f t="shared" si="17"/>
        <v>2380.3815999999997</v>
      </c>
      <c r="K56" s="293">
        <f>IF(SUM(K42:K55)&gt;0,SUM(K42:K55),"")</f>
        <v>712.06211999999982</v>
      </c>
      <c r="L56" s="293">
        <f>IF(SUM(L42:L55)&gt;0,SUM(L42:L55),"")</f>
        <v>856.33925999999997</v>
      </c>
      <c r="M56" s="293">
        <f>IF(SUM(M42:M55)&gt;0,SUM(M42:M55),"")</f>
        <v>930.99929999999983</v>
      </c>
      <c r="N56" s="585">
        <f t="shared" si="19"/>
        <v>2499.4006799999997</v>
      </c>
      <c r="P56" s="293">
        <f>IF(SUM(P42:P55)&gt;0,SUM(P42:P55),"")</f>
        <v>747.66522600000008</v>
      </c>
      <c r="Q56" s="293">
        <f>IF(SUM(Q42:Q55)&gt;0,SUM(Q42:Q55),"")</f>
        <v>899.15622300000018</v>
      </c>
      <c r="R56" s="293">
        <f>IF(SUM(R42:R55)&gt;0,SUM(R42:R55),"")</f>
        <v>977.54926499999999</v>
      </c>
      <c r="S56" s="585">
        <f t="shared" si="21"/>
        <v>2624.3707140000001</v>
      </c>
    </row>
    <row r="57" spans="1:19" s="31" customFormat="1" ht="17.75" hidden="1" x14ac:dyDescent="0.75">
      <c r="A57" s="29"/>
      <c r="B57" s="29"/>
      <c r="C57" s="29"/>
      <c r="D57" s="46"/>
      <c r="E57" s="46"/>
      <c r="F57" s="46"/>
      <c r="G57" s="46"/>
      <c r="H57" s="46"/>
      <c r="I57" s="46"/>
      <c r="K57" s="46"/>
      <c r="L57" s="46"/>
      <c r="M57" s="46"/>
      <c r="N57" s="46"/>
      <c r="P57" s="46"/>
      <c r="Q57" s="46"/>
      <c r="R57" s="46"/>
      <c r="S57" s="46"/>
    </row>
    <row r="58" spans="1:19" s="31" customFormat="1" x14ac:dyDescent="0.75">
      <c r="A58" s="47" t="s">
        <v>771</v>
      </c>
      <c r="B58" s="48"/>
      <c r="C58" s="47"/>
      <c r="D58" s="49"/>
      <c r="E58" s="49"/>
      <c r="F58" s="805"/>
      <c r="G58" s="805"/>
      <c r="H58" s="805"/>
      <c r="I58" s="805"/>
      <c r="K58" s="805"/>
      <c r="L58" s="805"/>
      <c r="M58" s="805"/>
      <c r="N58" s="805"/>
      <c r="P58" s="805"/>
      <c r="Q58" s="805"/>
      <c r="R58" s="805"/>
      <c r="S58" s="805"/>
    </row>
    <row r="59" spans="1:19" s="31" customFormat="1" ht="17.75" x14ac:dyDescent="0.75">
      <c r="A59" s="29"/>
      <c r="B59" s="51" t="s">
        <v>2054</v>
      </c>
      <c r="C59" s="52"/>
      <c r="D59" s="528" t="str">
        <f>IF(SUM(D42:D45)&gt;0,SUM(D42:D45),"")</f>
        <v/>
      </c>
      <c r="E59" s="528" t="str">
        <f>IF(SUM(E42:E45)&gt;0,SUM(E42:E45),"")</f>
        <v/>
      </c>
      <c r="F59" s="529">
        <f>SUM(F42:F45)</f>
        <v>267.61680000000001</v>
      </c>
      <c r="G59" s="529">
        <f t="shared" ref="G59:H59" si="46">SUM(G42:G45)</f>
        <v>285.73700000000002</v>
      </c>
      <c r="H59" s="529">
        <f t="shared" si="46"/>
        <v>321.44100000000003</v>
      </c>
      <c r="I59" s="529">
        <f t="shared" ref="I59:I63" si="47">SUM(D59:H59)</f>
        <v>874.79480000000012</v>
      </c>
      <c r="K59" s="529">
        <f>SUM(K42:K45)</f>
        <v>280.99763999999999</v>
      </c>
      <c r="L59" s="529">
        <f t="shared" ref="L59:M59" si="48">SUM(L42:L45)</f>
        <v>300.02385000000004</v>
      </c>
      <c r="M59" s="529">
        <f t="shared" si="48"/>
        <v>337.51304999999996</v>
      </c>
      <c r="N59" s="529">
        <f>SUM(K59:M59)</f>
        <v>918.53454000000011</v>
      </c>
      <c r="P59" s="529">
        <f>SUM(P42:P45)</f>
        <v>295.04752200000001</v>
      </c>
      <c r="Q59" s="529">
        <f t="shared" ref="Q59:R59" si="49">SUM(Q42:Q45)</f>
        <v>315.02504250000004</v>
      </c>
      <c r="R59" s="529">
        <f t="shared" si="49"/>
        <v>354.38870250000002</v>
      </c>
      <c r="S59" s="55">
        <f t="shared" ref="S59:S63" si="50">SUM(P59:R59)</f>
        <v>964.46126700000002</v>
      </c>
    </row>
    <row r="60" spans="1:19" s="31" customFormat="1" ht="17.75" x14ac:dyDescent="0.75">
      <c r="A60" s="29"/>
      <c r="B60" s="51" t="s">
        <v>765</v>
      </c>
      <c r="C60" s="52"/>
      <c r="D60" s="528" t="str">
        <f>IF(SUM(D46:D48)&gt;0,SUM(D46:D48),"")</f>
        <v/>
      </c>
      <c r="E60" s="528" t="str">
        <f>IF(SUM(E46:E48)&gt;0,SUM(E46:E48),"")</f>
        <v/>
      </c>
      <c r="F60" s="529">
        <f>+SUM(F46:F48)</f>
        <v>199.5136</v>
      </c>
      <c r="G60" s="529">
        <f t="shared" ref="G60:H60" si="51">+SUM(G46:G48)</f>
        <v>217.935</v>
      </c>
      <c r="H60" s="529">
        <f t="shared" si="51"/>
        <v>193.65100000000001</v>
      </c>
      <c r="I60" s="529">
        <f t="shared" si="47"/>
        <v>611.09960000000001</v>
      </c>
      <c r="J60" s="77"/>
      <c r="K60" s="529">
        <f>+SUM(K46:K48)</f>
        <v>209.48928000000001</v>
      </c>
      <c r="L60" s="529">
        <f t="shared" ref="L60:M60" si="52">+SUM(L46:L48)</f>
        <v>228.83175</v>
      </c>
      <c r="M60" s="529">
        <f t="shared" si="52"/>
        <v>203.33355</v>
      </c>
      <c r="N60" s="529">
        <f t="shared" ref="N60:N63" si="53">SUM(K60:M60)</f>
        <v>641.65458000000001</v>
      </c>
      <c r="P60" s="529">
        <f>+SUM(P46:P48)</f>
        <v>219.96374400000002</v>
      </c>
      <c r="Q60" s="529">
        <f t="shared" ref="Q60:R60" si="54">+SUM(Q46:Q48)</f>
        <v>240.27333750000003</v>
      </c>
      <c r="R60" s="529">
        <f t="shared" si="54"/>
        <v>213.50022749999999</v>
      </c>
      <c r="S60" s="55">
        <f t="shared" si="50"/>
        <v>673.7373090000001</v>
      </c>
    </row>
    <row r="61" spans="1:19" s="31" customFormat="1" ht="17.75" x14ac:dyDescent="0.75">
      <c r="A61" s="29"/>
      <c r="B61" s="51" t="s">
        <v>766</v>
      </c>
      <c r="C61" s="52"/>
      <c r="D61" s="528" t="str">
        <f>IF(SUM(D49:D50)&gt;0,SUM(D49:D50),"")</f>
        <v/>
      </c>
      <c r="E61" s="528" t="str">
        <f>IF(SUM(E49:E50)&gt;0,SUM(E49:E50),"")</f>
        <v/>
      </c>
      <c r="F61" s="529">
        <f>+SUM(F49:F50)</f>
        <v>109.34880000000001</v>
      </c>
      <c r="G61" s="529">
        <f t="shared" ref="G61:H61" si="55">+SUM(G49:G50)</f>
        <v>131.7296</v>
      </c>
      <c r="H61" s="529">
        <f t="shared" si="55"/>
        <v>138.60300000000001</v>
      </c>
      <c r="I61" s="529">
        <f t="shared" si="47"/>
        <v>379.68140000000005</v>
      </c>
      <c r="K61" s="529">
        <f>+SUM(K49:K50)</f>
        <v>114.81624000000001</v>
      </c>
      <c r="L61" s="529">
        <f t="shared" ref="L61:M61" si="56">+SUM(L49:L50)</f>
        <v>138.31608</v>
      </c>
      <c r="M61" s="529">
        <f t="shared" si="56"/>
        <v>145.53314999999998</v>
      </c>
      <c r="N61" s="529">
        <f t="shared" si="53"/>
        <v>398.66546999999997</v>
      </c>
      <c r="P61" s="529">
        <f>+SUM(P49:P50)</f>
        <v>120.55705200000001</v>
      </c>
      <c r="Q61" s="529">
        <f t="shared" ref="Q61:R61" si="57">+SUM(Q49:Q50)</f>
        <v>145.23188400000001</v>
      </c>
      <c r="R61" s="529">
        <f t="shared" si="57"/>
        <v>152.80980749999998</v>
      </c>
      <c r="S61" s="55">
        <f t="shared" si="50"/>
        <v>418.59874350000001</v>
      </c>
    </row>
    <row r="62" spans="1:19" s="31" customFormat="1" ht="17.75" x14ac:dyDescent="0.75">
      <c r="A62" s="29"/>
      <c r="B62" s="51" t="s">
        <v>767</v>
      </c>
      <c r="C62" s="52"/>
      <c r="D62" s="528" t="str">
        <f>IF(SUM(D51:D55)&gt;0,SUM(D51:D55),"")</f>
        <v/>
      </c>
      <c r="E62" s="528" t="str">
        <f>IF(SUM(E51:E55)&gt;0,SUM(E51:E55),"")</f>
        <v/>
      </c>
      <c r="F62" s="529">
        <f>+SUM(F51:F55)</f>
        <v>101.67519999999999</v>
      </c>
      <c r="G62" s="529">
        <f t="shared" ref="G62:H62" si="58">+SUM(G51:G55)</f>
        <v>180.15960000000001</v>
      </c>
      <c r="H62" s="529">
        <f t="shared" si="58"/>
        <v>232.971</v>
      </c>
      <c r="I62" s="529">
        <f t="shared" si="47"/>
        <v>514.80579999999998</v>
      </c>
      <c r="K62" s="529">
        <f>+SUM(K51:K55)</f>
        <v>106.75896</v>
      </c>
      <c r="L62" s="529">
        <f t="shared" ref="L62:M62" si="59">+SUM(L51:L55)</f>
        <v>189.16758000000002</v>
      </c>
      <c r="M62" s="529">
        <f t="shared" si="59"/>
        <v>244.61955</v>
      </c>
      <c r="N62" s="529">
        <f t="shared" si="53"/>
        <v>540.54609000000005</v>
      </c>
      <c r="P62" s="529">
        <f>+SUM(P51:P55)</f>
        <v>112.09690800000001</v>
      </c>
      <c r="Q62" s="529">
        <f t="shared" ref="Q62:R62" si="60">+SUM(Q51:Q55)</f>
        <v>198.62595900000002</v>
      </c>
      <c r="R62" s="529">
        <f t="shared" si="60"/>
        <v>256.85052750000006</v>
      </c>
      <c r="S62" s="55">
        <f t="shared" si="50"/>
        <v>567.57339450000018</v>
      </c>
    </row>
    <row r="63" spans="1:19" s="31" customFormat="1" ht="17.75" x14ac:dyDescent="0.75">
      <c r="A63" s="29"/>
      <c r="B63" s="52" t="s">
        <v>770</v>
      </c>
      <c r="C63" s="52"/>
      <c r="D63" s="530" t="str">
        <f>IF(SUM(D59:D62)&gt;0,SUM(D59:D62),"")</f>
        <v/>
      </c>
      <c r="E63" s="531" t="str">
        <f>IF(SUM(E59:E62)&gt;0,SUM(E59:E62),"")</f>
        <v/>
      </c>
      <c r="F63" s="531">
        <f>IF(SUM(F59:F62)&gt;0,SUM(F59:F62),"")</f>
        <v>678.15440000000001</v>
      </c>
      <c r="G63" s="531">
        <f>IF(SUM(G59:G62)&gt;0,SUM(G59:G62),"")</f>
        <v>815.5612000000001</v>
      </c>
      <c r="H63" s="531">
        <f>IF(SUM(H59:H62)&gt;0,SUM(H59:H62),"")</f>
        <v>886.66600000000017</v>
      </c>
      <c r="I63" s="531">
        <f t="shared" si="47"/>
        <v>2380.3816000000002</v>
      </c>
      <c r="K63" s="549">
        <f>IF(SUM(K59:K62)&gt;0,SUM(K59:K62),"")</f>
        <v>712.06212000000005</v>
      </c>
      <c r="L63" s="549">
        <f>IF(SUM(L59:L62)&gt;0,SUM(L59:L62),"")</f>
        <v>856.33926000000019</v>
      </c>
      <c r="M63" s="549">
        <f>IF(SUM(M59:M62)&gt;0,SUM(M59:M62),"")</f>
        <v>930.99929999999995</v>
      </c>
      <c r="N63" s="531">
        <f t="shared" si="53"/>
        <v>2499.4006800000002</v>
      </c>
      <c r="P63" s="549">
        <f>IF(SUM(P59:P62)&gt;0,SUM(P59:P62),"")</f>
        <v>747.66522599999996</v>
      </c>
      <c r="Q63" s="549">
        <f>IF(SUM(Q59:Q62)&gt;0,SUM(Q59:Q62),"")</f>
        <v>899.15622300000018</v>
      </c>
      <c r="R63" s="549">
        <f>IF(SUM(R59:R62)&gt;0,SUM(R59:R62),"")</f>
        <v>977.5492650000001</v>
      </c>
      <c r="S63" s="585">
        <f t="shared" si="50"/>
        <v>2624.3707140000001</v>
      </c>
    </row>
    <row r="64" spans="1:19" s="31" customFormat="1" ht="17.75" x14ac:dyDescent="0.75">
      <c r="A64" s="29"/>
      <c r="B64" s="29"/>
      <c r="C64" s="29"/>
      <c r="D64" s="46"/>
      <c r="E64" s="46"/>
      <c r="F64" s="292">
        <f>+F63/I63</f>
        <v>0.28489314486383188</v>
      </c>
      <c r="G64" s="292">
        <f>+G63/I63</f>
        <v>0.34261783908932925</v>
      </c>
      <c r="H64" s="292">
        <f>+H63/I63</f>
        <v>0.37248901604683893</v>
      </c>
      <c r="I64" s="291">
        <f>SUM(F64:H64)</f>
        <v>1</v>
      </c>
      <c r="J64" s="287"/>
      <c r="K64" s="292">
        <f>+K63/N63</f>
        <v>0.28489314486383194</v>
      </c>
      <c r="L64" s="292">
        <f>+L63/N63</f>
        <v>0.34261783908932925</v>
      </c>
      <c r="M64" s="292">
        <f>+M63/N63</f>
        <v>0.37248901604683882</v>
      </c>
      <c r="N64" s="291">
        <f>SUM(K64:M64)</f>
        <v>1</v>
      </c>
      <c r="P64" s="292">
        <f>+P63/S63</f>
        <v>0.28489314486383188</v>
      </c>
      <c r="Q64" s="292">
        <f>+Q63/S63</f>
        <v>0.34261783908932925</v>
      </c>
      <c r="R64" s="292">
        <f>+R63/S63</f>
        <v>0.37248901604683887</v>
      </c>
      <c r="S64" s="291">
        <f>SUM(P64:R64)</f>
        <v>1</v>
      </c>
    </row>
    <row r="65" spans="1:19" s="31" customFormat="1" x14ac:dyDescent="0.75">
      <c r="A65" s="47" t="s">
        <v>776</v>
      </c>
      <c r="B65" s="48"/>
      <c r="C65" s="47"/>
      <c r="D65" s="49"/>
      <c r="E65" s="49"/>
      <c r="F65" s="49"/>
      <c r="G65" s="49"/>
      <c r="H65" s="50"/>
      <c r="I65" s="50"/>
      <c r="K65" s="49"/>
      <c r="L65" s="49"/>
      <c r="M65" s="50"/>
      <c r="N65" s="50"/>
      <c r="P65" s="49"/>
      <c r="Q65" s="49"/>
      <c r="R65" s="50"/>
      <c r="S65" s="50"/>
    </row>
    <row r="66" spans="1:19" s="31" customFormat="1" x14ac:dyDescent="0.75">
      <c r="A66" s="47"/>
      <c r="B66" s="51" t="s">
        <v>773</v>
      </c>
      <c r="C66" s="52"/>
      <c r="D66" s="56">
        <v>0</v>
      </c>
      <c r="E66" s="56">
        <v>0</v>
      </c>
      <c r="F66" s="56">
        <v>0</v>
      </c>
      <c r="G66" s="56">
        <v>0</v>
      </c>
      <c r="H66" s="56">
        <v>0</v>
      </c>
      <c r="I66" s="56">
        <v>0</v>
      </c>
      <c r="K66" s="56">
        <v>0</v>
      </c>
      <c r="L66" s="56">
        <v>0</v>
      </c>
      <c r="M66" s="56">
        <v>0</v>
      </c>
      <c r="N66" s="56">
        <v>0</v>
      </c>
      <c r="P66" s="56">
        <v>0</v>
      </c>
      <c r="Q66" s="56">
        <v>0</v>
      </c>
      <c r="R66" s="56">
        <v>0</v>
      </c>
      <c r="S66" s="56">
        <v>0</v>
      </c>
    </row>
    <row r="67" spans="1:19" s="31" customFormat="1" x14ac:dyDescent="0.75">
      <c r="A67" s="47"/>
      <c r="B67" s="51" t="s">
        <v>775</v>
      </c>
      <c r="C67" s="52"/>
      <c r="D67" s="62" t="str">
        <f t="shared" ref="D67:I67" si="61">IF(D66&gt;0,ROUNDUP(D66*D$22,),"")</f>
        <v/>
      </c>
      <c r="E67" s="62" t="str">
        <f t="shared" si="61"/>
        <v/>
      </c>
      <c r="F67" s="62" t="str">
        <f t="shared" si="61"/>
        <v/>
      </c>
      <c r="G67" s="62" t="str">
        <f t="shared" si="61"/>
        <v/>
      </c>
      <c r="H67" s="62" t="str">
        <f t="shared" si="61"/>
        <v/>
      </c>
      <c r="I67" s="62" t="str">
        <f t="shared" si="61"/>
        <v/>
      </c>
      <c r="K67" s="62" t="str">
        <f t="shared" ref="K67:N67" si="62">IF(K66&gt;0,ROUNDUP(K66*K$22,),"")</f>
        <v/>
      </c>
      <c r="L67" s="62" t="str">
        <f t="shared" si="62"/>
        <v/>
      </c>
      <c r="M67" s="62" t="str">
        <f t="shared" si="62"/>
        <v/>
      </c>
      <c r="N67" s="62" t="str">
        <f t="shared" si="62"/>
        <v/>
      </c>
      <c r="P67" s="62" t="str">
        <f t="shared" ref="P67:S67" si="63">IF(P66&gt;0,ROUNDUP(P66*P$22,),"")</f>
        <v/>
      </c>
      <c r="Q67" s="62" t="str">
        <f t="shared" si="63"/>
        <v/>
      </c>
      <c r="R67" s="62" t="str">
        <f t="shared" si="63"/>
        <v/>
      </c>
      <c r="S67" s="62" t="str">
        <f t="shared" si="63"/>
        <v/>
      </c>
    </row>
    <row r="68" spans="1:19" s="31" customFormat="1" ht="17.75" x14ac:dyDescent="0.75">
      <c r="A68" s="29"/>
      <c r="B68" s="51" t="s">
        <v>774</v>
      </c>
      <c r="C68" s="52"/>
      <c r="D68" s="56"/>
      <c r="E68" s="56"/>
      <c r="F68" s="56"/>
      <c r="G68" s="56"/>
      <c r="H68" s="56"/>
      <c r="I68" s="56"/>
      <c r="K68" s="56"/>
      <c r="L68" s="56"/>
      <c r="M68" s="56"/>
      <c r="N68" s="56"/>
      <c r="P68" s="56"/>
      <c r="Q68" s="56"/>
      <c r="R68" s="56"/>
      <c r="S68" s="56"/>
    </row>
    <row r="69" spans="1:19" s="31" customFormat="1" ht="17.75" x14ac:dyDescent="0.75">
      <c r="A69" s="29"/>
      <c r="B69" s="51" t="s">
        <v>1264</v>
      </c>
      <c r="C69" s="52"/>
      <c r="D69" s="56"/>
      <c r="E69" s="56"/>
      <c r="F69" s="258">
        <v>0.33560000000000001</v>
      </c>
      <c r="G69" s="258">
        <v>0.43490000000000001</v>
      </c>
      <c r="H69" s="258">
        <v>0.54069999999999996</v>
      </c>
      <c r="I69" s="258">
        <f>AVERAGE(D69:H69)</f>
        <v>0.43706666666666666</v>
      </c>
      <c r="K69" s="258">
        <v>0.33560000000000001</v>
      </c>
      <c r="L69" s="258">
        <v>0.43490000000000001</v>
      </c>
      <c r="M69" s="258">
        <v>0.54069999999999996</v>
      </c>
      <c r="N69" s="258">
        <f>AVERAGE(I69:M69)</f>
        <v>0.43706666666666666</v>
      </c>
      <c r="P69" s="258">
        <v>0.33560000000000001</v>
      </c>
      <c r="Q69" s="258">
        <v>0.43490000000000001</v>
      </c>
      <c r="R69" s="258">
        <v>0.54069999999999996</v>
      </c>
      <c r="S69" s="258">
        <f>AVERAGE(N69:R69)</f>
        <v>0.43706666666666666</v>
      </c>
    </row>
    <row r="70" spans="1:19" s="31" customFormat="1" ht="17.75" x14ac:dyDescent="0.75">
      <c r="A70" s="29"/>
      <c r="B70" s="51" t="s">
        <v>1265</v>
      </c>
      <c r="C70" s="52"/>
      <c r="D70" s="62" t="str">
        <f>IF(SUM(D68:D69)&gt;0,ROUNDUP(SUM(D68:D69),4)*D$22,"")</f>
        <v/>
      </c>
      <c r="E70" s="62" t="str">
        <f>IF(SUM(E68:E69)&gt;0,ROUNDUP(SUM(E68:E69),4)*E$22,"")</f>
        <v/>
      </c>
      <c r="F70" s="262">
        <f t="shared" ref="F70:G70" si="64">+F77*F69</f>
        <v>237.26920000000001</v>
      </c>
      <c r="G70" s="262">
        <f t="shared" si="64"/>
        <v>366.18580000000003</v>
      </c>
      <c r="H70" s="262">
        <f>+H77*H69</f>
        <v>487.71139999999997</v>
      </c>
      <c r="I70" s="262">
        <f>SUM(D70:H70)</f>
        <v>1091.1664000000001</v>
      </c>
      <c r="K70" s="262">
        <f t="shared" ref="K70:L70" si="65">+K77*K69</f>
        <v>0</v>
      </c>
      <c r="L70" s="262">
        <f t="shared" si="65"/>
        <v>0</v>
      </c>
      <c r="M70" s="262">
        <f>+M77*M69</f>
        <v>0</v>
      </c>
      <c r="N70" s="262">
        <f>SUM(I70:M70)</f>
        <v>1091.1664000000001</v>
      </c>
      <c r="P70" s="262">
        <f t="shared" ref="P70:Q70" si="66">+P77*P69</f>
        <v>0</v>
      </c>
      <c r="Q70" s="262">
        <f t="shared" si="66"/>
        <v>0</v>
      </c>
      <c r="R70" s="262">
        <f>+R77*R69</f>
        <v>0</v>
      </c>
      <c r="S70" s="262">
        <f>SUM(N70:R70)</f>
        <v>1091.1664000000001</v>
      </c>
    </row>
    <row r="71" spans="1:19" s="31" customFormat="1" ht="17.75" x14ac:dyDescent="0.75">
      <c r="A71" s="29"/>
      <c r="B71" s="29"/>
      <c r="C71" s="29"/>
      <c r="D71" s="46"/>
      <c r="E71" s="46"/>
      <c r="F71" s="46"/>
      <c r="G71" s="46"/>
      <c r="H71" s="46"/>
      <c r="I71" s="46"/>
      <c r="K71" s="46"/>
      <c r="L71" s="46"/>
      <c r="M71" s="46"/>
      <c r="N71" s="46"/>
      <c r="P71" s="46"/>
      <c r="Q71" s="46"/>
      <c r="R71" s="46"/>
      <c r="S71" s="46"/>
    </row>
    <row r="72" spans="1:19" s="31" customFormat="1" x14ac:dyDescent="0.75">
      <c r="A72" s="47" t="s">
        <v>772</v>
      </c>
      <c r="B72" s="48"/>
      <c r="C72" s="47"/>
      <c r="D72" s="49"/>
      <c r="E72" s="49"/>
      <c r="F72" s="49"/>
      <c r="G72" s="49"/>
      <c r="H72" s="50"/>
      <c r="I72" s="50"/>
      <c r="K72" s="49"/>
      <c r="L72" s="49"/>
      <c r="M72" s="50"/>
      <c r="N72" s="50"/>
      <c r="P72" s="49"/>
      <c r="Q72" s="49"/>
      <c r="R72" s="50"/>
      <c r="S72" s="50"/>
    </row>
    <row r="73" spans="1:19" s="31" customFormat="1" ht="17.75" x14ac:dyDescent="0.75">
      <c r="A73" s="29"/>
      <c r="B73" s="60" t="s">
        <v>1324</v>
      </c>
      <c r="C73" s="61"/>
      <c r="D73" s="56">
        <v>0</v>
      </c>
      <c r="E73" s="56">
        <f>$D73</f>
        <v>0</v>
      </c>
      <c r="F73" s="272">
        <f>+F56/25</f>
        <v>27.126176000000001</v>
      </c>
      <c r="G73" s="272">
        <f>+G56/25</f>
        <v>32.622447999999991</v>
      </c>
      <c r="H73" s="272">
        <f>+H56/25</f>
        <v>35.466639999999998</v>
      </c>
      <c r="I73" s="272">
        <f>+I56/25</f>
        <v>95.215263999999991</v>
      </c>
      <c r="K73" s="272">
        <f>+K56/25</f>
        <v>28.482484799999995</v>
      </c>
      <c r="L73" s="272">
        <f>+L56/25</f>
        <v>34.253570400000001</v>
      </c>
      <c r="M73" s="272">
        <f>+M56/25</f>
        <v>37.239971999999995</v>
      </c>
      <c r="N73" s="272">
        <f>+N56/25</f>
        <v>99.97602719999999</v>
      </c>
      <c r="P73" s="272">
        <f>+P56/25</f>
        <v>29.906609040000003</v>
      </c>
      <c r="Q73" s="272">
        <f>+Q56/25</f>
        <v>35.966248920000005</v>
      </c>
      <c r="R73" s="272">
        <f>+R56/25</f>
        <v>39.101970600000001</v>
      </c>
      <c r="S73" s="272">
        <f>+S56/25</f>
        <v>104.97482856000001</v>
      </c>
    </row>
    <row r="74" spans="1:19" s="31" customFormat="1" ht="17.75" x14ac:dyDescent="0.75">
      <c r="A74" s="29"/>
      <c r="B74" s="29"/>
      <c r="C74" s="29"/>
      <c r="D74" s="46"/>
      <c r="E74" s="46"/>
      <c r="F74" s="46"/>
      <c r="G74" s="46"/>
      <c r="H74" s="46"/>
      <c r="I74" s="46"/>
      <c r="K74" s="46"/>
      <c r="L74" s="46"/>
      <c r="M74" s="46"/>
      <c r="N74" s="46"/>
      <c r="P74" s="46"/>
      <c r="Q74" s="46"/>
      <c r="R74" s="46"/>
      <c r="S74" s="46"/>
    </row>
    <row r="75" spans="1:19" ht="16" x14ac:dyDescent="0.8">
      <c r="A75" s="35"/>
      <c r="B75" s="60" t="s">
        <v>1634</v>
      </c>
      <c r="C75" s="536"/>
      <c r="F75" s="272">
        <v>617.9</v>
      </c>
      <c r="G75" s="272">
        <v>1217.8</v>
      </c>
      <c r="H75" s="272">
        <v>833.12</v>
      </c>
      <c r="I75" s="272"/>
      <c r="K75" s="272">
        <v>617.9</v>
      </c>
      <c r="L75" s="272">
        <v>1217.8</v>
      </c>
      <c r="M75" s="272">
        <v>833.12</v>
      </c>
      <c r="N75" s="272"/>
      <c r="P75" s="272">
        <v>617.9</v>
      </c>
      <c r="Q75" s="272">
        <v>1217.8</v>
      </c>
      <c r="R75" s="272">
        <v>833.12</v>
      </c>
      <c r="S75" s="272"/>
    </row>
    <row r="76" spans="1:19" x14ac:dyDescent="0.75">
      <c r="A76" s="35"/>
    </row>
    <row r="77" spans="1:19" x14ac:dyDescent="0.75">
      <c r="A77" s="35"/>
      <c r="C77" s="1" t="s">
        <v>1349</v>
      </c>
      <c r="F77" s="164">
        <f>+F22</f>
        <v>707</v>
      </c>
      <c r="G77" s="164">
        <f>+G22</f>
        <v>842</v>
      </c>
      <c r="H77" s="164">
        <f>+H22</f>
        <v>902</v>
      </c>
      <c r="I77" s="195">
        <f>SUM(F77:H77)</f>
        <v>2451</v>
      </c>
    </row>
    <row r="78" spans="1:19" x14ac:dyDescent="0.75">
      <c r="A78" s="35"/>
    </row>
    <row r="79" spans="1:19" x14ac:dyDescent="0.75">
      <c r="A79" s="35"/>
    </row>
    <row r="80" spans="1:19" x14ac:dyDescent="0.75">
      <c r="A80" s="35"/>
    </row>
    <row r="81" spans="1:8" x14ac:dyDescent="0.75">
      <c r="A81" s="35"/>
    </row>
    <row r="82" spans="1:8" x14ac:dyDescent="0.75">
      <c r="A82" s="35"/>
    </row>
    <row r="83" spans="1:8" x14ac:dyDescent="0.75">
      <c r="A83" s="35"/>
    </row>
    <row r="84" spans="1:8" x14ac:dyDescent="0.75">
      <c r="A84" s="35"/>
    </row>
    <row r="85" spans="1:8" x14ac:dyDescent="0.75">
      <c r="A85" s="35"/>
    </row>
    <row r="86" spans="1:8" x14ac:dyDescent="0.75">
      <c r="A86" s="35"/>
    </row>
    <row r="87" spans="1:8" x14ac:dyDescent="0.75">
      <c r="A87" s="35"/>
    </row>
    <row r="88" spans="1:8" x14ac:dyDescent="0.75">
      <c r="A88" s="35"/>
    </row>
    <row r="89" spans="1:8" x14ac:dyDescent="0.75">
      <c r="A89" s="35"/>
    </row>
    <row r="90" spans="1:8" x14ac:dyDescent="0.75">
      <c r="A90" s="35"/>
    </row>
    <row r="91" spans="1:8" x14ac:dyDescent="0.75">
      <c r="A91" s="35"/>
    </row>
    <row r="92" spans="1:8" x14ac:dyDescent="0.75">
      <c r="A92" s="35"/>
    </row>
    <row r="93" spans="1:8" x14ac:dyDescent="0.75">
      <c r="A93" s="35"/>
      <c r="H93" s="31">
        <f>833.23/921</f>
        <v>0.90470141150922911</v>
      </c>
    </row>
    <row r="94" spans="1:8" x14ac:dyDescent="0.75">
      <c r="A94" s="35"/>
    </row>
    <row r="95" spans="1:8" x14ac:dyDescent="0.75">
      <c r="A95" s="35"/>
    </row>
    <row r="96" spans="1:8" x14ac:dyDescent="0.75">
      <c r="A96" s="35"/>
    </row>
    <row r="97" spans="1:8" x14ac:dyDescent="0.75">
      <c r="A97" s="35"/>
    </row>
    <row r="98" spans="1:8" x14ac:dyDescent="0.75">
      <c r="A98" s="35"/>
    </row>
    <row r="99" spans="1:8" x14ac:dyDescent="0.75">
      <c r="A99" s="35"/>
    </row>
    <row r="100" spans="1:8" x14ac:dyDescent="0.75">
      <c r="A100" s="35"/>
    </row>
    <row r="101" spans="1:8" x14ac:dyDescent="0.75">
      <c r="A101" s="35"/>
    </row>
    <row r="102" spans="1:8" x14ac:dyDescent="0.75">
      <c r="A102" s="35"/>
    </row>
    <row r="103" spans="1:8" x14ac:dyDescent="0.75">
      <c r="A103" s="35"/>
    </row>
    <row r="104" spans="1:8" x14ac:dyDescent="0.75">
      <c r="A104" s="35"/>
    </row>
    <row r="105" spans="1:8" x14ac:dyDescent="0.75">
      <c r="A105" s="35"/>
    </row>
    <row r="106" spans="1:8" x14ac:dyDescent="0.75">
      <c r="A106" s="35"/>
    </row>
    <row r="107" spans="1:8" x14ac:dyDescent="0.75">
      <c r="A107" s="35"/>
    </row>
    <row r="108" spans="1:8" x14ac:dyDescent="0.75">
      <c r="A108" s="35"/>
    </row>
    <row r="109" spans="1:8" x14ac:dyDescent="0.75">
      <c r="A109" s="35"/>
    </row>
    <row r="110" spans="1:8" x14ac:dyDescent="0.75">
      <c r="A110" s="35"/>
      <c r="H110" s="31">
        <f>831.05/858</f>
        <v>0.96858974358974359</v>
      </c>
    </row>
    <row r="111" spans="1:8" x14ac:dyDescent="0.75">
      <c r="A111" s="35"/>
    </row>
    <row r="112" spans="1:8" x14ac:dyDescent="0.75">
      <c r="A112" s="35"/>
    </row>
    <row r="113" spans="1:8" x14ac:dyDescent="0.75">
      <c r="A113" s="35"/>
    </row>
    <row r="114" spans="1:8" x14ac:dyDescent="0.75">
      <c r="A114" s="35"/>
    </row>
    <row r="115" spans="1:8" x14ac:dyDescent="0.75">
      <c r="A115" s="35"/>
    </row>
    <row r="116" spans="1:8" x14ac:dyDescent="0.75">
      <c r="A116" s="35"/>
    </row>
    <row r="117" spans="1:8" x14ac:dyDescent="0.75">
      <c r="A117" s="35"/>
    </row>
    <row r="118" spans="1:8" x14ac:dyDescent="0.75">
      <c r="A118" s="35"/>
    </row>
    <row r="119" spans="1:8" x14ac:dyDescent="0.75">
      <c r="A119" s="35"/>
    </row>
    <row r="120" spans="1:8" x14ac:dyDescent="0.75">
      <c r="A120" s="35"/>
    </row>
    <row r="121" spans="1:8" x14ac:dyDescent="0.75">
      <c r="A121" s="35"/>
    </row>
    <row r="122" spans="1:8" x14ac:dyDescent="0.75">
      <c r="A122" s="35"/>
    </row>
    <row r="123" spans="1:8" x14ac:dyDescent="0.75">
      <c r="A123" s="35"/>
    </row>
    <row r="124" spans="1:8" x14ac:dyDescent="0.75">
      <c r="A124" s="35"/>
    </row>
    <row r="125" spans="1:8" x14ac:dyDescent="0.75">
      <c r="A125" s="35"/>
    </row>
    <row r="126" spans="1:8" x14ac:dyDescent="0.75">
      <c r="A126" s="35"/>
    </row>
    <row r="127" spans="1:8" x14ac:dyDescent="0.75">
      <c r="A127" s="35"/>
      <c r="H127" s="31">
        <f>653.22/681</f>
        <v>0.95920704845814986</v>
      </c>
    </row>
    <row r="128" spans="1:8" x14ac:dyDescent="0.75">
      <c r="A128" s="35"/>
    </row>
    <row r="129" spans="1:1" x14ac:dyDescent="0.75">
      <c r="A129" s="35"/>
    </row>
    <row r="130" spans="1:1" x14ac:dyDescent="0.75">
      <c r="A130" s="35"/>
    </row>
    <row r="131" spans="1:1" x14ac:dyDescent="0.75">
      <c r="A131" s="35"/>
    </row>
    <row r="132" spans="1:1" x14ac:dyDescent="0.75">
      <c r="A132" s="35"/>
    </row>
    <row r="133" spans="1:1" x14ac:dyDescent="0.75">
      <c r="A133" s="35"/>
    </row>
    <row r="134" spans="1:1" x14ac:dyDescent="0.75">
      <c r="A134" s="35"/>
    </row>
    <row r="135" spans="1:1" x14ac:dyDescent="0.75">
      <c r="A135" s="35"/>
    </row>
    <row r="136" spans="1:1" x14ac:dyDescent="0.75">
      <c r="A136" s="35"/>
    </row>
    <row r="137" spans="1:1" x14ac:dyDescent="0.75">
      <c r="A137" s="35"/>
    </row>
    <row r="138" spans="1:1" x14ac:dyDescent="0.75">
      <c r="A138" s="35"/>
    </row>
    <row r="139" spans="1:1" x14ac:dyDescent="0.75">
      <c r="A139" s="35"/>
    </row>
    <row r="140" spans="1:1" x14ac:dyDescent="0.75">
      <c r="A140" s="35"/>
    </row>
    <row r="141" spans="1:1" x14ac:dyDescent="0.75">
      <c r="A141" s="35"/>
    </row>
    <row r="142" spans="1:1" x14ac:dyDescent="0.75">
      <c r="A142" s="35"/>
    </row>
    <row r="143" spans="1:1" x14ac:dyDescent="0.75">
      <c r="A143" s="35"/>
    </row>
    <row r="144" spans="1:1" x14ac:dyDescent="0.75">
      <c r="A144" s="35"/>
    </row>
    <row r="145" spans="1:1" x14ac:dyDescent="0.75">
      <c r="A145" s="35"/>
    </row>
    <row r="146" spans="1:1" x14ac:dyDescent="0.75">
      <c r="A146" s="35"/>
    </row>
    <row r="147" spans="1:1" x14ac:dyDescent="0.75">
      <c r="A147" s="35"/>
    </row>
    <row r="148" spans="1:1" x14ac:dyDescent="0.75">
      <c r="A148" s="35"/>
    </row>
    <row r="149" spans="1:1" x14ac:dyDescent="0.75">
      <c r="A149" s="35"/>
    </row>
    <row r="150" spans="1:1" x14ac:dyDescent="0.75">
      <c r="A150" s="35"/>
    </row>
    <row r="151" spans="1:1" x14ac:dyDescent="0.75">
      <c r="A151" s="35"/>
    </row>
    <row r="152" spans="1:1" x14ac:dyDescent="0.75">
      <c r="A152" s="35"/>
    </row>
    <row r="153" spans="1:1" x14ac:dyDescent="0.75">
      <c r="A153" s="35"/>
    </row>
    <row r="154" spans="1:1" x14ac:dyDescent="0.75">
      <c r="A154" s="35"/>
    </row>
    <row r="155" spans="1:1" x14ac:dyDescent="0.75">
      <c r="A155" s="35"/>
    </row>
    <row r="156" spans="1:1" x14ac:dyDescent="0.75">
      <c r="A156" s="35"/>
    </row>
  </sheetData>
  <mergeCells count="4">
    <mergeCell ref="F58:I58"/>
    <mergeCell ref="K58:N58"/>
    <mergeCell ref="P58:S58"/>
    <mergeCell ref="K4:S4"/>
  </mergeCells>
  <pageMargins left="0.25" right="0.25" top="0.5" bottom="0.5" header="0.3" footer="0.3"/>
  <pageSetup scale="91" fitToHeight="0" orientation="portrait" r:id="rId1"/>
  <headerFooter alignWithMargins="0">
    <oddHeader>&amp;A</oddHeader>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2:I16"/>
  <sheetViews>
    <sheetView workbookViewId="0"/>
  </sheetViews>
  <sheetFormatPr defaultRowHeight="14.75" x14ac:dyDescent="0.75"/>
  <cols>
    <col min="1" max="1" width="25.31640625" bestFit="1" customWidth="1"/>
    <col min="2" max="2" width="4.86328125" customWidth="1"/>
    <col min="3" max="3" width="9.86328125" style="203" customWidth="1"/>
    <col min="4" max="4" width="3" customWidth="1"/>
    <col min="5" max="5" width="9.86328125" style="203" bestFit="1" customWidth="1"/>
    <col min="6" max="6" width="2.86328125" style="203" customWidth="1"/>
    <col min="7" max="7" width="13" style="203" customWidth="1"/>
    <col min="8" max="8" width="2.86328125" style="203" customWidth="1"/>
    <col min="9" max="9" width="9.08984375" style="203"/>
  </cols>
  <sheetData>
    <row r="2" spans="1:9" x14ac:dyDescent="0.75">
      <c r="C2" s="203" t="s">
        <v>1267</v>
      </c>
      <c r="E2" s="203" t="s">
        <v>1273</v>
      </c>
      <c r="G2" s="203" t="s">
        <v>1270</v>
      </c>
      <c r="I2" s="203" t="s">
        <v>1271</v>
      </c>
    </row>
    <row r="3" spans="1:9" ht="8.25" customHeight="1" x14ac:dyDescent="0.75"/>
    <row r="4" spans="1:9" x14ac:dyDescent="0.75">
      <c r="A4" t="s">
        <v>1266</v>
      </c>
      <c r="C4" s="203" t="s">
        <v>1268</v>
      </c>
      <c r="E4" s="206">
        <v>8827</v>
      </c>
      <c r="G4" s="204">
        <v>7124.89</v>
      </c>
      <c r="I4" s="205">
        <v>52.66</v>
      </c>
    </row>
    <row r="5" spans="1:9" x14ac:dyDescent="0.75">
      <c r="G5" s="204"/>
      <c r="I5" s="205"/>
    </row>
    <row r="6" spans="1:9" x14ac:dyDescent="0.75">
      <c r="A6" t="s">
        <v>1274</v>
      </c>
      <c r="C6" s="203" t="s">
        <v>1269</v>
      </c>
      <c r="E6" s="206">
        <v>9542</v>
      </c>
      <c r="G6" s="204">
        <v>2118.62</v>
      </c>
      <c r="I6" s="205">
        <v>67.400000000000006</v>
      </c>
    </row>
    <row r="7" spans="1:9" x14ac:dyDescent="0.75">
      <c r="G7" s="204"/>
      <c r="I7" s="205"/>
    </row>
    <row r="8" spans="1:9" x14ac:dyDescent="0.75">
      <c r="A8" t="s">
        <v>1276</v>
      </c>
      <c r="C8" s="203" t="s">
        <v>1281</v>
      </c>
      <c r="E8" s="206">
        <v>8303</v>
      </c>
      <c r="F8" s="203" t="s">
        <v>1291</v>
      </c>
      <c r="G8" s="204">
        <v>8354.2900000000009</v>
      </c>
      <c r="I8" s="205">
        <v>32.950000000000003</v>
      </c>
    </row>
    <row r="9" spans="1:9" x14ac:dyDescent="0.75">
      <c r="E9" s="206"/>
      <c r="G9" s="204"/>
      <c r="I9" s="205"/>
    </row>
    <row r="10" spans="1:9" x14ac:dyDescent="0.75">
      <c r="A10" t="s">
        <v>1277</v>
      </c>
      <c r="C10" s="203" t="s">
        <v>1279</v>
      </c>
      <c r="E10" s="206">
        <v>8645</v>
      </c>
      <c r="G10" s="204">
        <v>5803.77</v>
      </c>
      <c r="I10" s="205">
        <v>50.8</v>
      </c>
    </row>
    <row r="11" spans="1:9" x14ac:dyDescent="0.75">
      <c r="E11" s="206"/>
      <c r="G11" s="204"/>
      <c r="I11" s="205"/>
    </row>
    <row r="12" spans="1:9" x14ac:dyDescent="0.75">
      <c r="A12" t="s">
        <v>1278</v>
      </c>
      <c r="C12" s="203" t="s">
        <v>1280</v>
      </c>
      <c r="E12" s="206">
        <v>8467</v>
      </c>
      <c r="G12" s="204">
        <v>5303.94</v>
      </c>
      <c r="I12" s="205">
        <v>38.04</v>
      </c>
    </row>
    <row r="13" spans="1:9" x14ac:dyDescent="0.75">
      <c r="E13" s="206"/>
      <c r="G13" s="204"/>
      <c r="I13" s="205"/>
    </row>
    <row r="14" spans="1:9" x14ac:dyDescent="0.75">
      <c r="A14" t="s">
        <v>1292</v>
      </c>
      <c r="C14" s="203" t="s">
        <v>1322</v>
      </c>
      <c r="E14" s="206">
        <v>9052</v>
      </c>
      <c r="G14" s="204">
        <v>886.09</v>
      </c>
      <c r="I14" s="205">
        <v>62.37</v>
      </c>
    </row>
    <row r="15" spans="1:9" x14ac:dyDescent="0.75">
      <c r="E15" s="206"/>
    </row>
    <row r="16" spans="1:9" x14ac:dyDescent="0.75">
      <c r="E16" s="206"/>
      <c r="G16" s="204"/>
      <c r="I16" s="205"/>
    </row>
  </sheetData>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6" tint="0.39997558519241921"/>
    <pageSetUpPr fitToPage="1"/>
  </sheetPr>
  <dimension ref="A1:AI128"/>
  <sheetViews>
    <sheetView showGridLines="0" zoomScale="70" zoomScaleNormal="70" workbookViewId="0">
      <pane xSplit="6" ySplit="7" topLeftCell="G17" activePane="bottomRight" state="frozen"/>
      <selection activeCell="H22" sqref="H22"/>
      <selection pane="topRight" activeCell="H22" sqref="H22"/>
      <selection pane="bottomLeft" activeCell="H22" sqref="H22"/>
      <selection pane="bottomRight" activeCell="I43" sqref="I43"/>
    </sheetView>
  </sheetViews>
  <sheetFormatPr defaultRowHeight="15.75" outlineLevelCol="1" x14ac:dyDescent="0.75"/>
  <cols>
    <col min="1" max="1" width="9.76953125" style="34" hidden="1" customWidth="1" outlineLevel="1"/>
    <col min="2" max="2" width="5.6796875" style="34" hidden="1" customWidth="1" outlineLevel="1"/>
    <col min="3" max="3" width="6.86328125" style="1" customWidth="1" collapsed="1"/>
    <col min="4" max="4" width="42.54296875" style="1" customWidth="1"/>
    <col min="5" max="6" width="16" style="31" hidden="1" customWidth="1"/>
    <col min="7" max="7" width="19.86328125" style="31" bestFit="1" customWidth="1"/>
    <col min="8" max="9" width="20.54296875" style="31" bestFit="1" customWidth="1"/>
    <col min="10" max="10" width="20.08984375" style="31" customWidth="1"/>
    <col min="11" max="11" width="3.08984375" style="31" customWidth="1" outlineLevel="1"/>
    <col min="12" max="12" width="10.86328125" style="31" customWidth="1" outlineLevel="1"/>
    <col min="13" max="13" width="11.31640625" style="31" customWidth="1" outlineLevel="1"/>
    <col min="14" max="14" width="11.2265625" style="31" bestFit="1" customWidth="1" outlineLevel="1"/>
    <col min="15" max="15" width="13.453125" style="31" customWidth="1" outlineLevel="1"/>
    <col min="16" max="16" width="10.6796875" style="31" customWidth="1" outlineLevel="1"/>
    <col min="17" max="17" width="64" style="31" customWidth="1" outlineLevel="1"/>
    <col min="18" max="18" width="4.6796875" style="31" customWidth="1" outlineLevel="1"/>
    <col min="19" max="19" width="30" style="31" customWidth="1" outlineLevel="1"/>
    <col min="20" max="20" width="11.54296875" style="1" customWidth="1" outlineLevel="1"/>
    <col min="21" max="24" width="9.08984375" style="1" customWidth="1" outlineLevel="1"/>
    <col min="25" max="25" width="9.86328125" style="1" customWidth="1" outlineLevel="1"/>
    <col min="26" max="26" width="17.54296875" style="1" customWidth="1"/>
    <col min="27" max="28" width="15.76953125" style="1" bestFit="1" customWidth="1"/>
    <col min="29" max="29" width="15.31640625" style="1" customWidth="1"/>
    <col min="30" max="30" width="15.6796875" style="1" bestFit="1" customWidth="1"/>
    <col min="31" max="31" width="9.08984375" style="1"/>
    <col min="32" max="33" width="15.6796875" style="1" bestFit="1" customWidth="1"/>
    <col min="34" max="35" width="13.76953125" style="1" bestFit="1" customWidth="1"/>
    <col min="36" max="265" width="9.08984375" style="1"/>
    <col min="266" max="266" width="22.86328125" style="1" customWidth="1"/>
    <col min="267" max="521" width="9.08984375" style="1"/>
    <col min="522" max="522" width="22.86328125" style="1" customWidth="1"/>
    <col min="523" max="777" width="9.08984375" style="1"/>
    <col min="778" max="778" width="22.86328125" style="1" customWidth="1"/>
    <col min="779" max="1033" width="9.08984375" style="1"/>
    <col min="1034" max="1034" width="22.86328125" style="1" customWidth="1"/>
    <col min="1035" max="1289" width="9.08984375" style="1"/>
    <col min="1290" max="1290" width="22.86328125" style="1" customWidth="1"/>
    <col min="1291" max="1545" width="9.08984375" style="1"/>
    <col min="1546" max="1546" width="22.86328125" style="1" customWidth="1"/>
    <col min="1547" max="1801" width="9.08984375" style="1"/>
    <col min="1802" max="1802" width="22.86328125" style="1" customWidth="1"/>
    <col min="1803" max="2057" width="9.08984375" style="1"/>
    <col min="2058" max="2058" width="22.86328125" style="1" customWidth="1"/>
    <col min="2059" max="2313" width="9.08984375" style="1"/>
    <col min="2314" max="2314" width="22.86328125" style="1" customWidth="1"/>
    <col min="2315" max="2569" width="9.08984375" style="1"/>
    <col min="2570" max="2570" width="22.86328125" style="1" customWidth="1"/>
    <col min="2571" max="2825" width="9.08984375" style="1"/>
    <col min="2826" max="2826" width="22.86328125" style="1" customWidth="1"/>
    <col min="2827" max="3081" width="9.08984375" style="1"/>
    <col min="3082" max="3082" width="22.86328125" style="1" customWidth="1"/>
    <col min="3083" max="3337" width="9.08984375" style="1"/>
    <col min="3338" max="3338" width="22.86328125" style="1" customWidth="1"/>
    <col min="3339" max="3593" width="9.08984375" style="1"/>
    <col min="3594" max="3594" width="22.86328125" style="1" customWidth="1"/>
    <col min="3595" max="3849" width="9.08984375" style="1"/>
    <col min="3850" max="3850" width="22.86328125" style="1" customWidth="1"/>
    <col min="3851" max="4105" width="9.08984375" style="1"/>
    <col min="4106" max="4106" width="22.86328125" style="1" customWidth="1"/>
    <col min="4107" max="4361" width="9.08984375" style="1"/>
    <col min="4362" max="4362" width="22.86328125" style="1" customWidth="1"/>
    <col min="4363" max="4617" width="9.08984375" style="1"/>
    <col min="4618" max="4618" width="22.86328125" style="1" customWidth="1"/>
    <col min="4619" max="4873" width="9.08984375" style="1"/>
    <col min="4874" max="4874" width="22.86328125" style="1" customWidth="1"/>
    <col min="4875" max="5129" width="9.08984375" style="1"/>
    <col min="5130" max="5130" width="22.86328125" style="1" customWidth="1"/>
    <col min="5131" max="5385" width="9.08984375" style="1"/>
    <col min="5386" max="5386" width="22.86328125" style="1" customWidth="1"/>
    <col min="5387" max="5641" width="9.08984375" style="1"/>
    <col min="5642" max="5642" width="22.86328125" style="1" customWidth="1"/>
    <col min="5643" max="5897" width="9.08984375" style="1"/>
    <col min="5898" max="5898" width="22.86328125" style="1" customWidth="1"/>
    <col min="5899" max="6153" width="9.08984375" style="1"/>
    <col min="6154" max="6154" width="22.86328125" style="1" customWidth="1"/>
    <col min="6155" max="6409" width="9.08984375" style="1"/>
    <col min="6410" max="6410" width="22.86328125" style="1" customWidth="1"/>
    <col min="6411" max="6665" width="9.08984375" style="1"/>
    <col min="6666" max="6666" width="22.86328125" style="1" customWidth="1"/>
    <col min="6667" max="6921" width="9.08984375" style="1"/>
    <col min="6922" max="6922" width="22.86328125" style="1" customWidth="1"/>
    <col min="6923" max="7177" width="9.08984375" style="1"/>
    <col min="7178" max="7178" width="22.86328125" style="1" customWidth="1"/>
    <col min="7179" max="7433" width="9.08984375" style="1"/>
    <col min="7434" max="7434" width="22.86328125" style="1" customWidth="1"/>
    <col min="7435" max="7689" width="9.08984375" style="1"/>
    <col min="7690" max="7690" width="22.86328125" style="1" customWidth="1"/>
    <col min="7691" max="7945" width="9.08984375" style="1"/>
    <col min="7946" max="7946" width="22.86328125" style="1" customWidth="1"/>
    <col min="7947" max="8201" width="9.08984375" style="1"/>
    <col min="8202" max="8202" width="22.86328125" style="1" customWidth="1"/>
    <col min="8203" max="8457" width="9.08984375" style="1"/>
    <col min="8458" max="8458" width="22.86328125" style="1" customWidth="1"/>
    <col min="8459" max="8713" width="9.08984375" style="1"/>
    <col min="8714" max="8714" width="22.86328125" style="1" customWidth="1"/>
    <col min="8715" max="8969" width="9.08984375" style="1"/>
    <col min="8970" max="8970" width="22.86328125" style="1" customWidth="1"/>
    <col min="8971" max="9225" width="9.08984375" style="1"/>
    <col min="9226" max="9226" width="22.86328125" style="1" customWidth="1"/>
    <col min="9227" max="9481" width="9.08984375" style="1"/>
    <col min="9482" max="9482" width="22.86328125" style="1" customWidth="1"/>
    <col min="9483" max="9737" width="9.08984375" style="1"/>
    <col min="9738" max="9738" width="22.86328125" style="1" customWidth="1"/>
    <col min="9739" max="9993" width="9.08984375" style="1"/>
    <col min="9994" max="9994" width="22.86328125" style="1" customWidth="1"/>
    <col min="9995" max="10249" width="9.08984375" style="1"/>
    <col min="10250" max="10250" width="22.86328125" style="1" customWidth="1"/>
    <col min="10251" max="10505" width="9.08984375" style="1"/>
    <col min="10506" max="10506" width="22.86328125" style="1" customWidth="1"/>
    <col min="10507" max="10761" width="9.08984375" style="1"/>
    <col min="10762" max="10762" width="22.86328125" style="1" customWidth="1"/>
    <col min="10763" max="11017" width="9.08984375" style="1"/>
    <col min="11018" max="11018" width="22.86328125" style="1" customWidth="1"/>
    <col min="11019" max="11273" width="9.08984375" style="1"/>
    <col min="11274" max="11274" width="22.86328125" style="1" customWidth="1"/>
    <col min="11275" max="11529" width="9.08984375" style="1"/>
    <col min="11530" max="11530" width="22.86328125" style="1" customWidth="1"/>
    <col min="11531" max="11785" width="9.08984375" style="1"/>
    <col min="11786" max="11786" width="22.86328125" style="1" customWidth="1"/>
    <col min="11787" max="12041" width="9.08984375" style="1"/>
    <col min="12042" max="12042" width="22.86328125" style="1" customWidth="1"/>
    <col min="12043" max="12297" width="9.08984375" style="1"/>
    <col min="12298" max="12298" width="22.86328125" style="1" customWidth="1"/>
    <col min="12299" max="12553" width="9.08984375" style="1"/>
    <col min="12554" max="12554" width="22.86328125" style="1" customWidth="1"/>
    <col min="12555" max="12809" width="9.08984375" style="1"/>
    <col min="12810" max="12810" width="22.86328125" style="1" customWidth="1"/>
    <col min="12811" max="13065" width="9.08984375" style="1"/>
    <col min="13066" max="13066" width="22.86328125" style="1" customWidth="1"/>
    <col min="13067" max="13321" width="9.08984375" style="1"/>
    <col min="13322" max="13322" width="22.86328125" style="1" customWidth="1"/>
    <col min="13323" max="13577" width="9.08984375" style="1"/>
    <col min="13578" max="13578" width="22.86328125" style="1" customWidth="1"/>
    <col min="13579" max="13833" width="9.08984375" style="1"/>
    <col min="13834" max="13834" width="22.86328125" style="1" customWidth="1"/>
    <col min="13835" max="14089" width="9.08984375" style="1"/>
    <col min="14090" max="14090" width="22.86328125" style="1" customWidth="1"/>
    <col min="14091" max="14345" width="9.08984375" style="1"/>
    <col min="14346" max="14346" width="22.86328125" style="1" customWidth="1"/>
    <col min="14347" max="14601" width="9.08984375" style="1"/>
    <col min="14602" max="14602" width="22.86328125" style="1" customWidth="1"/>
    <col min="14603" max="14857" width="9.08984375" style="1"/>
    <col min="14858" max="14858" width="22.86328125" style="1" customWidth="1"/>
    <col min="14859" max="15113" width="9.08984375" style="1"/>
    <col min="15114" max="15114" width="22.86328125" style="1" customWidth="1"/>
    <col min="15115" max="15369" width="9.08984375" style="1"/>
    <col min="15370" max="15370" width="22.86328125" style="1" customWidth="1"/>
    <col min="15371" max="15625" width="9.08984375" style="1"/>
    <col min="15626" max="15626" width="22.86328125" style="1" customWidth="1"/>
    <col min="15627" max="15881" width="9.08984375" style="1"/>
    <col min="15882" max="15882" width="22.86328125" style="1" customWidth="1"/>
    <col min="15883" max="16137" width="9.08984375" style="1"/>
    <col min="16138" max="16138" width="22.86328125" style="1" customWidth="1"/>
    <col min="16139" max="16384" width="9.08984375" style="1"/>
  </cols>
  <sheetData>
    <row r="1" spans="1:35" ht="21" thickBot="1" x14ac:dyDescent="1">
      <c r="D1" s="22"/>
      <c r="E1" s="22"/>
    </row>
    <row r="2" spans="1:35" ht="18.5" thickBot="1" x14ac:dyDescent="0.9">
      <c r="D2" s="21"/>
      <c r="E2" s="21"/>
      <c r="M2" s="77"/>
      <c r="AA2" s="809" t="s">
        <v>1941</v>
      </c>
      <c r="AB2" s="810"/>
      <c r="AC2" s="811"/>
      <c r="AF2" s="812" t="s">
        <v>1941</v>
      </c>
      <c r="AG2" s="813"/>
      <c r="AH2" s="814"/>
    </row>
    <row r="3" spans="1:35" ht="21" thickBot="1" x14ac:dyDescent="1">
      <c r="D3" s="22" t="str">
        <f>'Student Info w MYP'!$A$1</f>
        <v>Compass Charter Schools</v>
      </c>
      <c r="E3" s="21"/>
      <c r="G3" s="110"/>
      <c r="M3" s="108"/>
      <c r="N3" s="108"/>
      <c r="O3" s="108"/>
      <c r="P3" s="108"/>
      <c r="AA3" s="599">
        <f>+'Student Info w MYP'!K63</f>
        <v>712.06212000000005</v>
      </c>
      <c r="AB3" s="599">
        <f>+'Student Info w MYP'!L63</f>
        <v>856.33926000000019</v>
      </c>
      <c r="AC3" s="599">
        <f>+'Student Info w MYP'!M63</f>
        <v>930.99929999999995</v>
      </c>
      <c r="AF3" s="599">
        <f>+'Student Info w MYP'!P63</f>
        <v>747.66522599999996</v>
      </c>
      <c r="AG3" s="599">
        <f>+'Student Info w MYP'!Q63</f>
        <v>899.15622300000018</v>
      </c>
      <c r="AH3" s="599">
        <f>+'Student Info w MYP'!R63</f>
        <v>977.5492650000001</v>
      </c>
    </row>
    <row r="4" spans="1:35" ht="16.2" customHeight="1" thickBot="1" x14ac:dyDescent="0.9">
      <c r="D4" s="21" t="s">
        <v>789</v>
      </c>
      <c r="S4" s="76"/>
      <c r="AA4" s="800" t="s">
        <v>1957</v>
      </c>
      <c r="AB4" s="801"/>
      <c r="AC4" s="801"/>
      <c r="AD4" s="801"/>
      <c r="AE4" s="801"/>
      <c r="AF4" s="801"/>
      <c r="AG4" s="801"/>
      <c r="AH4" s="801"/>
      <c r="AI4" s="802"/>
    </row>
    <row r="5" spans="1:35" ht="18.5" thickBot="1" x14ac:dyDescent="0.9">
      <c r="A5" s="29"/>
      <c r="B5" s="29"/>
      <c r="C5" s="29"/>
      <c r="D5" s="551" t="str">
        <f>'Student Info w MYP'!$A$3</f>
        <v>2023-24 Budget- Adopted 5.38% COLA</v>
      </c>
      <c r="G5" s="318" t="s">
        <v>1671</v>
      </c>
      <c r="H5" s="318" t="s">
        <v>1350</v>
      </c>
      <c r="I5" s="318" t="s">
        <v>1351</v>
      </c>
      <c r="J5" s="46"/>
      <c r="L5" s="154"/>
      <c r="M5" s="151"/>
      <c r="N5" s="151"/>
      <c r="O5" s="151"/>
      <c r="P5" s="151"/>
      <c r="AB5" s="601" t="s">
        <v>2053</v>
      </c>
      <c r="AC5" s="2"/>
      <c r="AF5" s="75"/>
      <c r="AG5" s="593" t="s">
        <v>2078</v>
      </c>
      <c r="AH5" s="2"/>
    </row>
    <row r="6" spans="1:35" s="31" customFormat="1" ht="36.25" thickBot="1" x14ac:dyDescent="0.9">
      <c r="A6" s="30"/>
      <c r="B6" s="30"/>
      <c r="C6" s="30" t="s">
        <v>0</v>
      </c>
      <c r="D6" s="30"/>
      <c r="E6" s="32">
        <f>'Student Info w MYP'!D$6</f>
        <v>0</v>
      </c>
      <c r="F6" s="32">
        <f>'Student Info w MYP'!E$6</f>
        <v>0</v>
      </c>
      <c r="G6" s="260" t="str">
        <f>'Student Info w MYP'!F$6</f>
        <v>Yolo</v>
      </c>
      <c r="H6" s="260" t="str">
        <f>'Student Info w MYP'!G$6</f>
        <v>San Diego</v>
      </c>
      <c r="I6" s="260" t="str">
        <f>'Student Info w MYP'!H$6</f>
        <v>Los Angeles</v>
      </c>
      <c r="J6" s="260" t="str">
        <f>'Student Info w MYP'!I$6</f>
        <v>Total</v>
      </c>
      <c r="K6" s="260"/>
      <c r="L6" s="260">
        <f>E6</f>
        <v>0</v>
      </c>
      <c r="M6" s="260">
        <f>F6</f>
        <v>0</v>
      </c>
      <c r="N6" s="260" t="str">
        <f>G6</f>
        <v>Yolo</v>
      </c>
      <c r="O6" s="260" t="str">
        <f>H6</f>
        <v>San Diego</v>
      </c>
      <c r="P6" s="260" t="str">
        <f>I6</f>
        <v>Los Angeles</v>
      </c>
      <c r="T6" s="1"/>
      <c r="U6" s="1"/>
      <c r="V6" s="1"/>
      <c r="AA6" s="211" t="s">
        <v>1630</v>
      </c>
      <c r="AB6" s="211" t="s">
        <v>1631</v>
      </c>
      <c r="AC6" s="211" t="s">
        <v>1632</v>
      </c>
      <c r="AD6" s="67" t="s">
        <v>675</v>
      </c>
      <c r="AF6" s="211" t="s">
        <v>1630</v>
      </c>
      <c r="AG6" s="211" t="s">
        <v>1631</v>
      </c>
      <c r="AH6" s="211" t="s">
        <v>1632</v>
      </c>
      <c r="AI6" s="67" t="s">
        <v>675</v>
      </c>
    </row>
    <row r="7" spans="1:35" s="31" customFormat="1" ht="17.75" x14ac:dyDescent="0.75">
      <c r="B7" s="68"/>
      <c r="C7" s="68" t="s">
        <v>778</v>
      </c>
      <c r="D7" s="137"/>
      <c r="E7" s="49"/>
      <c r="F7" s="49"/>
      <c r="G7" s="49"/>
      <c r="H7" s="49"/>
      <c r="I7" s="49"/>
      <c r="J7" s="49"/>
      <c r="M7" s="137"/>
      <c r="N7" s="137"/>
      <c r="O7" s="137"/>
      <c r="P7" s="137"/>
      <c r="Q7" s="195"/>
      <c r="T7" s="1"/>
      <c r="U7" s="1"/>
      <c r="V7" s="1"/>
    </row>
    <row r="8" spans="1:35" s="31" customFormat="1" x14ac:dyDescent="0.75">
      <c r="A8" s="48">
        <f>LEFT(C8,4)+0</f>
        <v>8011</v>
      </c>
      <c r="B8" s="48" t="str">
        <f>IF(ISERROR(VLOOKUP(A8,'CONSOLIDATED CY Cash Flows'!$B$9:$B$200,1,FALSE)),"NO","YES")</f>
        <v>YES</v>
      </c>
      <c r="C8" s="115" t="s">
        <v>224</v>
      </c>
      <c r="D8" s="116" t="s">
        <v>1255</v>
      </c>
      <c r="E8" s="173"/>
      <c r="F8" s="62"/>
      <c r="G8" s="552">
        <v>6204139.1200000001</v>
      </c>
      <c r="H8" s="552">
        <v>5231069</v>
      </c>
      <c r="I8" s="552">
        <v>9931971.8000000007</v>
      </c>
      <c r="J8" s="529">
        <f>SUM(E8:I8)</f>
        <v>21367179.920000002</v>
      </c>
      <c r="K8" s="31" t="str">
        <f t="shared" ref="K8:K19" si="0">IF(SUM(G8:I8)=J8,"y","n")</f>
        <v>y</v>
      </c>
      <c r="L8" s="53"/>
      <c r="M8" s="152"/>
      <c r="N8" s="152"/>
      <c r="O8" s="152"/>
      <c r="P8" s="152"/>
      <c r="Q8" s="51"/>
      <c r="S8" s="77"/>
      <c r="T8" s="1"/>
      <c r="U8" s="1"/>
      <c r="V8" s="1"/>
      <c r="W8" s="1"/>
      <c r="X8" s="1"/>
      <c r="Y8" s="78"/>
      <c r="AA8" s="603">
        <v>6834636.5760000004</v>
      </c>
      <c r="AB8" s="603">
        <v>5787006</v>
      </c>
      <c r="AC8" s="603">
        <v>10873018.140000001</v>
      </c>
      <c r="AD8" s="600">
        <f>+SUM(AA8:AC8)</f>
        <v>23494660.716000002</v>
      </c>
      <c r="AF8" s="604">
        <v>7500397.9548000004</v>
      </c>
      <c r="AG8" s="604">
        <v>6374293</v>
      </c>
      <c r="AH8" s="604">
        <v>11866389.147</v>
      </c>
      <c r="AI8" s="600">
        <f>+SUM(AF8:AH8)</f>
        <v>25741080.101800002</v>
      </c>
    </row>
    <row r="9" spans="1:35" s="31" customFormat="1" x14ac:dyDescent="0.75">
      <c r="A9" s="48">
        <f t="shared" ref="A9:A19" si="1">LEFT(C9,4)+0</f>
        <v>8012</v>
      </c>
      <c r="B9" s="48" t="str">
        <f>IF(ISERROR(VLOOKUP(A9,'CONSOLIDATED CY Cash Flows'!$B$9:$B$200,1,FALSE)),"NO","YES")</f>
        <v>YES</v>
      </c>
      <c r="C9" s="115" t="s">
        <v>1234</v>
      </c>
      <c r="D9" s="116" t="s">
        <v>1256</v>
      </c>
      <c r="E9" s="173"/>
      <c r="F9" s="62"/>
      <c r="G9" s="552">
        <v>135630.88</v>
      </c>
      <c r="H9" s="552">
        <v>2594810</v>
      </c>
      <c r="I9" s="552">
        <v>177333.20000000004</v>
      </c>
      <c r="J9" s="529">
        <f t="shared" ref="J9:J19" si="2">SUM(E9:I9)</f>
        <v>2907774.08</v>
      </c>
      <c r="K9" s="31" t="str">
        <f t="shared" si="0"/>
        <v>y</v>
      </c>
      <c r="L9" s="197"/>
      <c r="M9" s="198"/>
      <c r="N9" s="198"/>
      <c r="O9" s="198"/>
      <c r="P9" s="198"/>
      <c r="Q9" s="51"/>
      <c r="R9" s="193"/>
      <c r="S9" s="77"/>
      <c r="T9" s="1"/>
      <c r="U9" s="1"/>
      <c r="V9" s="1"/>
      <c r="AA9" s="603">
        <v>142412.424</v>
      </c>
      <c r="AB9" s="603">
        <v>2834077</v>
      </c>
      <c r="AC9" s="603">
        <v>186199.86</v>
      </c>
      <c r="AD9" s="600">
        <f t="shared" ref="AD9:AD20" si="3">+SUM(AA9:AC9)</f>
        <v>3162689.284</v>
      </c>
      <c r="AF9" s="604">
        <v>149533.04519999999</v>
      </c>
      <c r="AG9" s="604">
        <v>3086478</v>
      </c>
      <c r="AH9" s="604">
        <v>195509.85300000003</v>
      </c>
      <c r="AI9" s="600">
        <f t="shared" ref="AI9:AI20" si="4">+SUM(AF9:AH9)</f>
        <v>3431520.8982000002</v>
      </c>
    </row>
    <row r="10" spans="1:35" s="31" customFormat="1" x14ac:dyDescent="0.75">
      <c r="A10" s="48">
        <f t="shared" si="1"/>
        <v>8096</v>
      </c>
      <c r="B10" s="48" t="str">
        <f>IF(ISERROR(VLOOKUP(A10,'CONSOLIDATED CY Cash Flows'!$B$9:$B$200,1,FALSE)),"NO","YES")</f>
        <v>YES</v>
      </c>
      <c r="C10" s="117" t="s">
        <v>266</v>
      </c>
      <c r="D10" s="118" t="s">
        <v>1233</v>
      </c>
      <c r="E10" s="173"/>
      <c r="F10" s="62"/>
      <c r="G10" s="521">
        <f>$N$10*'Student Info w MYP'!F63</f>
        <v>1289917.4842399999</v>
      </c>
      <c r="H10" s="521">
        <f>+$O$10*'Student Info w MYP'!G63</f>
        <v>1804584.1116280002</v>
      </c>
      <c r="I10" s="521">
        <f>+$P$10*'Student Info w MYP'!H63</f>
        <v>483605.36972000008</v>
      </c>
      <c r="J10" s="529">
        <f t="shared" si="2"/>
        <v>3578106.9655879997</v>
      </c>
      <c r="K10" s="31" t="str">
        <f t="shared" si="0"/>
        <v>y</v>
      </c>
      <c r="L10" s="174"/>
      <c r="M10" s="175"/>
      <c r="N10" s="261">
        <v>1902.1</v>
      </c>
      <c r="O10" s="261">
        <v>2212.69</v>
      </c>
      <c r="P10" s="261">
        <v>545.41999999999996</v>
      </c>
      <c r="Q10" s="51"/>
      <c r="S10" s="77"/>
      <c r="T10" s="1"/>
      <c r="U10" s="1"/>
      <c r="V10" s="1"/>
      <c r="Z10" s="559">
        <f>+J10+J9+J8</f>
        <v>27853060.965588003</v>
      </c>
      <c r="AA10" s="598">
        <f>$N$10*'Student Info w MYP'!K63</f>
        <v>1354413.358452</v>
      </c>
      <c r="AB10" s="598">
        <f>+$O$10*'Student Info w MYP'!L63</f>
        <v>1894813.3172094005</v>
      </c>
      <c r="AC10" s="598">
        <f>+$P$10*'Student Info w MYP'!M63</f>
        <v>507785.63820599992</v>
      </c>
      <c r="AD10" s="600">
        <f t="shared" si="3"/>
        <v>3757012.3138674004</v>
      </c>
      <c r="AF10" s="598">
        <f>$N$10*'Student Info w MYP'!P63</f>
        <v>1422134.0263745999</v>
      </c>
      <c r="AG10" s="598">
        <f>+$O$10*'Student Info w MYP'!Q63</f>
        <v>1989553.9830698704</v>
      </c>
      <c r="AH10" s="598">
        <f>+$P$10*'Student Info w MYP'!R63</f>
        <v>533174.9201163</v>
      </c>
      <c r="AI10" s="600">
        <f t="shared" si="4"/>
        <v>3944862.9295607703</v>
      </c>
    </row>
    <row r="11" spans="1:35" s="31" customFormat="1" x14ac:dyDescent="0.75">
      <c r="A11" s="48">
        <f t="shared" si="1"/>
        <v>8019</v>
      </c>
      <c r="B11" s="48" t="str">
        <f>IF(ISERROR(VLOOKUP(A11,'CONSOLIDATED CY Cash Flows'!$B$9:$B$200,1,FALSE)),"NO","YES")</f>
        <v>YES</v>
      </c>
      <c r="C11" s="115" t="s">
        <v>228</v>
      </c>
      <c r="D11" s="116" t="s">
        <v>827</v>
      </c>
      <c r="E11" s="53"/>
      <c r="F11" s="53"/>
      <c r="G11" s="276"/>
      <c r="H11" s="276"/>
      <c r="I11" s="276"/>
      <c r="J11" s="529">
        <f t="shared" si="2"/>
        <v>0</v>
      </c>
      <c r="K11" s="31" t="str">
        <f t="shared" si="0"/>
        <v>y</v>
      </c>
      <c r="L11" s="53"/>
      <c r="M11" s="53"/>
      <c r="N11" s="53"/>
      <c r="O11" s="53"/>
      <c r="P11" s="53"/>
      <c r="Q11" s="51"/>
      <c r="S11" s="77"/>
      <c r="T11" s="1"/>
      <c r="U11" s="1"/>
      <c r="V11" s="1"/>
      <c r="W11" s="1"/>
      <c r="X11" s="1"/>
      <c r="AA11" s="79"/>
      <c r="AB11" s="79"/>
      <c r="AC11" s="79"/>
      <c r="AD11" s="600">
        <f t="shared" si="3"/>
        <v>0</v>
      </c>
      <c r="AF11" s="79"/>
      <c r="AG11" s="79"/>
      <c r="AH11" s="79"/>
      <c r="AI11" s="600">
        <f t="shared" si="4"/>
        <v>0</v>
      </c>
    </row>
    <row r="12" spans="1:35" s="31" customFormat="1" x14ac:dyDescent="0.75">
      <c r="A12" s="48">
        <f t="shared" si="1"/>
        <v>8520</v>
      </c>
      <c r="B12" s="48" t="str">
        <f>IF(ISERROR(VLOOKUP(A12,'CONSOLIDATED CY Cash Flows'!$B$9:$B$200,1,FALSE)),"NO","YES")</f>
        <v>YES</v>
      </c>
      <c r="C12" s="138" t="s">
        <v>306</v>
      </c>
      <c r="D12" s="116" t="s">
        <v>830</v>
      </c>
      <c r="E12" s="53"/>
      <c r="F12" s="53"/>
      <c r="G12" s="276"/>
      <c r="H12" s="276"/>
      <c r="I12" s="276"/>
      <c r="J12" s="529">
        <f t="shared" si="2"/>
        <v>0</v>
      </c>
      <c r="K12" s="31" t="str">
        <f t="shared" si="0"/>
        <v>y</v>
      </c>
      <c r="L12" s="53"/>
      <c r="M12" s="53"/>
      <c r="N12" s="53"/>
      <c r="O12" s="53"/>
      <c r="P12" s="53"/>
      <c r="Q12" s="51"/>
      <c r="S12" s="77"/>
      <c r="T12" s="1"/>
      <c r="U12" s="1"/>
      <c r="V12" s="1"/>
      <c r="AA12" s="79"/>
      <c r="AB12" s="79"/>
      <c r="AC12" s="79"/>
      <c r="AD12" s="600">
        <f t="shared" si="3"/>
        <v>0</v>
      </c>
      <c r="AF12" s="79"/>
      <c r="AG12" s="79"/>
      <c r="AH12" s="79"/>
      <c r="AI12" s="600">
        <f t="shared" si="4"/>
        <v>0</v>
      </c>
    </row>
    <row r="13" spans="1:35" s="31" customFormat="1" x14ac:dyDescent="0.75">
      <c r="A13" s="48">
        <v>8561</v>
      </c>
      <c r="B13" s="48" t="str">
        <f>IF(ISERROR(VLOOKUP(A13,'CONSOLIDATED CY Cash Flows'!$B$9:$B$200,1,FALSE)),"NO","YES")</f>
        <v>YES</v>
      </c>
      <c r="C13" s="115" t="s">
        <v>316</v>
      </c>
      <c r="D13" s="115" t="s">
        <v>779</v>
      </c>
      <c r="E13" s="53"/>
      <c r="F13" s="53"/>
      <c r="G13" s="521">
        <f>+N13*'Student Info w MYP'!F63</f>
        <v>160722.59280000001</v>
      </c>
      <c r="H13" s="521">
        <f>+O13*'Student Info w MYP'!G63</f>
        <v>193288.00440000003</v>
      </c>
      <c r="I13" s="521">
        <f>+P13*'Student Info w MYP'!H63</f>
        <v>210139.84200000003</v>
      </c>
      <c r="J13" s="529">
        <f t="shared" si="2"/>
        <v>564150.43920000014</v>
      </c>
      <c r="K13" s="31" t="str">
        <f t="shared" ref="K13" si="5">IF(SUM(G13:I13)=J13,"y","n")</f>
        <v>y</v>
      </c>
      <c r="L13" s="192"/>
      <c r="M13" s="192"/>
      <c r="N13" s="192">
        <f>Assumptions!$E$21</f>
        <v>237</v>
      </c>
      <c r="O13" s="192">
        <f>+N13</f>
        <v>237</v>
      </c>
      <c r="P13" s="192">
        <f>O13</f>
        <v>237</v>
      </c>
      <c r="Q13" s="51"/>
      <c r="T13" s="1"/>
      <c r="U13" s="1"/>
      <c r="V13" s="1"/>
      <c r="Z13" s="310">
        <f>N13</f>
        <v>237</v>
      </c>
      <c r="AA13" s="79">
        <f>+$Z$13*AA3</f>
        <v>168758.72244000001</v>
      </c>
      <c r="AB13" s="79">
        <f t="shared" ref="AB13" si="6">+$Z$13*AB3</f>
        <v>202952.40462000004</v>
      </c>
      <c r="AC13" s="79">
        <f>+$Z$13*AC3</f>
        <v>220646.83409999998</v>
      </c>
      <c r="AD13" s="600">
        <f t="shared" si="3"/>
        <v>592357.96116000006</v>
      </c>
      <c r="AF13" s="79">
        <f t="shared" ref="AF13:AH13" si="7">+$Z$13*AF3</f>
        <v>177196.658562</v>
      </c>
      <c r="AG13" s="310">
        <f t="shared" si="7"/>
        <v>213100.02485100005</v>
      </c>
      <c r="AH13" s="79">
        <f t="shared" si="7"/>
        <v>231679.17580500004</v>
      </c>
      <c r="AI13" s="600">
        <f t="shared" si="4"/>
        <v>621975.85921800009</v>
      </c>
    </row>
    <row r="14" spans="1:35" s="31" customFormat="1" x14ac:dyDescent="0.75">
      <c r="A14" s="48">
        <v>8562</v>
      </c>
      <c r="B14" s="48" t="str">
        <f>IF(ISERROR(VLOOKUP(A14,'CONSOLIDATED CY Cash Flows'!$B$9:$B$200,1,FALSE)),"NO","YES")</f>
        <v>YES</v>
      </c>
      <c r="C14" s="115" t="s">
        <v>316</v>
      </c>
      <c r="D14" s="115" t="s">
        <v>1347</v>
      </c>
      <c r="E14" s="53"/>
      <c r="F14" s="53"/>
      <c r="G14" s="521">
        <f>+N14*'Student Info w MYP'!F63</f>
        <v>0</v>
      </c>
      <c r="H14" s="521">
        <f>+O14*'Student Info w MYP'!G63</f>
        <v>0</v>
      </c>
      <c r="I14" s="521">
        <f>+P14*'Student Info w MYP'!H63</f>
        <v>0</v>
      </c>
      <c r="J14" s="529">
        <f t="shared" si="2"/>
        <v>0</v>
      </c>
      <c r="K14" s="31" t="str">
        <f t="shared" si="0"/>
        <v>y</v>
      </c>
      <c r="L14" s="192"/>
      <c r="M14" s="192"/>
      <c r="N14" s="192"/>
      <c r="O14" s="192">
        <f>N14</f>
        <v>0</v>
      </c>
      <c r="P14" s="192">
        <f>O14</f>
        <v>0</v>
      </c>
      <c r="Q14" s="51"/>
      <c r="T14" s="1"/>
      <c r="U14" s="1"/>
      <c r="V14" s="1"/>
      <c r="Z14" s="310"/>
      <c r="AA14" s="79">
        <f>+$Z$14*AA3</f>
        <v>0</v>
      </c>
      <c r="AB14" s="79">
        <f t="shared" ref="AB14:AC14" si="8">+$Z$14*AB3</f>
        <v>0</v>
      </c>
      <c r="AC14" s="79">
        <f t="shared" si="8"/>
        <v>0</v>
      </c>
      <c r="AD14" s="600">
        <f t="shared" si="3"/>
        <v>0</v>
      </c>
      <c r="AF14" s="79">
        <f t="shared" ref="AF14:AH14" si="9">+$Z$14*AF3</f>
        <v>0</v>
      </c>
      <c r="AG14" s="310">
        <f t="shared" si="9"/>
        <v>0</v>
      </c>
      <c r="AH14" s="79">
        <f t="shared" si="9"/>
        <v>0</v>
      </c>
      <c r="AI14" s="600">
        <f t="shared" si="4"/>
        <v>0</v>
      </c>
    </row>
    <row r="15" spans="1:35" s="31" customFormat="1" x14ac:dyDescent="0.75">
      <c r="A15" s="48">
        <f t="shared" si="1"/>
        <v>8550</v>
      </c>
      <c r="B15" s="48" t="str">
        <f>IF(ISERROR(VLOOKUP(A15,'CONSOLIDATED CY Cash Flows'!$B$9:$B$200,1,FALSE)),"NO","YES")</f>
        <v>YES</v>
      </c>
      <c r="C15" s="115" t="s">
        <v>314</v>
      </c>
      <c r="D15" s="115" t="s">
        <v>1238</v>
      </c>
      <c r="E15" s="53">
        <f>(N15*SUM('Student Info w MYP'!D$59:D$61))+(O15*SUM('Student Info w MYP'!D$62))</f>
        <v>0</v>
      </c>
      <c r="F15" s="53">
        <f>(N15*SUM('Student Info w MYP'!E$59:E$61))+(O15*SUM('Student Info w MYP'!E$62))</f>
        <v>0</v>
      </c>
      <c r="G15" s="521">
        <f>(N15*SUM('Student Info w MYP'!F$59:F$61))+(O15*SUM('Student Info w MYP'!F$62))</f>
        <v>17035.919559999998</v>
      </c>
      <c r="H15" s="521">
        <f>(N15*SUM('Student Info w MYP'!G$59:G$61))+(O15*SUM('Student Info w MYP'!G$62))</f>
        <v>22530.410879999999</v>
      </c>
      <c r="I15" s="521">
        <f>(N15*SUM('Student Info w MYP'!H$59:H$61))+(O15*SUM('Student Info w MYP'!H$62))</f>
        <v>25804.133370000003</v>
      </c>
      <c r="J15" s="529">
        <f t="shared" si="2"/>
        <v>65370.463810000001</v>
      </c>
      <c r="K15" s="31" t="str">
        <f t="shared" si="0"/>
        <v>y</v>
      </c>
      <c r="L15" s="192"/>
      <c r="M15" s="192"/>
      <c r="N15" s="192">
        <f>Assumptions!E19</f>
        <v>19.829999999999998</v>
      </c>
      <c r="O15" s="192">
        <f>Assumptions!E20</f>
        <v>55.12</v>
      </c>
      <c r="P15" s="192"/>
      <c r="Q15" s="51"/>
      <c r="T15" s="1"/>
      <c r="U15" s="1"/>
      <c r="V15" s="1"/>
      <c r="AA15" s="784">
        <f>(18.13*('Student Info w MYP'!K59+'Student Info w MYP'!K60+'Student Info w MYP'!K61))+(50.39*'Student Info w MYP'!K62)</f>
        <v>16353.730285199999</v>
      </c>
      <c r="AB15" s="784">
        <f>(18.13*('Student Info w MYP'!L59+'Student Info w MYP'!L60+'Student Info w MYP'!L61))+(50.39*'Student Info w MYP'!L62)</f>
        <v>21627.976914600004</v>
      </c>
      <c r="AC15" s="784">
        <f>(18.13*('Student Info w MYP'!M59+'Student Info w MYP'!M60+'Student Info w MYP'!M61))+(50.39*'Student Info w MYP'!M62)</f>
        <v>24770.443992</v>
      </c>
      <c r="AD15" s="600">
        <f t="shared" si="3"/>
        <v>62752.151191800003</v>
      </c>
      <c r="AF15" s="784">
        <f>+(18.78*('Student Info w MYP'!P59+'Student Info w MYP'!P60+'Student Info w MYP'!P61)+(52.21*'Student Info w MYP'!P62))</f>
        <v>17788.552578720002</v>
      </c>
      <c r="AG15" s="785">
        <f>+(18.78*('Student Info w MYP'!Q59+'Student Info w MYP'!Q60+'Student Info w MYP'!Q61)+(52.21*'Student Info w MYP'!Q62))</f>
        <v>23526.219677310004</v>
      </c>
      <c r="AH15" s="784">
        <f>+(18.78*('Student Info w MYP'!R59+'Student Info w MYP'!R60+'Student Info w MYP'!R61)+(52.21*'Student Info w MYP'!R62))</f>
        <v>26944.888331025006</v>
      </c>
      <c r="AI15" s="600">
        <f t="shared" si="4"/>
        <v>68259.660587055012</v>
      </c>
    </row>
    <row r="16" spans="1:35" s="31" customFormat="1" x14ac:dyDescent="0.75">
      <c r="A16" s="48">
        <f t="shared" si="1"/>
        <v>8590</v>
      </c>
      <c r="B16" s="48" t="str">
        <f>IF(ISERROR(VLOOKUP(A16,'CONSOLIDATED CY Cash Flows'!$B$9:$B$200,1,FALSE)),"NO","YES")</f>
        <v>YES</v>
      </c>
      <c r="C16" s="115" t="s">
        <v>328</v>
      </c>
      <c r="D16" s="116" t="s">
        <v>623</v>
      </c>
      <c r="E16" s="53"/>
      <c r="F16" s="53"/>
      <c r="G16" s="634">
        <f>+G72</f>
        <v>361094.83333333337</v>
      </c>
      <c r="H16" s="634">
        <f>+H72</f>
        <v>566740.83333333326</v>
      </c>
      <c r="I16" s="634">
        <f>+I72</f>
        <v>598219.83333333326</v>
      </c>
      <c r="J16" s="529">
        <f t="shared" si="2"/>
        <v>1526055.5</v>
      </c>
      <c r="K16" s="31" t="str">
        <f t="shared" si="0"/>
        <v>y</v>
      </c>
      <c r="L16" s="53"/>
      <c r="M16" s="53"/>
      <c r="N16" s="53"/>
      <c r="O16" s="53"/>
      <c r="P16" s="53"/>
      <c r="Q16" s="51"/>
      <c r="T16" s="1"/>
      <c r="U16" s="1"/>
      <c r="V16" s="1"/>
      <c r="Y16" s="75"/>
      <c r="AA16" s="567">
        <f t="shared" ref="AA16:AC16" si="10">+AA72</f>
        <v>50248.5</v>
      </c>
      <c r="AB16" s="567">
        <f t="shared" si="10"/>
        <v>100201</v>
      </c>
      <c r="AC16" s="567">
        <f t="shared" si="10"/>
        <v>136136</v>
      </c>
      <c r="AD16" s="600">
        <f t="shared" si="3"/>
        <v>286585.5</v>
      </c>
      <c r="AF16" s="567">
        <f t="shared" ref="AF16:AH16" si="11">+AF72</f>
        <v>7589</v>
      </c>
      <c r="AG16" s="620">
        <f t="shared" si="11"/>
        <v>20716.5</v>
      </c>
      <c r="AH16" s="567">
        <f t="shared" si="11"/>
        <v>23156</v>
      </c>
      <c r="AI16" s="600">
        <f t="shared" si="4"/>
        <v>51461.5</v>
      </c>
    </row>
    <row r="17" spans="1:35" s="31" customFormat="1" x14ac:dyDescent="0.75">
      <c r="A17" s="48">
        <f t="shared" si="1"/>
        <v>8590</v>
      </c>
      <c r="B17" s="48" t="str">
        <f>IF(ISERROR(VLOOKUP(A17,'CONSOLIDATED CY Cash Flows'!$B$9:$B$200,1,FALSE)),"NO","YES")</f>
        <v>YES</v>
      </c>
      <c r="C17" s="115" t="s">
        <v>328</v>
      </c>
      <c r="D17" s="116" t="s">
        <v>1336</v>
      </c>
      <c r="E17" s="53"/>
      <c r="F17" s="53"/>
      <c r="G17" s="521"/>
      <c r="H17" s="521"/>
      <c r="I17" s="521"/>
      <c r="J17" s="529">
        <f t="shared" si="2"/>
        <v>0</v>
      </c>
      <c r="K17" s="31" t="str">
        <f t="shared" si="0"/>
        <v>y</v>
      </c>
      <c r="L17" s="53"/>
      <c r="M17" s="53"/>
      <c r="N17" s="53"/>
      <c r="O17" s="53"/>
      <c r="P17" s="53"/>
      <c r="Q17" s="51"/>
      <c r="T17" s="1"/>
      <c r="U17" s="1"/>
      <c r="V17" s="1"/>
      <c r="Y17" s="75"/>
      <c r="AA17" s="79"/>
      <c r="AB17" s="79"/>
      <c r="AC17" s="79"/>
      <c r="AD17" s="600">
        <f t="shared" si="3"/>
        <v>0</v>
      </c>
      <c r="AF17" s="79"/>
      <c r="AG17" s="79"/>
      <c r="AH17" s="79"/>
      <c r="AI17" s="600">
        <f t="shared" si="4"/>
        <v>0</v>
      </c>
    </row>
    <row r="18" spans="1:35" s="31" customFormat="1" x14ac:dyDescent="0.75">
      <c r="A18" s="48">
        <f t="shared" si="1"/>
        <v>8550</v>
      </c>
      <c r="B18" s="48" t="str">
        <f>IF(ISERROR(VLOOKUP(A18,'CONSOLIDATED CY Cash Flows'!$B$9:$B$200,1,FALSE)),"NO","YES")</f>
        <v>YES</v>
      </c>
      <c r="C18" s="115" t="s">
        <v>314</v>
      </c>
      <c r="D18" s="116" t="s">
        <v>1323</v>
      </c>
      <c r="E18" s="53"/>
      <c r="F18" s="53"/>
      <c r="G18" s="521"/>
      <c r="H18" s="521"/>
      <c r="I18" s="521"/>
      <c r="J18" s="529">
        <f t="shared" si="2"/>
        <v>0</v>
      </c>
      <c r="K18" s="31" t="str">
        <f t="shared" si="0"/>
        <v>y</v>
      </c>
      <c r="L18" s="53"/>
      <c r="M18" s="152">
        <f>L18*(1+M$3)</f>
        <v>0</v>
      </c>
      <c r="N18" s="152">
        <f>M18*(1+N$3)</f>
        <v>0</v>
      </c>
      <c r="O18" s="152">
        <f>N18*(1+O$3)</f>
        <v>0</v>
      </c>
      <c r="P18" s="152"/>
      <c r="Q18" s="51"/>
      <c r="T18" s="1"/>
      <c r="U18" s="1"/>
      <c r="V18" s="1"/>
      <c r="AA18" s="79"/>
      <c r="AB18" s="79"/>
      <c r="AC18" s="79"/>
      <c r="AD18" s="600">
        <f t="shared" si="3"/>
        <v>0</v>
      </c>
      <c r="AF18" s="79"/>
      <c r="AG18" s="79"/>
      <c r="AH18" s="79"/>
      <c r="AI18" s="600">
        <f t="shared" si="4"/>
        <v>0</v>
      </c>
    </row>
    <row r="19" spans="1:35" s="31" customFormat="1" x14ac:dyDescent="0.75">
      <c r="A19" s="48">
        <f t="shared" si="1"/>
        <v>8599</v>
      </c>
      <c r="B19" s="48" t="str">
        <f>IF(ISERROR(VLOOKUP(A19,'CONSOLIDATED CY Cash Flows'!$B$9:$B$200,1,FALSE)),"NO","YES")</f>
        <v>YES</v>
      </c>
      <c r="C19" s="115" t="s">
        <v>1088</v>
      </c>
      <c r="D19" s="116" t="s">
        <v>1089</v>
      </c>
      <c r="E19" s="53"/>
      <c r="F19" s="53"/>
      <c r="G19" s="527">
        <v>0</v>
      </c>
      <c r="H19" s="527">
        <v>0</v>
      </c>
      <c r="I19" s="527">
        <v>0</v>
      </c>
      <c r="J19" s="529">
        <f t="shared" si="2"/>
        <v>0</v>
      </c>
      <c r="K19" s="31" t="str">
        <f t="shared" si="0"/>
        <v>y</v>
      </c>
      <c r="L19" s="53"/>
      <c r="M19" s="53"/>
      <c r="N19" s="53"/>
      <c r="O19" s="53"/>
      <c r="P19" s="53"/>
      <c r="Q19" s="51"/>
      <c r="T19" s="1"/>
      <c r="U19" s="1"/>
      <c r="V19" s="1"/>
      <c r="AA19" s="79"/>
      <c r="AB19" s="79"/>
      <c r="AC19" s="79"/>
      <c r="AD19" s="600">
        <f t="shared" si="3"/>
        <v>0</v>
      </c>
      <c r="AF19" s="79"/>
      <c r="AG19" s="79"/>
      <c r="AH19" s="79"/>
      <c r="AI19" s="600">
        <f t="shared" si="4"/>
        <v>0</v>
      </c>
    </row>
    <row r="20" spans="1:35" s="31" customFormat="1" ht="17.75" x14ac:dyDescent="0.75">
      <c r="A20" s="29"/>
      <c r="B20" s="29"/>
      <c r="C20" s="70" t="s">
        <v>791</v>
      </c>
      <c r="D20" s="34"/>
      <c r="E20" s="153">
        <f t="shared" ref="E20:I20" si="12">SUM(E8:E19)</f>
        <v>0</v>
      </c>
      <c r="F20" s="153">
        <f t="shared" si="12"/>
        <v>0</v>
      </c>
      <c r="G20" s="522">
        <f>SUM(G8:G19)</f>
        <v>8168540.8299333332</v>
      </c>
      <c r="H20" s="522">
        <f>SUM(H8:H19)</f>
        <v>10413022.360241333</v>
      </c>
      <c r="I20" s="522">
        <f t="shared" si="12"/>
        <v>11427074.178423336</v>
      </c>
      <c r="J20" s="288">
        <f>SUM(J8:J19)</f>
        <v>30008637.368597999</v>
      </c>
      <c r="L20" s="45"/>
      <c r="M20" s="45"/>
      <c r="N20" s="45"/>
      <c r="O20" s="45"/>
      <c r="P20" s="45"/>
      <c r="Q20" s="48"/>
      <c r="T20" s="1"/>
      <c r="U20" s="1"/>
      <c r="V20" s="1"/>
      <c r="AA20" s="600">
        <f>+SUM(AA8:AA19)</f>
        <v>8566823.3111771997</v>
      </c>
      <c r="AB20" s="600">
        <f t="shared" ref="AB20:AC20" si="13">+SUM(AB8:AB19)</f>
        <v>10840677.698743999</v>
      </c>
      <c r="AC20" s="600">
        <f t="shared" si="13"/>
        <v>11948556.916298</v>
      </c>
      <c r="AD20" s="600">
        <f t="shared" si="3"/>
        <v>31356057.926219203</v>
      </c>
      <c r="AF20" s="600">
        <f>+SUM(AF8:AF19)</f>
        <v>9274639.237515321</v>
      </c>
      <c r="AG20" s="600">
        <f t="shared" ref="AG20" si="14">+SUM(AG8:AG19)</f>
        <v>11707667.727598181</v>
      </c>
      <c r="AH20" s="600">
        <f t="shared" ref="AH20" si="15">+SUM(AH8:AH19)</f>
        <v>12876853.984252326</v>
      </c>
      <c r="AI20" s="600">
        <f t="shared" si="4"/>
        <v>33859160.949365824</v>
      </c>
    </row>
    <row r="21" spans="1:35" s="31" customFormat="1" ht="6.75" customHeight="1" x14ac:dyDescent="0.75">
      <c r="A21" s="29"/>
      <c r="B21" s="29"/>
      <c r="C21" s="69"/>
      <c r="D21" s="48"/>
      <c r="E21" s="66"/>
      <c r="F21" s="66"/>
      <c r="G21" s="523"/>
      <c r="H21" s="523"/>
      <c r="I21" s="523"/>
      <c r="J21" s="289"/>
      <c r="L21" s="66"/>
      <c r="M21" s="66"/>
      <c r="N21" s="66"/>
      <c r="O21" s="66"/>
      <c r="P21" s="66"/>
      <c r="Q21" s="48"/>
      <c r="T21" s="1"/>
      <c r="U21" s="1"/>
      <c r="V21" s="1"/>
    </row>
    <row r="22" spans="1:35" s="31" customFormat="1" ht="17.75" x14ac:dyDescent="0.75">
      <c r="B22" s="29"/>
      <c r="C22" s="29" t="s">
        <v>782</v>
      </c>
      <c r="D22" s="48"/>
      <c r="E22" s="66"/>
      <c r="F22" s="66"/>
      <c r="G22" s="523"/>
      <c r="H22" s="523"/>
      <c r="I22" s="523"/>
      <c r="J22" s="289"/>
      <c r="L22" s="66"/>
      <c r="M22" s="66"/>
      <c r="N22" s="66"/>
      <c r="O22" s="66"/>
      <c r="P22" s="66"/>
      <c r="S22" s="31" t="s">
        <v>1062</v>
      </c>
      <c r="T22" s="62">
        <f>((0.16)*('Student Info w MYP'!R$68*'Student Info w MYP'!R$63)*185)+((0.16)*('Student Info w MYP'!R$69*'Student Info w MYP'!R$63)*185)</f>
        <v>15645.402272530802</v>
      </c>
      <c r="U22" s="1"/>
      <c r="V22" s="1"/>
    </row>
    <row r="23" spans="1:35" s="31" customFormat="1" x14ac:dyDescent="0.75">
      <c r="A23" s="48">
        <f>LEFT(C23,4)+0</f>
        <v>8181</v>
      </c>
      <c r="B23" s="48" t="str">
        <f>IF(ISERROR(VLOOKUP(A23,'CONSOLIDATED CY Cash Flows'!$B$9:$B$200,1,FALSE)),"NO","YES")</f>
        <v>YES</v>
      </c>
      <c r="C23" s="139" t="s">
        <v>274</v>
      </c>
      <c r="D23" s="118" t="s">
        <v>1240</v>
      </c>
      <c r="E23" s="53"/>
      <c r="F23" s="53"/>
      <c r="G23" s="521">
        <f>+N23*'Student Info w MYP'!F63</f>
        <v>160913.42544816001</v>
      </c>
      <c r="H23" s="521">
        <f>+O23*'Student Info w MYP'!G63</f>
        <v>193517.50332168001</v>
      </c>
      <c r="I23" s="521">
        <f>+P23*'Student Info w MYP'!H63</f>
        <v>210389.34981240003</v>
      </c>
      <c r="J23" s="529">
        <f t="shared" ref="J23:J31" si="16">SUM(E23:I23)</f>
        <v>564820.27858224011</v>
      </c>
      <c r="K23" s="31" t="str">
        <f t="shared" ref="K23:K31" si="17">IF(SUM(G23:I23)=J23,"y","n")</f>
        <v>y</v>
      </c>
      <c r="L23" s="192"/>
      <c r="M23" s="192"/>
      <c r="N23" s="720">
        <f>Assumptions!$E$13*0.97</f>
        <v>237.28139999999999</v>
      </c>
      <c r="O23" s="720">
        <f>Assumptions!$E$13*0.97</f>
        <v>237.28139999999999</v>
      </c>
      <c r="P23" s="720">
        <f>Assumptions!$E$13*0.97</f>
        <v>237.28139999999999</v>
      </c>
      <c r="Q23" s="192"/>
      <c r="S23" s="31" t="s">
        <v>1064</v>
      </c>
      <c r="T23" s="62">
        <f>((1.51+2.77+0.76)*('Student Info w MYP'!R$68*'Student Info w MYP'!R$63)*185)+((1.21+2.37+0.38)*('Student Info w MYP'!R$69*'Student Info w MYP'!R$63)*185)</f>
        <v>387223.70624513732</v>
      </c>
      <c r="U23" s="1"/>
      <c r="V23" s="1"/>
      <c r="AA23" s="784">
        <v>79202.343000000008</v>
      </c>
      <c r="AB23" s="784">
        <v>100765.8795</v>
      </c>
      <c r="AC23" s="784">
        <v>101028.97987500002</v>
      </c>
      <c r="AD23" s="600">
        <f t="shared" ref="AD23:AD31" si="18">+SUM(AA23:AC23)</f>
        <v>280997.20237499999</v>
      </c>
      <c r="AF23" s="784">
        <v>79202.343000000008</v>
      </c>
      <c r="AG23" s="784">
        <v>100765.8795</v>
      </c>
      <c r="AH23" s="784">
        <v>101028.97987500002</v>
      </c>
      <c r="AI23" s="600">
        <f t="shared" ref="AI23:AI47" si="19">+SUM(AF23:AH23)</f>
        <v>280997.20237499999</v>
      </c>
    </row>
    <row r="24" spans="1:35" s="31" customFormat="1" x14ac:dyDescent="0.75">
      <c r="A24" s="48">
        <f t="shared" ref="A24:A31" si="20">LEFT(C24,4)+0</f>
        <v>8220</v>
      </c>
      <c r="B24" s="48" t="str">
        <f>IF(ISERROR(VLOOKUP(A24,'CONSOLIDATED CY Cash Flows'!$B$9:$B$200,1,FALSE)),"NO","YES")</f>
        <v>YES</v>
      </c>
      <c r="C24" s="117" t="s">
        <v>278</v>
      </c>
      <c r="D24" s="118" t="s">
        <v>618</v>
      </c>
      <c r="E24" s="53"/>
      <c r="F24" s="53"/>
      <c r="G24" s="521"/>
      <c r="H24" s="521"/>
      <c r="I24" s="521"/>
      <c r="J24" s="529">
        <f t="shared" si="16"/>
        <v>0</v>
      </c>
      <c r="K24" s="31" t="str">
        <f t="shared" si="17"/>
        <v>y</v>
      </c>
      <c r="L24" s="56"/>
      <c r="M24" s="56"/>
      <c r="N24" s="56"/>
      <c r="O24" s="56"/>
      <c r="P24" s="56"/>
      <c r="Q24" s="51"/>
      <c r="T24" s="1"/>
      <c r="U24" s="1"/>
      <c r="V24" s="1"/>
      <c r="AA24" s="79"/>
      <c r="AB24" s="79"/>
      <c r="AC24" s="79"/>
      <c r="AD24" s="600">
        <f t="shared" si="18"/>
        <v>0</v>
      </c>
      <c r="AF24" s="79"/>
      <c r="AG24" s="79"/>
      <c r="AH24" s="79"/>
      <c r="AI24" s="600">
        <f t="shared" si="19"/>
        <v>0</v>
      </c>
    </row>
    <row r="25" spans="1:35" s="31" customFormat="1" x14ac:dyDescent="0.75">
      <c r="A25" s="48">
        <f t="shared" si="20"/>
        <v>8290</v>
      </c>
      <c r="B25" s="48" t="str">
        <f>IF(ISERROR(VLOOKUP(A25,'CONSOLIDATED CY Cash Flows'!$B$9:$B$200,1,FALSE)),"NO","YES")</f>
        <v>YES</v>
      </c>
      <c r="C25" s="117" t="s">
        <v>292</v>
      </c>
      <c r="D25" s="118" t="s">
        <v>829</v>
      </c>
      <c r="E25" s="53"/>
      <c r="F25" s="53"/>
      <c r="G25" s="635">
        <f>+G60</f>
        <v>152919</v>
      </c>
      <c r="H25" s="635">
        <f>+H60</f>
        <v>529135.28</v>
      </c>
      <c r="I25" s="635">
        <f>+I60</f>
        <v>833480</v>
      </c>
      <c r="J25" s="529">
        <f t="shared" si="16"/>
        <v>1515534.28</v>
      </c>
      <c r="K25" s="31" t="str">
        <f t="shared" si="17"/>
        <v>y</v>
      </c>
      <c r="L25" s="53"/>
      <c r="M25" s="152"/>
      <c r="N25" s="152"/>
      <c r="O25" s="152"/>
      <c r="P25" s="152"/>
      <c r="Q25" s="51"/>
      <c r="T25" s="1"/>
      <c r="U25" s="1"/>
      <c r="V25" s="1"/>
      <c r="AA25" s="547">
        <f t="shared" ref="AA25:AC25" si="21">+AA60</f>
        <v>0</v>
      </c>
      <c r="AB25" s="547">
        <f t="shared" si="21"/>
        <v>201719</v>
      </c>
      <c r="AC25" s="547">
        <f t="shared" si="21"/>
        <v>201719</v>
      </c>
      <c r="AD25" s="600">
        <f t="shared" si="18"/>
        <v>403438</v>
      </c>
      <c r="AF25" s="547">
        <f t="shared" ref="AF25:AH25" si="22">+AF60</f>
        <v>0</v>
      </c>
      <c r="AG25" s="547">
        <f t="shared" si="22"/>
        <v>201719</v>
      </c>
      <c r="AH25" s="547">
        <f t="shared" si="22"/>
        <v>201719</v>
      </c>
      <c r="AI25" s="600">
        <f t="shared" si="19"/>
        <v>403438</v>
      </c>
    </row>
    <row r="26" spans="1:35" s="31" customFormat="1" x14ac:dyDescent="0.75">
      <c r="A26" s="48">
        <f t="shared" si="20"/>
        <v>8291</v>
      </c>
      <c r="B26" s="48" t="str">
        <f>IF(ISERROR(VLOOKUP(A26,'CONSOLIDATED CY Cash Flows'!$B$9:$B$200,1,FALSE)),"NO","YES")</f>
        <v>YES</v>
      </c>
      <c r="C26" s="115" t="s">
        <v>684</v>
      </c>
      <c r="D26" s="116" t="s">
        <v>783</v>
      </c>
      <c r="E26" s="53"/>
      <c r="F26" s="53"/>
      <c r="G26" s="527">
        <v>71912</v>
      </c>
      <c r="H26" s="527">
        <v>159904</v>
      </c>
      <c r="I26" s="527">
        <v>151168</v>
      </c>
      <c r="J26" s="529">
        <f t="shared" si="16"/>
        <v>382984</v>
      </c>
      <c r="K26" s="31" t="str">
        <f t="shared" si="17"/>
        <v>y</v>
      </c>
      <c r="L26" s="53"/>
      <c r="M26" s="152"/>
      <c r="N26" s="152"/>
      <c r="O26" s="152"/>
      <c r="P26" s="152"/>
      <c r="Q26" s="51"/>
      <c r="T26" s="1"/>
      <c r="U26" s="1"/>
      <c r="V26" s="1"/>
      <c r="AA26" s="79">
        <v>71912</v>
      </c>
      <c r="AB26" s="79">
        <v>159904</v>
      </c>
      <c r="AC26" s="79">
        <v>151168</v>
      </c>
      <c r="AD26" s="600">
        <f t="shared" si="18"/>
        <v>382984</v>
      </c>
      <c r="AF26" s="79">
        <v>71912</v>
      </c>
      <c r="AG26" s="79">
        <v>159904</v>
      </c>
      <c r="AH26" s="79">
        <v>151168</v>
      </c>
      <c r="AI26" s="600">
        <f t="shared" si="19"/>
        <v>382984</v>
      </c>
    </row>
    <row r="27" spans="1:35" s="31" customFormat="1" x14ac:dyDescent="0.75">
      <c r="A27" s="48">
        <f t="shared" si="20"/>
        <v>8292</v>
      </c>
      <c r="B27" s="48" t="str">
        <f>IF(ISERROR(VLOOKUP(A27,'CONSOLIDATED CY Cash Flows'!$B$9:$B$200,1,FALSE)),"NO","YES")</f>
        <v>YES</v>
      </c>
      <c r="C27" s="115" t="s">
        <v>685</v>
      </c>
      <c r="D27" s="116" t="s">
        <v>784</v>
      </c>
      <c r="E27" s="53"/>
      <c r="F27" s="53"/>
      <c r="G27" s="527">
        <v>14404</v>
      </c>
      <c r="H27" s="527">
        <v>26785</v>
      </c>
      <c r="I27" s="527">
        <v>24648</v>
      </c>
      <c r="J27" s="529">
        <f t="shared" si="16"/>
        <v>65837</v>
      </c>
      <c r="K27" s="31" t="str">
        <f t="shared" si="17"/>
        <v>y</v>
      </c>
      <c r="L27" s="53"/>
      <c r="M27" s="53"/>
      <c r="N27" s="53"/>
      <c r="O27" s="53"/>
      <c r="P27" s="53"/>
      <c r="Q27" s="51"/>
      <c r="T27" s="1"/>
      <c r="U27" s="1"/>
      <c r="V27" s="1"/>
      <c r="AA27" s="79">
        <v>14404</v>
      </c>
      <c r="AB27" s="79">
        <v>26785</v>
      </c>
      <c r="AC27" s="79">
        <v>24648</v>
      </c>
      <c r="AD27" s="600">
        <f t="shared" si="18"/>
        <v>65837</v>
      </c>
      <c r="AF27" s="79">
        <v>14404</v>
      </c>
      <c r="AG27" s="79">
        <v>26785</v>
      </c>
      <c r="AH27" s="79">
        <v>24648</v>
      </c>
      <c r="AI27" s="600">
        <f t="shared" si="19"/>
        <v>65837</v>
      </c>
    </row>
    <row r="28" spans="1:35" s="31" customFormat="1" x14ac:dyDescent="0.75">
      <c r="A28" s="48">
        <f t="shared" si="20"/>
        <v>8293</v>
      </c>
      <c r="B28" s="48" t="str">
        <f>IF(ISERROR(VLOOKUP(A28,'CONSOLIDATED CY Cash Flows'!$B$9:$B$200,1,FALSE)),"NO","YES")</f>
        <v>YES</v>
      </c>
      <c r="C28" s="115" t="s">
        <v>686</v>
      </c>
      <c r="D28" s="116" t="s">
        <v>785</v>
      </c>
      <c r="E28" s="53"/>
      <c r="F28" s="53"/>
      <c r="G28" s="527"/>
      <c r="H28" s="527"/>
      <c r="I28" s="527"/>
      <c r="J28" s="529">
        <f t="shared" si="16"/>
        <v>0</v>
      </c>
      <c r="K28" s="31" t="str">
        <f t="shared" si="17"/>
        <v>y</v>
      </c>
      <c r="L28" s="53"/>
      <c r="M28" s="53"/>
      <c r="N28" s="53"/>
      <c r="O28" s="53"/>
      <c r="P28" s="53"/>
      <c r="Q28" s="51"/>
      <c r="T28" s="1"/>
      <c r="U28" s="1"/>
      <c r="V28" s="1"/>
      <c r="AA28" s="79"/>
      <c r="AB28" s="79"/>
      <c r="AC28" s="79"/>
      <c r="AD28" s="600">
        <f t="shared" si="18"/>
        <v>0</v>
      </c>
      <c r="AF28" s="79"/>
      <c r="AG28" s="79"/>
      <c r="AH28" s="79"/>
      <c r="AI28" s="600">
        <f t="shared" si="19"/>
        <v>0</v>
      </c>
    </row>
    <row r="29" spans="1:35" s="31" customFormat="1" x14ac:dyDescent="0.75">
      <c r="A29" s="48">
        <f t="shared" si="20"/>
        <v>8294</v>
      </c>
      <c r="B29" s="48" t="str">
        <f>IF(ISERROR(VLOOKUP(A29,'CONSOLIDATED CY Cash Flows'!$B$9:$B$200,1,FALSE)),"NO","YES")</f>
        <v>YES</v>
      </c>
      <c r="C29" s="115" t="s">
        <v>687</v>
      </c>
      <c r="D29" s="116" t="s">
        <v>786</v>
      </c>
      <c r="E29" s="53"/>
      <c r="F29" s="53"/>
      <c r="G29" s="527">
        <v>10000</v>
      </c>
      <c r="H29" s="527">
        <v>10000</v>
      </c>
      <c r="I29" s="527">
        <v>10000</v>
      </c>
      <c r="J29" s="529">
        <f t="shared" si="16"/>
        <v>30000</v>
      </c>
      <c r="K29" s="31" t="str">
        <f t="shared" si="17"/>
        <v>y</v>
      </c>
      <c r="L29" s="56"/>
      <c r="M29" s="56"/>
      <c r="N29" s="56"/>
      <c r="O29" s="56"/>
      <c r="P29" s="56"/>
      <c r="Q29" s="51"/>
      <c r="T29" s="1"/>
      <c r="U29" s="1"/>
      <c r="V29" s="1"/>
      <c r="AA29" s="79">
        <v>10000</v>
      </c>
      <c r="AB29" s="79">
        <v>10000</v>
      </c>
      <c r="AC29" s="79">
        <v>10000</v>
      </c>
      <c r="AD29" s="600">
        <f t="shared" si="18"/>
        <v>30000</v>
      </c>
      <c r="AF29" s="79">
        <v>10000</v>
      </c>
      <c r="AG29" s="79">
        <v>10000</v>
      </c>
      <c r="AH29" s="79">
        <v>10000</v>
      </c>
      <c r="AI29" s="600">
        <f t="shared" si="19"/>
        <v>30000</v>
      </c>
    </row>
    <row r="30" spans="1:35" s="31" customFormat="1" x14ac:dyDescent="0.75">
      <c r="A30" s="48">
        <f t="shared" si="20"/>
        <v>8295</v>
      </c>
      <c r="B30" s="48" t="str">
        <f>IF(ISERROR(VLOOKUP(A30,'CONSOLIDATED CY Cash Flows'!$B$9:$B$200,1,FALSE)),"NO","YES")</f>
        <v>YES</v>
      </c>
      <c r="C30" s="115" t="s">
        <v>688</v>
      </c>
      <c r="D30" s="116" t="s">
        <v>787</v>
      </c>
      <c r="E30" s="53"/>
      <c r="F30" s="53"/>
      <c r="G30" s="527"/>
      <c r="H30" s="527"/>
      <c r="I30" s="527"/>
      <c r="J30" s="529">
        <f t="shared" si="16"/>
        <v>0</v>
      </c>
      <c r="K30" s="31" t="str">
        <f t="shared" si="17"/>
        <v>y</v>
      </c>
      <c r="L30" s="56"/>
      <c r="M30" s="56"/>
      <c r="N30" s="56"/>
      <c r="O30" s="56"/>
      <c r="P30" s="56"/>
      <c r="Q30" s="51" t="s">
        <v>780</v>
      </c>
      <c r="T30" s="1"/>
      <c r="U30" s="1"/>
      <c r="V30" s="1"/>
      <c r="AA30" s="79"/>
      <c r="AB30" s="79"/>
      <c r="AC30" s="79"/>
      <c r="AD30" s="600">
        <f t="shared" si="18"/>
        <v>0</v>
      </c>
      <c r="AF30" s="79"/>
      <c r="AG30" s="79"/>
      <c r="AH30" s="79"/>
      <c r="AI30" s="600">
        <f t="shared" si="19"/>
        <v>0</v>
      </c>
    </row>
    <row r="31" spans="1:35" s="31" customFormat="1" x14ac:dyDescent="0.75">
      <c r="A31" s="48">
        <f t="shared" si="20"/>
        <v>8299</v>
      </c>
      <c r="B31" s="48" t="str">
        <f>IF(ISERROR(VLOOKUP(A31,'CONSOLIDATED CY Cash Flows'!$B$9:$B$200,1,FALSE)),"NO","YES")</f>
        <v>YES</v>
      </c>
      <c r="C31" s="115" t="s">
        <v>1085</v>
      </c>
      <c r="D31" s="116" t="s">
        <v>1086</v>
      </c>
      <c r="E31" s="53"/>
      <c r="F31" s="53"/>
      <c r="G31" s="527"/>
      <c r="H31" s="527">
        <v>0</v>
      </c>
      <c r="I31" s="527"/>
      <c r="J31" s="529">
        <f t="shared" si="16"/>
        <v>0</v>
      </c>
      <c r="K31" s="31" t="str">
        <f t="shared" si="17"/>
        <v>y</v>
      </c>
      <c r="L31" s="56"/>
      <c r="M31" s="56"/>
      <c r="N31" s="56"/>
      <c r="O31" s="56"/>
      <c r="P31" s="56"/>
      <c r="Q31" s="51" t="s">
        <v>788</v>
      </c>
      <c r="T31" s="1"/>
      <c r="U31" s="1"/>
      <c r="V31" s="1"/>
      <c r="AD31" s="600">
        <f t="shared" si="18"/>
        <v>0</v>
      </c>
      <c r="AF31" s="79"/>
      <c r="AG31" s="79"/>
      <c r="AH31" s="79"/>
      <c r="AI31" s="600">
        <f t="shared" si="19"/>
        <v>0</v>
      </c>
    </row>
    <row r="32" spans="1:35" s="31" customFormat="1" ht="17.75" x14ac:dyDescent="0.75">
      <c r="A32" s="29"/>
      <c r="B32" s="29"/>
      <c r="C32" s="70" t="s">
        <v>792</v>
      </c>
      <c r="D32" s="34"/>
      <c r="E32" s="153">
        <f t="shared" ref="E32:I32" si="23">SUM(E23:E31)</f>
        <v>0</v>
      </c>
      <c r="F32" s="153">
        <f t="shared" si="23"/>
        <v>0</v>
      </c>
      <c r="G32" s="522">
        <f>SUM(G23:G31)</f>
        <v>410148.42544816004</v>
      </c>
      <c r="H32" s="522">
        <f>SUM(H23:H31)</f>
        <v>919341.78332168004</v>
      </c>
      <c r="I32" s="522">
        <f t="shared" si="23"/>
        <v>1229685.3498124001</v>
      </c>
      <c r="J32" s="288">
        <f>SUM(J23:J31)</f>
        <v>2559175.5585822402</v>
      </c>
      <c r="L32" s="66"/>
      <c r="M32" s="66"/>
      <c r="N32" s="66"/>
      <c r="O32" s="66"/>
      <c r="P32" s="66"/>
      <c r="Q32" s="48"/>
      <c r="T32" s="1"/>
      <c r="U32" s="1"/>
      <c r="V32" s="1"/>
      <c r="AA32" s="600">
        <f>+SUM(AA23:AA31)</f>
        <v>175518.34299999999</v>
      </c>
      <c r="AB32" s="600">
        <f t="shared" ref="AB32:AD32" si="24">+SUM(AB23:AB31)</f>
        <v>499173.87949999998</v>
      </c>
      <c r="AC32" s="600">
        <f t="shared" si="24"/>
        <v>488563.97987500002</v>
      </c>
      <c r="AD32" s="600">
        <f t="shared" si="24"/>
        <v>1163256.2023749999</v>
      </c>
      <c r="AF32" s="600">
        <f>+SUM(AF23:AF31)</f>
        <v>175518.34299999999</v>
      </c>
      <c r="AG32" s="600">
        <f t="shared" ref="AG32" si="25">+SUM(AG23:AG31)</f>
        <v>499173.87949999998</v>
      </c>
      <c r="AH32" s="600">
        <f t="shared" ref="AH32" si="26">+SUM(AH23:AH31)</f>
        <v>488563.97987500002</v>
      </c>
      <c r="AI32" s="600">
        <f t="shared" ref="AI32" si="27">+SUM(AI23:AI31)</f>
        <v>1163256.2023749999</v>
      </c>
    </row>
    <row r="33" spans="1:35" s="31" customFormat="1" ht="5.25" customHeight="1" x14ac:dyDescent="0.75">
      <c r="A33" s="29"/>
      <c r="B33" s="29"/>
      <c r="C33" s="69"/>
      <c r="D33" s="48"/>
      <c r="E33" s="66"/>
      <c r="F33" s="66"/>
      <c r="G33" s="523"/>
      <c r="H33" s="523"/>
      <c r="I33" s="523"/>
      <c r="J33" s="289"/>
      <c r="L33" s="66"/>
      <c r="M33" s="66"/>
      <c r="N33" s="66"/>
      <c r="O33" s="66"/>
      <c r="P33" s="66"/>
      <c r="Q33" s="48"/>
      <c r="T33" s="1"/>
      <c r="U33" s="1"/>
      <c r="V33" s="1"/>
      <c r="AI33" s="600">
        <f t="shared" si="19"/>
        <v>0</v>
      </c>
    </row>
    <row r="34" spans="1:35" s="31" customFormat="1" ht="17.75" x14ac:dyDescent="0.75">
      <c r="B34" s="29"/>
      <c r="C34" s="29" t="s">
        <v>790</v>
      </c>
      <c r="D34" s="66"/>
      <c r="E34" s="66"/>
      <c r="F34" s="66"/>
      <c r="G34" s="523"/>
      <c r="H34" s="523"/>
      <c r="I34" s="523"/>
      <c r="J34" s="289"/>
      <c r="L34" s="66"/>
      <c r="M34" s="66"/>
      <c r="N34" s="66"/>
      <c r="O34" s="66"/>
      <c r="P34" s="66"/>
      <c r="T34" s="1"/>
      <c r="U34" s="1"/>
      <c r="V34" s="1"/>
      <c r="AI34" s="600">
        <f t="shared" si="19"/>
        <v>0</v>
      </c>
    </row>
    <row r="35" spans="1:35" s="31" customFormat="1" x14ac:dyDescent="0.75">
      <c r="A35" s="48">
        <f>LEFT(C35,4)+0</f>
        <v>8660</v>
      </c>
      <c r="B35" s="48" t="str">
        <f>IF(ISERROR(VLOOKUP(A35,'CONSOLIDATED CY Cash Flows'!$B$9:$B$200,1,FALSE)),"NO","YES")</f>
        <v>YES</v>
      </c>
      <c r="C35" s="117" t="s">
        <v>364</v>
      </c>
      <c r="D35" s="118" t="s">
        <v>624</v>
      </c>
      <c r="E35" s="53"/>
      <c r="F35" s="53"/>
      <c r="G35" s="527">
        <v>100</v>
      </c>
      <c r="H35" s="527">
        <v>40684.199999999997</v>
      </c>
      <c r="I35" s="527">
        <v>100</v>
      </c>
      <c r="J35" s="262">
        <f>+SUM(G35:I35)</f>
        <v>40884.199999999997</v>
      </c>
      <c r="K35" s="31" t="str">
        <f t="shared" ref="K35:K42" si="28">IF(SUM(G35:I35)=J35,"y","n")</f>
        <v>y</v>
      </c>
      <c r="L35" s="53"/>
      <c r="M35" s="53"/>
      <c r="N35" s="53"/>
      <c r="O35" s="53"/>
      <c r="P35" s="53"/>
      <c r="Q35" s="51" t="s">
        <v>780</v>
      </c>
      <c r="T35" s="1"/>
      <c r="U35" s="1"/>
      <c r="V35" s="1"/>
      <c r="AA35" s="563">
        <f>G35</f>
        <v>100</v>
      </c>
      <c r="AB35" s="563">
        <f>H35</f>
        <v>40684.199999999997</v>
      </c>
      <c r="AC35" s="563">
        <f>I35</f>
        <v>100</v>
      </c>
      <c r="AD35" s="600">
        <f t="shared" ref="AD35:AD47" si="29">+SUM(AA35:AC35)</f>
        <v>40884.199999999997</v>
      </c>
      <c r="AF35" s="563">
        <f>AA35</f>
        <v>100</v>
      </c>
      <c r="AG35" s="563">
        <f>AB35</f>
        <v>40684.199999999997</v>
      </c>
      <c r="AH35" s="563">
        <f t="shared" ref="AH35:AH46" si="30">AC35</f>
        <v>100</v>
      </c>
      <c r="AI35" s="600">
        <f t="shared" si="19"/>
        <v>40884.199999999997</v>
      </c>
    </row>
    <row r="36" spans="1:35" s="31" customFormat="1" x14ac:dyDescent="0.75">
      <c r="A36" s="48">
        <f t="shared" ref="A36:A47" si="31">LEFT(C36,4)+0</f>
        <v>8682</v>
      </c>
      <c r="B36" s="48" t="str">
        <f>IF(ISERROR(VLOOKUP(A36,'CONSOLIDATED CY Cash Flows'!$B$9:$B$200,1,FALSE)),"NO","YES")</f>
        <v>YES</v>
      </c>
      <c r="C36" s="115" t="s">
        <v>1327</v>
      </c>
      <c r="D36" s="116" t="s">
        <v>1258</v>
      </c>
      <c r="E36" s="53"/>
      <c r="F36" s="53"/>
      <c r="G36" s="527">
        <v>1077.81</v>
      </c>
      <c r="H36" s="527">
        <v>0</v>
      </c>
      <c r="I36" s="527">
        <v>1568.81</v>
      </c>
      <c r="J36" s="262">
        <f>+SUM(G36:I36)</f>
        <v>2646.62</v>
      </c>
      <c r="K36" s="31" t="str">
        <f t="shared" si="28"/>
        <v>y</v>
      </c>
      <c r="L36" s="56"/>
      <c r="M36" s="56"/>
      <c r="N36" s="56"/>
      <c r="O36" s="56"/>
      <c r="P36" s="56"/>
      <c r="Q36" s="51" t="s">
        <v>780</v>
      </c>
      <c r="T36" s="1"/>
      <c r="U36" s="1"/>
      <c r="V36" s="1"/>
      <c r="AA36" s="563">
        <f t="shared" ref="AA36:AA46" si="32">G36</f>
        <v>1077.81</v>
      </c>
      <c r="AB36" s="563">
        <f t="shared" ref="AB36:AB46" si="33">H36</f>
        <v>0</v>
      </c>
      <c r="AC36" s="563">
        <f t="shared" ref="AC36:AC46" si="34">I36</f>
        <v>1568.81</v>
      </c>
      <c r="AD36" s="600">
        <f t="shared" si="29"/>
        <v>2646.62</v>
      </c>
      <c r="AF36" s="563">
        <f t="shared" ref="AF36:AF46" si="35">AA36</f>
        <v>1077.81</v>
      </c>
      <c r="AG36" s="563">
        <f t="shared" ref="AG36:AG46" si="36">AB36</f>
        <v>0</v>
      </c>
      <c r="AH36" s="563">
        <f t="shared" si="30"/>
        <v>1568.81</v>
      </c>
      <c r="AI36" s="600">
        <f t="shared" si="19"/>
        <v>2646.62</v>
      </c>
    </row>
    <row r="37" spans="1:35" s="31" customFormat="1" x14ac:dyDescent="0.75">
      <c r="A37" s="48">
        <f t="shared" si="31"/>
        <v>8683</v>
      </c>
      <c r="B37" s="48" t="str">
        <f>IF(ISERROR(VLOOKUP(A37,'CONSOLIDATED CY Cash Flows'!$B$9:$B$200,1,FALSE)),"NO","YES")</f>
        <v>NO</v>
      </c>
      <c r="C37" s="115" t="s">
        <v>1328</v>
      </c>
      <c r="D37" s="116" t="s">
        <v>1090</v>
      </c>
      <c r="E37" s="53"/>
      <c r="F37" s="53"/>
      <c r="G37" s="527">
        <f>+J37*'Student Info w MYP'!$F$64</f>
        <v>0</v>
      </c>
      <c r="H37" s="527">
        <f>+J37*'Student Info w MYP'!$G$64</f>
        <v>0</v>
      </c>
      <c r="I37" s="527">
        <f>+J37*'Student Info w MYP'!$H$64</f>
        <v>0</v>
      </c>
      <c r="J37" s="262">
        <v>0</v>
      </c>
      <c r="K37" s="31" t="str">
        <f t="shared" si="28"/>
        <v>y</v>
      </c>
      <c r="L37" s="56"/>
      <c r="M37" s="56"/>
      <c r="N37" s="56"/>
      <c r="O37" s="56"/>
      <c r="P37" s="56"/>
      <c r="Q37" s="51" t="s">
        <v>780</v>
      </c>
      <c r="T37" s="1"/>
      <c r="U37" s="1"/>
      <c r="V37" s="1"/>
      <c r="AA37" s="563">
        <f t="shared" si="32"/>
        <v>0</v>
      </c>
      <c r="AB37" s="563">
        <f t="shared" si="33"/>
        <v>0</v>
      </c>
      <c r="AC37" s="563">
        <f t="shared" si="34"/>
        <v>0</v>
      </c>
      <c r="AD37" s="600">
        <f t="shared" si="29"/>
        <v>0</v>
      </c>
      <c r="AF37" s="563">
        <f t="shared" si="35"/>
        <v>0</v>
      </c>
      <c r="AG37" s="563">
        <f t="shared" si="36"/>
        <v>0</v>
      </c>
      <c r="AH37" s="563">
        <f t="shared" si="30"/>
        <v>0</v>
      </c>
      <c r="AI37" s="600">
        <f t="shared" si="19"/>
        <v>0</v>
      </c>
    </row>
    <row r="38" spans="1:35" s="31" customFormat="1" x14ac:dyDescent="0.75">
      <c r="A38" s="48">
        <f t="shared" si="31"/>
        <v>8684</v>
      </c>
      <c r="B38" s="48" t="str">
        <f>IF(ISERROR(VLOOKUP(A38,'CONSOLIDATED CY Cash Flows'!$B$9:$B$200,1,FALSE)),"NO","YES")</f>
        <v>YES</v>
      </c>
      <c r="C38" s="115" t="s">
        <v>1329</v>
      </c>
      <c r="D38" s="116" t="s">
        <v>629</v>
      </c>
      <c r="E38" s="53"/>
      <c r="F38" s="53"/>
      <c r="G38" s="527">
        <f>+J38*'Student Info w MYP'!$F$64</f>
        <v>0</v>
      </c>
      <c r="H38" s="527">
        <f>+J38*'Student Info w MYP'!$G$64</f>
        <v>0</v>
      </c>
      <c r="I38" s="527">
        <f>+J38*'Student Info w MYP'!$H$64</f>
        <v>0</v>
      </c>
      <c r="J38" s="262">
        <v>0</v>
      </c>
      <c r="K38" s="31" t="str">
        <f t="shared" si="28"/>
        <v>y</v>
      </c>
      <c r="L38" s="56"/>
      <c r="M38" s="56"/>
      <c r="N38" s="56"/>
      <c r="O38" s="56"/>
      <c r="P38" s="56"/>
      <c r="Q38" s="51" t="s">
        <v>780</v>
      </c>
      <c r="T38" s="1"/>
      <c r="U38" s="1"/>
      <c r="V38" s="1"/>
      <c r="AA38" s="563">
        <f t="shared" si="32"/>
        <v>0</v>
      </c>
      <c r="AB38" s="563">
        <f t="shared" si="33"/>
        <v>0</v>
      </c>
      <c r="AC38" s="563">
        <f t="shared" si="34"/>
        <v>0</v>
      </c>
      <c r="AD38" s="600">
        <f t="shared" si="29"/>
        <v>0</v>
      </c>
      <c r="AF38" s="563">
        <f t="shared" si="35"/>
        <v>0</v>
      </c>
      <c r="AG38" s="563">
        <f t="shared" si="36"/>
        <v>0</v>
      </c>
      <c r="AH38" s="563">
        <f t="shared" si="30"/>
        <v>0</v>
      </c>
      <c r="AI38" s="600">
        <f t="shared" si="19"/>
        <v>0</v>
      </c>
    </row>
    <row r="39" spans="1:35" s="31" customFormat="1" x14ac:dyDescent="0.75">
      <c r="A39" s="48">
        <f t="shared" si="31"/>
        <v>8685</v>
      </c>
      <c r="B39" s="48" t="str">
        <f>IF(ISERROR(VLOOKUP(A39,'CONSOLIDATED CY Cash Flows'!$B$9:$B$200,1,FALSE)),"NO","YES")</f>
        <v>YES</v>
      </c>
      <c r="C39" s="115" t="s">
        <v>1330</v>
      </c>
      <c r="D39" s="116" t="s">
        <v>630</v>
      </c>
      <c r="E39" s="53"/>
      <c r="F39" s="53"/>
      <c r="G39" s="527">
        <f>+J39*'Student Info w MYP'!$F$64</f>
        <v>0</v>
      </c>
      <c r="H39" s="527">
        <f>+J39*'Student Info w MYP'!$G$64</f>
        <v>0</v>
      </c>
      <c r="I39" s="527">
        <f>+J39*'Student Info w MYP'!$H$64</f>
        <v>0</v>
      </c>
      <c r="J39" s="262">
        <v>0</v>
      </c>
      <c r="K39" s="31" t="str">
        <f t="shared" si="28"/>
        <v>y</v>
      </c>
      <c r="L39" s="56"/>
      <c r="M39" s="56"/>
      <c r="N39" s="56"/>
      <c r="O39" s="56"/>
      <c r="P39" s="56"/>
      <c r="Q39" s="51" t="s">
        <v>780</v>
      </c>
      <c r="T39" s="1"/>
      <c r="U39" s="1"/>
      <c r="V39" s="1"/>
      <c r="AA39" s="563">
        <f t="shared" si="32"/>
        <v>0</v>
      </c>
      <c r="AB39" s="563">
        <f t="shared" si="33"/>
        <v>0</v>
      </c>
      <c r="AC39" s="563">
        <f t="shared" si="34"/>
        <v>0</v>
      </c>
      <c r="AD39" s="600">
        <f t="shared" si="29"/>
        <v>0</v>
      </c>
      <c r="AF39" s="563">
        <f t="shared" si="35"/>
        <v>0</v>
      </c>
      <c r="AG39" s="563">
        <f t="shared" si="36"/>
        <v>0</v>
      </c>
      <c r="AH39" s="563">
        <f t="shared" si="30"/>
        <v>0</v>
      </c>
      <c r="AI39" s="600">
        <f t="shared" si="19"/>
        <v>0</v>
      </c>
    </row>
    <row r="40" spans="1:35" s="31" customFormat="1" x14ac:dyDescent="0.75">
      <c r="A40" s="48">
        <f t="shared" si="31"/>
        <v>8698</v>
      </c>
      <c r="B40" s="48" t="str">
        <f>IF(ISERROR(VLOOKUP(A40,'CONSOLIDATED CY Cash Flows'!$B$9:$B$200,1,FALSE)),"NO","YES")</f>
        <v>YES</v>
      </c>
      <c r="C40" s="115" t="s">
        <v>1331</v>
      </c>
      <c r="D40" s="116" t="s">
        <v>1332</v>
      </c>
      <c r="E40" s="53"/>
      <c r="F40" s="53"/>
      <c r="G40" s="527">
        <f>+J40*'Student Info w MYP'!$F$64</f>
        <v>0</v>
      </c>
      <c r="H40" s="527">
        <f>+J40*'Student Info w MYP'!$G$64</f>
        <v>0</v>
      </c>
      <c r="I40" s="527">
        <f>+J40*'Student Info w MYP'!$H$64</f>
        <v>0</v>
      </c>
      <c r="J40" s="262">
        <v>0</v>
      </c>
      <c r="K40" s="31" t="str">
        <f t="shared" si="28"/>
        <v>y</v>
      </c>
      <c r="L40" s="53"/>
      <c r="M40" s="53"/>
      <c r="N40" s="53"/>
      <c r="O40" s="53"/>
      <c r="P40" s="53"/>
      <c r="Q40" s="51" t="s">
        <v>780</v>
      </c>
      <c r="T40" s="1"/>
      <c r="U40" s="1"/>
      <c r="V40" s="1"/>
      <c r="AA40" s="563">
        <f t="shared" si="32"/>
        <v>0</v>
      </c>
      <c r="AB40" s="563">
        <f t="shared" si="33"/>
        <v>0</v>
      </c>
      <c r="AC40" s="563">
        <f t="shared" si="34"/>
        <v>0</v>
      </c>
      <c r="AD40" s="600">
        <f t="shared" si="29"/>
        <v>0</v>
      </c>
      <c r="AF40" s="563">
        <f t="shared" si="35"/>
        <v>0</v>
      </c>
      <c r="AG40" s="563">
        <f t="shared" si="36"/>
        <v>0</v>
      </c>
      <c r="AH40" s="563">
        <f t="shared" si="30"/>
        <v>0</v>
      </c>
      <c r="AI40" s="600">
        <f t="shared" si="19"/>
        <v>0</v>
      </c>
    </row>
    <row r="41" spans="1:35" s="31" customFormat="1" x14ac:dyDescent="0.75">
      <c r="A41" s="48">
        <f t="shared" si="31"/>
        <v>8699</v>
      </c>
      <c r="B41" s="48" t="str">
        <f>IF(ISERROR(VLOOKUP(A41,'CONSOLIDATED CY Cash Flows'!$B$9:$B$200,1,FALSE)),"NO","YES")</f>
        <v>YES</v>
      </c>
      <c r="C41" s="115" t="s">
        <v>388</v>
      </c>
      <c r="D41" s="116" t="s">
        <v>1090</v>
      </c>
      <c r="E41" s="53"/>
      <c r="F41" s="53"/>
      <c r="G41" s="527">
        <v>14538.489999999998</v>
      </c>
      <c r="H41" s="527">
        <v>18741.77</v>
      </c>
      <c r="I41" s="527">
        <v>21258.16</v>
      </c>
      <c r="J41" s="262">
        <f>+SUM(G41:I41)</f>
        <v>54538.42</v>
      </c>
      <c r="K41" s="31" t="str">
        <f t="shared" si="28"/>
        <v>y</v>
      </c>
      <c r="L41" s="53"/>
      <c r="M41" s="53"/>
      <c r="N41" s="53"/>
      <c r="O41" s="53"/>
      <c r="P41" s="53"/>
      <c r="Q41" s="51" t="s">
        <v>780</v>
      </c>
      <c r="T41" s="1"/>
      <c r="U41" s="1"/>
      <c r="V41" s="1"/>
      <c r="AA41" s="563">
        <f t="shared" si="32"/>
        <v>14538.489999999998</v>
      </c>
      <c r="AB41" s="563">
        <f t="shared" si="33"/>
        <v>18741.77</v>
      </c>
      <c r="AC41" s="563">
        <f t="shared" si="34"/>
        <v>21258.16</v>
      </c>
      <c r="AD41" s="600">
        <f t="shared" si="29"/>
        <v>54538.42</v>
      </c>
      <c r="AF41" s="563">
        <f t="shared" si="35"/>
        <v>14538.489999999998</v>
      </c>
      <c r="AG41" s="563">
        <f t="shared" si="36"/>
        <v>18741.77</v>
      </c>
      <c r="AH41" s="563">
        <f t="shared" si="30"/>
        <v>21258.16</v>
      </c>
      <c r="AI41" s="600">
        <f t="shared" si="19"/>
        <v>54538.42</v>
      </c>
    </row>
    <row r="42" spans="1:35" s="31" customFormat="1" x14ac:dyDescent="0.75">
      <c r="A42" s="48">
        <f t="shared" si="31"/>
        <v>8785</v>
      </c>
      <c r="B42" s="48" t="str">
        <f>IF(ISERROR(VLOOKUP(A42,'CONSOLIDATED CY Cash Flows'!$B$9:$B$200,1,FALSE)),"NO","YES")</f>
        <v>NO</v>
      </c>
      <c r="C42" s="138" t="s">
        <v>844</v>
      </c>
      <c r="D42" s="116" t="s">
        <v>832</v>
      </c>
      <c r="E42" s="53"/>
      <c r="F42" s="53"/>
      <c r="G42" s="527">
        <f>+J42*'Student Info w MYP'!$F$64</f>
        <v>0</v>
      </c>
      <c r="H42" s="527">
        <f>+J42*'Student Info w MYP'!$G$64</f>
        <v>0</v>
      </c>
      <c r="I42" s="527">
        <f>+J42*'Student Info w MYP'!$H$64</f>
        <v>0</v>
      </c>
      <c r="J42" s="262">
        <v>0</v>
      </c>
      <c r="K42" s="31" t="str">
        <f t="shared" si="28"/>
        <v>y</v>
      </c>
      <c r="L42" s="53"/>
      <c r="M42" s="53"/>
      <c r="N42" s="53"/>
      <c r="O42" s="53"/>
      <c r="P42" s="53"/>
      <c r="Q42" s="51" t="s">
        <v>780</v>
      </c>
      <c r="T42" s="1"/>
      <c r="U42" s="1"/>
      <c r="V42" s="1"/>
      <c r="AA42" s="563">
        <f t="shared" si="32"/>
        <v>0</v>
      </c>
      <c r="AB42" s="563">
        <f t="shared" si="33"/>
        <v>0</v>
      </c>
      <c r="AC42" s="563">
        <f t="shared" si="34"/>
        <v>0</v>
      </c>
      <c r="AD42" s="600">
        <f t="shared" si="29"/>
        <v>0</v>
      </c>
      <c r="AF42" s="563">
        <f t="shared" si="35"/>
        <v>0</v>
      </c>
      <c r="AG42" s="563">
        <f t="shared" si="36"/>
        <v>0</v>
      </c>
      <c r="AH42" s="563">
        <f t="shared" si="30"/>
        <v>0</v>
      </c>
      <c r="AI42" s="600">
        <f t="shared" si="19"/>
        <v>0</v>
      </c>
    </row>
    <row r="43" spans="1:35" s="31" customFormat="1" x14ac:dyDescent="0.75">
      <c r="A43" s="48">
        <f t="shared" si="31"/>
        <v>8792</v>
      </c>
      <c r="B43" s="48" t="str">
        <f>IF(ISERROR(VLOOKUP(A43,'CONSOLIDATED CY Cash Flows'!$B$9:$B$200,1,FALSE)),"NO","YES")</f>
        <v>YES</v>
      </c>
      <c r="C43" s="115" t="s">
        <v>402</v>
      </c>
      <c r="D43" s="116" t="s">
        <v>1257</v>
      </c>
      <c r="E43" s="53"/>
      <c r="F43" s="53"/>
      <c r="G43" s="521">
        <f>+N43*'Student Info w MYP'!F63+13762</f>
        <v>657573.57613695995</v>
      </c>
      <c r="H43" s="521">
        <f>+O43*'Student Info w MYP'!G63+30391</f>
        <v>804650.8759340801</v>
      </c>
      <c r="I43" s="521">
        <f>+$P$43*'Student Info w MYP'!H63+30392</f>
        <v>872155.81509440008</v>
      </c>
      <c r="J43" s="262">
        <f>+SUM(G43:I43)</f>
        <v>2334380.2671654401</v>
      </c>
      <c r="K43" s="31" t="str">
        <f>IF(SUM(G43:I43)=J43,"y","n")</f>
        <v>y</v>
      </c>
      <c r="L43" s="192"/>
      <c r="M43" s="720"/>
      <c r="N43" s="720">
        <f>Assumptions!$E$15*0.97</f>
        <v>949.35839999999996</v>
      </c>
      <c r="O43" s="720">
        <f>Assumptions!$E$15*0.97</f>
        <v>949.35839999999996</v>
      </c>
      <c r="P43" s="720">
        <f>Assumptions!$E$15*0.97</f>
        <v>949.35839999999996</v>
      </c>
      <c r="Q43" s="51" t="s">
        <v>780</v>
      </c>
      <c r="T43" s="1"/>
      <c r="U43" s="1"/>
      <c r="V43" s="1"/>
      <c r="AA43" s="563">
        <f>+$P$43*'Student Info w MYP'!K63+13762</f>
        <v>689764.15494380798</v>
      </c>
      <c r="AB43" s="563">
        <f>+$P$43*'Student Info w MYP'!L63+30391</f>
        <v>843363.86973078421</v>
      </c>
      <c r="AC43" s="563">
        <f>+$P$43*'Student Info w MYP'!M63+30392</f>
        <v>914244.00584911986</v>
      </c>
      <c r="AD43" s="600">
        <f t="shared" si="29"/>
        <v>2447372.0305237118</v>
      </c>
      <c r="AF43" s="563">
        <f>+$P$43*'Student Info w MYP'!P63+13762</f>
        <v>723564.26269099838</v>
      </c>
      <c r="AG43" s="563">
        <f>+$P$43*'Student Info w MYP'!Q63+30391</f>
        <v>884012.51321732334</v>
      </c>
      <c r="AH43" s="563">
        <f>+$P$43*'Student Info w MYP'!R63+30392</f>
        <v>958436.60614157608</v>
      </c>
      <c r="AI43" s="600">
        <f t="shared" si="19"/>
        <v>2566013.3820498977</v>
      </c>
    </row>
    <row r="44" spans="1:35" s="31" customFormat="1" x14ac:dyDescent="0.75">
      <c r="A44" s="48">
        <f t="shared" si="31"/>
        <v>8639</v>
      </c>
      <c r="B44" s="48" t="str">
        <f>IF(ISERROR(VLOOKUP(A44,'CONSOLIDATED CY Cash Flows'!$B$9:$B$200,1,FALSE)),"NO","YES")</f>
        <v>YES</v>
      </c>
      <c r="C44" s="115" t="s">
        <v>360</v>
      </c>
      <c r="D44" s="116" t="s">
        <v>628</v>
      </c>
      <c r="E44" s="53"/>
      <c r="F44" s="53"/>
      <c r="G44" s="527">
        <f>+J44*'Student Info w MYP'!$F$64</f>
        <v>0</v>
      </c>
      <c r="H44" s="527">
        <f>+J44*'Student Info w MYP'!$G$64</f>
        <v>0</v>
      </c>
      <c r="I44" s="527">
        <f>+J44*'Student Info w MYP'!$H$64</f>
        <v>0</v>
      </c>
      <c r="J44" s="262">
        <v>0</v>
      </c>
      <c r="L44" s="56"/>
      <c r="M44" s="56"/>
      <c r="N44" s="56"/>
      <c r="O44" s="56"/>
      <c r="P44" s="56"/>
      <c r="Q44" s="51"/>
      <c r="T44" s="1"/>
      <c r="U44" s="1"/>
      <c r="V44" s="1"/>
      <c r="AA44" s="563">
        <f t="shared" si="32"/>
        <v>0</v>
      </c>
      <c r="AB44" s="563">
        <f t="shared" si="33"/>
        <v>0</v>
      </c>
      <c r="AC44" s="563">
        <f t="shared" si="34"/>
        <v>0</v>
      </c>
      <c r="AD44" s="600">
        <f t="shared" si="29"/>
        <v>0</v>
      </c>
      <c r="AF44" s="563">
        <f t="shared" si="35"/>
        <v>0</v>
      </c>
      <c r="AG44" s="563">
        <f t="shared" si="36"/>
        <v>0</v>
      </c>
      <c r="AH44" s="563">
        <f t="shared" si="30"/>
        <v>0</v>
      </c>
      <c r="AI44" s="600">
        <f t="shared" si="19"/>
        <v>0</v>
      </c>
    </row>
    <row r="45" spans="1:35" s="31" customFormat="1" x14ac:dyDescent="0.75">
      <c r="A45" s="48">
        <f t="shared" si="31"/>
        <v>8986</v>
      </c>
      <c r="B45" s="48" t="str">
        <f>IF(ISERROR(VLOOKUP(A45,'CONSOLIDATED CY Cash Flows'!$B$9:$B$200,1,FALSE)),"NO","YES")</f>
        <v>YES</v>
      </c>
      <c r="C45" s="115" t="s">
        <v>694</v>
      </c>
      <c r="D45" s="116" t="s">
        <v>631</v>
      </c>
      <c r="E45" s="53"/>
      <c r="F45" s="53"/>
      <c r="G45" s="527">
        <f>+J45*'Student Info w MYP'!$F$64</f>
        <v>0</v>
      </c>
      <c r="H45" s="527">
        <f>+J45*'Student Info w MYP'!$G$64</f>
        <v>0</v>
      </c>
      <c r="I45" s="527">
        <v>0</v>
      </c>
      <c r="J45" s="262">
        <v>0</v>
      </c>
      <c r="L45" s="56"/>
      <c r="M45" s="56"/>
      <c r="N45" s="56"/>
      <c r="O45" s="56"/>
      <c r="P45" s="56"/>
      <c r="Q45" s="51"/>
      <c r="T45" s="1"/>
      <c r="U45" s="1"/>
      <c r="V45" s="1"/>
      <c r="AA45" s="563">
        <f t="shared" si="32"/>
        <v>0</v>
      </c>
      <c r="AB45" s="563">
        <f t="shared" si="33"/>
        <v>0</v>
      </c>
      <c r="AC45" s="563">
        <f t="shared" si="34"/>
        <v>0</v>
      </c>
      <c r="AD45" s="600">
        <f t="shared" si="29"/>
        <v>0</v>
      </c>
      <c r="AF45" s="563">
        <f t="shared" si="35"/>
        <v>0</v>
      </c>
      <c r="AG45" s="563">
        <f t="shared" si="36"/>
        <v>0</v>
      </c>
      <c r="AH45" s="563">
        <f t="shared" si="30"/>
        <v>0</v>
      </c>
      <c r="AI45" s="600">
        <f t="shared" si="19"/>
        <v>0</v>
      </c>
    </row>
    <row r="46" spans="1:35" s="31" customFormat="1" x14ac:dyDescent="0.75">
      <c r="A46" s="48">
        <f t="shared" si="31"/>
        <v>8982</v>
      </c>
      <c r="B46" s="48" t="str">
        <f>IF(ISERROR(VLOOKUP(A46,'CONSOLIDATED CY Cash Flows'!$B$9:$B$200,1,FALSE)),"NO","YES")</f>
        <v>YES</v>
      </c>
      <c r="C46" s="483" t="s">
        <v>690</v>
      </c>
      <c r="D46" s="484" t="s">
        <v>1258</v>
      </c>
      <c r="E46" s="485"/>
      <c r="F46" s="485"/>
      <c r="G46" s="527">
        <f>+G75</f>
        <v>0</v>
      </c>
      <c r="H46" s="527">
        <f t="shared" ref="H46:I46" si="37">+H75</f>
        <v>0</v>
      </c>
      <c r="I46" s="527">
        <f t="shared" si="37"/>
        <v>0</v>
      </c>
      <c r="J46" s="262">
        <v>0</v>
      </c>
      <c r="L46" s="486"/>
      <c r="M46" s="486"/>
      <c r="N46" s="486"/>
      <c r="O46" s="486"/>
      <c r="P46" s="486"/>
      <c r="Q46" s="487"/>
      <c r="T46" s="1"/>
      <c r="U46" s="1"/>
      <c r="V46" s="1"/>
      <c r="AA46" s="563">
        <f t="shared" si="32"/>
        <v>0</v>
      </c>
      <c r="AB46" s="563">
        <f t="shared" si="33"/>
        <v>0</v>
      </c>
      <c r="AC46" s="563">
        <f t="shared" si="34"/>
        <v>0</v>
      </c>
      <c r="AD46" s="600">
        <f t="shared" si="29"/>
        <v>0</v>
      </c>
      <c r="AF46" s="563">
        <f t="shared" si="35"/>
        <v>0</v>
      </c>
      <c r="AG46" s="563">
        <f t="shared" si="36"/>
        <v>0</v>
      </c>
      <c r="AH46" s="563">
        <f t="shared" si="30"/>
        <v>0</v>
      </c>
      <c r="AI46" s="600">
        <f t="shared" si="19"/>
        <v>0</v>
      </c>
    </row>
    <row r="47" spans="1:35" s="31" customFormat="1" x14ac:dyDescent="0.75">
      <c r="A47" s="48">
        <f t="shared" si="31"/>
        <v>8662</v>
      </c>
      <c r="B47" s="48" t="str">
        <f>IF(ISERROR(VLOOKUP(A47,'CONSOLIDATED CY Cash Flows'!$B$9:$B$200,1,FALSE)),"NO","YES")</f>
        <v>YES</v>
      </c>
      <c r="C47" s="115" t="s">
        <v>366</v>
      </c>
      <c r="D47" s="116" t="s">
        <v>1635</v>
      </c>
      <c r="E47" s="53"/>
      <c r="F47" s="53"/>
      <c r="G47" s="527">
        <v>3366.6750000000002</v>
      </c>
      <c r="H47" s="527">
        <v>6541.41</v>
      </c>
      <c r="I47" s="527">
        <v>5092.8</v>
      </c>
      <c r="J47" s="262">
        <f>+SUM(G47:I47)</f>
        <v>15000.884999999998</v>
      </c>
      <c r="L47" s="56"/>
      <c r="M47" s="56"/>
      <c r="N47" s="56"/>
      <c r="O47" s="56"/>
      <c r="P47" s="56"/>
      <c r="Q47" s="51" t="s">
        <v>780</v>
      </c>
      <c r="T47" s="1"/>
      <c r="U47" s="1"/>
      <c r="V47" s="1"/>
      <c r="AA47" s="564">
        <v>3366.6750000000002</v>
      </c>
      <c r="AB47" s="564">
        <v>6541.41</v>
      </c>
      <c r="AC47" s="564">
        <v>5092.8</v>
      </c>
      <c r="AD47" s="600">
        <f t="shared" si="29"/>
        <v>15000.884999999998</v>
      </c>
      <c r="AF47" s="564">
        <v>3366.6750000000002</v>
      </c>
      <c r="AG47" s="564">
        <v>6541.41</v>
      </c>
      <c r="AH47" s="564">
        <v>5092.8</v>
      </c>
      <c r="AI47" s="600">
        <f t="shared" si="19"/>
        <v>15000.884999999998</v>
      </c>
    </row>
    <row r="48" spans="1:35" s="31" customFormat="1" ht="17.75" x14ac:dyDescent="0.75">
      <c r="A48" s="29"/>
      <c r="B48" s="29"/>
      <c r="C48" s="70" t="s">
        <v>793</v>
      </c>
      <c r="D48" s="34"/>
      <c r="E48" s="153">
        <f t="shared" ref="E48:I48" si="38">SUM(E35:E47)</f>
        <v>0</v>
      </c>
      <c r="F48" s="153">
        <f t="shared" si="38"/>
        <v>0</v>
      </c>
      <c r="G48" s="45">
        <f>SUM(G35:G47)</f>
        <v>676656.55113696004</v>
      </c>
      <c r="H48" s="45">
        <f>SUM(H35:H47)</f>
        <v>870618.25593408011</v>
      </c>
      <c r="I48" s="45">
        <f t="shared" si="38"/>
        <v>900175.5850944001</v>
      </c>
      <c r="J48" s="288">
        <f>SUM(J35:J47)</f>
        <v>2447450.3921654401</v>
      </c>
      <c r="L48" s="45"/>
      <c r="M48" s="45"/>
      <c r="N48" s="45"/>
      <c r="O48" s="45"/>
      <c r="P48" s="45"/>
      <c r="Q48" s="48"/>
      <c r="T48" s="1"/>
      <c r="U48" s="1"/>
      <c r="V48" s="1"/>
      <c r="AA48" s="600">
        <f>+SUM(AA35:AA47)</f>
        <v>708847.12994380808</v>
      </c>
      <c r="AB48" s="600">
        <f>+SUM(AB35:AB47)</f>
        <v>909331.24973078421</v>
      </c>
      <c r="AC48" s="600">
        <f t="shared" ref="AC48:AD48" si="39">+SUM(AC35:AC47)</f>
        <v>942263.77584911988</v>
      </c>
      <c r="AD48" s="600">
        <f t="shared" si="39"/>
        <v>2560442.1555237118</v>
      </c>
      <c r="AF48" s="600">
        <f>+SUM(AF35:AF47)</f>
        <v>742647.23769099847</v>
      </c>
      <c r="AG48" s="600">
        <f t="shared" ref="AG48" si="40">+SUM(AG35:AG47)</f>
        <v>949979.89321732335</v>
      </c>
      <c r="AH48" s="600">
        <f t="shared" ref="AH48" si="41">+SUM(AH35:AH47)</f>
        <v>986456.3761415761</v>
      </c>
      <c r="AI48" s="600">
        <f t="shared" ref="AI48" si="42">+SUM(AI35:AI47)</f>
        <v>2679083.5070498977</v>
      </c>
    </row>
    <row r="49" spans="1:35" s="31" customFormat="1" ht="9" customHeight="1" thickBot="1" x14ac:dyDescent="0.9">
      <c r="A49" s="29"/>
      <c r="B49" s="29"/>
      <c r="C49" s="69"/>
      <c r="D49" s="48"/>
      <c r="E49" s="66"/>
      <c r="F49" s="66"/>
      <c r="G49" s="277"/>
      <c r="H49" s="277"/>
      <c r="I49" s="277"/>
      <c r="J49" s="289"/>
      <c r="L49" s="66"/>
      <c r="M49" s="66"/>
      <c r="N49" s="66"/>
      <c r="O49" s="66"/>
      <c r="P49" s="66"/>
      <c r="Q49" s="48"/>
      <c r="T49" s="1"/>
      <c r="U49" s="1"/>
      <c r="V49" s="1"/>
    </row>
    <row r="50" spans="1:35" ht="18.5" thickBot="1" x14ac:dyDescent="0.9">
      <c r="A50" s="73"/>
      <c r="B50" s="74"/>
      <c r="C50" s="73" t="s">
        <v>794</v>
      </c>
      <c r="D50" s="74"/>
      <c r="E50" s="196">
        <f t="shared" ref="E50:H50" si="43">SUM(E20,E32,E48)</f>
        <v>0</v>
      </c>
      <c r="F50" s="196">
        <f t="shared" si="43"/>
        <v>0</v>
      </c>
      <c r="G50" s="278">
        <f>SUM(G20,G32,G48)</f>
        <v>9255345.8065184522</v>
      </c>
      <c r="H50" s="278">
        <f t="shared" si="43"/>
        <v>12202982.399497094</v>
      </c>
      <c r="I50" s="279">
        <f>SUM(I20,I32,I48)</f>
        <v>13556935.113330135</v>
      </c>
      <c r="J50" s="290">
        <f>+I50+H50+G50</f>
        <v>35015263.319345683</v>
      </c>
      <c r="K50" s="31" t="str">
        <f>IF(SUM(G50:I50)=J50,"y","n")</f>
        <v>y</v>
      </c>
      <c r="AA50" s="602">
        <f>+AA48+AA32+AA20</f>
        <v>9451188.7841210086</v>
      </c>
      <c r="AB50" s="602">
        <f t="shared" ref="AB50:AD50" si="44">+AB48+AB32+AB20</f>
        <v>12249182.827974783</v>
      </c>
      <c r="AC50" s="602">
        <f t="shared" si="44"/>
        <v>13379384.672022119</v>
      </c>
      <c r="AD50" s="602">
        <f t="shared" si="44"/>
        <v>35079756.284117915</v>
      </c>
      <c r="AF50" s="602">
        <f t="shared" ref="AF50:AI50" si="45">+AF48+AF32+AF20</f>
        <v>10192804.81820632</v>
      </c>
      <c r="AG50" s="602">
        <f t="shared" si="45"/>
        <v>13156821.500315504</v>
      </c>
      <c r="AH50" s="602">
        <f t="shared" si="45"/>
        <v>14351874.340268902</v>
      </c>
      <c r="AI50" s="602">
        <f t="shared" si="45"/>
        <v>37701500.658790722</v>
      </c>
    </row>
    <row r="51" spans="1:35" x14ac:dyDescent="0.75">
      <c r="A51" s="35"/>
      <c r="B51" s="35"/>
    </row>
    <row r="52" spans="1:35" ht="13.5" customHeight="1" x14ac:dyDescent="0.75">
      <c r="A52" s="35"/>
      <c r="B52" s="35"/>
      <c r="E52" s="207">
        <f>+E50/J50</f>
        <v>0</v>
      </c>
      <c r="F52" s="207">
        <f>+F50/J50</f>
        <v>0</v>
      </c>
      <c r="G52" s="537">
        <f>+'Budget Summary w MYP'!F9</f>
        <v>0.2721329350178377</v>
      </c>
      <c r="H52" s="537">
        <f>+'Budget Summary w MYP'!H9</f>
        <v>0.32925542805784758</v>
      </c>
      <c r="I52" s="537">
        <f>+'Budget Summary w MYP'!J9</f>
        <v>0.39861163692431473</v>
      </c>
      <c r="J52" s="97">
        <f>SUM(E52:I52)</f>
        <v>1</v>
      </c>
    </row>
    <row r="53" spans="1:35" ht="17.75" x14ac:dyDescent="0.75">
      <c r="A53" s="29"/>
      <c r="B53" s="29"/>
      <c r="I53" s="281"/>
    </row>
    <row r="54" spans="1:35" x14ac:dyDescent="0.75">
      <c r="A54" s="35"/>
      <c r="B54" s="35"/>
    </row>
    <row r="55" spans="1:35" ht="16.5" thickBot="1" x14ac:dyDescent="0.9">
      <c r="A55" s="35"/>
      <c r="B55" s="35"/>
      <c r="D55" s="34" t="s">
        <v>1947</v>
      </c>
      <c r="G55" s="281"/>
      <c r="H55" s="281"/>
      <c r="I55" s="281"/>
    </row>
    <row r="56" spans="1:35" ht="16.5" thickBot="1" x14ac:dyDescent="0.9">
      <c r="A56" s="35"/>
      <c r="B56" s="35"/>
      <c r="D56" s="1" t="s">
        <v>1952</v>
      </c>
      <c r="G56" s="722"/>
      <c r="H56" s="724">
        <v>201719</v>
      </c>
      <c r="I56" s="724">
        <v>201719</v>
      </c>
      <c r="J56" s="571">
        <f t="shared" ref="J56:J59" si="46">+SUM(G56:I56)</f>
        <v>403438</v>
      </c>
      <c r="AA56" s="606"/>
      <c r="AB56" s="568">
        <f>+H56</f>
        <v>201719</v>
      </c>
      <c r="AC56" s="568">
        <f>+I56</f>
        <v>201719</v>
      </c>
      <c r="AD56" s="571">
        <f t="shared" ref="AD56:AD59" si="47">+SUM(AA56:AC56)</f>
        <v>403438</v>
      </c>
      <c r="AF56" s="606"/>
      <c r="AG56" s="568">
        <f>+AB56</f>
        <v>201719</v>
      </c>
      <c r="AH56" s="568">
        <f>+AC56</f>
        <v>201719</v>
      </c>
      <c r="AI56" s="571">
        <f t="shared" ref="AI56:AI59" si="48">+SUM(AF56:AH56)</f>
        <v>403438</v>
      </c>
    </row>
    <row r="57" spans="1:35" ht="16.5" thickBot="1" x14ac:dyDescent="0.9">
      <c r="A57" s="35"/>
      <c r="B57" s="35"/>
      <c r="D57" s="1" t="s">
        <v>1943</v>
      </c>
      <c r="G57" s="722"/>
      <c r="H57" s="722"/>
      <c r="I57" s="722"/>
      <c r="J57" s="571">
        <f t="shared" si="46"/>
        <v>0</v>
      </c>
      <c r="AA57" s="607"/>
      <c r="AB57" s="607"/>
      <c r="AC57" s="607"/>
      <c r="AD57" s="571">
        <f t="shared" si="47"/>
        <v>0</v>
      </c>
      <c r="AF57" s="606"/>
      <c r="AG57" s="606"/>
      <c r="AH57" s="606"/>
      <c r="AI57" s="571">
        <f t="shared" si="48"/>
        <v>0</v>
      </c>
    </row>
    <row r="58" spans="1:35" ht="34" thickBot="1" x14ac:dyDescent="0.9">
      <c r="A58" s="35"/>
      <c r="B58" s="35"/>
      <c r="D58" s="1" t="s">
        <v>2111</v>
      </c>
      <c r="G58" s="721">
        <f>71539+81380</f>
        <v>152919</v>
      </c>
      <c r="H58" s="638">
        <v>291029.28000000003</v>
      </c>
      <c r="I58" s="638">
        <f>432643+199118</f>
        <v>631761</v>
      </c>
      <c r="J58" s="571">
        <f t="shared" si="46"/>
        <v>1075709.28</v>
      </c>
      <c r="Z58" s="779" t="s">
        <v>2167</v>
      </c>
      <c r="AA58" s="638"/>
      <c r="AB58" s="638"/>
      <c r="AC58" s="638"/>
      <c r="AD58" s="571">
        <f t="shared" si="47"/>
        <v>0</v>
      </c>
      <c r="AF58" s="606"/>
      <c r="AG58" s="606"/>
      <c r="AH58" s="606"/>
      <c r="AI58" s="571">
        <f t="shared" si="48"/>
        <v>0</v>
      </c>
    </row>
    <row r="59" spans="1:35" ht="16.5" thickBot="1" x14ac:dyDescent="0.9">
      <c r="A59" s="35"/>
      <c r="B59" s="35"/>
      <c r="D59" s="1" t="s">
        <v>1950</v>
      </c>
      <c r="G59" s="723"/>
      <c r="H59" s="638">
        <f>50000-13613</f>
        <v>36387</v>
      </c>
      <c r="I59" s="723"/>
      <c r="J59" s="727">
        <f t="shared" si="46"/>
        <v>36387</v>
      </c>
      <c r="Z59" s="300"/>
      <c r="AA59" s="607"/>
      <c r="AB59" s="607"/>
      <c r="AC59" s="607"/>
      <c r="AD59" s="571">
        <f t="shared" si="47"/>
        <v>0</v>
      </c>
      <c r="AF59" s="606"/>
      <c r="AG59" s="606"/>
      <c r="AH59" s="606"/>
      <c r="AI59" s="571">
        <f t="shared" si="48"/>
        <v>0</v>
      </c>
    </row>
    <row r="60" spans="1:35" ht="16.5" thickBot="1" x14ac:dyDescent="0.9">
      <c r="A60" s="35"/>
      <c r="B60" s="35"/>
      <c r="D60" s="71" t="s">
        <v>1951</v>
      </c>
      <c r="E60" s="555"/>
      <c r="F60" s="555"/>
      <c r="G60" s="728">
        <f>+SUM(G56:G59)</f>
        <v>152919</v>
      </c>
      <c r="H60" s="728">
        <f t="shared" ref="H60:I60" si="49">+SUM(H56:H59)</f>
        <v>529135.28</v>
      </c>
      <c r="I60" s="728">
        <f t="shared" si="49"/>
        <v>833480</v>
      </c>
      <c r="J60" s="569">
        <f>+SUM(G60:I60)</f>
        <v>1515534.28</v>
      </c>
      <c r="Z60" s="300"/>
      <c r="AA60" s="565">
        <f>+SUM(AA56:AA59)</f>
        <v>0</v>
      </c>
      <c r="AB60" s="565">
        <f t="shared" ref="AB60:AC60" si="50">+SUM(AB56:AB59)</f>
        <v>201719</v>
      </c>
      <c r="AC60" s="565">
        <f t="shared" si="50"/>
        <v>201719</v>
      </c>
      <c r="AD60" s="569">
        <f>+SUM(AA60:AC60)</f>
        <v>403438</v>
      </c>
      <c r="AF60" s="565">
        <f>+SUM(AF56:AF59)</f>
        <v>0</v>
      </c>
      <c r="AG60" s="565">
        <f t="shared" ref="AG60:AH60" si="51">+SUM(AG56:AG59)</f>
        <v>201719</v>
      </c>
      <c r="AH60" s="565">
        <f t="shared" si="51"/>
        <v>201719</v>
      </c>
      <c r="AI60" s="569">
        <f>+SUM(AF60:AH60)</f>
        <v>403438</v>
      </c>
    </row>
    <row r="61" spans="1:35" x14ac:dyDescent="0.75">
      <c r="A61" s="35"/>
      <c r="B61" s="35"/>
      <c r="Z61" s="300"/>
    </row>
    <row r="62" spans="1:35" ht="16.5" thickBot="1" x14ac:dyDescent="0.9">
      <c r="A62" s="35"/>
      <c r="B62" s="35"/>
      <c r="D62" s="34" t="s">
        <v>1948</v>
      </c>
      <c r="Z62" s="300"/>
    </row>
    <row r="63" spans="1:35" ht="16.5" thickBot="1" x14ac:dyDescent="0.9">
      <c r="A63" s="35"/>
      <c r="B63" s="35"/>
      <c r="D63" s="1" t="s">
        <v>1944</v>
      </c>
      <c r="G63" s="723"/>
      <c r="H63" s="723"/>
      <c r="I63" s="723"/>
      <c r="J63" s="572">
        <f t="shared" ref="J63:J71" si="52">+SUM(G63:I63)</f>
        <v>0</v>
      </c>
      <c r="Z63" s="300"/>
      <c r="AA63" s="605"/>
      <c r="AB63" s="605"/>
      <c r="AC63" s="605"/>
      <c r="AD63" s="572">
        <f t="shared" ref="AD63:AD71" si="53">+SUM(AA63:AC63)</f>
        <v>0</v>
      </c>
      <c r="AF63" s="605"/>
      <c r="AG63" s="605"/>
      <c r="AH63" s="605"/>
      <c r="AI63" s="572">
        <f t="shared" ref="AI63:AI68" si="54">+SUM(AF63:AH63)</f>
        <v>0</v>
      </c>
    </row>
    <row r="64" spans="1:35" ht="16.5" thickBot="1" x14ac:dyDescent="0.9">
      <c r="A64" s="35"/>
      <c r="B64" s="35"/>
      <c r="D64" s="1" t="s">
        <v>1945</v>
      </c>
      <c r="G64" s="723"/>
      <c r="H64" s="723"/>
      <c r="I64" s="723"/>
      <c r="J64" s="572">
        <f t="shared" si="52"/>
        <v>0</v>
      </c>
      <c r="Z64" s="300"/>
      <c r="AA64" s="605"/>
      <c r="AB64" s="605"/>
      <c r="AC64" s="605"/>
      <c r="AD64" s="572">
        <f t="shared" si="53"/>
        <v>0</v>
      </c>
      <c r="AF64" s="605"/>
      <c r="AG64" s="605"/>
      <c r="AH64" s="605"/>
      <c r="AI64" s="572">
        <f t="shared" si="54"/>
        <v>0</v>
      </c>
    </row>
    <row r="65" spans="1:35" ht="16.5" thickBot="1" x14ac:dyDescent="0.9">
      <c r="A65" s="35"/>
      <c r="B65" s="35"/>
      <c r="D65" s="1" t="s">
        <v>1953</v>
      </c>
      <c r="G65" s="573">
        <v>0</v>
      </c>
      <c r="H65" s="573">
        <v>0</v>
      </c>
      <c r="I65" s="573">
        <v>0</v>
      </c>
      <c r="J65" s="572">
        <f t="shared" si="52"/>
        <v>0</v>
      </c>
      <c r="Z65" s="300"/>
      <c r="AA65" s="778">
        <v>7589</v>
      </c>
      <c r="AB65" s="573">
        <f>41433/2</f>
        <v>20716.5</v>
      </c>
      <c r="AC65" s="573">
        <f>46312/2</f>
        <v>23156</v>
      </c>
      <c r="AD65" s="572">
        <f t="shared" si="53"/>
        <v>51461.5</v>
      </c>
      <c r="AF65" s="778">
        <v>7589</v>
      </c>
      <c r="AG65" s="573">
        <f>41433/2</f>
        <v>20716.5</v>
      </c>
      <c r="AH65" s="573">
        <f>46312/2</f>
        <v>23156</v>
      </c>
      <c r="AI65" s="572">
        <f t="shared" si="54"/>
        <v>51461.5</v>
      </c>
    </row>
    <row r="66" spans="1:35" ht="34" thickBot="1" x14ac:dyDescent="0.9">
      <c r="A66" s="35"/>
      <c r="B66" s="35"/>
      <c r="D66" s="1" t="s">
        <v>1954</v>
      </c>
      <c r="G66" s="723"/>
      <c r="H66" s="723"/>
      <c r="I66" s="573">
        <v>0</v>
      </c>
      <c r="J66" s="572">
        <f t="shared" si="52"/>
        <v>0</v>
      </c>
      <c r="Z66" s="779"/>
      <c r="AA66" s="573"/>
      <c r="AB66" s="573"/>
      <c r="AC66" s="573">
        <v>55709</v>
      </c>
      <c r="AD66" s="572">
        <f t="shared" si="53"/>
        <v>55709</v>
      </c>
      <c r="AE66" s="779" t="s">
        <v>2172</v>
      </c>
      <c r="AF66" s="573"/>
      <c r="AG66" s="573"/>
      <c r="AH66" s="573"/>
      <c r="AI66" s="572">
        <f t="shared" si="54"/>
        <v>0</v>
      </c>
    </row>
    <row r="67" spans="1:35" ht="16.5" thickBot="1" x14ac:dyDescent="0.9">
      <c r="A67" s="35"/>
      <c r="B67" s="35"/>
      <c r="D67" s="1" t="s">
        <v>1946</v>
      </c>
      <c r="G67" s="573">
        <v>42659.5</v>
      </c>
      <c r="H67" s="573">
        <v>79484.5</v>
      </c>
      <c r="I67" s="573">
        <v>57271</v>
      </c>
      <c r="J67" s="572">
        <f t="shared" si="52"/>
        <v>179415</v>
      </c>
      <c r="Z67" s="300" t="s">
        <v>2165</v>
      </c>
      <c r="AA67" s="636">
        <f>+G67</f>
        <v>42659.5</v>
      </c>
      <c r="AB67" s="636">
        <f t="shared" ref="AB67:AC67" si="55">+H67</f>
        <v>79484.5</v>
      </c>
      <c r="AC67" s="636">
        <f t="shared" si="55"/>
        <v>57271</v>
      </c>
      <c r="AD67" s="572">
        <f t="shared" si="53"/>
        <v>179415</v>
      </c>
      <c r="AF67" s="608"/>
      <c r="AG67" s="608"/>
      <c r="AH67" s="608"/>
      <c r="AI67" s="572">
        <f t="shared" si="54"/>
        <v>0</v>
      </c>
    </row>
    <row r="68" spans="1:35" ht="16.5" thickBot="1" x14ac:dyDescent="0.9">
      <c r="A68" s="35"/>
      <c r="B68" s="35"/>
      <c r="D68" s="1" t="s">
        <v>1949</v>
      </c>
      <c r="G68" s="723"/>
      <c r="H68" s="723"/>
      <c r="I68" s="723"/>
      <c r="J68" s="572">
        <f t="shared" si="52"/>
        <v>0</v>
      </c>
      <c r="Z68" s="300"/>
      <c r="AA68" s="609"/>
      <c r="AB68" s="609"/>
      <c r="AC68" s="609"/>
      <c r="AD68" s="572">
        <f t="shared" si="53"/>
        <v>0</v>
      </c>
      <c r="AF68" s="605"/>
      <c r="AG68" s="605"/>
      <c r="AH68" s="605"/>
      <c r="AI68" s="572">
        <f t="shared" si="54"/>
        <v>0</v>
      </c>
    </row>
    <row r="69" spans="1:35" ht="16.5" thickBot="1" x14ac:dyDescent="0.9">
      <c r="A69" s="35"/>
      <c r="B69" s="35"/>
      <c r="D69" s="1" t="s">
        <v>2110</v>
      </c>
      <c r="G69" s="573">
        <v>2378</v>
      </c>
      <c r="H69" s="573">
        <v>5343</v>
      </c>
      <c r="I69" s="573">
        <v>5650</v>
      </c>
      <c r="J69" s="572">
        <f t="shared" si="52"/>
        <v>13371</v>
      </c>
      <c r="Z69" s="300" t="s">
        <v>2166</v>
      </c>
      <c r="AA69" s="609"/>
      <c r="AB69" s="609"/>
      <c r="AC69" s="609"/>
      <c r="AD69" s="572">
        <f t="shared" si="53"/>
        <v>0</v>
      </c>
      <c r="AF69" s="605"/>
      <c r="AG69" s="605"/>
      <c r="AH69" s="605"/>
      <c r="AI69" s="572"/>
    </row>
    <row r="70" spans="1:35" ht="23.25" thickBot="1" x14ac:dyDescent="0.9">
      <c r="A70" s="35"/>
      <c r="B70" s="35"/>
      <c r="D70" s="1" t="s">
        <v>2108</v>
      </c>
      <c r="G70" s="573">
        <f>175177-40000</f>
        <v>135177</v>
      </c>
      <c r="H70" s="573">
        <f>190559-40000</f>
        <v>150559</v>
      </c>
      <c r="I70" s="573">
        <f>200000.5-40000</f>
        <v>160000.5</v>
      </c>
      <c r="J70" s="572">
        <f t="shared" si="52"/>
        <v>445736.5</v>
      </c>
      <c r="L70" s="79">
        <f>462000</f>
        <v>462000</v>
      </c>
      <c r="Z70" s="779" t="s">
        <v>2168</v>
      </c>
      <c r="AA70" s="609">
        <f>175177+40000</f>
        <v>215177</v>
      </c>
      <c r="AB70" s="609">
        <f>190559+40000</f>
        <v>230559</v>
      </c>
      <c r="AC70" s="609">
        <f>200000.5+40000</f>
        <v>240000.5</v>
      </c>
      <c r="AD70" s="572">
        <f t="shared" si="53"/>
        <v>685736.5</v>
      </c>
      <c r="AF70" s="605"/>
      <c r="AG70" s="605"/>
      <c r="AH70" s="605"/>
      <c r="AI70" s="572"/>
    </row>
    <row r="71" spans="1:35" ht="27.45" customHeight="1" thickBot="1" x14ac:dyDescent="0.9">
      <c r="A71" s="35"/>
      <c r="B71" s="35"/>
      <c r="D71" s="1" t="s">
        <v>2109</v>
      </c>
      <c r="G71" s="573">
        <f>542641/3</f>
        <v>180880.33333333334</v>
      </c>
      <c r="H71" s="573">
        <f>994063/3</f>
        <v>331354.33333333331</v>
      </c>
      <c r="I71" s="573">
        <f>1125895/3</f>
        <v>375298.33333333331</v>
      </c>
      <c r="J71" s="725">
        <f t="shared" si="52"/>
        <v>887533</v>
      </c>
      <c r="L71" s="77" t="s">
        <v>2112</v>
      </c>
      <c r="Z71" s="779" t="s">
        <v>2170</v>
      </c>
      <c r="AA71" s="609">
        <f>+G71</f>
        <v>180880.33333333334</v>
      </c>
      <c r="AB71" s="609">
        <f t="shared" ref="AB71:AC71" si="56">+H71</f>
        <v>331354.33333333331</v>
      </c>
      <c r="AC71" s="609">
        <f t="shared" si="56"/>
        <v>375298.33333333331</v>
      </c>
      <c r="AD71" s="572">
        <f t="shared" si="53"/>
        <v>887533</v>
      </c>
      <c r="AF71" s="609">
        <f>+G71</f>
        <v>180880.33333333334</v>
      </c>
      <c r="AG71" s="609">
        <f t="shared" ref="AG71:AH71" si="57">+H71</f>
        <v>331354.33333333331</v>
      </c>
      <c r="AH71" s="609">
        <f t="shared" si="57"/>
        <v>375298.33333333331</v>
      </c>
      <c r="AI71" s="572"/>
    </row>
    <row r="72" spans="1:35" ht="16.5" thickBot="1" x14ac:dyDescent="0.9">
      <c r="A72" s="35"/>
      <c r="B72" s="35"/>
      <c r="D72" s="71" t="s">
        <v>1951</v>
      </c>
      <c r="E72" s="555"/>
      <c r="F72" s="555"/>
      <c r="G72" s="726">
        <f>+SUM(G63:G71)</f>
        <v>361094.83333333337</v>
      </c>
      <c r="H72" s="726">
        <f t="shared" ref="H72:I72" si="58">+SUM(H63:H71)</f>
        <v>566740.83333333326</v>
      </c>
      <c r="I72" s="726">
        <f t="shared" si="58"/>
        <v>598219.83333333326</v>
      </c>
      <c r="J72" s="570">
        <f>+SUM(G72:I72)</f>
        <v>1526055.5</v>
      </c>
      <c r="AA72" s="566">
        <f>+SUM(AA63:AA68)</f>
        <v>50248.5</v>
      </c>
      <c r="AB72" s="566">
        <f t="shared" ref="AB72:AC72" si="59">+SUM(AB63:AB68)</f>
        <v>100201</v>
      </c>
      <c r="AC72" s="566">
        <f t="shared" si="59"/>
        <v>136136</v>
      </c>
      <c r="AD72" s="570">
        <f>+SUM(AA72:AC72)</f>
        <v>286585.5</v>
      </c>
      <c r="AF72" s="566">
        <f>+SUM(AF63:AF68)</f>
        <v>7589</v>
      </c>
      <c r="AG72" s="566">
        <f t="shared" ref="AG72:AH72" si="60">+SUM(AG63:AG68)</f>
        <v>20716.5</v>
      </c>
      <c r="AH72" s="566">
        <f t="shared" si="60"/>
        <v>23156</v>
      </c>
      <c r="AI72" s="570">
        <f>+SUM(AF72:AH72)</f>
        <v>51461.5</v>
      </c>
    </row>
    <row r="73" spans="1:35" x14ac:dyDescent="0.75">
      <c r="A73" s="35"/>
      <c r="B73" s="35"/>
    </row>
    <row r="74" spans="1:35" ht="16.5" thickBot="1" x14ac:dyDescent="0.9">
      <c r="A74" s="35"/>
      <c r="B74" s="35"/>
      <c r="D74" s="34" t="s">
        <v>1977</v>
      </c>
      <c r="P74" s="1"/>
    </row>
    <row r="75" spans="1:35" ht="16.5" thickBot="1" x14ac:dyDescent="0.9">
      <c r="A75" s="35"/>
      <c r="B75" s="35"/>
      <c r="D75" s="1" t="s">
        <v>1978</v>
      </c>
      <c r="G75" s="285">
        <f>+J75*'Student Info w MYP'!F23*0</f>
        <v>0</v>
      </c>
      <c r="H75" s="285">
        <f>+J75*'Student Info w MYP'!G23*0</f>
        <v>0</v>
      </c>
      <c r="I75" s="285">
        <f>+J75*'Student Info w MYP'!H23*0</f>
        <v>0</v>
      </c>
      <c r="J75" s="570">
        <v>12000</v>
      </c>
      <c r="AA75" s="617">
        <f>+G75</f>
        <v>0</v>
      </c>
      <c r="AB75" s="617">
        <f t="shared" ref="AB75:AC75" si="61">+H75</f>
        <v>0</v>
      </c>
      <c r="AC75" s="617">
        <f t="shared" si="61"/>
        <v>0</v>
      </c>
      <c r="AD75" s="570">
        <v>12000</v>
      </c>
      <c r="AF75" s="617">
        <f>+AA75</f>
        <v>0</v>
      </c>
      <c r="AG75" s="617">
        <f t="shared" ref="AG75:AH75" si="62">+AB75</f>
        <v>0</v>
      </c>
      <c r="AH75" s="617">
        <f t="shared" si="62"/>
        <v>0</v>
      </c>
      <c r="AI75" s="570">
        <v>12000</v>
      </c>
    </row>
    <row r="76" spans="1:35" x14ac:dyDescent="0.75">
      <c r="A76" s="35"/>
      <c r="B76" s="35"/>
    </row>
    <row r="77" spans="1:35" x14ac:dyDescent="0.75">
      <c r="A77" s="35"/>
      <c r="B77" s="35"/>
    </row>
    <row r="78" spans="1:35" x14ac:dyDescent="0.75">
      <c r="A78" s="35"/>
      <c r="B78" s="35"/>
    </row>
    <row r="79" spans="1:35" x14ac:dyDescent="0.75">
      <c r="A79" s="35"/>
      <c r="B79" s="35"/>
    </row>
    <row r="80" spans="1:35" x14ac:dyDescent="0.75">
      <c r="A80" s="35"/>
      <c r="B80" s="35"/>
    </row>
    <row r="81" spans="1:2" x14ac:dyDescent="0.75">
      <c r="A81" s="35"/>
      <c r="B81" s="35"/>
    </row>
    <row r="82" spans="1:2" x14ac:dyDescent="0.75">
      <c r="A82" s="35"/>
      <c r="B82" s="35"/>
    </row>
    <row r="83" spans="1:2" x14ac:dyDescent="0.75">
      <c r="A83" s="35"/>
      <c r="B83" s="35"/>
    </row>
    <row r="84" spans="1:2" x14ac:dyDescent="0.75">
      <c r="A84" s="35"/>
      <c r="B84" s="35"/>
    </row>
    <row r="85" spans="1:2" x14ac:dyDescent="0.75">
      <c r="A85" s="35"/>
      <c r="B85" s="35"/>
    </row>
    <row r="86" spans="1:2" x14ac:dyDescent="0.75">
      <c r="A86" s="35"/>
      <c r="B86" s="35"/>
    </row>
    <row r="87" spans="1:2" x14ac:dyDescent="0.75">
      <c r="A87" s="35"/>
      <c r="B87" s="35"/>
    </row>
    <row r="88" spans="1:2" x14ac:dyDescent="0.75">
      <c r="A88" s="35"/>
      <c r="B88" s="35"/>
    </row>
    <row r="89" spans="1:2" x14ac:dyDescent="0.75">
      <c r="A89" s="35"/>
      <c r="B89" s="35"/>
    </row>
    <row r="90" spans="1:2" x14ac:dyDescent="0.75">
      <c r="A90" s="35"/>
      <c r="B90" s="35"/>
    </row>
    <row r="91" spans="1:2" x14ac:dyDescent="0.75">
      <c r="A91" s="35"/>
      <c r="B91" s="35"/>
    </row>
    <row r="92" spans="1:2" x14ac:dyDescent="0.75">
      <c r="A92" s="35"/>
      <c r="B92" s="35"/>
    </row>
    <row r="93" spans="1:2" x14ac:dyDescent="0.75">
      <c r="A93" s="35"/>
      <c r="B93" s="35"/>
    </row>
    <row r="94" spans="1:2" x14ac:dyDescent="0.75">
      <c r="A94" s="35"/>
      <c r="B94" s="35"/>
    </row>
    <row r="95" spans="1:2" x14ac:dyDescent="0.75">
      <c r="A95" s="35"/>
      <c r="B95" s="35"/>
    </row>
    <row r="96" spans="1:2" x14ac:dyDescent="0.75">
      <c r="A96" s="35"/>
      <c r="B96" s="35"/>
    </row>
    <row r="97" spans="1:2" x14ac:dyDescent="0.75">
      <c r="A97" s="35"/>
      <c r="B97" s="35"/>
    </row>
    <row r="98" spans="1:2" x14ac:dyDescent="0.75">
      <c r="A98" s="35"/>
      <c r="B98" s="35"/>
    </row>
    <row r="99" spans="1:2" x14ac:dyDescent="0.75">
      <c r="A99" s="35"/>
      <c r="B99" s="35"/>
    </row>
    <row r="100" spans="1:2" x14ac:dyDescent="0.75">
      <c r="A100" s="35"/>
      <c r="B100" s="35"/>
    </row>
    <row r="101" spans="1:2" x14ac:dyDescent="0.75">
      <c r="A101" s="35"/>
      <c r="B101" s="35"/>
    </row>
    <row r="102" spans="1:2" x14ac:dyDescent="0.75">
      <c r="A102" s="35"/>
      <c r="B102" s="35"/>
    </row>
    <row r="103" spans="1:2" x14ac:dyDescent="0.75">
      <c r="A103" s="35"/>
      <c r="B103" s="35"/>
    </row>
    <row r="104" spans="1:2" x14ac:dyDescent="0.75">
      <c r="A104" s="35"/>
      <c r="B104" s="35"/>
    </row>
    <row r="105" spans="1:2" x14ac:dyDescent="0.75">
      <c r="A105" s="35"/>
      <c r="B105" s="35"/>
    </row>
    <row r="106" spans="1:2" x14ac:dyDescent="0.75">
      <c r="A106" s="35"/>
      <c r="B106" s="35"/>
    </row>
    <row r="107" spans="1:2" x14ac:dyDescent="0.75">
      <c r="A107" s="35"/>
      <c r="B107" s="35"/>
    </row>
    <row r="108" spans="1:2" x14ac:dyDescent="0.75">
      <c r="A108" s="35"/>
      <c r="B108" s="35"/>
    </row>
    <row r="109" spans="1:2" x14ac:dyDescent="0.75">
      <c r="A109" s="35"/>
      <c r="B109" s="35"/>
    </row>
    <row r="110" spans="1:2" x14ac:dyDescent="0.75">
      <c r="A110" s="35"/>
      <c r="B110" s="35"/>
    </row>
    <row r="111" spans="1:2" x14ac:dyDescent="0.75">
      <c r="A111" s="35"/>
      <c r="B111" s="35"/>
    </row>
    <row r="112" spans="1:2" x14ac:dyDescent="0.75">
      <c r="A112" s="35"/>
      <c r="B112" s="35"/>
    </row>
    <row r="113" spans="1:2" x14ac:dyDescent="0.75">
      <c r="A113" s="35"/>
      <c r="B113" s="35"/>
    </row>
    <row r="114" spans="1:2" x14ac:dyDescent="0.75">
      <c r="A114" s="35"/>
      <c r="B114" s="35"/>
    </row>
    <row r="115" spans="1:2" x14ac:dyDescent="0.75">
      <c r="A115" s="35"/>
      <c r="B115" s="35"/>
    </row>
    <row r="116" spans="1:2" x14ac:dyDescent="0.75">
      <c r="A116" s="35"/>
      <c r="B116" s="35"/>
    </row>
    <row r="117" spans="1:2" x14ac:dyDescent="0.75">
      <c r="A117" s="35"/>
      <c r="B117" s="35"/>
    </row>
    <row r="118" spans="1:2" x14ac:dyDescent="0.75">
      <c r="A118" s="35"/>
      <c r="B118" s="35"/>
    </row>
    <row r="119" spans="1:2" x14ac:dyDescent="0.75">
      <c r="A119" s="35"/>
      <c r="B119" s="35"/>
    </row>
    <row r="120" spans="1:2" x14ac:dyDescent="0.75">
      <c r="A120" s="35"/>
      <c r="B120" s="35"/>
    </row>
    <row r="121" spans="1:2" x14ac:dyDescent="0.75">
      <c r="A121" s="35"/>
      <c r="B121" s="35"/>
    </row>
    <row r="122" spans="1:2" x14ac:dyDescent="0.75">
      <c r="A122" s="35"/>
      <c r="B122" s="35"/>
    </row>
    <row r="123" spans="1:2" x14ac:dyDescent="0.75">
      <c r="A123" s="35"/>
      <c r="B123" s="35"/>
    </row>
    <row r="124" spans="1:2" x14ac:dyDescent="0.75">
      <c r="A124" s="35"/>
      <c r="B124" s="35"/>
    </row>
    <row r="125" spans="1:2" x14ac:dyDescent="0.75">
      <c r="A125" s="35"/>
      <c r="B125" s="35"/>
    </row>
    <row r="126" spans="1:2" x14ac:dyDescent="0.75">
      <c r="A126" s="35"/>
      <c r="B126" s="35"/>
    </row>
    <row r="127" spans="1:2" x14ac:dyDescent="0.75">
      <c r="A127" s="35"/>
      <c r="B127" s="35"/>
    </row>
    <row r="128" spans="1:2" x14ac:dyDescent="0.75">
      <c r="A128" s="35"/>
      <c r="B128" s="35"/>
    </row>
  </sheetData>
  <sortState xmlns:xlrd2="http://schemas.microsoft.com/office/spreadsheetml/2017/richdata2" ref="C35:P47">
    <sortCondition ref="C35:C47"/>
  </sortState>
  <mergeCells count="3">
    <mergeCell ref="AA4:AI4"/>
    <mergeCell ref="AA2:AC2"/>
    <mergeCell ref="AF2:AH2"/>
  </mergeCells>
  <pageMargins left="0.25" right="0.25" top="0.5" bottom="0.25" header="0.3" footer="0.3"/>
  <pageSetup scale="70" orientation="portrait" r:id="rId1"/>
  <headerFooter alignWithMargins="0">
    <oddHeader>&amp;A</oddHeader>
    <oddFooter>Page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558E-E239-453E-AA09-26DDD1346E90}">
  <sheetPr>
    <tabColor theme="6" tint="0.39997558519241921"/>
  </sheetPr>
  <dimension ref="A1:I24"/>
  <sheetViews>
    <sheetView workbookViewId="0">
      <selection activeCell="D27" sqref="D27"/>
    </sheetView>
  </sheetViews>
  <sheetFormatPr defaultRowHeight="14.75" x14ac:dyDescent="0.75"/>
  <cols>
    <col min="1" max="1" width="5" bestFit="1" customWidth="1"/>
    <col min="2" max="2" width="2.31640625" bestFit="1" customWidth="1"/>
    <col min="3" max="3" width="8.6796875" bestFit="1" customWidth="1"/>
    <col min="4" max="4" width="50.2265625" bestFit="1" customWidth="1"/>
    <col min="5" max="5" width="8" bestFit="1" customWidth="1"/>
    <col min="8" max="9" width="8.6796875" bestFit="1" customWidth="1"/>
  </cols>
  <sheetData>
    <row r="1" spans="1:9" ht="15.5" thickBot="1" x14ac:dyDescent="0.9">
      <c r="A1" s="475"/>
      <c r="B1" s="667"/>
      <c r="C1" s="668"/>
      <c r="D1" s="669"/>
      <c r="E1" s="669"/>
      <c r="F1" s="669"/>
      <c r="G1" s="669"/>
      <c r="H1" s="669"/>
      <c r="I1" s="669"/>
    </row>
    <row r="2" spans="1:9" ht="59.75" thickBot="1" x14ac:dyDescent="0.9">
      <c r="A2" s="670"/>
      <c r="B2" s="671"/>
      <c r="C2" s="821" t="s">
        <v>2079</v>
      </c>
      <c r="D2" s="822"/>
      <c r="E2" s="672" t="s">
        <v>2080</v>
      </c>
      <c r="F2" s="673" t="s">
        <v>2081</v>
      </c>
      <c r="G2" s="673" t="s">
        <v>2082</v>
      </c>
      <c r="H2" s="673" t="s">
        <v>2083</v>
      </c>
      <c r="I2" s="674" t="s">
        <v>2084</v>
      </c>
    </row>
    <row r="3" spans="1:9" x14ac:dyDescent="0.75">
      <c r="A3">
        <v>3101</v>
      </c>
      <c r="B3" s="667">
        <v>5</v>
      </c>
      <c r="C3" s="823" t="s">
        <v>2085</v>
      </c>
      <c r="D3" s="824"/>
      <c r="E3" s="675">
        <v>0.191</v>
      </c>
      <c r="F3" s="676">
        <v>0.191</v>
      </c>
      <c r="G3" s="676">
        <v>0.191</v>
      </c>
      <c r="H3" s="677">
        <v>0.191</v>
      </c>
      <c r="I3" s="678">
        <v>0.191</v>
      </c>
    </row>
    <row r="4" spans="1:9" x14ac:dyDescent="0.75">
      <c r="A4">
        <v>3202</v>
      </c>
      <c r="B4" s="667">
        <v>6</v>
      </c>
      <c r="C4" s="815" t="s">
        <v>2086</v>
      </c>
      <c r="D4" s="816"/>
      <c r="E4" s="680">
        <v>0.27</v>
      </c>
      <c r="F4" s="681">
        <v>0.27</v>
      </c>
      <c r="G4" s="681">
        <v>0.27</v>
      </c>
      <c r="H4" s="682">
        <v>0.28100000000000003</v>
      </c>
      <c r="I4" s="683">
        <v>0.28799999999999998</v>
      </c>
    </row>
    <row r="5" spans="1:9" x14ac:dyDescent="0.75">
      <c r="A5">
        <v>3313</v>
      </c>
      <c r="B5" s="667">
        <v>7</v>
      </c>
      <c r="C5" s="815" t="s">
        <v>2087</v>
      </c>
      <c r="D5" s="816"/>
      <c r="E5" s="680">
        <v>6.2E-2</v>
      </c>
      <c r="F5" s="681">
        <v>6.2E-2</v>
      </c>
      <c r="G5" s="681">
        <v>6.2E-2</v>
      </c>
      <c r="H5" s="682">
        <v>6.2E-2</v>
      </c>
      <c r="I5" s="683">
        <v>6.2E-2</v>
      </c>
    </row>
    <row r="6" spans="1:9" x14ac:dyDescent="0.75">
      <c r="A6">
        <v>3323</v>
      </c>
      <c r="B6" s="667">
        <v>8</v>
      </c>
      <c r="C6" s="815" t="s">
        <v>2088</v>
      </c>
      <c r="D6" s="816"/>
      <c r="E6" s="680">
        <v>1.4500000000000001E-2</v>
      </c>
      <c r="F6" s="681">
        <v>1.4500000000000001E-2</v>
      </c>
      <c r="G6" s="681">
        <v>1.4500000000000001E-2</v>
      </c>
      <c r="H6" s="682">
        <v>1.4500000000000001E-2</v>
      </c>
      <c r="I6" s="683">
        <v>1.4500000000000001E-2</v>
      </c>
    </row>
    <row r="7" spans="1:9" x14ac:dyDescent="0.75">
      <c r="A7">
        <v>3503</v>
      </c>
      <c r="B7" s="667">
        <v>9</v>
      </c>
      <c r="C7" s="815" t="s">
        <v>2089</v>
      </c>
      <c r="D7" s="816"/>
      <c r="E7" s="684">
        <v>454</v>
      </c>
      <c r="F7" s="685">
        <v>454</v>
      </c>
      <c r="G7" s="685">
        <v>454</v>
      </c>
      <c r="H7" s="686">
        <v>454</v>
      </c>
      <c r="I7" s="687">
        <v>454</v>
      </c>
    </row>
    <row r="8" spans="1:9" x14ac:dyDescent="0.75">
      <c r="A8">
        <v>3503</v>
      </c>
      <c r="B8" s="667">
        <v>10</v>
      </c>
      <c r="C8" s="815" t="s">
        <v>2090</v>
      </c>
      <c r="D8" s="816"/>
      <c r="E8" s="680">
        <v>0.01</v>
      </c>
      <c r="F8" s="681">
        <v>0.01</v>
      </c>
      <c r="G8" s="681">
        <v>0.01</v>
      </c>
      <c r="H8" s="682">
        <v>0.01</v>
      </c>
      <c r="I8" s="683">
        <v>0.01</v>
      </c>
    </row>
    <row r="9" spans="1:9" ht="15.5" thickBot="1" x14ac:dyDescent="0.9">
      <c r="A9">
        <v>3603</v>
      </c>
      <c r="B9" s="667">
        <v>11</v>
      </c>
      <c r="C9" s="817" t="s">
        <v>2091</v>
      </c>
      <c r="D9" s="818"/>
      <c r="E9" s="688">
        <v>2.1000000000000001E-2</v>
      </c>
      <c r="F9" s="689">
        <v>2.1000000000000001E-2</v>
      </c>
      <c r="G9" s="689">
        <v>2.1000000000000001E-2</v>
      </c>
      <c r="H9" s="690">
        <v>2.1000000000000001E-2</v>
      </c>
      <c r="I9" s="691">
        <v>2.1000000000000001E-2</v>
      </c>
    </row>
    <row r="10" spans="1:9" ht="15.5" thickBot="1" x14ac:dyDescent="0.9">
      <c r="B10" s="667"/>
      <c r="C10" s="669"/>
      <c r="D10" s="669"/>
      <c r="E10" s="669"/>
      <c r="F10" s="669"/>
      <c r="G10" s="669"/>
      <c r="H10" s="669"/>
      <c r="I10" s="669"/>
    </row>
    <row r="11" spans="1:9" ht="59.75" thickBot="1" x14ac:dyDescent="0.9">
      <c r="B11" s="667"/>
      <c r="C11" s="819" t="s">
        <v>2092</v>
      </c>
      <c r="D11" s="820"/>
      <c r="E11" s="692" t="s">
        <v>2080</v>
      </c>
      <c r="F11" s="693" t="s">
        <v>2081</v>
      </c>
      <c r="G11" s="693" t="s">
        <v>2082</v>
      </c>
      <c r="H11" s="693" t="s">
        <v>2083</v>
      </c>
      <c r="I11" s="694" t="s">
        <v>2084</v>
      </c>
    </row>
    <row r="12" spans="1:9" x14ac:dyDescent="0.75">
      <c r="B12" s="667">
        <v>12</v>
      </c>
      <c r="C12" s="695">
        <v>8096</v>
      </c>
      <c r="D12" s="696" t="s">
        <v>2093</v>
      </c>
      <c r="E12" s="697">
        <v>545.41999999999996</v>
      </c>
      <c r="F12" s="698">
        <v>545.41999999999996</v>
      </c>
      <c r="G12" s="698">
        <v>545.41999999999996</v>
      </c>
      <c r="H12" s="698">
        <v>545.41999999999996</v>
      </c>
      <c r="I12" s="699">
        <v>545.41999999999996</v>
      </c>
    </row>
    <row r="13" spans="1:9" x14ac:dyDescent="0.75">
      <c r="B13" s="667">
        <v>13</v>
      </c>
      <c r="C13" s="700">
        <v>8181</v>
      </c>
      <c r="D13" s="475" t="s">
        <v>2094</v>
      </c>
      <c r="E13" s="701">
        <v>244.62</v>
      </c>
      <c r="F13" s="702">
        <v>244.62</v>
      </c>
      <c r="G13" s="703">
        <v>244.62</v>
      </c>
      <c r="H13" s="702">
        <v>244.62</v>
      </c>
      <c r="I13" s="704">
        <v>244.62</v>
      </c>
    </row>
    <row r="14" spans="1:9" x14ac:dyDescent="0.75">
      <c r="B14" s="667">
        <v>14</v>
      </c>
      <c r="C14" s="700">
        <v>8182</v>
      </c>
      <c r="D14" s="475" t="s">
        <v>2095</v>
      </c>
      <c r="E14" s="705"/>
      <c r="F14" s="703">
        <v>0</v>
      </c>
      <c r="G14" s="702">
        <v>0</v>
      </c>
      <c r="H14" s="702">
        <v>0</v>
      </c>
      <c r="I14" s="704">
        <v>0</v>
      </c>
    </row>
    <row r="15" spans="1:9" x14ac:dyDescent="0.75">
      <c r="B15" s="667">
        <v>15</v>
      </c>
      <c r="C15" s="700">
        <v>8677</v>
      </c>
      <c r="D15" s="475" t="s">
        <v>2096</v>
      </c>
      <c r="E15" s="701">
        <v>978.72</v>
      </c>
      <c r="F15" s="703">
        <v>978.72</v>
      </c>
      <c r="G15" s="702">
        <v>978.72</v>
      </c>
      <c r="H15" s="702">
        <v>978.72</v>
      </c>
      <c r="I15" s="704">
        <v>978.72</v>
      </c>
    </row>
    <row r="16" spans="1:9" x14ac:dyDescent="0.75">
      <c r="B16" s="667">
        <v>16</v>
      </c>
      <c r="C16" s="700">
        <v>8293</v>
      </c>
      <c r="D16" s="475" t="s">
        <v>2097</v>
      </c>
      <c r="E16" s="705"/>
      <c r="F16" s="702">
        <v>0</v>
      </c>
      <c r="G16" s="702">
        <v>0</v>
      </c>
      <c r="H16" s="702">
        <v>0</v>
      </c>
      <c r="I16" s="704">
        <v>0</v>
      </c>
    </row>
    <row r="17" spans="1:9" x14ac:dyDescent="0.75">
      <c r="B17" s="667">
        <v>17</v>
      </c>
      <c r="C17" s="700">
        <v>8294</v>
      </c>
      <c r="D17" s="475" t="s">
        <v>2098</v>
      </c>
      <c r="E17" s="705"/>
      <c r="F17" s="702">
        <v>0</v>
      </c>
      <c r="G17" s="702">
        <v>0</v>
      </c>
      <c r="H17" s="702">
        <v>0</v>
      </c>
      <c r="I17" s="704">
        <v>0</v>
      </c>
    </row>
    <row r="18" spans="1:9" x14ac:dyDescent="0.75">
      <c r="B18" s="667">
        <v>18</v>
      </c>
      <c r="C18" s="700">
        <v>8295</v>
      </c>
      <c r="D18" s="679" t="s">
        <v>2099</v>
      </c>
      <c r="E18" s="705"/>
      <c r="F18" s="706">
        <v>0</v>
      </c>
      <c r="G18" s="706">
        <v>0</v>
      </c>
      <c r="H18" s="702">
        <v>0</v>
      </c>
      <c r="I18" s="704">
        <v>0</v>
      </c>
    </row>
    <row r="19" spans="1:9" x14ac:dyDescent="0.75">
      <c r="A19" s="707"/>
      <c r="B19" s="708">
        <v>19</v>
      </c>
      <c r="C19" s="709" t="s">
        <v>2100</v>
      </c>
      <c r="D19" s="710" t="s">
        <v>2101</v>
      </c>
      <c r="E19" s="711">
        <v>19.829999999999998</v>
      </c>
      <c r="F19" s="712">
        <v>19.829999999999998</v>
      </c>
      <c r="G19" s="712">
        <v>19.829999999999998</v>
      </c>
      <c r="H19" s="712">
        <v>20.53</v>
      </c>
      <c r="I19" s="713">
        <v>21.21</v>
      </c>
    </row>
    <row r="20" spans="1:9" x14ac:dyDescent="0.75">
      <c r="A20" s="707"/>
      <c r="B20" s="708">
        <v>20</v>
      </c>
      <c r="C20" s="709" t="s">
        <v>2102</v>
      </c>
      <c r="D20" s="710" t="s">
        <v>2103</v>
      </c>
      <c r="E20" s="711">
        <v>55.12</v>
      </c>
      <c r="F20" s="712">
        <v>55.12</v>
      </c>
      <c r="G20" s="712">
        <v>55.12</v>
      </c>
      <c r="H20" s="712">
        <v>57.07</v>
      </c>
      <c r="I20" s="713">
        <v>58.96</v>
      </c>
    </row>
    <row r="21" spans="1:9" x14ac:dyDescent="0.75">
      <c r="B21" s="708">
        <v>21</v>
      </c>
      <c r="C21" s="700">
        <v>8560</v>
      </c>
      <c r="D21" s="475" t="s">
        <v>2104</v>
      </c>
      <c r="E21" s="705">
        <v>237</v>
      </c>
      <c r="F21" s="702">
        <v>237</v>
      </c>
      <c r="G21" s="702">
        <v>237</v>
      </c>
      <c r="H21" s="712">
        <v>237</v>
      </c>
      <c r="I21" s="713">
        <v>237</v>
      </c>
    </row>
    <row r="22" spans="1:9" x14ac:dyDescent="0.75">
      <c r="B22" s="708">
        <v>22</v>
      </c>
      <c r="C22" s="700" t="s">
        <v>2105</v>
      </c>
      <c r="D22" s="475" t="s">
        <v>2105</v>
      </c>
      <c r="E22" s="705"/>
      <c r="F22" s="702"/>
      <c r="G22" s="702"/>
      <c r="H22" s="712"/>
      <c r="I22" s="713"/>
    </row>
    <row r="23" spans="1:9" x14ac:dyDescent="0.75">
      <c r="B23" s="708">
        <v>23</v>
      </c>
      <c r="C23" s="700">
        <v>8591</v>
      </c>
      <c r="D23" s="475" t="s">
        <v>2106</v>
      </c>
      <c r="E23" s="705"/>
      <c r="F23" s="702">
        <v>0</v>
      </c>
      <c r="G23" s="702">
        <v>0</v>
      </c>
      <c r="H23" s="702">
        <v>0</v>
      </c>
      <c r="I23" s="704">
        <v>0</v>
      </c>
    </row>
    <row r="24" spans="1:9" ht="15.5" thickBot="1" x14ac:dyDescent="0.9">
      <c r="B24" s="708">
        <v>24</v>
      </c>
      <c r="C24" s="714">
        <v>8791</v>
      </c>
      <c r="D24" s="715" t="s">
        <v>2107</v>
      </c>
      <c r="E24" s="716"/>
      <c r="F24" s="717">
        <v>0</v>
      </c>
      <c r="G24" s="718">
        <v>0</v>
      </c>
      <c r="H24" s="717">
        <v>0</v>
      </c>
      <c r="I24" s="719">
        <v>0</v>
      </c>
    </row>
  </sheetData>
  <mergeCells count="9">
    <mergeCell ref="C8:D8"/>
    <mergeCell ref="C9:D9"/>
    <mergeCell ref="C11:D11"/>
    <mergeCell ref="C2:D2"/>
    <mergeCell ref="C3:D3"/>
    <mergeCell ref="C4:D4"/>
    <mergeCell ref="C5:D5"/>
    <mergeCell ref="C6:D6"/>
    <mergeCell ref="C7:D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6" tint="0.39997558519241921"/>
    <pageSetUpPr fitToPage="1"/>
  </sheetPr>
  <dimension ref="A1:AC142"/>
  <sheetViews>
    <sheetView zoomScale="90" zoomScaleNormal="90" workbookViewId="0">
      <pane xSplit="6" ySplit="6" topLeftCell="G7" activePane="bottomRight" state="frozen"/>
      <selection activeCell="H22" sqref="H22"/>
      <selection pane="topRight" activeCell="H22" sqref="H22"/>
      <selection pane="bottomLeft" activeCell="H22" sqref="H22"/>
      <selection pane="bottomRight" activeCell="I131" sqref="I131"/>
    </sheetView>
  </sheetViews>
  <sheetFormatPr defaultRowHeight="15.75" outlineLevelRow="1" outlineLevelCol="1" x14ac:dyDescent="0.75"/>
  <cols>
    <col min="1" max="2" width="5.6796875" style="34" hidden="1" customWidth="1" outlineLevel="1"/>
    <col min="3" max="3" width="7.6796875" style="39" customWidth="1" collapsed="1"/>
    <col min="4" max="4" width="42.54296875" style="1" customWidth="1"/>
    <col min="5" max="6" width="16.86328125" style="31" hidden="1" customWidth="1"/>
    <col min="7" max="7" width="16.86328125" style="31" customWidth="1"/>
    <col min="8" max="8" width="19.54296875" style="31" customWidth="1"/>
    <col min="9" max="9" width="17.31640625" style="31" bestFit="1" customWidth="1"/>
    <col min="10" max="10" width="16.86328125" style="31" hidden="1" customWidth="1"/>
    <col min="11" max="11" width="17.31640625" style="31" bestFit="1" customWidth="1"/>
    <col min="12" max="12" width="17.31640625" style="31" customWidth="1" outlineLevel="1"/>
    <col min="13" max="13" width="11.86328125" customWidth="1" outlineLevel="1"/>
    <col min="14" max="14" width="12.08984375" style="203" bestFit="1" customWidth="1"/>
    <col min="15" max="15" width="16.86328125" customWidth="1"/>
    <col min="16" max="17" width="14.31640625" bestFit="1" customWidth="1"/>
    <col min="18" max="18" width="16.2265625" style="1" bestFit="1" customWidth="1"/>
    <col min="19" max="19" width="9.08984375" style="1"/>
    <col min="20" max="20" width="13.86328125" style="1" bestFit="1" customWidth="1"/>
    <col min="21" max="22" width="14.31640625" style="1" bestFit="1" customWidth="1"/>
    <col min="23" max="23" width="16.54296875" style="1" customWidth="1"/>
    <col min="24" max="25" width="9.08984375" style="1"/>
    <col min="26" max="26" width="12.86328125" style="1" bestFit="1" customWidth="1"/>
    <col min="27" max="28" width="9.08984375" style="1"/>
    <col min="29" max="29" width="15" style="1" bestFit="1" customWidth="1"/>
    <col min="30" max="258" width="9.08984375" style="1"/>
    <col min="259" max="259" width="22.86328125" style="1" customWidth="1"/>
    <col min="260" max="514" width="9.08984375" style="1"/>
    <col min="515" max="515" width="22.86328125" style="1" customWidth="1"/>
    <col min="516" max="770" width="9.08984375" style="1"/>
    <col min="771" max="771" width="22.86328125" style="1" customWidth="1"/>
    <col min="772" max="1026" width="9.08984375" style="1"/>
    <col min="1027" max="1027" width="22.86328125" style="1" customWidth="1"/>
    <col min="1028" max="1282" width="9.08984375" style="1"/>
    <col min="1283" max="1283" width="22.86328125" style="1" customWidth="1"/>
    <col min="1284" max="1538" width="9.08984375" style="1"/>
    <col min="1539" max="1539" width="22.86328125" style="1" customWidth="1"/>
    <col min="1540" max="1794" width="9.08984375" style="1"/>
    <col min="1795" max="1795" width="22.86328125" style="1" customWidth="1"/>
    <col min="1796" max="2050" width="9.08984375" style="1"/>
    <col min="2051" max="2051" width="22.86328125" style="1" customWidth="1"/>
    <col min="2052" max="2306" width="9.08984375" style="1"/>
    <col min="2307" max="2307" width="22.86328125" style="1" customWidth="1"/>
    <col min="2308" max="2562" width="9.08984375" style="1"/>
    <col min="2563" max="2563" width="22.86328125" style="1" customWidth="1"/>
    <col min="2564" max="2818" width="9.08984375" style="1"/>
    <col min="2819" max="2819" width="22.86328125" style="1" customWidth="1"/>
    <col min="2820" max="3074" width="9.08984375" style="1"/>
    <col min="3075" max="3075" width="22.86328125" style="1" customWidth="1"/>
    <col min="3076" max="3330" width="9.08984375" style="1"/>
    <col min="3331" max="3331" width="22.86328125" style="1" customWidth="1"/>
    <col min="3332" max="3586" width="9.08984375" style="1"/>
    <col min="3587" max="3587" width="22.86328125" style="1" customWidth="1"/>
    <col min="3588" max="3842" width="9.08984375" style="1"/>
    <col min="3843" max="3843" width="22.86328125" style="1" customWidth="1"/>
    <col min="3844" max="4098" width="9.08984375" style="1"/>
    <col min="4099" max="4099" width="22.86328125" style="1" customWidth="1"/>
    <col min="4100" max="4354" width="9.08984375" style="1"/>
    <col min="4355" max="4355" width="22.86328125" style="1" customWidth="1"/>
    <col min="4356" max="4610" width="9.08984375" style="1"/>
    <col min="4611" max="4611" width="22.86328125" style="1" customWidth="1"/>
    <col min="4612" max="4866" width="9.08984375" style="1"/>
    <col min="4867" max="4867" width="22.86328125" style="1" customWidth="1"/>
    <col min="4868" max="5122" width="9.08984375" style="1"/>
    <col min="5123" max="5123" width="22.86328125" style="1" customWidth="1"/>
    <col min="5124" max="5378" width="9.08984375" style="1"/>
    <col min="5379" max="5379" width="22.86328125" style="1" customWidth="1"/>
    <col min="5380" max="5634" width="9.08984375" style="1"/>
    <col min="5635" max="5635" width="22.86328125" style="1" customWidth="1"/>
    <col min="5636" max="5890" width="9.08984375" style="1"/>
    <col min="5891" max="5891" width="22.86328125" style="1" customWidth="1"/>
    <col min="5892" max="6146" width="9.08984375" style="1"/>
    <col min="6147" max="6147" width="22.86328125" style="1" customWidth="1"/>
    <col min="6148" max="6402" width="9.08984375" style="1"/>
    <col min="6403" max="6403" width="22.86328125" style="1" customWidth="1"/>
    <col min="6404" max="6658" width="9.08984375" style="1"/>
    <col min="6659" max="6659" width="22.86328125" style="1" customWidth="1"/>
    <col min="6660" max="6914" width="9.08984375" style="1"/>
    <col min="6915" max="6915" width="22.86328125" style="1" customWidth="1"/>
    <col min="6916" max="7170" width="9.08984375" style="1"/>
    <col min="7171" max="7171" width="22.86328125" style="1" customWidth="1"/>
    <col min="7172" max="7426" width="9.08984375" style="1"/>
    <col min="7427" max="7427" width="22.86328125" style="1" customWidth="1"/>
    <col min="7428" max="7682" width="9.08984375" style="1"/>
    <col min="7683" max="7683" width="22.86328125" style="1" customWidth="1"/>
    <col min="7684" max="7938" width="9.08984375" style="1"/>
    <col min="7939" max="7939" width="22.86328125" style="1" customWidth="1"/>
    <col min="7940" max="8194" width="9.08984375" style="1"/>
    <col min="8195" max="8195" width="22.86328125" style="1" customWidth="1"/>
    <col min="8196" max="8450" width="9.08984375" style="1"/>
    <col min="8451" max="8451" width="22.86328125" style="1" customWidth="1"/>
    <col min="8452" max="8706" width="9.08984375" style="1"/>
    <col min="8707" max="8707" width="22.86328125" style="1" customWidth="1"/>
    <col min="8708" max="8962" width="9.08984375" style="1"/>
    <col min="8963" max="8963" width="22.86328125" style="1" customWidth="1"/>
    <col min="8964" max="9218" width="9.08984375" style="1"/>
    <col min="9219" max="9219" width="22.86328125" style="1" customWidth="1"/>
    <col min="9220" max="9474" width="9.08984375" style="1"/>
    <col min="9475" max="9475" width="22.86328125" style="1" customWidth="1"/>
    <col min="9476" max="9730" width="9.08984375" style="1"/>
    <col min="9731" max="9731" width="22.86328125" style="1" customWidth="1"/>
    <col min="9732" max="9986" width="9.08984375" style="1"/>
    <col min="9987" max="9987" width="22.86328125" style="1" customWidth="1"/>
    <col min="9988" max="10242" width="9.08984375" style="1"/>
    <col min="10243" max="10243" width="22.86328125" style="1" customWidth="1"/>
    <col min="10244" max="10498" width="9.08984375" style="1"/>
    <col min="10499" max="10499" width="22.86328125" style="1" customWidth="1"/>
    <col min="10500" max="10754" width="9.08984375" style="1"/>
    <col min="10755" max="10755" width="22.86328125" style="1" customWidth="1"/>
    <col min="10756" max="11010" width="9.08984375" style="1"/>
    <col min="11011" max="11011" width="22.86328125" style="1" customWidth="1"/>
    <col min="11012" max="11266" width="9.08984375" style="1"/>
    <col min="11267" max="11267" width="22.86328125" style="1" customWidth="1"/>
    <col min="11268" max="11522" width="9.08984375" style="1"/>
    <col min="11523" max="11523" width="22.86328125" style="1" customWidth="1"/>
    <col min="11524" max="11778" width="9.08984375" style="1"/>
    <col min="11779" max="11779" width="22.86328125" style="1" customWidth="1"/>
    <col min="11780" max="12034" width="9.08984375" style="1"/>
    <col min="12035" max="12035" width="22.86328125" style="1" customWidth="1"/>
    <col min="12036" max="12290" width="9.08984375" style="1"/>
    <col min="12291" max="12291" width="22.86328125" style="1" customWidth="1"/>
    <col min="12292" max="12546" width="9.08984375" style="1"/>
    <col min="12547" max="12547" width="22.86328125" style="1" customWidth="1"/>
    <col min="12548" max="12802" width="9.08984375" style="1"/>
    <col min="12803" max="12803" width="22.86328125" style="1" customWidth="1"/>
    <col min="12804" max="13058" width="9.08984375" style="1"/>
    <col min="13059" max="13059" width="22.86328125" style="1" customWidth="1"/>
    <col min="13060" max="13314" width="9.08984375" style="1"/>
    <col min="13315" max="13315" width="22.86328125" style="1" customWidth="1"/>
    <col min="13316" max="13570" width="9.08984375" style="1"/>
    <col min="13571" max="13571" width="22.86328125" style="1" customWidth="1"/>
    <col min="13572" max="13826" width="9.08984375" style="1"/>
    <col min="13827" max="13827" width="22.86328125" style="1" customWidth="1"/>
    <col min="13828" max="14082" width="9.08984375" style="1"/>
    <col min="14083" max="14083" width="22.86328125" style="1" customWidth="1"/>
    <col min="14084" max="14338" width="9.08984375" style="1"/>
    <col min="14339" max="14339" width="22.86328125" style="1" customWidth="1"/>
    <col min="14340" max="14594" width="9.08984375" style="1"/>
    <col min="14595" max="14595" width="22.86328125" style="1" customWidth="1"/>
    <col min="14596" max="14850" width="9.08984375" style="1"/>
    <col min="14851" max="14851" width="22.86328125" style="1" customWidth="1"/>
    <col min="14852" max="15106" width="9.08984375" style="1"/>
    <col min="15107" max="15107" width="22.86328125" style="1" customWidth="1"/>
    <col min="15108" max="15362" width="9.08984375" style="1"/>
    <col min="15363" max="15363" width="22.86328125" style="1" customWidth="1"/>
    <col min="15364" max="15618" width="9.08984375" style="1"/>
    <col min="15619" max="15619" width="22.86328125" style="1" customWidth="1"/>
    <col min="15620" max="15874" width="9.08984375" style="1"/>
    <col min="15875" max="15875" width="22.86328125" style="1" customWidth="1"/>
    <col min="15876" max="16130" width="9.08984375" style="1"/>
    <col min="16131" max="16131" width="22.86328125" style="1" customWidth="1"/>
    <col min="16132" max="16384" width="9.08984375" style="1"/>
  </cols>
  <sheetData>
    <row r="1" spans="1:23" ht="20.25" x14ac:dyDescent="0.85">
      <c r="B1" s="22"/>
      <c r="C1" s="22" t="str">
        <f>'Student Info w MYP'!$A$1</f>
        <v>Compass Charter Schools</v>
      </c>
    </row>
    <row r="2" spans="1:23" ht="18.5" thickBot="1" x14ac:dyDescent="0.9">
      <c r="B2" s="21"/>
      <c r="C2" s="21" t="s">
        <v>747</v>
      </c>
      <c r="E2" s="202"/>
      <c r="G2" s="207"/>
      <c r="H2" s="207"/>
      <c r="I2" s="207"/>
    </row>
    <row r="3" spans="1:23" ht="18.5" thickBot="1" x14ac:dyDescent="0.9">
      <c r="B3" s="21"/>
      <c r="C3" s="551" t="str">
        <f>'Student Info w MYP'!$A$3</f>
        <v>2023-24 Budget- Adopted 5.38% COLA</v>
      </c>
      <c r="E3" s="108"/>
      <c r="F3" s="202"/>
      <c r="G3" s="31" t="s">
        <v>1636</v>
      </c>
      <c r="H3" s="31" t="s">
        <v>1637</v>
      </c>
      <c r="I3" s="31" t="s">
        <v>1638</v>
      </c>
      <c r="L3" s="31" t="s">
        <v>675</v>
      </c>
      <c r="O3" s="800" t="s">
        <v>1957</v>
      </c>
      <c r="P3" s="801"/>
      <c r="Q3" s="801"/>
      <c r="R3" s="801"/>
      <c r="S3" s="801"/>
      <c r="T3" s="801"/>
      <c r="U3" s="801"/>
      <c r="V3" s="801"/>
      <c r="W3" s="802"/>
    </row>
    <row r="4" spans="1:23" ht="29.25" customHeight="1" thickBot="1" x14ac:dyDescent="0.9">
      <c r="O4" s="75" t="s">
        <v>1958</v>
      </c>
      <c r="P4" s="587">
        <v>3.6900000000000002E-2</v>
      </c>
      <c r="Q4" s="2" t="s">
        <v>1959</v>
      </c>
      <c r="T4" s="75" t="s">
        <v>2053</v>
      </c>
      <c r="U4" s="593">
        <v>2.9000000000000001E-2</v>
      </c>
      <c r="V4" s="2" t="s">
        <v>1959</v>
      </c>
    </row>
    <row r="5" spans="1:23" ht="18.5" thickBot="1" x14ac:dyDescent="0.9">
      <c r="A5" s="29"/>
      <c r="B5" s="29"/>
      <c r="C5" s="40"/>
      <c r="D5" s="29"/>
      <c r="E5" s="207"/>
      <c r="F5" s="207"/>
      <c r="G5" s="318" t="s">
        <v>1671</v>
      </c>
      <c r="H5" s="318" t="s">
        <v>1350</v>
      </c>
      <c r="I5" s="318" t="s">
        <v>1351</v>
      </c>
      <c r="L5" s="46"/>
      <c r="O5" s="211" t="s">
        <v>1630</v>
      </c>
      <c r="P5" s="211" t="s">
        <v>1631</v>
      </c>
      <c r="Q5" s="211" t="s">
        <v>1632</v>
      </c>
      <c r="R5" s="67" t="s">
        <v>675</v>
      </c>
      <c r="S5" s="31"/>
      <c r="T5" s="211" t="s">
        <v>1630</v>
      </c>
      <c r="U5" s="211" t="s">
        <v>1631</v>
      </c>
      <c r="V5" s="211" t="s">
        <v>1632</v>
      </c>
      <c r="W5" s="67" t="s">
        <v>675</v>
      </c>
    </row>
    <row r="6" spans="1:23" ht="30.25" thickBot="1" x14ac:dyDescent="0.9">
      <c r="A6" s="30"/>
      <c r="B6" s="30"/>
      <c r="C6" s="41" t="s">
        <v>726</v>
      </c>
      <c r="D6" s="30" t="s">
        <v>727</v>
      </c>
      <c r="E6" s="32">
        <f>'Student Info w MYP'!D$6</f>
        <v>0</v>
      </c>
      <c r="F6" s="32">
        <f>'Student Info w MYP'!E$6</f>
        <v>0</v>
      </c>
      <c r="G6" s="32" t="str">
        <f>'Student Info w MYP'!F$6</f>
        <v>Yolo</v>
      </c>
      <c r="H6" s="32" t="str">
        <f>'Student Info w MYP'!G$6</f>
        <v>San Diego</v>
      </c>
      <c r="I6" s="32" t="str">
        <f>'Student Info w MYP'!H$6</f>
        <v>Los Angeles</v>
      </c>
      <c r="J6" s="32" t="s">
        <v>1321</v>
      </c>
      <c r="K6" s="32" t="s">
        <v>1639</v>
      </c>
      <c r="L6" s="32" t="s">
        <v>675</v>
      </c>
      <c r="N6" s="295" t="s">
        <v>1339</v>
      </c>
    </row>
    <row r="7" spans="1:23" x14ac:dyDescent="0.75">
      <c r="C7" s="34" t="s">
        <v>731</v>
      </c>
      <c r="D7" s="2"/>
      <c r="G7" s="31" t="s">
        <v>1940</v>
      </c>
    </row>
    <row r="8" spans="1:23" x14ac:dyDescent="0.75">
      <c r="A8" s="429">
        <f>LEFT(C8,4)+0</f>
        <v>1100</v>
      </c>
      <c r="B8" s="48" t="str">
        <f>IF(ISERROR(VLOOKUP(A8,'CONSOLIDATED CY Cash Flows'!$B$9:$B$200,1,FALSE)),"NO","YES")</f>
        <v>YES</v>
      </c>
      <c r="C8" s="120" t="s">
        <v>10</v>
      </c>
      <c r="D8" s="118" t="s">
        <v>1252</v>
      </c>
      <c r="E8" s="62"/>
      <c r="F8" s="62"/>
      <c r="G8" s="275">
        <f ca="1">+IFERROR(VLOOKUP($C8,INDIRECT("'"&amp;$G$7&amp;"'!"&amp;"$A$1:$Z$200"),MATCH(G$3,INDIRECT("'"&amp;$G$7&amp;"'!"&amp;"$A$68:$F$68"),0),0),0)</f>
        <v>2714962.9578543818</v>
      </c>
      <c r="H8" s="275">
        <f t="shared" ref="H8:I15" ca="1" si="0">+IFERROR(VLOOKUP($C8,INDIRECT("'"&amp;$G$7&amp;"'!"&amp;"$A$1:$Z$200"),MATCH(H$3,INDIRECT("'"&amp;$G$7&amp;"'!"&amp;"$A$68:$F$68"),0),0),0)</f>
        <v>3927823.0546399928</v>
      </c>
      <c r="I8" s="275">
        <f t="shared" ca="1" si="0"/>
        <v>3977156.3212082246</v>
      </c>
      <c r="J8" s="62"/>
      <c r="K8" s="262">
        <f ca="1">SUM(G8:I8)</f>
        <v>10619942.333702598</v>
      </c>
      <c r="L8" s="527">
        <f t="shared" ref="L8" ca="1" si="1">+IFERROR(VLOOKUP($C8,INDIRECT("'"&amp;$G$7&amp;"'!"&amp;"$A$1:$Z$200"),MATCH(L$3,INDIRECT("'"&amp;$G$7&amp;"'!"&amp;"$A$68:$F$68"),0),0),0)</f>
        <v>10619942.333702598</v>
      </c>
      <c r="M8" s="657"/>
      <c r="O8" s="517">
        <f ca="1">+G8*(1+$P$4)</f>
        <v>2815145.0909992084</v>
      </c>
      <c r="P8" s="517">
        <f t="shared" ref="P8" ca="1" si="2">+H8*(1+$P$4)</f>
        <v>4072759.7253562082</v>
      </c>
      <c r="Q8" s="653">
        <f ca="1">+I8*(1+$P$4)-60000</f>
        <v>4063913.3894608077</v>
      </c>
      <c r="R8" s="37">
        <f ca="1">+SUM(O8:Q8)</f>
        <v>10951818.205816224</v>
      </c>
      <c r="T8" s="517">
        <f ca="1">+O8*(1+$U$4)</f>
        <v>2896784.298638185</v>
      </c>
      <c r="U8" s="517">
        <f t="shared" ref="U8:V8" ca="1" si="3">+P8*(1+$U$4)</f>
        <v>4190869.757391538</v>
      </c>
      <c r="V8" s="517">
        <f t="shared" ca="1" si="3"/>
        <v>4181766.8777551707</v>
      </c>
      <c r="W8" s="37">
        <f t="shared" ref="W8:W15" ca="1" si="4">+SUM(T8:V8)</f>
        <v>11269420.933784895</v>
      </c>
    </row>
    <row r="9" spans="1:23" x14ac:dyDescent="0.75">
      <c r="A9" s="429">
        <f t="shared" ref="A9:A15" si="5">LEFT(C9,4)+0</f>
        <v>1105</v>
      </c>
      <c r="B9" s="48" t="str">
        <f>IF(ISERROR(VLOOKUP(A9,'CONSOLIDATED CY Cash Flows'!$B$9:$B$200,1,FALSE)),"NO","YES")</f>
        <v>YES</v>
      </c>
      <c r="C9" s="120" t="s">
        <v>710</v>
      </c>
      <c r="D9" s="118" t="s">
        <v>1251</v>
      </c>
      <c r="E9" s="62"/>
      <c r="F9" s="62"/>
      <c r="G9" s="275">
        <f t="shared" ref="G9:G15" ca="1" si="6">+IFERROR(VLOOKUP($C9,INDIRECT("'"&amp;$G$7&amp;"'!"&amp;"$A$1:$Z$200"),MATCH(G$3,INDIRECT("'"&amp;$G$7&amp;"'!"&amp;"$A$68:$F$68"),0),0),0)</f>
        <v>0</v>
      </c>
      <c r="H9" s="275">
        <f t="shared" ca="1" si="0"/>
        <v>0</v>
      </c>
      <c r="I9" s="275">
        <f t="shared" ca="1" si="0"/>
        <v>0</v>
      </c>
      <c r="J9" s="62"/>
      <c r="K9" s="262">
        <f t="shared" ref="K9:K13" ca="1" si="7">SUM(G9:I9)</f>
        <v>0</v>
      </c>
      <c r="L9" s="526"/>
      <c r="M9" s="657"/>
      <c r="O9" s="517">
        <f t="shared" ref="O9:O15" ca="1" si="8">+G9*(1+$P$4)</f>
        <v>0</v>
      </c>
      <c r="P9" s="517">
        <f t="shared" ref="P9:P15" ca="1" si="9">+H9*(1+$P$4)</f>
        <v>0</v>
      </c>
      <c r="Q9" s="517">
        <f t="shared" ref="Q9:Q15" ca="1" si="10">+I9*(1+$P$4)</f>
        <v>0</v>
      </c>
      <c r="R9" s="37">
        <f t="shared" ref="R9:R15" ca="1" si="11">+SUM(O9:Q9)</f>
        <v>0</v>
      </c>
      <c r="T9" s="517">
        <f t="shared" ref="T9:T15" ca="1" si="12">+O9*(1+$U$4)</f>
        <v>0</v>
      </c>
      <c r="U9" s="517">
        <f t="shared" ref="U9:U15" ca="1" si="13">+P9*(1+$U$4)</f>
        <v>0</v>
      </c>
      <c r="V9" s="517">
        <f t="shared" ref="V9:V15" ca="1" si="14">+Q9*(1+$U$4)</f>
        <v>0</v>
      </c>
      <c r="W9" s="37">
        <f t="shared" ca="1" si="4"/>
        <v>0</v>
      </c>
    </row>
    <row r="10" spans="1:23" x14ac:dyDescent="0.75">
      <c r="A10" s="429">
        <f t="shared" si="5"/>
        <v>1120</v>
      </c>
      <c r="B10" s="48" t="str">
        <f>IF(ISERROR(VLOOKUP(A10,'CONSOLIDATED CY Cash Flows'!$B$9:$B$200,1,FALSE)),"NO","YES")</f>
        <v>YES</v>
      </c>
      <c r="C10" s="120" t="s">
        <v>556</v>
      </c>
      <c r="D10" s="118" t="s">
        <v>571</v>
      </c>
      <c r="E10" s="62"/>
      <c r="F10" s="62"/>
      <c r="G10" s="275">
        <f t="shared" ca="1" si="6"/>
        <v>0</v>
      </c>
      <c r="H10" s="275">
        <f t="shared" ca="1" si="0"/>
        <v>0</v>
      </c>
      <c r="I10" s="275">
        <f t="shared" ca="1" si="0"/>
        <v>0</v>
      </c>
      <c r="J10" s="62"/>
      <c r="K10" s="262">
        <f t="shared" ca="1" si="7"/>
        <v>0</v>
      </c>
      <c r="L10" s="526"/>
      <c r="M10" s="657"/>
      <c r="O10" s="517">
        <f t="shared" ca="1" si="8"/>
        <v>0</v>
      </c>
      <c r="P10" s="517">
        <f t="shared" ca="1" si="9"/>
        <v>0</v>
      </c>
      <c r="Q10" s="517">
        <f t="shared" ca="1" si="10"/>
        <v>0</v>
      </c>
      <c r="R10" s="37">
        <f t="shared" ca="1" si="11"/>
        <v>0</v>
      </c>
      <c r="T10" s="517">
        <f t="shared" ca="1" si="12"/>
        <v>0</v>
      </c>
      <c r="U10" s="517">
        <f t="shared" ca="1" si="13"/>
        <v>0</v>
      </c>
      <c r="V10" s="517">
        <f t="shared" ca="1" si="14"/>
        <v>0</v>
      </c>
      <c r="W10" s="37">
        <f t="shared" ca="1" si="4"/>
        <v>0</v>
      </c>
    </row>
    <row r="11" spans="1:23" x14ac:dyDescent="0.75">
      <c r="A11" s="429">
        <f t="shared" si="5"/>
        <v>1200</v>
      </c>
      <c r="B11" s="48" t="str">
        <f>IF(ISERROR(VLOOKUP(A11,'CONSOLIDATED CY Cash Flows'!$B$9:$B$200,1,FALSE)),"NO","YES")</f>
        <v>YES</v>
      </c>
      <c r="C11" s="120" t="s">
        <v>12</v>
      </c>
      <c r="D11" s="118" t="s">
        <v>572</v>
      </c>
      <c r="E11" s="62"/>
      <c r="F11" s="62"/>
      <c r="G11" s="275">
        <f t="shared" ca="1" si="6"/>
        <v>297296.27073651704</v>
      </c>
      <c r="H11" s="275">
        <f t="shared" ca="1" si="0"/>
        <v>359792.95095014712</v>
      </c>
      <c r="I11" s="275">
        <f t="shared" ca="1" si="0"/>
        <v>435510.08274742996</v>
      </c>
      <c r="J11" s="62"/>
      <c r="K11" s="262">
        <f ca="1">SUM(G11:I11)</f>
        <v>1092599.3044340941</v>
      </c>
      <c r="L11" s="527">
        <f t="shared" ref="L11:L12" ca="1" si="15">+IFERROR(VLOOKUP($C11,INDIRECT("'"&amp;$G$7&amp;"'!"&amp;"$A$1:$Z$200"),MATCH(L$3,INDIRECT("'"&amp;$G$7&amp;"'!"&amp;"$A$68:$F$68"),0),0),0)</f>
        <v>1092599.3044340941</v>
      </c>
      <c r="M11" s="657"/>
      <c r="O11" s="517">
        <f t="shared" ca="1" si="8"/>
        <v>308266.50312669447</v>
      </c>
      <c r="P11" s="517">
        <f t="shared" ca="1" si="9"/>
        <v>373069.3108402075</v>
      </c>
      <c r="Q11" s="517">
        <f t="shared" ca="1" si="10"/>
        <v>451580.40480081009</v>
      </c>
      <c r="R11" s="37">
        <f t="shared" ca="1" si="11"/>
        <v>1132916.2187677121</v>
      </c>
      <c r="T11" s="517">
        <f t="shared" ca="1" si="12"/>
        <v>317206.23171736859</v>
      </c>
      <c r="U11" s="517">
        <f t="shared" ca="1" si="13"/>
        <v>383888.32085457351</v>
      </c>
      <c r="V11" s="517">
        <f t="shared" ca="1" si="14"/>
        <v>464676.23654003354</v>
      </c>
      <c r="W11" s="37">
        <f t="shared" ca="1" si="4"/>
        <v>1165770.7891119756</v>
      </c>
    </row>
    <row r="12" spans="1:23" x14ac:dyDescent="0.75">
      <c r="A12" s="429">
        <f t="shared" si="5"/>
        <v>1300</v>
      </c>
      <c r="B12" s="48" t="str">
        <f>IF(ISERROR(VLOOKUP(A12,'CONSOLIDATED CY Cash Flows'!$B$9:$B$200,1,FALSE)),"NO","YES")</f>
        <v>YES</v>
      </c>
      <c r="C12" s="120" t="s">
        <v>14</v>
      </c>
      <c r="D12" s="118" t="s">
        <v>573</v>
      </c>
      <c r="E12" s="62"/>
      <c r="F12" s="62"/>
      <c r="G12" s="275">
        <f t="shared" ca="1" si="6"/>
        <v>502311.0377958449</v>
      </c>
      <c r="H12" s="275">
        <f t="shared" ca="1" si="0"/>
        <v>607905.27286354906</v>
      </c>
      <c r="I12" s="275">
        <f t="shared" ca="1" si="0"/>
        <v>735836.74996480613</v>
      </c>
      <c r="J12" s="62"/>
      <c r="K12" s="262">
        <f ca="1">SUM(G12:I12)</f>
        <v>1846053.0606241999</v>
      </c>
      <c r="L12" s="527">
        <f t="shared" ca="1" si="15"/>
        <v>1846053.0606241999</v>
      </c>
      <c r="M12" s="657"/>
      <c r="O12" s="517">
        <f t="shared" ca="1" si="8"/>
        <v>520846.31509051152</v>
      </c>
      <c r="P12" s="517">
        <f t="shared" ca="1" si="9"/>
        <v>630336.97743221396</v>
      </c>
      <c r="Q12" s="517">
        <f t="shared" ca="1" si="10"/>
        <v>762989.12603850744</v>
      </c>
      <c r="R12" s="37">
        <f t="shared" ca="1" si="11"/>
        <v>1914172.4185612327</v>
      </c>
      <c r="T12" s="517">
        <f t="shared" ca="1" si="12"/>
        <v>535950.85822813632</v>
      </c>
      <c r="U12" s="517">
        <f t="shared" ca="1" si="13"/>
        <v>648616.74977774813</v>
      </c>
      <c r="V12" s="517">
        <f t="shared" ca="1" si="14"/>
        <v>785115.81069362408</v>
      </c>
      <c r="W12" s="37">
        <f t="shared" ca="1" si="4"/>
        <v>1969683.4186995085</v>
      </c>
    </row>
    <row r="13" spans="1:23" x14ac:dyDescent="0.75">
      <c r="A13" s="429">
        <f t="shared" si="5"/>
        <v>1305</v>
      </c>
      <c r="B13" s="48" t="str">
        <f>IF(ISERROR(VLOOKUP(A13,'CONSOLIDATED CY Cash Flows'!$B$9:$B$200,1,FALSE)),"NO","YES")</f>
        <v>YES</v>
      </c>
      <c r="C13" s="120" t="s">
        <v>711</v>
      </c>
      <c r="D13" s="118" t="s">
        <v>1253</v>
      </c>
      <c r="E13" s="62"/>
      <c r="F13" s="62"/>
      <c r="G13" s="275">
        <f t="shared" ca="1" si="6"/>
        <v>0</v>
      </c>
      <c r="H13" s="275">
        <f t="shared" ca="1" si="0"/>
        <v>0</v>
      </c>
      <c r="I13" s="275">
        <f t="shared" ca="1" si="0"/>
        <v>0</v>
      </c>
      <c r="J13" s="62"/>
      <c r="K13" s="262">
        <f t="shared" ca="1" si="7"/>
        <v>0</v>
      </c>
      <c r="L13" s="526"/>
      <c r="M13" s="657"/>
      <c r="O13" s="517">
        <f t="shared" ca="1" si="8"/>
        <v>0</v>
      </c>
      <c r="P13" s="517">
        <f t="shared" ca="1" si="9"/>
        <v>0</v>
      </c>
      <c r="Q13" s="517">
        <f t="shared" ca="1" si="10"/>
        <v>0</v>
      </c>
      <c r="R13" s="37">
        <f t="shared" ca="1" si="11"/>
        <v>0</v>
      </c>
      <c r="T13" s="517">
        <f t="shared" ca="1" si="12"/>
        <v>0</v>
      </c>
      <c r="U13" s="517">
        <f t="shared" ca="1" si="13"/>
        <v>0</v>
      </c>
      <c r="V13" s="517">
        <f t="shared" ca="1" si="14"/>
        <v>0</v>
      </c>
      <c r="W13" s="37">
        <f t="shared" ca="1" si="4"/>
        <v>0</v>
      </c>
    </row>
    <row r="14" spans="1:23" x14ac:dyDescent="0.75">
      <c r="A14" s="429">
        <f t="shared" si="5"/>
        <v>1900</v>
      </c>
      <c r="B14" s="48" t="str">
        <f>IF(ISERROR(VLOOKUP(A14,'CONSOLIDATED CY Cash Flows'!$B$9:$B$200,1,FALSE)),"NO","YES")</f>
        <v>YES</v>
      </c>
      <c r="C14" s="120" t="s">
        <v>16</v>
      </c>
      <c r="D14" s="118" t="s">
        <v>575</v>
      </c>
      <c r="E14" s="62"/>
      <c r="F14" s="62"/>
      <c r="G14" s="275">
        <f t="shared" ca="1" si="6"/>
        <v>0</v>
      </c>
      <c r="H14" s="275">
        <f t="shared" ca="1" si="0"/>
        <v>0</v>
      </c>
      <c r="I14" s="275">
        <f t="shared" ca="1" si="0"/>
        <v>0</v>
      </c>
      <c r="J14" s="62"/>
      <c r="K14" s="262">
        <f ca="1">SUM(G14:I14)</f>
        <v>0</v>
      </c>
      <c r="L14" s="526"/>
      <c r="M14" s="657"/>
      <c r="O14" s="517">
        <f t="shared" ca="1" si="8"/>
        <v>0</v>
      </c>
      <c r="P14" s="517">
        <f t="shared" ca="1" si="9"/>
        <v>0</v>
      </c>
      <c r="Q14" s="517">
        <f t="shared" ca="1" si="10"/>
        <v>0</v>
      </c>
      <c r="R14" s="37">
        <f t="shared" ca="1" si="11"/>
        <v>0</v>
      </c>
      <c r="T14" s="517">
        <f t="shared" ca="1" si="12"/>
        <v>0</v>
      </c>
      <c r="U14" s="517">
        <f t="shared" ca="1" si="13"/>
        <v>0</v>
      </c>
      <c r="V14" s="517">
        <f t="shared" ca="1" si="14"/>
        <v>0</v>
      </c>
      <c r="W14" s="37">
        <f t="shared" ca="1" si="4"/>
        <v>0</v>
      </c>
    </row>
    <row r="15" spans="1:23" x14ac:dyDescent="0.75">
      <c r="A15" s="429">
        <f t="shared" si="5"/>
        <v>1910</v>
      </c>
      <c r="B15" s="48" t="str">
        <f>IF(ISERROR(VLOOKUP(A15,'CONSOLIDATED CY Cash Flows'!$B$9:$B$200,1,FALSE)),"NO","YES")</f>
        <v>NO</v>
      </c>
      <c r="C15" s="120" t="s">
        <v>712</v>
      </c>
      <c r="D15" s="118" t="s">
        <v>576</v>
      </c>
      <c r="E15" s="62"/>
      <c r="F15" s="62"/>
      <c r="G15" s="275">
        <f t="shared" ca="1" si="6"/>
        <v>0</v>
      </c>
      <c r="H15" s="275">
        <f t="shared" ca="1" si="0"/>
        <v>0</v>
      </c>
      <c r="I15" s="275">
        <f t="shared" ca="1" si="0"/>
        <v>0</v>
      </c>
      <c r="J15" s="62"/>
      <c r="K15" s="262"/>
      <c r="L15" s="526"/>
      <c r="M15" s="657"/>
      <c r="O15" s="517">
        <f t="shared" ca="1" si="8"/>
        <v>0</v>
      </c>
      <c r="P15" s="517">
        <f t="shared" ca="1" si="9"/>
        <v>0</v>
      </c>
      <c r="Q15" s="517">
        <f t="shared" ca="1" si="10"/>
        <v>0</v>
      </c>
      <c r="R15" s="37">
        <f t="shared" ca="1" si="11"/>
        <v>0</v>
      </c>
      <c r="T15" s="517">
        <f t="shared" ca="1" si="12"/>
        <v>0</v>
      </c>
      <c r="U15" s="517">
        <f t="shared" ca="1" si="13"/>
        <v>0</v>
      </c>
      <c r="V15" s="517">
        <f t="shared" ca="1" si="14"/>
        <v>0</v>
      </c>
      <c r="W15" s="37">
        <f t="shared" ca="1" si="4"/>
        <v>0</v>
      </c>
    </row>
    <row r="16" spans="1:23" s="31" customFormat="1" x14ac:dyDescent="0.75">
      <c r="A16" s="35"/>
      <c r="B16" s="35"/>
      <c r="C16" s="35" t="s">
        <v>555</v>
      </c>
      <c r="D16" s="34" t="s">
        <v>719</v>
      </c>
      <c r="E16" s="153" t="str">
        <f t="shared" ref="E16:L16" si="16">IF(SUM(E7:E15)&gt;0,SUM(E7:E15),"")</f>
        <v/>
      </c>
      <c r="F16" s="153" t="str">
        <f t="shared" si="16"/>
        <v/>
      </c>
      <c r="G16" s="45">
        <f t="shared" ca="1" si="16"/>
        <v>3514570.2663867436</v>
      </c>
      <c r="H16" s="45">
        <f t="shared" ca="1" si="16"/>
        <v>4895521.2784536891</v>
      </c>
      <c r="I16" s="45">
        <f t="shared" ca="1" si="16"/>
        <v>5148503.1539204605</v>
      </c>
      <c r="J16" s="153" t="str">
        <f t="shared" si="16"/>
        <v/>
      </c>
      <c r="K16" s="288">
        <f ca="1">IF(SUM(K7:K15)&gt;0,SUM(K7:K15),"")</f>
        <v>13558594.698760893</v>
      </c>
      <c r="L16" s="524">
        <f t="shared" ca="1" si="16"/>
        <v>13558594.698760893</v>
      </c>
      <c r="M16" s="657"/>
      <c r="N16" s="203"/>
      <c r="O16" s="588">
        <f ca="1">+SUM(O8:O15)</f>
        <v>3644257.9092164142</v>
      </c>
      <c r="P16" s="588">
        <f t="shared" ref="P16:R16" ca="1" si="17">+SUM(P8:P15)</f>
        <v>5076166.013628629</v>
      </c>
      <c r="Q16" s="588">
        <f t="shared" ca="1" si="17"/>
        <v>5278482.9203001251</v>
      </c>
      <c r="R16" s="588">
        <f t="shared" ca="1" si="17"/>
        <v>13998906.843145169</v>
      </c>
      <c r="T16" s="588">
        <f t="shared" ref="T16:W16" ca="1" si="18">+SUM(T8:T15)</f>
        <v>3749941.3885836899</v>
      </c>
      <c r="U16" s="588">
        <f t="shared" ca="1" si="18"/>
        <v>5223374.8280238593</v>
      </c>
      <c r="V16" s="588">
        <f t="shared" ca="1" si="18"/>
        <v>5431558.9249888286</v>
      </c>
      <c r="W16" s="588">
        <f t="shared" ca="1" si="18"/>
        <v>14404875.141596379</v>
      </c>
    </row>
    <row r="17" spans="1:23" s="31" customFormat="1" x14ac:dyDescent="0.75">
      <c r="A17" s="35"/>
      <c r="B17" s="35"/>
      <c r="C17" s="39"/>
      <c r="D17" s="2"/>
      <c r="E17" s="79"/>
      <c r="F17" s="79"/>
      <c r="G17" s="280"/>
      <c r="H17" s="280"/>
      <c r="I17" s="280"/>
      <c r="J17" s="79"/>
      <c r="K17" s="310"/>
      <c r="L17" s="661"/>
      <c r="M17"/>
      <c r="N17" s="203"/>
      <c r="O17"/>
      <c r="P17"/>
      <c r="Q17"/>
    </row>
    <row r="18" spans="1:23" x14ac:dyDescent="0.75">
      <c r="C18" s="34" t="s">
        <v>732</v>
      </c>
      <c r="D18" s="2"/>
      <c r="G18" s="281"/>
      <c r="H18" s="281"/>
      <c r="I18" s="281"/>
      <c r="K18" s="195"/>
    </row>
    <row r="19" spans="1:23" s="31" customFormat="1" x14ac:dyDescent="0.75">
      <c r="A19" s="429">
        <f t="shared" ref="A19:A28" si="19">LEFT(C19,4)+0</f>
        <v>2100</v>
      </c>
      <c r="B19" s="48" t="str">
        <f>IF(ISERROR(VLOOKUP(A19,'CONSOLIDATED CY Cash Flows'!$B$9:$B$200,1,FALSE)),"NO","YES")</f>
        <v>YES</v>
      </c>
      <c r="C19" s="120" t="s">
        <v>18</v>
      </c>
      <c r="D19" s="118" t="s">
        <v>577</v>
      </c>
      <c r="E19" s="62"/>
      <c r="F19" s="62"/>
      <c r="G19" s="275">
        <f t="shared" ref="G19:I28" ca="1" si="20">+IFERROR(VLOOKUP($C19,INDIRECT("'"&amp;$G$7&amp;"'!"&amp;"$A$1:$Z$200"),MATCH(G$3,INDIRECT("'"&amp;$G$7&amp;"'!"&amp;"$A$68:$F$68"),0),0),0)</f>
        <v>98817.933703223796</v>
      </c>
      <c r="H19" s="275">
        <f t="shared" ca="1" si="20"/>
        <v>119591.12667575006</v>
      </c>
      <c r="I19" s="275">
        <f t="shared" ca="1" si="20"/>
        <v>144758.64893092614</v>
      </c>
      <c r="J19" s="62"/>
      <c r="K19" s="262">
        <f ca="1">SUM(G19:I19)</f>
        <v>363167.70930989995</v>
      </c>
      <c r="L19" s="527">
        <f t="shared" ref="L19" ca="1" si="21">+IFERROR(VLOOKUP($C19,INDIRECT("'"&amp;$G$7&amp;"'!"&amp;"$A$1:$Z$200"),MATCH(L$3,INDIRECT("'"&amp;$G$7&amp;"'!"&amp;"$A$68:$F$68"),0),0),0)</f>
        <v>363167.70930989995</v>
      </c>
      <c r="M19"/>
      <c r="N19" s="203"/>
      <c r="O19" s="517">
        <f t="shared" ref="O19:O27" ca="1" si="22">+G19*(1+$P$4)</f>
        <v>102464.31545687275</v>
      </c>
      <c r="P19" s="517">
        <f t="shared" ref="P19:P27" ca="1" si="23">+H19*(1+$P$4)</f>
        <v>124004.03925008523</v>
      </c>
      <c r="Q19" s="517">
        <f t="shared" ref="Q19:Q27" ca="1" si="24">+I19*(1+$P$4)</f>
        <v>150100.24307647732</v>
      </c>
      <c r="R19" s="37">
        <f t="shared" ref="R19:R27" ca="1" si="25">+SUM(O19:Q19)</f>
        <v>376568.59778343531</v>
      </c>
      <c r="T19" s="517">
        <f t="shared" ref="T19:T28" ca="1" si="26">+O19*(1+$U$4)</f>
        <v>105435.78060512205</v>
      </c>
      <c r="U19" s="517">
        <f t="shared" ref="U19:U28" ca="1" si="27">+P19*(1+$U$4)</f>
        <v>127600.15638833769</v>
      </c>
      <c r="V19" s="517">
        <f t="shared" ref="V19:V28" ca="1" si="28">+Q19*(1+$U$4)</f>
        <v>154453.15012569516</v>
      </c>
      <c r="W19" s="37">
        <f t="shared" ref="W19:W28" ca="1" si="29">+SUM(T19:V19)</f>
        <v>387489.08711915492</v>
      </c>
    </row>
    <row r="20" spans="1:23" s="31" customFormat="1" x14ac:dyDescent="0.75">
      <c r="A20" s="429">
        <f t="shared" si="19"/>
        <v>2110</v>
      </c>
      <c r="B20" s="48" t="str">
        <f>IF(ISERROR(VLOOKUP(A20,'CONSOLIDATED CY Cash Flows'!$B$9:$B$200,1,FALSE)),"NO","YES")</f>
        <v>NO</v>
      </c>
      <c r="C20" s="120" t="s">
        <v>557</v>
      </c>
      <c r="D20" s="118" t="s">
        <v>578</v>
      </c>
      <c r="E20" s="62"/>
      <c r="F20" s="62"/>
      <c r="G20" s="275">
        <f t="shared" ca="1" si="20"/>
        <v>0</v>
      </c>
      <c r="H20" s="275">
        <f t="shared" ca="1" si="20"/>
        <v>0</v>
      </c>
      <c r="I20" s="275">
        <f t="shared" ca="1" si="20"/>
        <v>0</v>
      </c>
      <c r="J20" s="62"/>
      <c r="K20" s="262"/>
      <c r="L20" s="526"/>
      <c r="M20"/>
      <c r="N20" s="203"/>
      <c r="O20" s="517">
        <f t="shared" ca="1" si="22"/>
        <v>0</v>
      </c>
      <c r="P20" s="517">
        <f t="shared" ca="1" si="23"/>
        <v>0</v>
      </c>
      <c r="Q20" s="517">
        <f t="shared" ca="1" si="24"/>
        <v>0</v>
      </c>
      <c r="R20" s="37">
        <f t="shared" ca="1" si="25"/>
        <v>0</v>
      </c>
      <c r="T20" s="517">
        <f t="shared" ca="1" si="26"/>
        <v>0</v>
      </c>
      <c r="U20" s="517">
        <f t="shared" ca="1" si="27"/>
        <v>0</v>
      </c>
      <c r="V20" s="517">
        <f t="shared" ca="1" si="28"/>
        <v>0</v>
      </c>
      <c r="W20" s="37">
        <f t="shared" ca="1" si="29"/>
        <v>0</v>
      </c>
    </row>
    <row r="21" spans="1:23" s="31" customFormat="1" x14ac:dyDescent="0.75">
      <c r="A21" s="429">
        <f t="shared" si="19"/>
        <v>2200</v>
      </c>
      <c r="B21" s="48" t="str">
        <f>IF(ISERROR(VLOOKUP(A21,'CONSOLIDATED CY Cash Flows'!$B$9:$B$200,1,FALSE)),"NO","YES")</f>
        <v>YES</v>
      </c>
      <c r="C21" s="120" t="s">
        <v>20</v>
      </c>
      <c r="D21" s="118" t="s">
        <v>1254</v>
      </c>
      <c r="E21" s="62"/>
      <c r="F21" s="62"/>
      <c r="G21" s="275">
        <f t="shared" ca="1" si="20"/>
        <v>439553.91358576709</v>
      </c>
      <c r="H21" s="275">
        <f t="shared" ca="1" si="20"/>
        <v>531955.544813646</v>
      </c>
      <c r="I21" s="275">
        <f t="shared" ca="1" si="20"/>
        <v>643903.67495511496</v>
      </c>
      <c r="J21" s="62"/>
      <c r="K21" s="262">
        <f ca="1">SUM(G21:I21)</f>
        <v>1615413.1333545281</v>
      </c>
      <c r="L21" s="527">
        <f t="shared" ref="L21" ca="1" si="30">+IFERROR(VLOOKUP($C21,INDIRECT("'"&amp;$G$7&amp;"'!"&amp;"$A$1:$Z$200"),MATCH(L$3,INDIRECT("'"&amp;$G$7&amp;"'!"&amp;"$A$68:$F$68"),0),0),0)</f>
        <v>1615413.1333545281</v>
      </c>
      <c r="M21"/>
      <c r="N21" s="203"/>
      <c r="O21" s="517">
        <f t="shared" ca="1" si="22"/>
        <v>455773.45299708185</v>
      </c>
      <c r="P21" s="517">
        <f t="shared" ca="1" si="23"/>
        <v>551584.70441726956</v>
      </c>
      <c r="Q21" s="517">
        <f t="shared" ca="1" si="24"/>
        <v>667663.72056095861</v>
      </c>
      <c r="R21" s="37">
        <f t="shared" ca="1" si="25"/>
        <v>1675021.87797531</v>
      </c>
      <c r="T21" s="517">
        <f t="shared" ca="1" si="26"/>
        <v>468990.88313399721</v>
      </c>
      <c r="U21" s="517">
        <f t="shared" ca="1" si="27"/>
        <v>567580.66084537038</v>
      </c>
      <c r="V21" s="517">
        <f t="shared" ca="1" si="28"/>
        <v>687025.96845722641</v>
      </c>
      <c r="W21" s="37">
        <f t="shared" ca="1" si="29"/>
        <v>1723597.5124365939</v>
      </c>
    </row>
    <row r="22" spans="1:23" s="31" customFormat="1" x14ac:dyDescent="0.75">
      <c r="A22" s="429">
        <f t="shared" si="19"/>
        <v>2210</v>
      </c>
      <c r="B22" s="48" t="str">
        <f>IF(ISERROR(VLOOKUP(A22,'CONSOLIDATED CY Cash Flows'!$B$9:$B$200,1,FALSE)),"NO","YES")</f>
        <v>NO</v>
      </c>
      <c r="C22" s="120" t="s">
        <v>713</v>
      </c>
      <c r="D22" s="118" t="s">
        <v>580</v>
      </c>
      <c r="E22" s="62"/>
      <c r="F22" s="62"/>
      <c r="G22" s="275">
        <f t="shared" ca="1" si="20"/>
        <v>0</v>
      </c>
      <c r="H22" s="275">
        <f t="shared" ca="1" si="20"/>
        <v>0</v>
      </c>
      <c r="I22" s="275">
        <f t="shared" ca="1" si="20"/>
        <v>0</v>
      </c>
      <c r="J22" s="62"/>
      <c r="K22" s="262"/>
      <c r="L22" s="526"/>
      <c r="M22"/>
      <c r="N22" s="203"/>
      <c r="O22" s="517">
        <f t="shared" ca="1" si="22"/>
        <v>0</v>
      </c>
      <c r="P22" s="517">
        <f t="shared" ca="1" si="23"/>
        <v>0</v>
      </c>
      <c r="Q22" s="517">
        <f t="shared" ca="1" si="24"/>
        <v>0</v>
      </c>
      <c r="R22" s="37">
        <f t="shared" ca="1" si="25"/>
        <v>0</v>
      </c>
      <c r="T22" s="517">
        <f t="shared" ca="1" si="26"/>
        <v>0</v>
      </c>
      <c r="U22" s="517">
        <f t="shared" ca="1" si="27"/>
        <v>0</v>
      </c>
      <c r="V22" s="517">
        <f t="shared" ca="1" si="28"/>
        <v>0</v>
      </c>
      <c r="W22" s="37">
        <f t="shared" ca="1" si="29"/>
        <v>0</v>
      </c>
    </row>
    <row r="23" spans="1:23" s="31" customFormat="1" x14ac:dyDescent="0.75">
      <c r="A23" s="429">
        <f t="shared" si="19"/>
        <v>2300</v>
      </c>
      <c r="B23" s="48" t="str">
        <f>IF(ISERROR(VLOOKUP(A23,'CONSOLIDATED CY Cash Flows'!$B$9:$B$200,1,FALSE)),"NO","YES")</f>
        <v>YES</v>
      </c>
      <c r="C23" s="120" t="s">
        <v>22</v>
      </c>
      <c r="D23" s="118" t="s">
        <v>581</v>
      </c>
      <c r="E23" s="62"/>
      <c r="F23" s="62"/>
      <c r="G23" s="275">
        <f t="shared" ca="1" si="20"/>
        <v>159832.62259388668</v>
      </c>
      <c r="H23" s="275">
        <f t="shared" ca="1" si="20"/>
        <v>193432.13017334393</v>
      </c>
      <c r="I23" s="275">
        <f t="shared" ca="1" si="20"/>
        <v>234139.22589460947</v>
      </c>
      <c r="J23" s="62"/>
      <c r="K23" s="262">
        <f ca="1">SUM(G23:I23)</f>
        <v>587403.97866184008</v>
      </c>
      <c r="L23" s="527">
        <f t="shared" ref="L23:L24" ca="1" si="31">+IFERROR(VLOOKUP($C23,INDIRECT("'"&amp;$G$7&amp;"'!"&amp;"$A$1:$Z$200"),MATCH(L$3,INDIRECT("'"&amp;$G$7&amp;"'!"&amp;"$A$68:$F$68"),0),0),0)</f>
        <v>587403.97866184008</v>
      </c>
      <c r="M23"/>
      <c r="N23" s="203"/>
      <c r="O23" s="517">
        <f t="shared" ca="1" si="22"/>
        <v>165730.44636760108</v>
      </c>
      <c r="P23" s="517">
        <f t="shared" ca="1" si="23"/>
        <v>200569.77577674031</v>
      </c>
      <c r="Q23" s="517">
        <f t="shared" ca="1" si="24"/>
        <v>242778.96333012055</v>
      </c>
      <c r="R23" s="37">
        <f t="shared" ca="1" si="25"/>
        <v>609079.18547446188</v>
      </c>
      <c r="T23" s="517">
        <f t="shared" ca="1" si="26"/>
        <v>170536.6293122615</v>
      </c>
      <c r="U23" s="517">
        <f t="shared" ca="1" si="27"/>
        <v>206386.29927426577</v>
      </c>
      <c r="V23" s="517">
        <f t="shared" ca="1" si="28"/>
        <v>249819.55326669401</v>
      </c>
      <c r="W23" s="37">
        <f t="shared" ca="1" si="29"/>
        <v>626742.48185322131</v>
      </c>
    </row>
    <row r="24" spans="1:23" s="31" customFormat="1" x14ac:dyDescent="0.75">
      <c r="A24" s="429">
        <f t="shared" si="19"/>
        <v>2400</v>
      </c>
      <c r="B24" s="48" t="str">
        <f>IF(ISERROR(VLOOKUP(A24,'CONSOLIDATED CY Cash Flows'!$B$9:$B$200,1,FALSE)),"NO","YES")</f>
        <v>YES</v>
      </c>
      <c r="C24" s="120" t="s">
        <v>24</v>
      </c>
      <c r="D24" s="118" t="s">
        <v>582</v>
      </c>
      <c r="E24" s="62"/>
      <c r="F24" s="62"/>
      <c r="G24" s="275">
        <f t="shared" ca="1" si="20"/>
        <v>193236.55404203272</v>
      </c>
      <c r="H24" s="275">
        <f t="shared" ca="1" si="20"/>
        <v>233858.13026843581</v>
      </c>
      <c r="I24" s="275">
        <f t="shared" ca="1" si="20"/>
        <v>283072.73223503947</v>
      </c>
      <c r="J24" s="62"/>
      <c r="K24" s="262">
        <f ca="1">SUM(G24:I24)</f>
        <v>710167.41654550796</v>
      </c>
      <c r="L24" s="527">
        <f t="shared" ca="1" si="31"/>
        <v>710167.41654550796</v>
      </c>
      <c r="M24"/>
      <c r="N24" s="203"/>
      <c r="O24" s="517">
        <f t="shared" ca="1" si="22"/>
        <v>200366.98288618372</v>
      </c>
      <c r="P24" s="517">
        <f t="shared" ca="1" si="23"/>
        <v>242487.49527534106</v>
      </c>
      <c r="Q24" s="517">
        <f t="shared" ca="1" si="24"/>
        <v>293518.11605451239</v>
      </c>
      <c r="R24" s="37">
        <f t="shared" ca="1" si="25"/>
        <v>736372.59421603708</v>
      </c>
      <c r="T24" s="517">
        <f t="shared" ca="1" si="26"/>
        <v>206177.62538988303</v>
      </c>
      <c r="U24" s="517">
        <f t="shared" ca="1" si="27"/>
        <v>249519.63263832594</v>
      </c>
      <c r="V24" s="517">
        <f t="shared" ca="1" si="28"/>
        <v>302030.14142009325</v>
      </c>
      <c r="W24" s="37">
        <f t="shared" ca="1" si="29"/>
        <v>757727.39944830223</v>
      </c>
    </row>
    <row r="25" spans="1:23" s="31" customFormat="1" x14ac:dyDescent="0.75">
      <c r="A25" s="429">
        <f t="shared" si="19"/>
        <v>2410</v>
      </c>
      <c r="B25" s="48" t="str">
        <f>IF(ISERROR(VLOOKUP(A25,'CONSOLIDATED CY Cash Flows'!$B$9:$B$200,1,FALSE)),"NO","YES")</f>
        <v>NO</v>
      </c>
      <c r="C25" s="120" t="s">
        <v>549</v>
      </c>
      <c r="D25" s="118" t="s">
        <v>583</v>
      </c>
      <c r="E25" s="62"/>
      <c r="F25" s="62"/>
      <c r="G25" s="275">
        <f t="shared" ca="1" si="20"/>
        <v>0</v>
      </c>
      <c r="H25" s="275">
        <f t="shared" ca="1" si="20"/>
        <v>0</v>
      </c>
      <c r="I25" s="275">
        <f t="shared" ca="1" si="20"/>
        <v>0</v>
      </c>
      <c r="J25" s="62"/>
      <c r="K25" s="262"/>
      <c r="L25" s="526"/>
      <c r="M25"/>
      <c r="N25" s="203"/>
      <c r="O25" s="517">
        <f t="shared" ca="1" si="22"/>
        <v>0</v>
      </c>
      <c r="P25" s="517">
        <f t="shared" ca="1" si="23"/>
        <v>0</v>
      </c>
      <c r="Q25" s="517">
        <f t="shared" ca="1" si="24"/>
        <v>0</v>
      </c>
      <c r="R25" s="37">
        <f t="shared" ca="1" si="25"/>
        <v>0</v>
      </c>
      <c r="T25" s="517">
        <f t="shared" ca="1" si="26"/>
        <v>0</v>
      </c>
      <c r="U25" s="517">
        <f t="shared" ca="1" si="27"/>
        <v>0</v>
      </c>
      <c r="V25" s="517">
        <f t="shared" ca="1" si="28"/>
        <v>0</v>
      </c>
      <c r="W25" s="37">
        <f t="shared" ca="1" si="29"/>
        <v>0</v>
      </c>
    </row>
    <row r="26" spans="1:23" s="31" customFormat="1" x14ac:dyDescent="0.75">
      <c r="A26" s="429">
        <f t="shared" si="19"/>
        <v>2900</v>
      </c>
      <c r="B26" s="48" t="str">
        <f>IF(ISERROR(VLOOKUP(A26,'CONSOLIDATED CY Cash Flows'!$B$9:$B$200,1,FALSE)),"NO","YES")</f>
        <v>YES</v>
      </c>
      <c r="C26" s="120" t="s">
        <v>26</v>
      </c>
      <c r="D26" s="118" t="s">
        <v>584</v>
      </c>
      <c r="E26" s="62"/>
      <c r="F26" s="62"/>
      <c r="G26" s="275">
        <f t="shared" ca="1" si="20"/>
        <v>0</v>
      </c>
      <c r="H26" s="275">
        <f t="shared" ca="1" si="20"/>
        <v>28800</v>
      </c>
      <c r="I26" s="275">
        <f t="shared" ca="1" si="20"/>
        <v>0</v>
      </c>
      <c r="J26" s="62"/>
      <c r="K26" s="262">
        <f t="shared" ref="K26" ca="1" si="32">SUM(G26:I26)</f>
        <v>28800</v>
      </c>
      <c r="L26" s="527">
        <f t="shared" ref="L26" ca="1" si="33">+IFERROR(VLOOKUP($C26,INDIRECT("'"&amp;$G$7&amp;"'!"&amp;"$A$1:$Z$200"),MATCH(L$3,INDIRECT("'"&amp;$G$7&amp;"'!"&amp;"$A$68:$F$68"),0),0),0)</f>
        <v>28800</v>
      </c>
      <c r="M26"/>
      <c r="N26" s="203"/>
      <c r="O26" s="517">
        <f t="shared" ca="1" si="22"/>
        <v>0</v>
      </c>
      <c r="P26" s="517">
        <f t="shared" ca="1" si="23"/>
        <v>29862.719999999998</v>
      </c>
      <c r="Q26" s="517">
        <f t="shared" ca="1" si="24"/>
        <v>0</v>
      </c>
      <c r="R26" s="37">
        <f t="shared" ca="1" si="25"/>
        <v>29862.719999999998</v>
      </c>
      <c r="T26" s="517">
        <f t="shared" ca="1" si="26"/>
        <v>0</v>
      </c>
      <c r="U26" s="517">
        <f t="shared" ca="1" si="27"/>
        <v>30728.738879999994</v>
      </c>
      <c r="V26" s="517">
        <f t="shared" ca="1" si="28"/>
        <v>0</v>
      </c>
      <c r="W26" s="37">
        <f t="shared" ca="1" si="29"/>
        <v>30728.738879999994</v>
      </c>
    </row>
    <row r="27" spans="1:23" s="31" customFormat="1" x14ac:dyDescent="0.75">
      <c r="A27" s="429">
        <f t="shared" si="19"/>
        <v>2905</v>
      </c>
      <c r="B27" s="48" t="str">
        <f>IF(ISERROR(VLOOKUP(A27,'CONSOLIDATED CY Cash Flows'!$B$9:$B$200,1,FALSE)),"NO","YES")</f>
        <v>NO</v>
      </c>
      <c r="C27" s="120" t="s">
        <v>714</v>
      </c>
      <c r="D27" s="118" t="s">
        <v>585</v>
      </c>
      <c r="E27" s="62"/>
      <c r="F27" s="62"/>
      <c r="G27" s="275">
        <f t="shared" ca="1" si="20"/>
        <v>0</v>
      </c>
      <c r="H27" s="275">
        <f t="shared" ca="1" si="20"/>
        <v>0</v>
      </c>
      <c r="I27" s="275">
        <f t="shared" ca="1" si="20"/>
        <v>0</v>
      </c>
      <c r="J27" s="62"/>
      <c r="K27" s="262"/>
      <c r="L27" s="526"/>
      <c r="M27"/>
      <c r="N27" s="296"/>
      <c r="O27" s="517">
        <f t="shared" ca="1" si="22"/>
        <v>0</v>
      </c>
      <c r="P27" s="517">
        <f t="shared" ca="1" si="23"/>
        <v>0</v>
      </c>
      <c r="Q27" s="517">
        <f t="shared" ca="1" si="24"/>
        <v>0</v>
      </c>
      <c r="R27" s="37">
        <f t="shared" ca="1" si="25"/>
        <v>0</v>
      </c>
      <c r="T27" s="517">
        <f t="shared" ca="1" si="26"/>
        <v>0</v>
      </c>
      <c r="U27" s="517">
        <f t="shared" ca="1" si="27"/>
        <v>0</v>
      </c>
      <c r="V27" s="517">
        <f t="shared" ca="1" si="28"/>
        <v>0</v>
      </c>
      <c r="W27" s="37">
        <f t="shared" ca="1" si="29"/>
        <v>0</v>
      </c>
    </row>
    <row r="28" spans="1:23" s="31" customFormat="1" x14ac:dyDescent="0.75">
      <c r="A28" s="429">
        <f t="shared" si="19"/>
        <v>2910</v>
      </c>
      <c r="B28" s="48" t="str">
        <f>IF(ISERROR(VLOOKUP(A28,'CONSOLIDATED CY Cash Flows'!$B$9:$B$200,1,FALSE)),"NO","YES")</f>
        <v>NO</v>
      </c>
      <c r="C28" s="120" t="s">
        <v>715</v>
      </c>
      <c r="D28" s="118" t="s">
        <v>586</v>
      </c>
      <c r="E28" s="62"/>
      <c r="F28" s="62"/>
      <c r="G28" s="275">
        <f t="shared" ca="1" si="20"/>
        <v>0</v>
      </c>
      <c r="H28" s="275">
        <f t="shared" ca="1" si="20"/>
        <v>0</v>
      </c>
      <c r="I28" s="275">
        <f t="shared" ca="1" si="20"/>
        <v>0</v>
      </c>
      <c r="J28" s="62"/>
      <c r="K28" s="262"/>
      <c r="L28" s="526"/>
      <c r="M28"/>
      <c r="N28" s="203"/>
      <c r="O28" s="517">
        <f t="shared" ref="O28" ca="1" si="34">+G28*(1+$P$4)</f>
        <v>0</v>
      </c>
      <c r="P28" s="517">
        <f t="shared" ref="P28" ca="1" si="35">+H28*(1+$P$4)</f>
        <v>0</v>
      </c>
      <c r="Q28" s="517">
        <f t="shared" ref="Q28" ca="1" si="36">+I28*(1+$P$4)</f>
        <v>0</v>
      </c>
      <c r="R28" s="37">
        <f t="shared" ref="R28" ca="1" si="37">+SUM(O28:Q28)</f>
        <v>0</v>
      </c>
      <c r="T28" s="517">
        <f t="shared" ca="1" si="26"/>
        <v>0</v>
      </c>
      <c r="U28" s="517">
        <f t="shared" ca="1" si="27"/>
        <v>0</v>
      </c>
      <c r="V28" s="517">
        <f t="shared" ca="1" si="28"/>
        <v>0</v>
      </c>
      <c r="W28" s="37">
        <f t="shared" ca="1" si="29"/>
        <v>0</v>
      </c>
    </row>
    <row r="29" spans="1:23" s="31" customFormat="1" x14ac:dyDescent="0.75">
      <c r="A29" s="35"/>
      <c r="B29" s="35"/>
      <c r="C29" s="42" t="s">
        <v>736</v>
      </c>
      <c r="D29" s="34" t="s">
        <v>719</v>
      </c>
      <c r="E29" s="153" t="str">
        <f t="shared" ref="E29:L29" si="38">IF(SUM(E18:E28)&gt;0,SUM(E18:E28),"")</f>
        <v/>
      </c>
      <c r="F29" s="153" t="str">
        <f t="shared" si="38"/>
        <v/>
      </c>
      <c r="G29" s="45">
        <f t="shared" ca="1" si="38"/>
        <v>891441.02392491023</v>
      </c>
      <c r="H29" s="45">
        <f t="shared" ca="1" si="38"/>
        <v>1107636.9319311758</v>
      </c>
      <c r="I29" s="45">
        <f t="shared" ca="1" si="38"/>
        <v>1305874.2820156901</v>
      </c>
      <c r="J29" s="153" t="str">
        <f t="shared" si="38"/>
        <v/>
      </c>
      <c r="K29" s="288">
        <f ca="1">IF(SUM(K18:K28)&gt;0,SUM(K18:K28),"")</f>
        <v>3304952.2378717759</v>
      </c>
      <c r="L29" s="524">
        <f t="shared" ca="1" si="38"/>
        <v>3304952.2378717759</v>
      </c>
      <c r="M29"/>
      <c r="N29" s="203"/>
      <c r="O29" s="588">
        <f ca="1">+SUM(O19:O28)</f>
        <v>924335.19770773943</v>
      </c>
      <c r="P29" s="588">
        <f t="shared" ref="P29:R29" ca="1" si="39">+SUM(P19:P28)</f>
        <v>1148508.7347194362</v>
      </c>
      <c r="Q29" s="588">
        <f t="shared" ca="1" si="39"/>
        <v>1354061.0430220689</v>
      </c>
      <c r="R29" s="588">
        <f t="shared" ca="1" si="39"/>
        <v>3426904.9754492445</v>
      </c>
      <c r="T29" s="588">
        <f ca="1">+SUM(T19:T28)</f>
        <v>951140.91844126384</v>
      </c>
      <c r="U29" s="588">
        <f t="shared" ref="U29" ca="1" si="40">+SUM(U19:U28)</f>
        <v>1181815.4880263</v>
      </c>
      <c r="V29" s="588">
        <f t="shared" ref="V29" ca="1" si="41">+SUM(V19:V28)</f>
        <v>1393328.8132697088</v>
      </c>
      <c r="W29" s="588">
        <f t="shared" ref="W29" ca="1" si="42">+SUM(W19:W28)</f>
        <v>3526285.2197372722</v>
      </c>
    </row>
    <row r="30" spans="1:23" s="304" customFormat="1" ht="11" x14ac:dyDescent="0.6">
      <c r="A30" s="298"/>
      <c r="B30" s="298"/>
      <c r="C30" s="299"/>
      <c r="D30" s="305"/>
      <c r="E30" s="306"/>
      <c r="F30" s="306"/>
      <c r="G30" s="302">
        <f ca="1">(1-SUM(G23:G24)/(G29+G16))</f>
        <v>0.91986648390750148</v>
      </c>
      <c r="H30" s="302">
        <f t="shared" ref="H30:I30" ca="1" si="43">(1-SUM(H23:H24)/(H29+H16))</f>
        <v>0.92882242222058875</v>
      </c>
      <c r="I30" s="302">
        <f t="shared" ca="1" si="43"/>
        <v>0.91986648390750148</v>
      </c>
      <c r="J30" s="306"/>
      <c r="K30" s="311"/>
      <c r="L30" s="662"/>
      <c r="M30" s="303"/>
      <c r="N30" s="296"/>
      <c r="O30" s="303"/>
      <c r="P30" s="303"/>
      <c r="Q30" s="303"/>
    </row>
    <row r="31" spans="1:23" s="31" customFormat="1" x14ac:dyDescent="0.75">
      <c r="B31" s="34"/>
      <c r="C31" s="34" t="s">
        <v>733</v>
      </c>
      <c r="D31" s="2"/>
      <c r="E31" s="79"/>
      <c r="F31" s="79"/>
      <c r="G31" s="280"/>
      <c r="H31" s="280"/>
      <c r="I31" s="280"/>
      <c r="J31" s="79"/>
      <c r="K31" s="310"/>
      <c r="L31" s="661"/>
      <c r="M31"/>
      <c r="N31" s="203"/>
      <c r="O31"/>
      <c r="P31"/>
      <c r="Q31"/>
    </row>
    <row r="32" spans="1:23" s="31" customFormat="1" x14ac:dyDescent="0.75">
      <c r="A32" s="429">
        <f t="shared" ref="A32" si="44">LEFT(C32,4)+0</f>
        <v>3101</v>
      </c>
      <c r="B32" s="48" t="str">
        <f>IF(ISERROR(VLOOKUP(A32,'CONSOLIDATED CY Cash Flows'!$B$9:$B$200,1,FALSE)),"NO","YES")</f>
        <v>YES</v>
      </c>
      <c r="C32" s="120" t="s">
        <v>30</v>
      </c>
      <c r="D32" s="118" t="s">
        <v>587</v>
      </c>
      <c r="E32" s="62"/>
      <c r="F32" s="62"/>
      <c r="G32" s="275">
        <f t="shared" ref="G32:I50" ca="1" si="45">+IFERROR(VLOOKUP($C32,INDIRECT("'"&amp;$G$7&amp;"'!"&amp;"$A$1:$Z$200"),MATCH(G$3,INDIRECT("'"&amp;$G$7&amp;"'!"&amp;"$A$68:$F$68"),0),0),0)</f>
        <v>671282.92087986879</v>
      </c>
      <c r="H32" s="275">
        <f t="shared" ca="1" si="45"/>
        <v>935044.56418465544</v>
      </c>
      <c r="I32" s="275">
        <f t="shared" ca="1" si="45"/>
        <v>983364.102398808</v>
      </c>
      <c r="J32" s="62"/>
      <c r="K32" s="262">
        <f ca="1">SUM(G32:I32)</f>
        <v>2589691.5874633323</v>
      </c>
      <c r="L32" s="527">
        <f t="shared" ref="L32" ca="1" si="46">+IFERROR(VLOOKUP($C32,INDIRECT("'"&amp;$G$7&amp;"'!"&amp;"$A$1:$Z$200"),MATCH(L$3,INDIRECT("'"&amp;$G$7&amp;"'!"&amp;"$A$68:$F$68"),0),0),0)</f>
        <v>2589691.5874633323</v>
      </c>
      <c r="M32"/>
      <c r="N32" s="203"/>
      <c r="O32" s="517">
        <f t="shared" ref="O32:O52" ca="1" si="47">+G32*(1+$P$4)</f>
        <v>696053.26066033589</v>
      </c>
      <c r="P32" s="517">
        <f t="shared" ref="P32:P52" ca="1" si="48">+H32*(1+$P$4)</f>
        <v>969547.70860306919</v>
      </c>
      <c r="Q32" s="517">
        <f t="shared" ref="Q32:Q52" ca="1" si="49">+I32*(1+$P$4)</f>
        <v>1019650.2377773239</v>
      </c>
      <c r="R32" s="37">
        <f t="shared" ref="R32:R52" ca="1" si="50">+SUM(O32:Q32)</f>
        <v>2685251.207040729</v>
      </c>
      <c r="T32" s="517">
        <f t="shared" ref="T32:T52" ca="1" si="51">+O32*(1+$U$4)</f>
        <v>716238.80521948554</v>
      </c>
      <c r="U32" s="517">
        <f t="shared" ref="U32:U52" ca="1" si="52">+P32*(1+$U$4)</f>
        <v>997664.59215255815</v>
      </c>
      <c r="V32" s="517">
        <f t="shared" ref="V32:V52" ca="1" si="53">+Q32*(1+$U$4)</f>
        <v>1049220.0946728662</v>
      </c>
      <c r="W32" s="37">
        <f t="shared" ref="W32:W52" ca="1" si="54">+SUM(T32:V32)</f>
        <v>2763123.4920449099</v>
      </c>
    </row>
    <row r="33" spans="1:23" s="31" customFormat="1" x14ac:dyDescent="0.75">
      <c r="A33" s="429">
        <f t="shared" ref="A33:A44" si="55">LEFT(C33,4)+0</f>
        <v>3202</v>
      </c>
      <c r="B33" s="48" t="str">
        <f>IF(ISERROR(VLOOKUP(A33,'CONSOLIDATED CY Cash Flows'!$B$9:$B$200,1,FALSE)),"NO","YES")</f>
        <v>YES</v>
      </c>
      <c r="C33" s="510" t="s">
        <v>38</v>
      </c>
      <c r="D33" s="508" t="s">
        <v>1457</v>
      </c>
      <c r="E33" s="509"/>
      <c r="F33" s="509"/>
      <c r="G33" s="275">
        <f t="shared" ca="1" si="45"/>
        <v>0</v>
      </c>
      <c r="H33" s="275">
        <f t="shared" ca="1" si="45"/>
        <v>0</v>
      </c>
      <c r="I33" s="275">
        <f t="shared" ca="1" si="45"/>
        <v>0</v>
      </c>
      <c r="J33" s="509"/>
      <c r="K33" s="262">
        <f t="shared" ref="K33:K46" ca="1" si="56">SUM(G33:I33)</f>
        <v>0</v>
      </c>
      <c r="L33" s="544"/>
      <c r="M33"/>
      <c r="N33" s="203"/>
      <c r="O33" s="517">
        <f t="shared" ca="1" si="47"/>
        <v>0</v>
      </c>
      <c r="P33" s="517">
        <f t="shared" ca="1" si="48"/>
        <v>0</v>
      </c>
      <c r="Q33" s="517">
        <f t="shared" ca="1" si="49"/>
        <v>0</v>
      </c>
      <c r="R33" s="37">
        <f t="shared" ca="1" si="50"/>
        <v>0</v>
      </c>
      <c r="T33" s="517">
        <f t="shared" ca="1" si="51"/>
        <v>0</v>
      </c>
      <c r="U33" s="517">
        <f t="shared" ca="1" si="52"/>
        <v>0</v>
      </c>
      <c r="V33" s="517">
        <f t="shared" ca="1" si="53"/>
        <v>0</v>
      </c>
      <c r="W33" s="37">
        <f t="shared" ca="1" si="54"/>
        <v>0</v>
      </c>
    </row>
    <row r="34" spans="1:23" s="31" customFormat="1" x14ac:dyDescent="0.75">
      <c r="A34" s="429">
        <f t="shared" si="55"/>
        <v>3301</v>
      </c>
      <c r="B34" s="48" t="str">
        <f>IF(ISERROR(VLOOKUP(A34,'CONSOLIDATED CY Cash Flows'!$B$9:$B$200,1,FALSE)),"NO","YES")</f>
        <v>YES</v>
      </c>
      <c r="C34" s="510" t="s">
        <v>42</v>
      </c>
      <c r="D34" s="508" t="s">
        <v>1519</v>
      </c>
      <c r="E34" s="509"/>
      <c r="F34" s="509"/>
      <c r="G34" s="275">
        <f t="shared" ca="1" si="45"/>
        <v>50961.268862607816</v>
      </c>
      <c r="H34" s="275">
        <f t="shared" ca="1" si="45"/>
        <v>70985.05853757853</v>
      </c>
      <c r="I34" s="275">
        <f t="shared" ca="1" si="45"/>
        <v>74653.295731846651</v>
      </c>
      <c r="J34" s="509"/>
      <c r="K34" s="262">
        <f t="shared" ca="1" si="56"/>
        <v>196599.62313203298</v>
      </c>
      <c r="L34" s="527">
        <f t="shared" ref="L34:L35" ca="1" si="57">+IFERROR(VLOOKUP($C34,INDIRECT("'"&amp;$G$7&amp;"'!"&amp;"$A$1:$Z$200"),MATCH(L$3,INDIRECT("'"&amp;$G$7&amp;"'!"&amp;"$A$68:$F$68"),0),0),0)</f>
        <v>196599.62313203298</v>
      </c>
      <c r="M34"/>
      <c r="N34" s="203"/>
      <c r="O34" s="517">
        <f t="shared" ca="1" si="47"/>
        <v>52841.739683638043</v>
      </c>
      <c r="P34" s="517">
        <f t="shared" ca="1" si="48"/>
        <v>73604.407197615175</v>
      </c>
      <c r="Q34" s="517">
        <f t="shared" ca="1" si="49"/>
        <v>77408.002344351786</v>
      </c>
      <c r="R34" s="37">
        <f t="shared" ca="1" si="50"/>
        <v>203854.14922560501</v>
      </c>
      <c r="T34" s="517">
        <f t="shared" ca="1" si="51"/>
        <v>54374.15013446354</v>
      </c>
      <c r="U34" s="517">
        <f t="shared" ca="1" si="52"/>
        <v>75738.935006346015</v>
      </c>
      <c r="V34" s="517">
        <f t="shared" ca="1" si="53"/>
        <v>79652.834412337979</v>
      </c>
      <c r="W34" s="37">
        <f t="shared" ca="1" si="54"/>
        <v>209765.91955314754</v>
      </c>
    </row>
    <row r="35" spans="1:23" s="31" customFormat="1" x14ac:dyDescent="0.75">
      <c r="A35" s="429">
        <f t="shared" si="55"/>
        <v>3302</v>
      </c>
      <c r="B35" s="48" t="str">
        <f>IF(ISERROR(VLOOKUP(A35,'CONSOLIDATED CY Cash Flows'!$B$9:$B$200,1,FALSE)),"NO","YES")</f>
        <v>YES</v>
      </c>
      <c r="C35" s="510" t="s">
        <v>44</v>
      </c>
      <c r="D35" s="508" t="s">
        <v>1520</v>
      </c>
      <c r="E35" s="509"/>
      <c r="F35" s="509"/>
      <c r="G35" s="275">
        <f t="shared" ca="1" si="45"/>
        <v>68195.238330255641</v>
      </c>
      <c r="H35" s="275">
        <f t="shared" ca="1" si="45"/>
        <v>84734.225292734933</v>
      </c>
      <c r="I35" s="275">
        <f t="shared" ca="1" si="45"/>
        <v>99899.382574200281</v>
      </c>
      <c r="J35" s="509"/>
      <c r="K35" s="262">
        <f t="shared" ca="1" si="56"/>
        <v>252828.84619719087</v>
      </c>
      <c r="L35" s="527">
        <f t="shared" ca="1" si="57"/>
        <v>252828.84619719087</v>
      </c>
      <c r="M35"/>
      <c r="N35" s="203"/>
      <c r="O35" s="517">
        <f t="shared" ca="1" si="47"/>
        <v>70711.642624642074</v>
      </c>
      <c r="P35" s="517">
        <f t="shared" ca="1" si="48"/>
        <v>87860.918206036848</v>
      </c>
      <c r="Q35" s="517">
        <f t="shared" ca="1" si="49"/>
        <v>103585.66979118827</v>
      </c>
      <c r="R35" s="37">
        <f t="shared" ca="1" si="50"/>
        <v>262158.23062186717</v>
      </c>
      <c r="T35" s="517">
        <f t="shared" ca="1" si="51"/>
        <v>72762.280260756685</v>
      </c>
      <c r="U35" s="517">
        <f t="shared" ca="1" si="52"/>
        <v>90408.884834011915</v>
      </c>
      <c r="V35" s="517">
        <f t="shared" ca="1" si="53"/>
        <v>106589.65421513272</v>
      </c>
      <c r="W35" s="37">
        <f t="shared" ca="1" si="54"/>
        <v>269760.81930990133</v>
      </c>
    </row>
    <row r="36" spans="1:23" s="31" customFormat="1" x14ac:dyDescent="0.75">
      <c r="A36" s="429">
        <f t="shared" si="55"/>
        <v>3313</v>
      </c>
      <c r="B36" s="48" t="str">
        <f>IF(ISERROR(VLOOKUP(A36,'CONSOLIDATED CY Cash Flows'!$B$9:$B$200,1,FALSE)),"NO","YES")</f>
        <v>YES</v>
      </c>
      <c r="C36" s="510" t="s">
        <v>1065</v>
      </c>
      <c r="D36" s="508" t="s">
        <v>1066</v>
      </c>
      <c r="E36" s="509"/>
      <c r="F36" s="509"/>
      <c r="G36" s="275">
        <f t="shared" ca="1" si="45"/>
        <v>0</v>
      </c>
      <c r="H36" s="275">
        <f t="shared" ca="1" si="45"/>
        <v>0</v>
      </c>
      <c r="I36" s="275">
        <f t="shared" ca="1" si="45"/>
        <v>0</v>
      </c>
      <c r="J36" s="509"/>
      <c r="K36" s="262">
        <f t="shared" ca="1" si="56"/>
        <v>0</v>
      </c>
      <c r="L36" s="527"/>
      <c r="M36"/>
      <c r="N36" s="203"/>
      <c r="O36" s="517">
        <f t="shared" ca="1" si="47"/>
        <v>0</v>
      </c>
      <c r="P36" s="517">
        <f t="shared" ca="1" si="48"/>
        <v>0</v>
      </c>
      <c r="Q36" s="517">
        <f t="shared" ca="1" si="49"/>
        <v>0</v>
      </c>
      <c r="R36" s="37">
        <f t="shared" ca="1" si="50"/>
        <v>0</v>
      </c>
      <c r="T36" s="517">
        <f t="shared" ca="1" si="51"/>
        <v>0</v>
      </c>
      <c r="U36" s="517">
        <f t="shared" ca="1" si="52"/>
        <v>0</v>
      </c>
      <c r="V36" s="517">
        <f t="shared" ca="1" si="53"/>
        <v>0</v>
      </c>
      <c r="W36" s="37">
        <f t="shared" ca="1" si="54"/>
        <v>0</v>
      </c>
    </row>
    <row r="37" spans="1:23" s="31" customFormat="1" x14ac:dyDescent="0.75">
      <c r="A37" s="429">
        <f t="shared" si="55"/>
        <v>3323</v>
      </c>
      <c r="B37" s="48" t="str">
        <f>IF(ISERROR(VLOOKUP(A37,'CONSOLIDATED CY Cash Flows'!$B$9:$B$200,1,FALSE)),"NO","YES")</f>
        <v>YES</v>
      </c>
      <c r="C37" s="510" t="s">
        <v>1067</v>
      </c>
      <c r="D37" s="508" t="s">
        <v>1068</v>
      </c>
      <c r="E37" s="509"/>
      <c r="F37" s="509"/>
      <c r="G37" s="275">
        <f t="shared" ca="1" si="45"/>
        <v>0</v>
      </c>
      <c r="H37" s="275">
        <f t="shared" ca="1" si="45"/>
        <v>0</v>
      </c>
      <c r="I37" s="275">
        <f t="shared" ca="1" si="45"/>
        <v>0</v>
      </c>
      <c r="J37" s="509"/>
      <c r="K37" s="262">
        <f t="shared" ca="1" si="56"/>
        <v>0</v>
      </c>
      <c r="L37" s="527"/>
      <c r="M37"/>
      <c r="N37" s="203"/>
      <c r="O37" s="517">
        <f t="shared" ca="1" si="47"/>
        <v>0</v>
      </c>
      <c r="P37" s="517">
        <f t="shared" ca="1" si="48"/>
        <v>0</v>
      </c>
      <c r="Q37" s="517">
        <f t="shared" ca="1" si="49"/>
        <v>0</v>
      </c>
      <c r="R37" s="37">
        <f t="shared" ca="1" si="50"/>
        <v>0</v>
      </c>
      <c r="T37" s="517">
        <f t="shared" ca="1" si="51"/>
        <v>0</v>
      </c>
      <c r="U37" s="517">
        <f t="shared" ca="1" si="52"/>
        <v>0</v>
      </c>
      <c r="V37" s="517">
        <f t="shared" ca="1" si="53"/>
        <v>0</v>
      </c>
      <c r="W37" s="37">
        <f t="shared" ca="1" si="54"/>
        <v>0</v>
      </c>
    </row>
    <row r="38" spans="1:23" s="31" customFormat="1" x14ac:dyDescent="0.75">
      <c r="A38" s="429">
        <f t="shared" si="55"/>
        <v>3401</v>
      </c>
      <c r="B38" s="48" t="str">
        <f>IF(ISERROR(VLOOKUP(A38,'CONSOLIDATED CY Cash Flows'!$B$9:$B$200,1,FALSE)),"NO","YES")</f>
        <v>YES</v>
      </c>
      <c r="C38" s="510" t="s">
        <v>48</v>
      </c>
      <c r="D38" s="508" t="s">
        <v>1521</v>
      </c>
      <c r="E38" s="509"/>
      <c r="F38" s="509"/>
      <c r="G38" s="275">
        <f t="shared" ca="1" si="45"/>
        <v>369050.06806800014</v>
      </c>
      <c r="H38" s="275">
        <f t="shared" ca="1" si="45"/>
        <v>537830.60424400028</v>
      </c>
      <c r="I38" s="275">
        <f t="shared" ca="1" si="45"/>
        <v>540622.40768799977</v>
      </c>
      <c r="J38" s="509"/>
      <c r="K38" s="262">
        <f t="shared" ca="1" si="56"/>
        <v>1447503.08</v>
      </c>
      <c r="L38" s="527">
        <f t="shared" ref="L38:L39" ca="1" si="58">+IFERROR(VLOOKUP($C38,INDIRECT("'"&amp;$G$7&amp;"'!"&amp;"$A$1:$Z$200"),MATCH(L$3,INDIRECT("'"&amp;$G$7&amp;"'!"&amp;"$A$68:$F$68"),0),0),0)</f>
        <v>1447503.08</v>
      </c>
      <c r="M38"/>
      <c r="N38" s="203"/>
      <c r="O38" s="517">
        <f t="shared" ca="1" si="47"/>
        <v>382668.01557970932</v>
      </c>
      <c r="P38" s="517">
        <f t="shared" ca="1" si="48"/>
        <v>557676.55354060384</v>
      </c>
      <c r="Q38" s="517">
        <f t="shared" ca="1" si="49"/>
        <v>560571.37453168689</v>
      </c>
      <c r="R38" s="37">
        <f t="shared" ca="1" si="50"/>
        <v>1500915.943652</v>
      </c>
      <c r="T38" s="517">
        <f t="shared" ca="1" si="51"/>
        <v>393765.38803152088</v>
      </c>
      <c r="U38" s="517">
        <f t="shared" ca="1" si="52"/>
        <v>573849.1735932813</v>
      </c>
      <c r="V38" s="517">
        <f t="shared" ca="1" si="53"/>
        <v>576827.9443931058</v>
      </c>
      <c r="W38" s="37">
        <f t="shared" ca="1" si="54"/>
        <v>1544442.506017908</v>
      </c>
    </row>
    <row r="39" spans="1:23" s="31" customFormat="1" x14ac:dyDescent="0.75">
      <c r="A39" s="429">
        <f t="shared" si="55"/>
        <v>3402</v>
      </c>
      <c r="B39" s="48" t="str">
        <f>IF(ISERROR(VLOOKUP(A39,'CONSOLIDATED CY Cash Flows'!$B$9:$B$200,1,FALSE)),"NO","YES")</f>
        <v>YES</v>
      </c>
      <c r="C39" s="510" t="s">
        <v>50</v>
      </c>
      <c r="D39" s="508" t="s">
        <v>1522</v>
      </c>
      <c r="E39" s="509"/>
      <c r="F39" s="509"/>
      <c r="G39" s="275">
        <f t="shared" ca="1" si="45"/>
        <v>110361.31110000001</v>
      </c>
      <c r="H39" s="275">
        <f t="shared" ca="1" si="45"/>
        <v>133561.11629999999</v>
      </c>
      <c r="I39" s="275">
        <f t="shared" ca="1" si="45"/>
        <v>161668.57259999998</v>
      </c>
      <c r="J39" s="509"/>
      <c r="K39" s="262">
        <f t="shared" ca="1" si="56"/>
        <v>405591</v>
      </c>
      <c r="L39" s="527">
        <f t="shared" ca="1" si="58"/>
        <v>405591</v>
      </c>
      <c r="M39"/>
      <c r="N39" s="203"/>
      <c r="O39" s="517">
        <f t="shared" ca="1" si="47"/>
        <v>114433.64347959</v>
      </c>
      <c r="P39" s="517">
        <f t="shared" ca="1" si="48"/>
        <v>138489.52149146999</v>
      </c>
      <c r="Q39" s="517">
        <f t="shared" ca="1" si="49"/>
        <v>167634.14292893998</v>
      </c>
      <c r="R39" s="37">
        <f t="shared" ca="1" si="50"/>
        <v>420557.30790000001</v>
      </c>
      <c r="T39" s="517">
        <f t="shared" ca="1" si="51"/>
        <v>117752.2191404981</v>
      </c>
      <c r="U39" s="517">
        <f t="shared" ca="1" si="52"/>
        <v>142505.71761472261</v>
      </c>
      <c r="V39" s="517">
        <f t="shared" ca="1" si="53"/>
        <v>172495.53307387923</v>
      </c>
      <c r="W39" s="37">
        <f t="shared" ca="1" si="54"/>
        <v>432753.46982909995</v>
      </c>
    </row>
    <row r="40" spans="1:23" s="31" customFormat="1" x14ac:dyDescent="0.75">
      <c r="A40" s="429">
        <f t="shared" si="55"/>
        <v>3403</v>
      </c>
      <c r="B40" s="48" t="str">
        <f>IF(ISERROR(VLOOKUP(A40,'CONSOLIDATED CY Cash Flows'!$B$9:$B$200,1,FALSE)),"NO","YES")</f>
        <v>YES</v>
      </c>
      <c r="C40" s="510" t="s">
        <v>716</v>
      </c>
      <c r="D40" s="508" t="s">
        <v>589</v>
      </c>
      <c r="E40" s="509"/>
      <c r="F40" s="509"/>
      <c r="G40" s="275">
        <f t="shared" ca="1" si="45"/>
        <v>0</v>
      </c>
      <c r="H40" s="275">
        <f t="shared" ca="1" si="45"/>
        <v>0</v>
      </c>
      <c r="I40" s="275">
        <f t="shared" ca="1" si="45"/>
        <v>0</v>
      </c>
      <c r="J40" s="509"/>
      <c r="K40" s="262">
        <f t="shared" ca="1" si="56"/>
        <v>0</v>
      </c>
      <c r="L40" s="544"/>
      <c r="M40"/>
      <c r="N40" s="203"/>
      <c r="O40" s="517">
        <f t="shared" ca="1" si="47"/>
        <v>0</v>
      </c>
      <c r="P40" s="517">
        <f t="shared" ca="1" si="48"/>
        <v>0</v>
      </c>
      <c r="Q40" s="517">
        <f t="shared" ca="1" si="49"/>
        <v>0</v>
      </c>
      <c r="R40" s="37">
        <f t="shared" ca="1" si="50"/>
        <v>0</v>
      </c>
      <c r="T40" s="517">
        <f t="shared" ca="1" si="51"/>
        <v>0</v>
      </c>
      <c r="U40" s="517">
        <f t="shared" ca="1" si="52"/>
        <v>0</v>
      </c>
      <c r="V40" s="517">
        <f t="shared" ca="1" si="53"/>
        <v>0</v>
      </c>
      <c r="W40" s="37">
        <f t="shared" ca="1" si="54"/>
        <v>0</v>
      </c>
    </row>
    <row r="41" spans="1:23" s="31" customFormat="1" x14ac:dyDescent="0.75">
      <c r="A41" s="429">
        <f t="shared" si="55"/>
        <v>3501</v>
      </c>
      <c r="B41" s="48" t="str">
        <f>IF(ISERROR(VLOOKUP(A41,'CONSOLIDATED CY Cash Flows'!$B$9:$B$200,1,FALSE)),"NO","YES")</f>
        <v>YES</v>
      </c>
      <c r="C41" s="510" t="s">
        <v>54</v>
      </c>
      <c r="D41" s="508" t="s">
        <v>1523</v>
      </c>
      <c r="E41" s="509"/>
      <c r="F41" s="509"/>
      <c r="G41" s="275">
        <f t="shared" ca="1" si="45"/>
        <v>19394.743800000022</v>
      </c>
      <c r="H41" s="275">
        <f t="shared" ca="1" si="45"/>
        <v>27103.845400000017</v>
      </c>
      <c r="I41" s="275">
        <f t="shared" ca="1" si="45"/>
        <v>28411.41080000006</v>
      </c>
      <c r="J41" s="509"/>
      <c r="K41" s="262">
        <f t="shared" ca="1" si="56"/>
        <v>74910.000000000102</v>
      </c>
      <c r="L41" s="527">
        <f t="shared" ref="L41:L42" ca="1" si="59">+IFERROR(VLOOKUP($C41,INDIRECT("'"&amp;$G$7&amp;"'!"&amp;"$A$1:$Z$200"),MATCH(L$3,INDIRECT("'"&amp;$G$7&amp;"'!"&amp;"$A$68:$F$68"),0),0),0)</f>
        <v>74910.000000000102</v>
      </c>
      <c r="M41"/>
      <c r="N41" s="203"/>
      <c r="O41" s="517">
        <f t="shared" ca="1" si="47"/>
        <v>20110.40984622002</v>
      </c>
      <c r="P41" s="517">
        <f t="shared" ca="1" si="48"/>
        <v>28103.977295260014</v>
      </c>
      <c r="Q41" s="517">
        <f t="shared" ca="1" si="49"/>
        <v>29459.79185852006</v>
      </c>
      <c r="R41" s="37">
        <f t="shared" ca="1" si="50"/>
        <v>77674.179000000091</v>
      </c>
      <c r="T41" s="517">
        <f t="shared" ca="1" si="51"/>
        <v>20693.6117317604</v>
      </c>
      <c r="U41" s="517">
        <f t="shared" ca="1" si="52"/>
        <v>28918.992636822553</v>
      </c>
      <c r="V41" s="517">
        <f t="shared" ca="1" si="53"/>
        <v>30314.12582241714</v>
      </c>
      <c r="W41" s="37">
        <f t="shared" ca="1" si="54"/>
        <v>79926.730191000097</v>
      </c>
    </row>
    <row r="42" spans="1:23" s="31" customFormat="1" x14ac:dyDescent="0.75">
      <c r="A42" s="429">
        <f t="shared" si="55"/>
        <v>3502</v>
      </c>
      <c r="B42" s="48" t="str">
        <f>IF(ISERROR(VLOOKUP(A42,'CONSOLIDATED CY Cash Flows'!$B$9:$B$200,1,FALSE)),"NO","YES")</f>
        <v>YES</v>
      </c>
      <c r="C42" s="510" t="s">
        <v>56</v>
      </c>
      <c r="D42" s="508" t="s">
        <v>1524</v>
      </c>
      <c r="E42" s="509"/>
      <c r="F42" s="509"/>
      <c r="G42" s="275">
        <f t="shared" ca="1" si="45"/>
        <v>5435.4695999999994</v>
      </c>
      <c r="H42" s="275">
        <f t="shared" ca="1" si="45"/>
        <v>7940.0967999999993</v>
      </c>
      <c r="I42" s="275">
        <f t="shared" ca="1" si="45"/>
        <v>7962.4336000000003</v>
      </c>
      <c r="J42" s="509"/>
      <c r="K42" s="262">
        <f t="shared" ca="1" si="56"/>
        <v>21338</v>
      </c>
      <c r="L42" s="527">
        <f t="shared" ca="1" si="59"/>
        <v>21338</v>
      </c>
      <c r="M42"/>
      <c r="N42" s="203"/>
      <c r="O42" s="517">
        <f t="shared" ca="1" si="47"/>
        <v>5636.0384282399991</v>
      </c>
      <c r="P42" s="517">
        <f t="shared" ca="1" si="48"/>
        <v>8233.0863719199988</v>
      </c>
      <c r="Q42" s="517">
        <f t="shared" ca="1" si="49"/>
        <v>8256.2473998400001</v>
      </c>
      <c r="R42" s="37">
        <f t="shared" ca="1" si="50"/>
        <v>22125.372199999998</v>
      </c>
      <c r="T42" s="517">
        <f t="shared" ca="1" si="51"/>
        <v>5799.4835426589589</v>
      </c>
      <c r="U42" s="517">
        <f t="shared" ca="1" si="52"/>
        <v>8471.8458767056782</v>
      </c>
      <c r="V42" s="517">
        <f t="shared" ca="1" si="53"/>
        <v>8495.6785744353601</v>
      </c>
      <c r="W42" s="37">
        <f t="shared" ca="1" si="54"/>
        <v>22767.007993799998</v>
      </c>
    </row>
    <row r="43" spans="1:23" s="31" customFormat="1" x14ac:dyDescent="0.75">
      <c r="A43" s="429">
        <f t="shared" si="55"/>
        <v>3503</v>
      </c>
      <c r="B43" s="48" t="str">
        <f>IF(ISERROR(VLOOKUP(A43,'CONSOLIDATED CY Cash Flows'!$B$9:$B$200,1,FALSE)),"NO","YES")</f>
        <v>YES</v>
      </c>
      <c r="C43" s="510" t="s">
        <v>717</v>
      </c>
      <c r="D43" s="508" t="s">
        <v>590</v>
      </c>
      <c r="E43" s="509"/>
      <c r="F43" s="509"/>
      <c r="G43" s="275">
        <f t="shared" ca="1" si="45"/>
        <v>0</v>
      </c>
      <c r="H43" s="275">
        <f t="shared" ca="1" si="45"/>
        <v>0</v>
      </c>
      <c r="I43" s="275">
        <f t="shared" ca="1" si="45"/>
        <v>0</v>
      </c>
      <c r="J43" s="509"/>
      <c r="K43" s="262">
        <f t="shared" ca="1" si="56"/>
        <v>0</v>
      </c>
      <c r="L43" s="544"/>
      <c r="M43"/>
      <c r="N43" s="203"/>
      <c r="O43" s="517">
        <f t="shared" ca="1" si="47"/>
        <v>0</v>
      </c>
      <c r="P43" s="517">
        <f t="shared" ca="1" si="48"/>
        <v>0</v>
      </c>
      <c r="Q43" s="517">
        <f t="shared" ca="1" si="49"/>
        <v>0</v>
      </c>
      <c r="R43" s="37">
        <f t="shared" ca="1" si="50"/>
        <v>0</v>
      </c>
      <c r="T43" s="517">
        <f t="shared" ca="1" si="51"/>
        <v>0</v>
      </c>
      <c r="U43" s="517">
        <f t="shared" ca="1" si="52"/>
        <v>0</v>
      </c>
      <c r="V43" s="517">
        <f t="shared" ca="1" si="53"/>
        <v>0</v>
      </c>
      <c r="W43" s="37">
        <f t="shared" ca="1" si="54"/>
        <v>0</v>
      </c>
    </row>
    <row r="44" spans="1:23" s="31" customFormat="1" x14ac:dyDescent="0.75">
      <c r="A44" s="429">
        <f t="shared" si="55"/>
        <v>3601</v>
      </c>
      <c r="B44" s="48" t="str">
        <f>IF(ISERROR(VLOOKUP(A44,'CONSOLIDATED CY Cash Flows'!$B$9:$B$200,1,FALSE)),"NO","YES")</f>
        <v>YES</v>
      </c>
      <c r="C44" s="510" t="s">
        <v>60</v>
      </c>
      <c r="D44" s="508" t="s">
        <v>1525</v>
      </c>
      <c r="E44" s="509"/>
      <c r="F44" s="509"/>
      <c r="G44" s="275">
        <f t="shared" ca="1" si="45"/>
        <v>73805.975594121614</v>
      </c>
      <c r="H44" s="275">
        <f t="shared" ca="1" si="45"/>
        <v>102805.94684752758</v>
      </c>
      <c r="I44" s="275">
        <f t="shared" ca="1" si="45"/>
        <v>108118.56623232961</v>
      </c>
      <c r="J44" s="509"/>
      <c r="K44" s="262">
        <f t="shared" ca="1" si="56"/>
        <v>284730.48867397883</v>
      </c>
      <c r="L44" s="527">
        <f t="shared" ref="L44:L45" ca="1" si="60">+IFERROR(VLOOKUP($C44,INDIRECT("'"&amp;$G$7&amp;"'!"&amp;"$A$1:$Z$200"),MATCH(L$3,INDIRECT("'"&amp;$G$7&amp;"'!"&amp;"$A$68:$F$68"),0),0),0)</f>
        <v>284730.48867397883</v>
      </c>
      <c r="M44"/>
      <c r="N44" s="203"/>
      <c r="O44" s="517">
        <f t="shared" ca="1" si="47"/>
        <v>76529.4160935447</v>
      </c>
      <c r="P44" s="517">
        <f t="shared" ca="1" si="48"/>
        <v>106599.48628620134</v>
      </c>
      <c r="Q44" s="517">
        <f t="shared" ca="1" si="49"/>
        <v>112108.14132630258</v>
      </c>
      <c r="R44" s="37">
        <f t="shared" ca="1" si="50"/>
        <v>295237.04370604863</v>
      </c>
      <c r="T44" s="517">
        <f t="shared" ca="1" si="51"/>
        <v>78748.769160257492</v>
      </c>
      <c r="U44" s="517">
        <f t="shared" ca="1" si="52"/>
        <v>109690.87138850117</v>
      </c>
      <c r="V44" s="517">
        <f t="shared" ca="1" si="53"/>
        <v>115359.27742476534</v>
      </c>
      <c r="W44" s="37">
        <f t="shared" ca="1" si="54"/>
        <v>303798.91797352402</v>
      </c>
    </row>
    <row r="45" spans="1:23" s="31" customFormat="1" x14ac:dyDescent="0.75">
      <c r="A45" s="429">
        <f t="shared" ref="A45:A50" si="61">LEFT(C45,4)+0</f>
        <v>3602</v>
      </c>
      <c r="B45" s="48" t="str">
        <f>IF(ISERROR(VLOOKUP(A45,'CONSOLIDATED CY Cash Flows'!$B$9:$B$200,1,FALSE)),"NO","YES")</f>
        <v>YES</v>
      </c>
      <c r="C45" s="177" t="s">
        <v>62</v>
      </c>
      <c r="D45" s="118" t="s">
        <v>1526</v>
      </c>
      <c r="E45" s="62"/>
      <c r="F45" s="62"/>
      <c r="G45" s="275">
        <f t="shared" ca="1" si="45"/>
        <v>18720.261502423116</v>
      </c>
      <c r="H45" s="275">
        <f t="shared" ca="1" si="45"/>
        <v>23260.375570554686</v>
      </c>
      <c r="I45" s="275">
        <f t="shared" ca="1" si="45"/>
        <v>27423.359922329495</v>
      </c>
      <c r="J45" s="62"/>
      <c r="K45" s="262">
        <f t="shared" ca="1" si="56"/>
        <v>69403.996995307301</v>
      </c>
      <c r="L45" s="527">
        <f t="shared" ca="1" si="60"/>
        <v>69403.996995307301</v>
      </c>
      <c r="M45"/>
      <c r="N45" s="203"/>
      <c r="O45" s="517">
        <f t="shared" ca="1" si="47"/>
        <v>19411.039151862529</v>
      </c>
      <c r="P45" s="517">
        <f t="shared" ca="1" si="48"/>
        <v>24118.683429108154</v>
      </c>
      <c r="Q45" s="517">
        <f t="shared" ca="1" si="49"/>
        <v>28435.281903463452</v>
      </c>
      <c r="R45" s="37">
        <f t="shared" ca="1" si="50"/>
        <v>71965.004484434146</v>
      </c>
      <c r="T45" s="517">
        <f t="shared" ca="1" si="51"/>
        <v>19973.959287266542</v>
      </c>
      <c r="U45" s="517">
        <f t="shared" ca="1" si="52"/>
        <v>24818.125248552289</v>
      </c>
      <c r="V45" s="517">
        <f t="shared" ca="1" si="53"/>
        <v>29259.905078663891</v>
      </c>
      <c r="W45" s="37">
        <f t="shared" ca="1" si="54"/>
        <v>74051.989614482722</v>
      </c>
    </row>
    <row r="46" spans="1:23" s="31" customFormat="1" x14ac:dyDescent="0.75">
      <c r="A46" s="429">
        <f t="shared" si="61"/>
        <v>3603</v>
      </c>
      <c r="B46" s="48" t="str">
        <f>IF(ISERROR(VLOOKUP(A46,'CONSOLIDATED CY Cash Flows'!$B$9:$B$200,1,FALSE)),"NO","YES")</f>
        <v>YES</v>
      </c>
      <c r="C46" s="177" t="s">
        <v>718</v>
      </c>
      <c r="D46" s="118" t="s">
        <v>591</v>
      </c>
      <c r="E46" s="62"/>
      <c r="F46" s="62"/>
      <c r="G46" s="275">
        <f t="shared" ca="1" si="45"/>
        <v>0</v>
      </c>
      <c r="H46" s="275">
        <f t="shared" ca="1" si="45"/>
        <v>0</v>
      </c>
      <c r="I46" s="275">
        <f t="shared" ca="1" si="45"/>
        <v>0</v>
      </c>
      <c r="J46" s="62"/>
      <c r="K46" s="262">
        <f t="shared" ca="1" si="56"/>
        <v>0</v>
      </c>
      <c r="L46" s="526"/>
      <c r="M46"/>
      <c r="N46" s="203"/>
      <c r="O46" s="517">
        <f t="shared" ca="1" si="47"/>
        <v>0</v>
      </c>
      <c r="P46" s="517">
        <f t="shared" ca="1" si="48"/>
        <v>0</v>
      </c>
      <c r="Q46" s="517">
        <f t="shared" ca="1" si="49"/>
        <v>0</v>
      </c>
      <c r="R46" s="37">
        <f t="shared" ca="1" si="50"/>
        <v>0</v>
      </c>
      <c r="T46" s="517">
        <f t="shared" ca="1" si="51"/>
        <v>0</v>
      </c>
      <c r="U46" s="517">
        <f t="shared" ca="1" si="52"/>
        <v>0</v>
      </c>
      <c r="V46" s="517">
        <f t="shared" ca="1" si="53"/>
        <v>0</v>
      </c>
      <c r="W46" s="37">
        <f t="shared" ca="1" si="54"/>
        <v>0</v>
      </c>
    </row>
    <row r="47" spans="1:23" s="31" customFormat="1" x14ac:dyDescent="0.75">
      <c r="A47" s="429">
        <f t="shared" si="61"/>
        <v>3703</v>
      </c>
      <c r="B47" s="48" t="str">
        <f>IF(ISERROR(VLOOKUP(A47,'CONSOLIDATED CY Cash Flows'!$B$9:$B$200,1,FALSE)),"NO","YES")</f>
        <v>YES</v>
      </c>
      <c r="C47" s="177" t="s">
        <v>1074</v>
      </c>
      <c r="D47" s="119">
        <v>0</v>
      </c>
      <c r="E47" s="62"/>
      <c r="F47" s="62"/>
      <c r="G47" s="275">
        <f t="shared" ca="1" si="45"/>
        <v>0</v>
      </c>
      <c r="H47" s="275">
        <f t="shared" ca="1" si="45"/>
        <v>0</v>
      </c>
      <c r="I47" s="275">
        <f t="shared" ca="1" si="45"/>
        <v>0</v>
      </c>
      <c r="J47" s="62"/>
      <c r="K47" s="262">
        <f t="shared" ref="K47:K52" ca="1" si="62">SUM(G47:I47)</f>
        <v>0</v>
      </c>
      <c r="L47" s="526"/>
      <c r="M47"/>
      <c r="N47" s="203"/>
      <c r="O47" s="517">
        <f t="shared" ca="1" si="47"/>
        <v>0</v>
      </c>
      <c r="P47" s="517">
        <f t="shared" ca="1" si="48"/>
        <v>0</v>
      </c>
      <c r="Q47" s="517">
        <f t="shared" ca="1" si="49"/>
        <v>0</v>
      </c>
      <c r="R47" s="37">
        <f t="shared" ca="1" si="50"/>
        <v>0</v>
      </c>
      <c r="T47" s="517">
        <f t="shared" ca="1" si="51"/>
        <v>0</v>
      </c>
      <c r="U47" s="517">
        <f t="shared" ca="1" si="52"/>
        <v>0</v>
      </c>
      <c r="V47" s="517">
        <f t="shared" ca="1" si="53"/>
        <v>0</v>
      </c>
      <c r="W47" s="37">
        <f t="shared" ca="1" si="54"/>
        <v>0</v>
      </c>
    </row>
    <row r="48" spans="1:23" s="31" customFormat="1" x14ac:dyDescent="0.75">
      <c r="A48" s="429">
        <f t="shared" si="61"/>
        <v>3901</v>
      </c>
      <c r="B48" s="48" t="str">
        <f>IF(ISERROR(VLOOKUP(A48,'CONSOLIDATED CY Cash Flows'!$B$9:$B$200,1,FALSE)),"NO","YES")</f>
        <v>YES</v>
      </c>
      <c r="C48" s="177" t="s">
        <v>82</v>
      </c>
      <c r="D48" s="118" t="s">
        <v>1527</v>
      </c>
      <c r="E48" s="62"/>
      <c r="F48" s="62"/>
      <c r="G48" s="275">
        <f t="shared" ca="1" si="45"/>
        <v>24139.729984459944</v>
      </c>
      <c r="H48" s="275">
        <f t="shared" ca="1" si="45"/>
        <v>29214.307548264092</v>
      </c>
      <c r="I48" s="275">
        <f t="shared" ca="1" si="45"/>
        <v>35362.353442872969</v>
      </c>
      <c r="J48" s="62"/>
      <c r="K48" s="262">
        <f ca="1">SUM(G48:I48)</f>
        <v>88716.390975596994</v>
      </c>
      <c r="L48" s="527">
        <f t="shared" ref="L48" ca="1" si="63">+IFERROR(VLOOKUP($C48,INDIRECT("'"&amp;$G$7&amp;"'!"&amp;"$A$1:$Z$200"),MATCH(L$3,INDIRECT("'"&amp;$G$7&amp;"'!"&amp;"$A$68:$F$68"),0),0),0)</f>
        <v>88716.390975596994</v>
      </c>
      <c r="M48"/>
      <c r="N48" s="203"/>
      <c r="O48" s="517">
        <f t="shared" ca="1" si="47"/>
        <v>25030.486020886514</v>
      </c>
      <c r="P48" s="517">
        <f t="shared" ca="1" si="48"/>
        <v>30292.315496795036</v>
      </c>
      <c r="Q48" s="517">
        <f t="shared" ca="1" si="49"/>
        <v>36667.224284914977</v>
      </c>
      <c r="R48" s="37">
        <f t="shared" ca="1" si="50"/>
        <v>91990.02580259653</v>
      </c>
      <c r="T48" s="517">
        <f t="shared" ca="1" si="51"/>
        <v>25756.37011549222</v>
      </c>
      <c r="U48" s="517">
        <f t="shared" ca="1" si="52"/>
        <v>31170.792646202088</v>
      </c>
      <c r="V48" s="517">
        <f t="shared" ca="1" si="53"/>
        <v>37730.573789177506</v>
      </c>
      <c r="W48" s="37">
        <f t="shared" ca="1" si="54"/>
        <v>94657.736550871807</v>
      </c>
    </row>
    <row r="49" spans="1:26" s="31" customFormat="1" x14ac:dyDescent="0.75">
      <c r="A49" s="429">
        <f t="shared" si="61"/>
        <v>3902</v>
      </c>
      <c r="B49" s="48" t="str">
        <f>IF(ISERROR(VLOOKUP(A49,'CONSOLIDATED CY Cash Flows'!$B$9:$B$200,1,FALSE)),"NO","YES")</f>
        <v>YES</v>
      </c>
      <c r="C49" s="177" t="s">
        <v>84</v>
      </c>
      <c r="D49" s="118" t="s">
        <v>1528</v>
      </c>
      <c r="E49" s="62"/>
      <c r="F49" s="62"/>
      <c r="G49" s="275">
        <f t="shared" ca="1" si="45"/>
        <v>0</v>
      </c>
      <c r="H49" s="275">
        <f t="shared" ca="1" si="45"/>
        <v>0</v>
      </c>
      <c r="I49" s="275">
        <f t="shared" ca="1" si="45"/>
        <v>0</v>
      </c>
      <c r="J49" s="62"/>
      <c r="K49" s="262">
        <f ca="1">SUM(G49:I49)</f>
        <v>0</v>
      </c>
      <c r="L49" s="526"/>
      <c r="M49"/>
      <c r="N49" s="203"/>
      <c r="O49" s="517">
        <f t="shared" ca="1" si="47"/>
        <v>0</v>
      </c>
      <c r="P49" s="517">
        <f t="shared" ca="1" si="48"/>
        <v>0</v>
      </c>
      <c r="Q49" s="517">
        <f t="shared" ca="1" si="49"/>
        <v>0</v>
      </c>
      <c r="R49" s="37">
        <f t="shared" ca="1" si="50"/>
        <v>0</v>
      </c>
      <c r="T49" s="517">
        <f t="shared" ca="1" si="51"/>
        <v>0</v>
      </c>
      <c r="U49" s="517">
        <f t="shared" ca="1" si="52"/>
        <v>0</v>
      </c>
      <c r="V49" s="517">
        <f t="shared" ca="1" si="53"/>
        <v>0</v>
      </c>
      <c r="W49" s="37">
        <f t="shared" ca="1" si="54"/>
        <v>0</v>
      </c>
    </row>
    <row r="50" spans="1:26" s="31" customFormat="1" x14ac:dyDescent="0.75">
      <c r="A50" s="429">
        <f t="shared" si="61"/>
        <v>3903</v>
      </c>
      <c r="B50" s="48" t="str">
        <f>IF(ISERROR(VLOOKUP(A50,'CONSOLIDATED CY Cash Flows'!$B$9:$B$200,1,FALSE)),"NO","YES")</f>
        <v>YES</v>
      </c>
      <c r="C50" s="177" t="s">
        <v>1073</v>
      </c>
      <c r="D50" s="118" t="s">
        <v>1075</v>
      </c>
      <c r="E50" s="62"/>
      <c r="F50" s="62"/>
      <c r="G50" s="275">
        <f t="shared" ca="1" si="45"/>
        <v>0</v>
      </c>
      <c r="H50" s="275">
        <f t="shared" ca="1" si="45"/>
        <v>0</v>
      </c>
      <c r="I50" s="275">
        <f t="shared" ca="1" si="45"/>
        <v>0</v>
      </c>
      <c r="J50" s="62"/>
      <c r="K50" s="262">
        <f t="shared" ca="1" si="62"/>
        <v>0</v>
      </c>
      <c r="L50" s="526"/>
      <c r="M50"/>
      <c r="N50" s="203"/>
      <c r="O50" s="517">
        <f t="shared" ca="1" si="47"/>
        <v>0</v>
      </c>
      <c r="P50" s="517">
        <f t="shared" ca="1" si="48"/>
        <v>0</v>
      </c>
      <c r="Q50" s="517">
        <f t="shared" ca="1" si="49"/>
        <v>0</v>
      </c>
      <c r="R50" s="37">
        <f t="shared" ca="1" si="50"/>
        <v>0</v>
      </c>
      <c r="T50" s="517">
        <f t="shared" ca="1" si="51"/>
        <v>0</v>
      </c>
      <c r="U50" s="517">
        <f t="shared" ca="1" si="52"/>
        <v>0</v>
      </c>
      <c r="V50" s="517">
        <f t="shared" ca="1" si="53"/>
        <v>0</v>
      </c>
      <c r="W50" s="37">
        <f t="shared" ca="1" si="54"/>
        <v>0</v>
      </c>
    </row>
    <row r="51" spans="1:26" s="31" customFormat="1" x14ac:dyDescent="0.75">
      <c r="A51" s="429"/>
      <c r="B51" s="48"/>
      <c r="C51" s="177"/>
      <c r="D51" s="119"/>
      <c r="E51" s="62"/>
      <c r="F51" s="62"/>
      <c r="G51" s="275"/>
      <c r="H51" s="275"/>
      <c r="I51" s="275"/>
      <c r="J51" s="62"/>
      <c r="K51" s="262">
        <f t="shared" si="62"/>
        <v>0</v>
      </c>
      <c r="L51" s="526"/>
      <c r="M51"/>
      <c r="N51" s="203"/>
      <c r="O51" s="517">
        <f t="shared" si="47"/>
        <v>0</v>
      </c>
      <c r="P51" s="517">
        <f t="shared" si="48"/>
        <v>0</v>
      </c>
      <c r="Q51" s="517">
        <f t="shared" si="49"/>
        <v>0</v>
      </c>
      <c r="R51" s="37">
        <f t="shared" si="50"/>
        <v>0</v>
      </c>
      <c r="T51" s="517">
        <f t="shared" si="51"/>
        <v>0</v>
      </c>
      <c r="U51" s="517">
        <f t="shared" si="52"/>
        <v>0</v>
      </c>
      <c r="V51" s="517">
        <f t="shared" si="53"/>
        <v>0</v>
      </c>
      <c r="W51" s="37">
        <f t="shared" si="54"/>
        <v>0</v>
      </c>
    </row>
    <row r="52" spans="1:26" s="31" customFormat="1" x14ac:dyDescent="0.75">
      <c r="A52" s="429"/>
      <c r="B52" s="48"/>
      <c r="C52" s="115"/>
      <c r="D52" s="116"/>
      <c r="E52" s="62"/>
      <c r="F52" s="62"/>
      <c r="G52" s="275"/>
      <c r="H52" s="275"/>
      <c r="I52" s="275"/>
      <c r="J52" s="62"/>
      <c r="K52" s="262">
        <f t="shared" si="62"/>
        <v>0</v>
      </c>
      <c r="L52" s="526"/>
      <c r="M52"/>
      <c r="N52" s="203"/>
      <c r="O52" s="517">
        <f t="shared" si="47"/>
        <v>0</v>
      </c>
      <c r="P52" s="517">
        <f t="shared" si="48"/>
        <v>0</v>
      </c>
      <c r="Q52" s="517">
        <f t="shared" si="49"/>
        <v>0</v>
      </c>
      <c r="R52" s="37">
        <f t="shared" si="50"/>
        <v>0</v>
      </c>
      <c r="T52" s="517">
        <f t="shared" si="51"/>
        <v>0</v>
      </c>
      <c r="U52" s="517">
        <f t="shared" si="52"/>
        <v>0</v>
      </c>
      <c r="V52" s="517">
        <f t="shared" si="53"/>
        <v>0</v>
      </c>
      <c r="W52" s="37">
        <f t="shared" si="54"/>
        <v>0</v>
      </c>
    </row>
    <row r="53" spans="1:26" s="31" customFormat="1" x14ac:dyDescent="0.75">
      <c r="A53" s="35"/>
      <c r="B53" s="35"/>
      <c r="C53" s="42" t="s">
        <v>737</v>
      </c>
      <c r="D53" s="34" t="s">
        <v>719</v>
      </c>
      <c r="E53" s="153" t="str">
        <f t="shared" ref="E53:L53" si="64">IF(SUM(E31:E52)&gt;0,SUM(E31:E52),"")</f>
        <v/>
      </c>
      <c r="F53" s="153" t="str">
        <f t="shared" si="64"/>
        <v/>
      </c>
      <c r="G53" s="45">
        <f ca="1">IF(SUM(G31:G52)&gt;0,SUM(G31:G52),"")</f>
        <v>1411346.9877217372</v>
      </c>
      <c r="H53" s="45">
        <f t="shared" ca="1" si="64"/>
        <v>1952480.1407253153</v>
      </c>
      <c r="I53" s="45">
        <f ca="1">IF(SUM(I31:I52)&gt;0,SUM(I31:I52),"")</f>
        <v>2067485.8849903869</v>
      </c>
      <c r="J53" s="153" t="str">
        <f t="shared" si="64"/>
        <v/>
      </c>
      <c r="K53" s="288">
        <f t="shared" ca="1" si="64"/>
        <v>5431313.0134374388</v>
      </c>
      <c r="L53" s="524">
        <f t="shared" ca="1" si="64"/>
        <v>5431313.0134374388</v>
      </c>
      <c r="M53"/>
      <c r="N53" s="203"/>
      <c r="O53" s="588">
        <f ca="1">+SUM(O32:O52)</f>
        <v>1463425.6915686692</v>
      </c>
      <c r="P53" s="588">
        <f t="shared" ref="P53:R53" ca="1" si="65">+SUM(P32:P52)</f>
        <v>2024526.6579180798</v>
      </c>
      <c r="Q53" s="588">
        <f t="shared" ca="1" si="65"/>
        <v>2143776.114146532</v>
      </c>
      <c r="R53" s="588">
        <f t="shared" ca="1" si="65"/>
        <v>5631728.4636332812</v>
      </c>
      <c r="T53" s="588">
        <f ca="1">+SUM(T32:T52)</f>
        <v>1505865.0366241604</v>
      </c>
      <c r="U53" s="588">
        <f t="shared" ref="U53" ca="1" si="66">+SUM(U32:U52)</f>
        <v>2083237.9309977039</v>
      </c>
      <c r="V53" s="588">
        <f t="shared" ref="V53" ca="1" si="67">+SUM(V32:V52)</f>
        <v>2205945.6214567814</v>
      </c>
      <c r="W53" s="588">
        <f t="shared" ref="W53" ca="1" si="68">+SUM(W32:W52)</f>
        <v>5795048.5890786452</v>
      </c>
    </row>
    <row r="54" spans="1:26" s="31" customFormat="1" ht="16.5" thickBot="1" x14ac:dyDescent="0.9">
      <c r="A54" s="35"/>
      <c r="B54" s="35"/>
      <c r="C54" s="39"/>
      <c r="D54" s="2"/>
      <c r="E54" s="169"/>
      <c r="F54" s="169"/>
      <c r="G54" s="282"/>
      <c r="H54" s="282"/>
      <c r="I54" s="282"/>
      <c r="J54" s="169"/>
      <c r="K54" s="312"/>
      <c r="L54" s="663"/>
      <c r="M54"/>
      <c r="N54" s="203"/>
      <c r="O54"/>
      <c r="P54"/>
      <c r="Q54"/>
      <c r="T54"/>
      <c r="U54"/>
      <c r="V54"/>
    </row>
    <row r="55" spans="1:26" s="31" customFormat="1" x14ac:dyDescent="0.75">
      <c r="B55" s="34"/>
      <c r="C55" s="34" t="s">
        <v>734</v>
      </c>
      <c r="D55" s="2"/>
      <c r="E55" s="153" t="str">
        <f t="shared" ref="E55:K55" si="69">IF(SUM(E16,E29,E53)&gt;0,SUM(E16,E29,E53),"")</f>
        <v/>
      </c>
      <c r="F55" s="153" t="str">
        <f t="shared" si="69"/>
        <v/>
      </c>
      <c r="G55" s="45">
        <f t="shared" ca="1" si="69"/>
        <v>5817358.2780333916</v>
      </c>
      <c r="H55" s="45">
        <f t="shared" ca="1" si="69"/>
        <v>7955638.3511101799</v>
      </c>
      <c r="I55" s="45">
        <f t="shared" ca="1" si="69"/>
        <v>8521863.3209265377</v>
      </c>
      <c r="J55" s="317" t="str">
        <f t="shared" si="69"/>
        <v/>
      </c>
      <c r="K55" s="288">
        <f t="shared" ca="1" si="69"/>
        <v>22294859.950070109</v>
      </c>
      <c r="L55" s="524">
        <f ca="1">IF(SUM(L16,L29,L53)&gt;0,SUM(L16,L29,L53),"")</f>
        <v>22294859.950070109</v>
      </c>
      <c r="M55"/>
      <c r="N55" s="203"/>
      <c r="O55" s="589">
        <f ca="1">+O53+O29+O16</f>
        <v>6032018.7984928228</v>
      </c>
      <c r="P55" s="589">
        <f t="shared" ref="P55:R55" ca="1" si="70">+P53+P29+P16</f>
        <v>8249201.4062661454</v>
      </c>
      <c r="Q55" s="589">
        <f t="shared" ca="1" si="70"/>
        <v>8776320.0774687268</v>
      </c>
      <c r="R55" s="589">
        <f t="shared" ca="1" si="70"/>
        <v>23057540.282227695</v>
      </c>
      <c r="T55" s="594">
        <f ca="1">+T53+T29+T16</f>
        <v>6206947.3436491136</v>
      </c>
      <c r="U55" s="594">
        <f t="shared" ref="U55:W55" ca="1" si="71">+U53+U29+U16</f>
        <v>8488428.2470478639</v>
      </c>
      <c r="V55" s="594">
        <f t="shared" ca="1" si="71"/>
        <v>9030833.3597153183</v>
      </c>
      <c r="W55" s="594">
        <f t="shared" ca="1" si="71"/>
        <v>23726208.950412296</v>
      </c>
    </row>
    <row r="56" spans="1:26" s="304" customFormat="1" ht="11" x14ac:dyDescent="0.6">
      <c r="B56" s="298"/>
      <c r="C56" s="298"/>
      <c r="D56" s="300"/>
      <c r="E56" s="301"/>
      <c r="F56" s="301"/>
      <c r="G56" s="302">
        <f ca="1">+G55/K55</f>
        <v>0.26092822700216595</v>
      </c>
      <c r="H56" s="302">
        <f ca="1">+H55/K55</f>
        <v>0.3568373324132571</v>
      </c>
      <c r="I56" s="302">
        <f ca="1">+I55/K55</f>
        <v>0.38223444058457695</v>
      </c>
      <c r="J56" s="301"/>
      <c r="K56" s="313"/>
      <c r="L56" s="301">
        <f ca="1">+K55-L55</f>
        <v>0</v>
      </c>
      <c r="M56" s="303"/>
      <c r="N56" s="296"/>
      <c r="O56" s="303"/>
      <c r="P56" s="303"/>
      <c r="Q56" s="303"/>
    </row>
    <row r="57" spans="1:26" s="31" customFormat="1" x14ac:dyDescent="0.75">
      <c r="B57" s="34"/>
      <c r="C57" s="34" t="s">
        <v>676</v>
      </c>
      <c r="D57" s="2"/>
      <c r="E57" s="164"/>
      <c r="F57" s="164"/>
      <c r="G57" s="281"/>
      <c r="H57" s="281"/>
      <c r="I57" s="281"/>
      <c r="J57" s="164"/>
      <c r="K57" s="195"/>
      <c r="L57" s="164"/>
      <c r="M57"/>
      <c r="N57" s="203"/>
      <c r="O57"/>
      <c r="P57"/>
      <c r="Q57"/>
    </row>
    <row r="58" spans="1:26" s="31" customFormat="1" x14ac:dyDescent="0.75">
      <c r="A58" s="429">
        <f t="shared" ref="A58:A69" si="72">LEFT(C58,4)+0</f>
        <v>4100</v>
      </c>
      <c r="B58" s="48" t="str">
        <f>IF(ISERROR(VLOOKUP(A58,'CONSOLIDATED CY Cash Flows'!$B$9:$B$200,1,FALSE)),"NO","YES")</f>
        <v>YES</v>
      </c>
      <c r="C58" s="64" t="str">
        <f>'Expenses Input'!B8</f>
        <v>4100</v>
      </c>
      <c r="D58" s="64" t="str">
        <f>'Expenses Input'!C8</f>
        <v>Approved Textbooks and Core Curricula Materials</v>
      </c>
      <c r="E58" s="62"/>
      <c r="F58" s="62"/>
      <c r="G58" s="527">
        <f>+$L58*'Revenue w MYP'!G$52</f>
        <v>1161071.4952297057</v>
      </c>
      <c r="H58" s="527">
        <f>+$L58*'Revenue w MYP'!H$52</f>
        <v>1404788.0391344901</v>
      </c>
      <c r="I58" s="527">
        <f>+$L58*'Revenue w MYP'!I$52</f>
        <v>1700700.4656358042</v>
      </c>
      <c r="J58" s="62"/>
      <c r="K58" s="262">
        <f>+SUM(G58:I58)</f>
        <v>4266560</v>
      </c>
      <c r="L58" s="526">
        <f>(2800*1567*0.8)+(48*2200*0.8)+(3000*280*0.8)</f>
        <v>4266560</v>
      </c>
      <c r="M58"/>
      <c r="N58" s="203"/>
      <c r="O58" s="517">
        <f t="shared" ref="O58:O69" si="73">+G58*(1+$P$4)</f>
        <v>1203915.0334036818</v>
      </c>
      <c r="P58" s="517">
        <f t="shared" ref="P58:P69" si="74">+H58*(1+$P$4)</f>
        <v>1456624.7177785526</v>
      </c>
      <c r="Q58" s="517">
        <f t="shared" ref="Q58:Q69" si="75">+I58*(1+$P$4)</f>
        <v>1763456.3128177654</v>
      </c>
      <c r="R58" s="37">
        <f t="shared" ref="R58:R69" si="76">+SUM(O58:Q58)</f>
        <v>4423996.0639999993</v>
      </c>
      <c r="T58" s="517">
        <f t="shared" ref="T58:T69" si="77">+O58*(1+$U$4)</f>
        <v>1238828.5693723885</v>
      </c>
      <c r="U58" s="517">
        <f t="shared" ref="U58:U69" si="78">+P58*(1+$U$4)</f>
        <v>1498866.8345941305</v>
      </c>
      <c r="V58" s="517">
        <f t="shared" ref="V58:V69" si="79">+Q58*(1+$U$4)</f>
        <v>1814596.5458894805</v>
      </c>
      <c r="W58" s="37">
        <f t="shared" ref="W58:W69" si="80">+SUM(T58:V58)</f>
        <v>4552291.949856</v>
      </c>
      <c r="X58" s="490">
        <f>+ROUNDDOWN(C58,-2)</f>
        <v>4100</v>
      </c>
      <c r="Y58"/>
      <c r="Z58"/>
    </row>
    <row r="59" spans="1:26" s="31" customFormat="1" x14ac:dyDescent="0.75">
      <c r="A59" s="429">
        <f t="shared" ref="A59:A60" si="81">LEFT(C59,4)+0</f>
        <v>4101</v>
      </c>
      <c r="B59" s="48" t="str">
        <f>IF(ISERROR(VLOOKUP(A59,'CONSOLIDATED CY Cash Flows'!$B$9:$B$200,1,FALSE)),"NO","YES")</f>
        <v>YES</v>
      </c>
      <c r="C59" s="64" t="str">
        <f>'Expenses Input'!B9</f>
        <v>4101</v>
      </c>
      <c r="D59" s="64" t="str">
        <f>'Expenses Input'!C9</f>
        <v>Curriculum Assesment and Software</v>
      </c>
      <c r="E59" s="538"/>
      <c r="F59" s="538"/>
      <c r="G59" s="275">
        <f>+$L59*'Revenue w MYP'!G$52</f>
        <v>15534.436462558248</v>
      </c>
      <c r="H59" s="275">
        <f>+$L59*'Revenue w MYP'!H$52</f>
        <v>18795.21685525417</v>
      </c>
      <c r="I59" s="275">
        <f>+$L59*'Revenue w MYP'!I$52</f>
        <v>22754.346682187581</v>
      </c>
      <c r="J59" s="62"/>
      <c r="K59" s="262">
        <f t="shared" ref="K59" si="82">+SUM(G59:I59)</f>
        <v>57084</v>
      </c>
      <c r="L59" s="526">
        <f>57084+(233000*0)</f>
        <v>57084</v>
      </c>
      <c r="M59"/>
      <c r="N59" s="203"/>
      <c r="O59" s="517">
        <f t="shared" si="73"/>
        <v>16107.657168026646</v>
      </c>
      <c r="P59" s="517">
        <f t="shared" si="74"/>
        <v>19488.760357213047</v>
      </c>
      <c r="Q59" s="517">
        <f t="shared" si="75"/>
        <v>23593.982074760301</v>
      </c>
      <c r="R59" s="37">
        <f t="shared" si="76"/>
        <v>59190.399599999997</v>
      </c>
      <c r="T59" s="517">
        <f t="shared" si="77"/>
        <v>16574.779225899416</v>
      </c>
      <c r="U59" s="517">
        <f t="shared" si="78"/>
        <v>20053.934407572222</v>
      </c>
      <c r="V59" s="517">
        <f t="shared" si="79"/>
        <v>24278.207554928347</v>
      </c>
      <c r="W59" s="37">
        <f t="shared" si="80"/>
        <v>60906.921188399981</v>
      </c>
      <c r="X59" s="490"/>
      <c r="Y59"/>
      <c r="Z59"/>
    </row>
    <row r="60" spans="1:26" s="31" customFormat="1" x14ac:dyDescent="0.75">
      <c r="A60" s="429">
        <f t="shared" si="81"/>
        <v>4102</v>
      </c>
      <c r="B60" s="48" t="str">
        <f>IF(ISERROR(VLOOKUP(A60,'CONSOLIDATED CY Cash Flows'!$B$9:$B$200,1,FALSE)),"NO","YES")</f>
        <v>YES</v>
      </c>
      <c r="C60" s="64" t="str">
        <f>'Expenses Input'!B10</f>
        <v>4102</v>
      </c>
      <c r="D60" s="64" t="str">
        <f>'Expenses Input'!C10</f>
        <v xml:space="preserve">Supplemental Curriculum </v>
      </c>
      <c r="E60" s="509"/>
      <c r="F60" s="509"/>
      <c r="G60" s="275">
        <f>+$L60*'Revenue w MYP'!G$52</f>
        <v>32249.385597223874</v>
      </c>
      <c r="H60" s="275">
        <f>+$L60*'Revenue w MYP'!H$52</f>
        <v>39018.743757423283</v>
      </c>
      <c r="I60" s="275">
        <f>+$L60*'Revenue w MYP'!I$52</f>
        <v>47237.870645352843</v>
      </c>
      <c r="J60" s="62"/>
      <c r="K60" s="262">
        <f t="shared" ref="K60" si="83">+SUM(G60:I60)</f>
        <v>118506</v>
      </c>
      <c r="L60" s="526">
        <f>(312760-194254)</f>
        <v>118506</v>
      </c>
      <c r="M60"/>
      <c r="N60" s="203"/>
      <c r="O60" s="517">
        <f t="shared" si="73"/>
        <v>33439.387925761432</v>
      </c>
      <c r="P60" s="517">
        <f t="shared" si="74"/>
        <v>40458.535402072201</v>
      </c>
      <c r="Q60" s="517">
        <f t="shared" si="75"/>
        <v>48980.948072166357</v>
      </c>
      <c r="R60" s="37">
        <f t="shared" si="76"/>
        <v>122878.87139999999</v>
      </c>
      <c r="T60" s="517">
        <f t="shared" si="77"/>
        <v>34409.130175608509</v>
      </c>
      <c r="U60" s="517">
        <f t="shared" si="78"/>
        <v>41631.832928732292</v>
      </c>
      <c r="V60" s="517">
        <f t="shared" si="79"/>
        <v>50401.395566259176</v>
      </c>
      <c r="W60" s="37">
        <f t="shared" si="80"/>
        <v>126442.35867059998</v>
      </c>
      <c r="X60" s="490"/>
      <c r="Y60"/>
      <c r="Z60"/>
    </row>
    <row r="61" spans="1:26" x14ac:dyDescent="0.75">
      <c r="A61" s="429">
        <f t="shared" si="72"/>
        <v>4200</v>
      </c>
      <c r="B61" s="48" t="str">
        <f>IF(ISERROR(VLOOKUP(A61,'CONSOLIDATED CY Cash Flows'!$B$9:$B$200,1,FALSE)),"NO","YES")</f>
        <v>YES</v>
      </c>
      <c r="C61" s="64" t="str">
        <f>'Expenses Input'!B11</f>
        <v>4200</v>
      </c>
      <c r="D61" s="64" t="str">
        <f>'Expenses Input'!C11</f>
        <v>Books and Other Reference Materials</v>
      </c>
      <c r="E61" s="62"/>
      <c r="F61" s="62"/>
      <c r="G61" s="275">
        <f>+$L61*'Revenue w MYP'!G$52</f>
        <v>36737.946227408087</v>
      </c>
      <c r="H61" s="275">
        <f>+$L61*'Revenue w MYP'!H$52</f>
        <v>44449.482787809422</v>
      </c>
      <c r="I61" s="275">
        <f>+$L61*'Revenue w MYP'!I$52</f>
        <v>53812.570984782491</v>
      </c>
      <c r="J61" s="62"/>
      <c r="K61" s="262">
        <f t="shared" ref="K61:K69" si="84">+SUM(G61:I61)</f>
        <v>135000</v>
      </c>
      <c r="L61" s="526">
        <v>135000</v>
      </c>
      <c r="O61" s="517">
        <f t="shared" si="73"/>
        <v>38093.576443199439</v>
      </c>
      <c r="P61" s="517">
        <f t="shared" si="74"/>
        <v>46089.668702679584</v>
      </c>
      <c r="Q61" s="517">
        <f t="shared" si="75"/>
        <v>55798.254854120962</v>
      </c>
      <c r="R61" s="37">
        <f t="shared" si="76"/>
        <v>139981.49999999997</v>
      </c>
      <c r="T61" s="517">
        <f t="shared" si="77"/>
        <v>39198.290160052216</v>
      </c>
      <c r="U61" s="517">
        <f t="shared" si="78"/>
        <v>47426.269095057287</v>
      </c>
      <c r="V61" s="517">
        <f t="shared" si="79"/>
        <v>57416.404244890466</v>
      </c>
      <c r="W61" s="37">
        <f t="shared" si="80"/>
        <v>144040.96349999995</v>
      </c>
      <c r="X61" s="490">
        <f>+ROUNDDOWN(C61,-2)</f>
        <v>4200</v>
      </c>
      <c r="Y61"/>
      <c r="Z61"/>
    </row>
    <row r="62" spans="1:26" x14ac:dyDescent="0.75">
      <c r="A62" s="429">
        <f t="shared" ref="A62" si="85">LEFT(C62,4)+0</f>
        <v>4215</v>
      </c>
      <c r="B62" s="48" t="str">
        <f>IF(ISERROR(VLOOKUP(A62,'CONSOLIDATED CY Cash Flows'!$B$9:$B$200,1,FALSE)),"NO","YES")</f>
        <v>YES</v>
      </c>
      <c r="C62" s="64" t="str">
        <f>'Expenses Input'!B12</f>
        <v>4215</v>
      </c>
      <c r="D62" s="64" t="str">
        <f>'Expenses Input'!C12</f>
        <v xml:space="preserve">ESSA - CSI </v>
      </c>
      <c r="E62" s="62"/>
      <c r="F62" s="62"/>
      <c r="G62" s="275"/>
      <c r="H62" s="780">
        <v>35000</v>
      </c>
      <c r="I62" s="780">
        <v>5000</v>
      </c>
      <c r="J62" s="62"/>
      <c r="K62" s="262">
        <f>+SUM(G62:I62)</f>
        <v>40000</v>
      </c>
      <c r="L62" s="526">
        <f>+K62</f>
        <v>40000</v>
      </c>
      <c r="O62" s="517">
        <f t="shared" si="73"/>
        <v>0</v>
      </c>
      <c r="P62" s="517">
        <f t="shared" si="74"/>
        <v>36291.5</v>
      </c>
      <c r="Q62" s="517">
        <f t="shared" si="75"/>
        <v>5184.5</v>
      </c>
      <c r="R62" s="37">
        <f t="shared" si="76"/>
        <v>41476</v>
      </c>
      <c r="T62" s="517">
        <f t="shared" si="77"/>
        <v>0</v>
      </c>
      <c r="U62" s="517">
        <f t="shared" si="78"/>
        <v>37343.953499999996</v>
      </c>
      <c r="V62" s="517">
        <f t="shared" si="79"/>
        <v>5334.8504999999996</v>
      </c>
      <c r="W62" s="37">
        <f t="shared" si="80"/>
        <v>42678.803999999996</v>
      </c>
      <c r="X62" s="490"/>
      <c r="Y62"/>
      <c r="Z62"/>
    </row>
    <row r="63" spans="1:26" x14ac:dyDescent="0.75">
      <c r="A63" s="429">
        <f t="shared" si="72"/>
        <v>4300</v>
      </c>
      <c r="B63" s="48" t="str">
        <f>IF(ISERROR(VLOOKUP(A63,'CONSOLIDATED CY Cash Flows'!$B$9:$B$200,1,FALSE)),"NO","YES")</f>
        <v>YES</v>
      </c>
      <c r="C63" s="64" t="str">
        <f>'Expenses Input'!B13</f>
        <v>4300</v>
      </c>
      <c r="D63" s="64" t="str">
        <f>'Expenses Input'!C13</f>
        <v>Materials and Supplies</v>
      </c>
      <c r="E63" s="62"/>
      <c r="F63" s="62"/>
      <c r="G63" s="275">
        <f>+$L63*'Revenue w MYP'!G$52</f>
        <v>5442.6587003567538</v>
      </c>
      <c r="H63" s="639">
        <f>+($L63*'Revenue w MYP'!H$52)+1000</f>
        <v>7585.1085611569515</v>
      </c>
      <c r="I63" s="275">
        <f>+$L63*'Revenue w MYP'!I$52</f>
        <v>7972.2327384862947</v>
      </c>
      <c r="J63" s="62"/>
      <c r="K63" s="262">
        <f t="shared" si="84"/>
        <v>21000</v>
      </c>
      <c r="L63" s="526">
        <f>15000+5000</f>
        <v>20000</v>
      </c>
      <c r="O63" s="517">
        <f t="shared" si="73"/>
        <v>5643.4928063999178</v>
      </c>
      <c r="P63" s="517">
        <f t="shared" si="74"/>
        <v>7864.9990670636425</v>
      </c>
      <c r="Q63" s="517">
        <f t="shared" si="75"/>
        <v>8266.4081265364384</v>
      </c>
      <c r="R63" s="37">
        <f t="shared" si="76"/>
        <v>21774.9</v>
      </c>
      <c r="T63" s="517">
        <f t="shared" si="77"/>
        <v>5807.1540977855148</v>
      </c>
      <c r="U63" s="517">
        <f t="shared" si="78"/>
        <v>8093.0840400084871</v>
      </c>
      <c r="V63" s="517">
        <f t="shared" si="79"/>
        <v>8506.133962205995</v>
      </c>
      <c r="W63" s="37">
        <f t="shared" si="80"/>
        <v>22406.372099999997</v>
      </c>
      <c r="X63" s="490">
        <f t="shared" ref="X63:X69" si="86">+ROUNDDOWN(C63,-2)</f>
        <v>4300</v>
      </c>
      <c r="Y63"/>
      <c r="Z63"/>
    </row>
    <row r="64" spans="1:26" x14ac:dyDescent="0.75">
      <c r="A64" s="429">
        <f t="shared" si="72"/>
        <v>4315</v>
      </c>
      <c r="B64" s="48" t="str">
        <f>IF(ISERROR(VLOOKUP(A64,'CONSOLIDATED CY Cash Flows'!$B$9:$B$200,1,FALSE)),"NO","YES")</f>
        <v>YES</v>
      </c>
      <c r="C64" s="64" t="str">
        <f>'Expenses Input'!B14</f>
        <v>4315</v>
      </c>
      <c r="D64" s="64" t="str">
        <f>'Expenses Input'!C14</f>
        <v>Classroom Materials and Supplies</v>
      </c>
      <c r="E64" s="62"/>
      <c r="F64" s="62"/>
      <c r="G64" s="275">
        <v>0</v>
      </c>
      <c r="H64" s="275">
        <f>+L64</f>
        <v>3000</v>
      </c>
      <c r="I64" s="275">
        <v>0</v>
      </c>
      <c r="J64" s="62"/>
      <c r="K64" s="262">
        <f t="shared" si="84"/>
        <v>3000</v>
      </c>
      <c r="L64" s="526">
        <v>3000</v>
      </c>
      <c r="O64" s="517">
        <f t="shared" si="73"/>
        <v>0</v>
      </c>
      <c r="P64" s="517">
        <f t="shared" si="74"/>
        <v>3110.7</v>
      </c>
      <c r="Q64" s="517">
        <f t="shared" si="75"/>
        <v>0</v>
      </c>
      <c r="R64" s="37">
        <f t="shared" si="76"/>
        <v>3110.7</v>
      </c>
      <c r="T64" s="517">
        <f t="shared" si="77"/>
        <v>0</v>
      </c>
      <c r="U64" s="517">
        <f t="shared" si="78"/>
        <v>3200.9102999999996</v>
      </c>
      <c r="V64" s="517">
        <f t="shared" si="79"/>
        <v>0</v>
      </c>
      <c r="W64" s="37">
        <f t="shared" si="80"/>
        <v>3200.9102999999996</v>
      </c>
      <c r="X64" s="490">
        <f t="shared" si="86"/>
        <v>4300</v>
      </c>
      <c r="Y64"/>
      <c r="Z64"/>
    </row>
    <row r="65" spans="1:29" x14ac:dyDescent="0.75">
      <c r="A65" s="429">
        <f t="shared" si="72"/>
        <v>4381</v>
      </c>
      <c r="B65" s="48" t="str">
        <f>IF(ISERROR(VLOOKUP(A65,'CONSOLIDATED CY Cash Flows'!$B$9:$B$200,1,FALSE)),"NO","YES")</f>
        <v>YES</v>
      </c>
      <c r="C65" s="121" t="s">
        <v>1293</v>
      </c>
      <c r="D65" s="64" t="s">
        <v>1294</v>
      </c>
      <c r="E65" s="62"/>
      <c r="F65" s="62"/>
      <c r="G65" s="275">
        <f>+$L65*'Revenue w MYP'!G$52</f>
        <v>0</v>
      </c>
      <c r="H65" s="275">
        <f>+$L65*'Revenue w MYP'!H$52</f>
        <v>0</v>
      </c>
      <c r="I65" s="275">
        <f>+$L65*'Revenue w MYP'!I$52</f>
        <v>0</v>
      </c>
      <c r="J65" s="62"/>
      <c r="K65" s="262">
        <f t="shared" si="84"/>
        <v>0</v>
      </c>
      <c r="L65" s="526">
        <v>0</v>
      </c>
      <c r="O65" s="517">
        <f t="shared" si="73"/>
        <v>0</v>
      </c>
      <c r="P65" s="517">
        <f t="shared" si="74"/>
        <v>0</v>
      </c>
      <c r="Q65" s="517">
        <f t="shared" si="75"/>
        <v>0</v>
      </c>
      <c r="R65" s="37">
        <f t="shared" si="76"/>
        <v>0</v>
      </c>
      <c r="T65" s="517">
        <f t="shared" si="77"/>
        <v>0</v>
      </c>
      <c r="U65" s="517">
        <f t="shared" si="78"/>
        <v>0</v>
      </c>
      <c r="V65" s="517">
        <f t="shared" si="79"/>
        <v>0</v>
      </c>
      <c r="W65" s="37">
        <f t="shared" si="80"/>
        <v>0</v>
      </c>
      <c r="X65" s="490">
        <f t="shared" si="86"/>
        <v>4300</v>
      </c>
      <c r="Y65"/>
      <c r="Z65"/>
    </row>
    <row r="66" spans="1:29" x14ac:dyDescent="0.75">
      <c r="A66" s="429">
        <f t="shared" si="72"/>
        <v>4400</v>
      </c>
      <c r="B66" s="48" t="str">
        <f>IF(ISERROR(VLOOKUP(A66,'CONSOLIDATED CY Cash Flows'!$B$9:$B$200,1,FALSE)),"NO","YES")</f>
        <v>YES</v>
      </c>
      <c r="C66" s="64" t="str">
        <f>'Expenses Input'!B15</f>
        <v>4400</v>
      </c>
      <c r="D66" s="64" t="str">
        <f>'Expenses Input'!C15</f>
        <v>Noncapitalized Equipment</v>
      </c>
      <c r="E66" s="62"/>
      <c r="F66" s="62"/>
      <c r="G66" s="275">
        <f>+$L66*'Revenue w MYP'!G$52</f>
        <v>53065.922328478351</v>
      </c>
      <c r="H66" s="275">
        <f>+$L66*'Revenue w MYP'!H$52</f>
        <v>64204.808471280281</v>
      </c>
      <c r="I66" s="275">
        <f>+$L66*'Revenue w MYP'!I$52</f>
        <v>77729.269200241368</v>
      </c>
      <c r="J66" s="62"/>
      <c r="K66" s="262">
        <f t="shared" si="84"/>
        <v>195000</v>
      </c>
      <c r="L66" s="526">
        <f>20000+(1000*175)</f>
        <v>195000</v>
      </c>
      <c r="O66" s="517">
        <f t="shared" si="73"/>
        <v>55024.0548623992</v>
      </c>
      <c r="P66" s="517">
        <f t="shared" si="74"/>
        <v>66573.965903870514</v>
      </c>
      <c r="Q66" s="517">
        <f t="shared" si="75"/>
        <v>80597.479233730264</v>
      </c>
      <c r="R66" s="37">
        <f t="shared" si="76"/>
        <v>202195.49999999997</v>
      </c>
      <c r="T66" s="517">
        <f t="shared" si="77"/>
        <v>56619.752453408772</v>
      </c>
      <c r="U66" s="517">
        <f t="shared" si="78"/>
        <v>68504.610915082754</v>
      </c>
      <c r="V66" s="517">
        <f t="shared" si="79"/>
        <v>82934.806131508434</v>
      </c>
      <c r="W66" s="37">
        <f t="shared" si="80"/>
        <v>208059.16949999996</v>
      </c>
      <c r="X66" s="490">
        <f t="shared" si="86"/>
        <v>4400</v>
      </c>
      <c r="Y66"/>
      <c r="Z66"/>
    </row>
    <row r="67" spans="1:29" outlineLevel="1" x14ac:dyDescent="0.75">
      <c r="A67" s="429">
        <f t="shared" si="72"/>
        <v>4410</v>
      </c>
      <c r="B67" s="48" t="str">
        <f>IF(ISERROR(VLOOKUP(A67,'CONSOLIDATED CY Cash Flows'!$B$9:$B$200,1,FALSE)),"NO","YES")</f>
        <v>YES</v>
      </c>
      <c r="C67" s="121" t="s">
        <v>1333</v>
      </c>
      <c r="D67" s="64" t="s">
        <v>1334</v>
      </c>
      <c r="E67" s="62"/>
      <c r="F67" s="62"/>
      <c r="G67" s="780">
        <f>+$L67*'Revenue w MYP'!G$52</f>
        <v>211175.15757384207</v>
      </c>
      <c r="H67" s="780">
        <f>+$L67*'Revenue w MYP'!H$52</f>
        <v>255502.21217288973</v>
      </c>
      <c r="I67" s="780">
        <f>+$L67*'Revenue w MYP'!I$52</f>
        <v>309322.63025326823</v>
      </c>
      <c r="J67" s="781"/>
      <c r="K67" s="782">
        <f t="shared" si="84"/>
        <v>776000</v>
      </c>
      <c r="L67" s="526">
        <f>426000+350000</f>
        <v>776000</v>
      </c>
      <c r="O67" s="517">
        <f t="shared" si="73"/>
        <v>218967.52088831682</v>
      </c>
      <c r="P67" s="517">
        <f t="shared" si="74"/>
        <v>264930.24380206934</v>
      </c>
      <c r="Q67" s="517">
        <f t="shared" si="75"/>
        <v>320736.63530961383</v>
      </c>
      <c r="R67" s="37">
        <f t="shared" si="76"/>
        <v>804634.39999999991</v>
      </c>
      <c r="T67" s="517">
        <f t="shared" si="77"/>
        <v>225317.57899407798</v>
      </c>
      <c r="U67" s="517">
        <f t="shared" si="78"/>
        <v>272613.22087232932</v>
      </c>
      <c r="V67" s="517">
        <f t="shared" si="79"/>
        <v>330037.99773359258</v>
      </c>
      <c r="W67" s="37">
        <f t="shared" si="80"/>
        <v>827968.79759999993</v>
      </c>
      <c r="X67" s="490">
        <f t="shared" si="86"/>
        <v>4400</v>
      </c>
      <c r="Y67"/>
      <c r="Z67"/>
    </row>
    <row r="68" spans="1:29" outlineLevel="1" x14ac:dyDescent="0.75">
      <c r="A68" s="429">
        <f t="shared" si="72"/>
        <v>4430</v>
      </c>
      <c r="B68" s="48" t="str">
        <f>IF(ISERROR(VLOOKUP(A68,'CONSOLIDATED CY Cash Flows'!$B$9:$B$200,1,FALSE)),"NO","YES")</f>
        <v>YES</v>
      </c>
      <c r="C68" s="64" t="str">
        <f>'Expenses Input'!B16</f>
        <v>4430</v>
      </c>
      <c r="D68" s="64" t="str">
        <f>'Expenses Input'!C16</f>
        <v>General Student Equipment</v>
      </c>
      <c r="E68" s="62"/>
      <c r="F68" s="62"/>
      <c r="G68" s="275">
        <f>+$L68*'Revenue w MYP'!G$52</f>
        <v>2040.9970126337828</v>
      </c>
      <c r="H68" s="275">
        <f>+$L68*'Revenue w MYP'!H$52</f>
        <v>2469.4157104338569</v>
      </c>
      <c r="I68" s="275">
        <f>+$L68*'Revenue w MYP'!I$52</f>
        <v>2989.5872769323605</v>
      </c>
      <c r="J68" s="62"/>
      <c r="K68" s="262">
        <f t="shared" si="84"/>
        <v>7500</v>
      </c>
      <c r="L68" s="526">
        <v>7500</v>
      </c>
      <c r="O68" s="517">
        <f t="shared" si="73"/>
        <v>2116.3098023999692</v>
      </c>
      <c r="P68" s="517">
        <f t="shared" si="74"/>
        <v>2560.5371501488662</v>
      </c>
      <c r="Q68" s="517">
        <f t="shared" si="75"/>
        <v>3099.9030474511646</v>
      </c>
      <c r="R68" s="37">
        <f t="shared" si="76"/>
        <v>7776.75</v>
      </c>
      <c r="T68" s="517">
        <f t="shared" si="77"/>
        <v>2177.682786669568</v>
      </c>
      <c r="U68" s="517">
        <f t="shared" si="78"/>
        <v>2634.792727503183</v>
      </c>
      <c r="V68" s="517">
        <f t="shared" si="79"/>
        <v>3189.8002358272483</v>
      </c>
      <c r="W68" s="37">
        <f t="shared" si="80"/>
        <v>8002.2757499999989</v>
      </c>
      <c r="X68" s="490">
        <f t="shared" si="86"/>
        <v>4400</v>
      </c>
      <c r="Y68"/>
      <c r="Z68"/>
    </row>
    <row r="69" spans="1:29" x14ac:dyDescent="0.75">
      <c r="A69" s="429">
        <f t="shared" si="72"/>
        <v>4700</v>
      </c>
      <c r="B69" s="48" t="str">
        <f>IF(ISERROR(VLOOKUP(A69,'CONSOLIDATED CY Cash Flows'!$B$9:$B$200,1,FALSE)),"NO","YES")</f>
        <v>YES</v>
      </c>
      <c r="C69" s="64" t="str">
        <f>'Expenses Input'!B27</f>
        <v>4700</v>
      </c>
      <c r="D69" s="64" t="str">
        <f>'Expenses Input'!C27</f>
        <v>Food and Food Supplies</v>
      </c>
      <c r="E69" s="62"/>
      <c r="F69" s="62"/>
      <c r="G69" s="275">
        <f>+'Budget Summary w MYP'!F49</f>
        <v>0</v>
      </c>
      <c r="H69" s="275">
        <f>+'Budget Summary w MYP'!H49</f>
        <v>0</v>
      </c>
      <c r="I69" s="275">
        <f>+'Budget Summary w MYP'!J49</f>
        <v>0</v>
      </c>
      <c r="J69" s="62"/>
      <c r="K69" s="262">
        <f t="shared" si="84"/>
        <v>0</v>
      </c>
      <c r="L69" s="526">
        <v>0</v>
      </c>
      <c r="O69" s="517">
        <f t="shared" si="73"/>
        <v>0</v>
      </c>
      <c r="P69" s="517">
        <f t="shared" si="74"/>
        <v>0</v>
      </c>
      <c r="Q69" s="517">
        <f t="shared" si="75"/>
        <v>0</v>
      </c>
      <c r="R69" s="37">
        <f t="shared" si="76"/>
        <v>0</v>
      </c>
      <c r="T69" s="517">
        <f t="shared" si="77"/>
        <v>0</v>
      </c>
      <c r="U69" s="517">
        <f t="shared" si="78"/>
        <v>0</v>
      </c>
      <c r="V69" s="517">
        <f t="shared" si="79"/>
        <v>0</v>
      </c>
      <c r="W69" s="37">
        <f t="shared" si="80"/>
        <v>0</v>
      </c>
      <c r="X69" s="490">
        <f t="shared" si="86"/>
        <v>4700</v>
      </c>
      <c r="Y69"/>
      <c r="Z69"/>
    </row>
    <row r="70" spans="1:29" x14ac:dyDescent="0.75">
      <c r="A70" s="35"/>
      <c r="B70" s="35"/>
      <c r="C70" s="33" t="s">
        <v>558</v>
      </c>
      <c r="D70" s="34" t="s">
        <v>719</v>
      </c>
      <c r="E70" s="524" t="str">
        <f t="shared" ref="E70:K70" si="87">IF(SUM(E57:E69)&gt;0,SUM(E57:E69),"")</f>
        <v/>
      </c>
      <c r="F70" s="524" t="str">
        <f t="shared" si="87"/>
        <v/>
      </c>
      <c r="G70" s="522">
        <f t="shared" si="87"/>
        <v>1517317.9991322069</v>
      </c>
      <c r="H70" s="522">
        <f t="shared" si="87"/>
        <v>1874813.027450738</v>
      </c>
      <c r="I70" s="522">
        <f t="shared" si="87"/>
        <v>2227518.9734170553</v>
      </c>
      <c r="J70" s="153" t="str">
        <f t="shared" si="87"/>
        <v/>
      </c>
      <c r="K70" s="288">
        <f t="shared" si="87"/>
        <v>5619650</v>
      </c>
      <c r="L70" s="522">
        <f>+SUM(L58:L69)</f>
        <v>5618650</v>
      </c>
      <c r="N70" s="203" t="s">
        <v>1340</v>
      </c>
      <c r="O70" s="588">
        <f>+SUM(O58:O69)</f>
        <v>1573307.0333001853</v>
      </c>
      <c r="P70" s="588">
        <f t="shared" ref="P70:R70" si="88">+SUM(P58:P69)</f>
        <v>1943993.6281636697</v>
      </c>
      <c r="Q70" s="588">
        <f t="shared" si="88"/>
        <v>2309714.4235361451</v>
      </c>
      <c r="R70" s="588">
        <f t="shared" si="88"/>
        <v>5827015.084999999</v>
      </c>
      <c r="T70" s="588">
        <f>+SUM(T58:T69)</f>
        <v>1618932.9372658902</v>
      </c>
      <c r="U70" s="588">
        <f t="shared" ref="U70" si="89">+SUM(U58:U69)</f>
        <v>2000369.4433804164</v>
      </c>
      <c r="V70" s="588">
        <f t="shared" ref="V70" si="90">+SUM(V58:V69)</f>
        <v>2376696.1418186929</v>
      </c>
      <c r="W70" s="588">
        <f t="shared" ref="W70" si="91">+SUM(W58:W69)</f>
        <v>5995998.522464999</v>
      </c>
      <c r="X70"/>
      <c r="Y70"/>
      <c r="Z70"/>
    </row>
    <row r="71" spans="1:29" x14ac:dyDescent="0.75">
      <c r="A71" s="35"/>
      <c r="B71" s="35"/>
      <c r="C71" s="3"/>
      <c r="D71" s="2"/>
      <c r="E71" s="164"/>
      <c r="F71" s="164"/>
      <c r="G71" s="281"/>
      <c r="H71" s="281"/>
      <c r="I71" s="281"/>
      <c r="J71" s="164"/>
      <c r="K71" s="195"/>
      <c r="L71" s="164"/>
      <c r="X71"/>
      <c r="Y71"/>
      <c r="Z71"/>
    </row>
    <row r="72" spans="1:29" x14ac:dyDescent="0.75">
      <c r="B72" s="4"/>
      <c r="C72" s="525" t="s">
        <v>720</v>
      </c>
      <c r="D72" s="2"/>
      <c r="E72" s="164"/>
      <c r="F72" s="164"/>
      <c r="G72" s="281"/>
      <c r="H72" s="281"/>
      <c r="I72" s="281"/>
      <c r="J72" s="164"/>
      <c r="K72" s="195"/>
      <c r="L72" s="164"/>
      <c r="X72"/>
      <c r="Y72"/>
      <c r="Z72"/>
    </row>
    <row r="73" spans="1:29" x14ac:dyDescent="0.75">
      <c r="A73" s="429">
        <f t="shared" ref="A73:A109" si="92">LEFT(C73,4)+0</f>
        <v>5200</v>
      </c>
      <c r="B73" s="48" t="str">
        <f>IF(ISERROR(VLOOKUP(A73,'CONSOLIDATED CY Cash Flows'!$B$9:$B$200,1,FALSE)),"NO","YES")</f>
        <v>YES</v>
      </c>
      <c r="C73" s="64" t="str">
        <f>'Expenses Input'!B31</f>
        <v>5200</v>
      </c>
      <c r="D73" s="64" t="str">
        <f>'Expenses Input'!C31</f>
        <v>Travel and Conferences</v>
      </c>
      <c r="E73" s="526"/>
      <c r="F73" s="526"/>
      <c r="G73" s="527">
        <f>+$L73*'Revenue w MYP'!G$52</f>
        <v>27213.29350178377</v>
      </c>
      <c r="H73" s="780">
        <f>+$L73*'Revenue w MYP'!H$52</f>
        <v>32925.54280578476</v>
      </c>
      <c r="I73" s="780">
        <f>+$L73*'Revenue w MYP'!I$52</f>
        <v>39861.163692431473</v>
      </c>
      <c r="J73" s="62"/>
      <c r="K73" s="262">
        <f>SUM(G73:J73)</f>
        <v>100000</v>
      </c>
      <c r="L73" s="526">
        <f>90000+10000</f>
        <v>100000</v>
      </c>
      <c r="N73" s="203" t="s">
        <v>1340</v>
      </c>
      <c r="O73" s="619">
        <f t="shared" ref="O73:O109" si="93">+G73*(1+$P$4)</f>
        <v>28217.464031999589</v>
      </c>
      <c r="P73" s="619">
        <f t="shared" ref="P73:P109" si="94">+H73*(1+$P$4)</f>
        <v>34140.495335318214</v>
      </c>
      <c r="Q73" s="619">
        <f t="shared" ref="Q73:Q109" si="95">+I73*(1+$P$4)</f>
        <v>41332.04063268219</v>
      </c>
      <c r="R73" s="37">
        <f t="shared" ref="R73:R109" si="96">+SUM(O73:Q73)</f>
        <v>103690</v>
      </c>
      <c r="T73" s="619">
        <f t="shared" ref="T73:T109" si="97">+O73*(1+$U$4)</f>
        <v>29035.770488927574</v>
      </c>
      <c r="U73" s="619">
        <f t="shared" ref="U73:U109" si="98">+P73*(1+$U$4)</f>
        <v>35130.569700042441</v>
      </c>
      <c r="V73" s="619">
        <f t="shared" ref="V73:V109" si="99">+Q73*(1+$U$4)</f>
        <v>42530.669811029969</v>
      </c>
      <c r="W73" s="37">
        <f t="shared" ref="W73:W110" si="100">+SUM(T73:V73)</f>
        <v>106697.00999999998</v>
      </c>
      <c r="X73" s="490">
        <f t="shared" ref="X73:X88" si="101">+ROUNDDOWN(C73,-2)</f>
        <v>5200</v>
      </c>
      <c r="Y73"/>
      <c r="Z73"/>
      <c r="AB73" s="1">
        <v>5200</v>
      </c>
      <c r="AC73" s="491">
        <f t="shared" ref="AC73:AC79" si="102">+SUMIF($X$73:$X$109,AB73,$G$73:$G$109)</f>
        <v>136066.46750891884</v>
      </c>
    </row>
    <row r="74" spans="1:29" x14ac:dyDescent="0.75">
      <c r="A74" s="429">
        <f t="shared" si="92"/>
        <v>5210</v>
      </c>
      <c r="B74" s="48" t="str">
        <f>IF(ISERROR(VLOOKUP(A74,'CONSOLIDATED CY Cash Flows'!$B$9:$B$200,1,FALSE)),"NO","YES")</f>
        <v>YES</v>
      </c>
      <c r="C74" s="64" t="str">
        <f>'Expenses Input'!B32</f>
        <v>5210</v>
      </c>
      <c r="D74" s="64" t="str">
        <f>'Expenses Input'!C32</f>
        <v>Training and Development Expense</v>
      </c>
      <c r="E74" s="526"/>
      <c r="F74" s="526"/>
      <c r="G74" s="527">
        <f>+$L74*'Revenue w MYP'!G$52</f>
        <v>108853.17400713508</v>
      </c>
      <c r="H74" s="780">
        <f>+$L74*'Revenue w MYP'!H$52</f>
        <v>131702.17122313904</v>
      </c>
      <c r="I74" s="780">
        <f>+$L74*'Revenue w MYP'!I$52</f>
        <v>159444.65476972589</v>
      </c>
      <c r="J74" s="62"/>
      <c r="K74" s="262">
        <f t="shared" ref="K74:K109" si="103">SUM(G74:J74)</f>
        <v>400000</v>
      </c>
      <c r="L74" s="526">
        <f>300000+100000</f>
        <v>400000</v>
      </c>
      <c r="N74" s="203" t="s">
        <v>1340</v>
      </c>
      <c r="O74" s="619">
        <f t="shared" si="93"/>
        <v>112869.85612799836</v>
      </c>
      <c r="P74" s="619">
        <f t="shared" si="94"/>
        <v>136561.98134127285</v>
      </c>
      <c r="Q74" s="619">
        <f t="shared" si="95"/>
        <v>165328.16253072876</v>
      </c>
      <c r="R74" s="37">
        <f t="shared" si="96"/>
        <v>414760</v>
      </c>
      <c r="T74" s="619">
        <f t="shared" si="97"/>
        <v>116143.0819557103</v>
      </c>
      <c r="U74" s="619">
        <f t="shared" si="98"/>
        <v>140522.27880016976</v>
      </c>
      <c r="V74" s="619">
        <f t="shared" si="99"/>
        <v>170122.67924411988</v>
      </c>
      <c r="W74" s="37">
        <f t="shared" si="100"/>
        <v>426788.03999999992</v>
      </c>
      <c r="X74" s="490">
        <f t="shared" si="101"/>
        <v>5200</v>
      </c>
      <c r="Y74"/>
      <c r="Z74"/>
      <c r="AB74" s="1">
        <v>5300</v>
      </c>
      <c r="AC74" s="491">
        <f t="shared" si="102"/>
        <v>19049.305451248638</v>
      </c>
    </row>
    <row r="75" spans="1:29" x14ac:dyDescent="0.75">
      <c r="A75" s="429">
        <f t="shared" si="92"/>
        <v>5300</v>
      </c>
      <c r="B75" s="48" t="str">
        <f>IF(ISERROR(VLOOKUP(A75,'CONSOLIDATED CY Cash Flows'!$B$9:$B$200,1,FALSE)),"NO","YES")</f>
        <v>YES</v>
      </c>
      <c r="C75" s="64" t="str">
        <f>'Expenses Input'!B33</f>
        <v>5300</v>
      </c>
      <c r="D75" s="64" t="str">
        <f>'Expenses Input'!C33</f>
        <v>Dues and Memberships</v>
      </c>
      <c r="E75" s="526"/>
      <c r="F75" s="526"/>
      <c r="G75" s="527">
        <f>+$L75*'Revenue w MYP'!G$52</f>
        <v>19049.305451248638</v>
      </c>
      <c r="H75" s="527">
        <f>+$L75*'Revenue w MYP'!H$52</f>
        <v>23047.879964049331</v>
      </c>
      <c r="I75" s="527">
        <f>+$L75*'Revenue w MYP'!I$52</f>
        <v>27902.814584702031</v>
      </c>
      <c r="J75" s="62"/>
      <c r="K75" s="262">
        <f t="shared" si="103"/>
        <v>70000</v>
      </c>
      <c r="L75" s="526">
        <v>70000</v>
      </c>
      <c r="N75" s="203" t="s">
        <v>1341</v>
      </c>
      <c r="O75" s="619">
        <f t="shared" si="93"/>
        <v>19752.224822399712</v>
      </c>
      <c r="P75" s="619">
        <f t="shared" si="94"/>
        <v>23898.346734722749</v>
      </c>
      <c r="Q75" s="619">
        <f t="shared" si="95"/>
        <v>28932.428442877535</v>
      </c>
      <c r="R75" s="37">
        <f t="shared" si="96"/>
        <v>72583</v>
      </c>
      <c r="T75" s="619">
        <f t="shared" si="97"/>
        <v>20325.039342249303</v>
      </c>
      <c r="U75" s="619">
        <f t="shared" si="98"/>
        <v>24591.398790029707</v>
      </c>
      <c r="V75" s="619">
        <f t="shared" si="99"/>
        <v>29771.468867720982</v>
      </c>
      <c r="W75" s="37">
        <f t="shared" si="100"/>
        <v>74687.906999999992</v>
      </c>
      <c r="X75" s="490">
        <f t="shared" si="101"/>
        <v>5300</v>
      </c>
      <c r="Y75"/>
      <c r="Z75"/>
      <c r="AB75" s="1">
        <v>5400</v>
      </c>
      <c r="AC75" s="491">
        <f t="shared" si="102"/>
        <v>25852.628826694581</v>
      </c>
    </row>
    <row r="76" spans="1:29" x14ac:dyDescent="0.75">
      <c r="A76" s="429">
        <f t="shared" si="92"/>
        <v>5400</v>
      </c>
      <c r="B76" s="48" t="str">
        <f>IF(ISERROR(VLOOKUP(A76,'CONSOLIDATED CY Cash Flows'!$B$9:$B$200,1,FALSE)),"NO","YES")</f>
        <v>YES</v>
      </c>
      <c r="C76" s="64" t="str">
        <f>'Expenses Input'!B34</f>
        <v>5400</v>
      </c>
      <c r="D76" s="64" t="str">
        <f>'Expenses Input'!C34</f>
        <v>Insurance</v>
      </c>
      <c r="E76" s="526"/>
      <c r="F76" s="526"/>
      <c r="G76" s="527">
        <f>+$L76*'Revenue w MYP'!G$52</f>
        <v>25852.628826694581</v>
      </c>
      <c r="H76" s="527">
        <f>+$L76*'Revenue w MYP'!H$52</f>
        <v>31279.265665495521</v>
      </c>
      <c r="I76" s="527">
        <f>+$L76*'Revenue w MYP'!I$52</f>
        <v>37868.105507809902</v>
      </c>
      <c r="J76" s="62"/>
      <c r="K76" s="262">
        <f t="shared" si="103"/>
        <v>95000</v>
      </c>
      <c r="L76" s="526">
        <v>95000</v>
      </c>
      <c r="O76" s="619">
        <f t="shared" si="93"/>
        <v>26806.590830399611</v>
      </c>
      <c r="P76" s="619">
        <f t="shared" si="94"/>
        <v>32433.470568552304</v>
      </c>
      <c r="Q76" s="619">
        <f t="shared" si="95"/>
        <v>39265.438601048081</v>
      </c>
      <c r="R76" s="37">
        <f t="shared" si="96"/>
        <v>98505.5</v>
      </c>
      <c r="T76" s="619">
        <f t="shared" si="97"/>
        <v>27583.981964481198</v>
      </c>
      <c r="U76" s="619">
        <f t="shared" si="98"/>
        <v>33374.041215040321</v>
      </c>
      <c r="V76" s="619">
        <f t="shared" si="99"/>
        <v>40404.136320478472</v>
      </c>
      <c r="W76" s="37">
        <f t="shared" si="100"/>
        <v>101362.15949999999</v>
      </c>
      <c r="X76" s="490">
        <f t="shared" si="101"/>
        <v>5400</v>
      </c>
      <c r="Y76"/>
      <c r="Z76"/>
      <c r="AB76" s="1">
        <v>5500</v>
      </c>
      <c r="AC76" s="491">
        <f t="shared" si="102"/>
        <v>2313.1299476516206</v>
      </c>
    </row>
    <row r="77" spans="1:29" x14ac:dyDescent="0.75">
      <c r="A77" s="429">
        <f t="shared" si="92"/>
        <v>5500</v>
      </c>
      <c r="B77" s="48" t="str">
        <f>IF(ISERROR(VLOOKUP(A77,'CONSOLIDATED CY Cash Flows'!$B$9:$B$200,1,FALSE)),"NO","YES")</f>
        <v>YES</v>
      </c>
      <c r="C77" s="64" t="str">
        <f>'Expenses Input'!B35</f>
        <v>5500</v>
      </c>
      <c r="D77" s="64" t="str">
        <f>'Expenses Input'!C35</f>
        <v>Operation and Housekeeping Services/Supplies</v>
      </c>
      <c r="E77" s="526"/>
      <c r="F77" s="526"/>
      <c r="G77" s="527">
        <f>+$L77*'Revenue w MYP'!G$52</f>
        <v>1632.7976101070262</v>
      </c>
      <c r="H77" s="527">
        <f>+$L77*'Revenue w MYP'!H$52</f>
        <v>1975.5325683470855</v>
      </c>
      <c r="I77" s="527">
        <f>+$L77*'Revenue w MYP'!I$52</f>
        <v>2391.6698215458882</v>
      </c>
      <c r="J77" s="62"/>
      <c r="K77" s="262">
        <f t="shared" si="103"/>
        <v>6000</v>
      </c>
      <c r="L77" s="526">
        <v>6000</v>
      </c>
      <c r="N77" s="203" t="s">
        <v>1340</v>
      </c>
      <c r="O77" s="619">
        <f t="shared" si="93"/>
        <v>1693.0478419199753</v>
      </c>
      <c r="P77" s="619">
        <f t="shared" si="94"/>
        <v>2048.429720119093</v>
      </c>
      <c r="Q77" s="619">
        <f t="shared" si="95"/>
        <v>2479.9224379609313</v>
      </c>
      <c r="R77" s="37">
        <f t="shared" si="96"/>
        <v>6221.4</v>
      </c>
      <c r="T77" s="517">
        <f t="shared" si="97"/>
        <v>1742.1462293356544</v>
      </c>
      <c r="U77" s="619">
        <f t="shared" si="98"/>
        <v>2107.8341820025466</v>
      </c>
      <c r="V77" s="619">
        <f t="shared" si="99"/>
        <v>2551.840188661798</v>
      </c>
      <c r="W77" s="37">
        <f t="shared" si="100"/>
        <v>6401.8205999999991</v>
      </c>
      <c r="X77" s="490">
        <f t="shared" si="101"/>
        <v>5500</v>
      </c>
      <c r="Y77"/>
      <c r="Z77"/>
      <c r="AB77" s="1">
        <v>5600</v>
      </c>
      <c r="AC77" s="491">
        <f t="shared" si="102"/>
        <v>39274.165312528632</v>
      </c>
    </row>
    <row r="78" spans="1:29" x14ac:dyDescent="0.75">
      <c r="A78" s="429">
        <f t="shared" si="92"/>
        <v>5501</v>
      </c>
      <c r="B78" s="48" t="str">
        <f>IF(ISERROR(VLOOKUP(A78,'CONSOLIDATED CY Cash Flows'!$B$9:$B$200,1,FALSE)),"NO","YES")</f>
        <v>YES</v>
      </c>
      <c r="C78" s="64" t="str">
        <f>'Expenses Input'!B36</f>
        <v>5501</v>
      </c>
      <c r="D78" s="64" t="str">
        <f>'Expenses Input'!C36</f>
        <v>Utilities</v>
      </c>
      <c r="E78" s="526"/>
      <c r="F78" s="526"/>
      <c r="G78" s="527">
        <f>+$L78*'Revenue w MYP'!G$52</f>
        <v>680.33233754459422</v>
      </c>
      <c r="H78" s="527">
        <f>+$L78*'Revenue w MYP'!H$52</f>
        <v>823.13857014461894</v>
      </c>
      <c r="I78" s="527">
        <f>+$L78*'Revenue w MYP'!I$52</f>
        <v>996.52909231078684</v>
      </c>
      <c r="J78" s="62"/>
      <c r="K78" s="262">
        <f t="shared" si="103"/>
        <v>2500</v>
      </c>
      <c r="L78" s="526">
        <v>2500</v>
      </c>
      <c r="N78" s="203" t="s">
        <v>864</v>
      </c>
      <c r="O78" s="619">
        <f t="shared" si="93"/>
        <v>705.43660079998972</v>
      </c>
      <c r="P78" s="619">
        <f t="shared" si="94"/>
        <v>853.51238338295536</v>
      </c>
      <c r="Q78" s="619">
        <f t="shared" si="95"/>
        <v>1033.3010158170548</v>
      </c>
      <c r="R78" s="37">
        <f t="shared" si="96"/>
        <v>2592.25</v>
      </c>
      <c r="T78" s="517">
        <f t="shared" si="97"/>
        <v>725.89426222318934</v>
      </c>
      <c r="U78" s="619">
        <f t="shared" si="98"/>
        <v>878.26424250106095</v>
      </c>
      <c r="V78" s="619">
        <f t="shared" si="99"/>
        <v>1063.2667452757494</v>
      </c>
      <c r="W78" s="37">
        <f t="shared" si="100"/>
        <v>2667.4252499999993</v>
      </c>
      <c r="X78" s="490">
        <f t="shared" si="101"/>
        <v>5500</v>
      </c>
      <c r="Y78"/>
      <c r="Z78"/>
      <c r="AB78" s="1">
        <v>5800</v>
      </c>
      <c r="AC78" s="491">
        <f t="shared" si="102"/>
        <v>1241530.352975976</v>
      </c>
    </row>
    <row r="79" spans="1:29" x14ac:dyDescent="0.75">
      <c r="A79" s="429">
        <f t="shared" si="92"/>
        <v>5505</v>
      </c>
      <c r="B79" s="48" t="str">
        <f>IF(ISERROR(VLOOKUP(A79,'CONSOLIDATED CY Cash Flows'!$B$9:$B$200,1,FALSE)),"NO","YES")</f>
        <v>YES</v>
      </c>
      <c r="C79" s="64" t="str">
        <f>'Expenses Input'!B37</f>
        <v>5505</v>
      </c>
      <c r="D79" s="64" t="str">
        <f>'Expenses Input'!C37</f>
        <v>Student Transportation / Field Trips</v>
      </c>
      <c r="E79" s="526"/>
      <c r="F79" s="526"/>
      <c r="G79" s="527">
        <f>+$L79*'Revenue w MYP'!G$52</f>
        <v>0</v>
      </c>
      <c r="H79" s="527">
        <f>+$L79*'Revenue w MYP'!H$52</f>
        <v>0</v>
      </c>
      <c r="I79" s="527">
        <f>+$L79*'Revenue w MYP'!I$52</f>
        <v>0</v>
      </c>
      <c r="J79" s="62">
        <f t="shared" ref="J79" si="104">SUM(E79:I79)</f>
        <v>0</v>
      </c>
      <c r="K79" s="262">
        <f t="shared" si="103"/>
        <v>0</v>
      </c>
      <c r="L79" s="526">
        <v>0</v>
      </c>
      <c r="N79" s="203" t="s">
        <v>1340</v>
      </c>
      <c r="O79" s="619">
        <f t="shared" si="93"/>
        <v>0</v>
      </c>
      <c r="P79" s="619">
        <f t="shared" si="94"/>
        <v>0</v>
      </c>
      <c r="Q79" s="619">
        <f t="shared" si="95"/>
        <v>0</v>
      </c>
      <c r="R79" s="37">
        <f t="shared" si="96"/>
        <v>0</v>
      </c>
      <c r="T79" s="517">
        <f t="shared" si="97"/>
        <v>0</v>
      </c>
      <c r="U79" s="619">
        <f t="shared" si="98"/>
        <v>0</v>
      </c>
      <c r="V79" s="619">
        <f t="shared" si="99"/>
        <v>0</v>
      </c>
      <c r="W79" s="37">
        <f t="shared" si="100"/>
        <v>0</v>
      </c>
      <c r="X79" s="490">
        <f t="shared" si="101"/>
        <v>5500</v>
      </c>
      <c r="Y79"/>
      <c r="Z79"/>
      <c r="AB79" s="1">
        <v>5900</v>
      </c>
      <c r="AC79" s="491">
        <f t="shared" si="102"/>
        <v>35785.480954845654</v>
      </c>
    </row>
    <row r="80" spans="1:29" x14ac:dyDescent="0.75">
      <c r="A80" s="429">
        <f t="shared" si="92"/>
        <v>5600</v>
      </c>
      <c r="B80" s="48" t="str">
        <f>IF(ISERROR(VLOOKUP(A80,'CONSOLIDATED CY Cash Flows'!$B$9:$B$200,1,FALSE)),"NO","YES")</f>
        <v>YES</v>
      </c>
      <c r="C80" s="64" t="str">
        <f>'Expenses Input'!B38</f>
        <v>5600</v>
      </c>
      <c r="D80" s="64" t="str">
        <f>'Expenses Input'!C38</f>
        <v>Space Rental/Leases Expense</v>
      </c>
      <c r="E80" s="526"/>
      <c r="F80" s="526"/>
      <c r="G80" s="527">
        <f>+SUM(Z81:Z82)*'Revenue w MYP'!G$52</f>
        <v>17503.530511101617</v>
      </c>
      <c r="H80" s="527">
        <f>+SUM(Z81:Z82)*'Revenue w MYP'!H$52+Z83</f>
        <v>67077.636696486588</v>
      </c>
      <c r="I80" s="527">
        <f>+SUM(Z81:Z82)*'Revenue w MYP'!I$52</f>
        <v>25638.612792411801</v>
      </c>
      <c r="J80" s="62">
        <v>0</v>
      </c>
      <c r="K80" s="262">
        <f>SUM(G80:I80)</f>
        <v>110219.78000000001</v>
      </c>
      <c r="L80" s="526">
        <f>+K80</f>
        <v>110219.78000000001</v>
      </c>
      <c r="N80" s="203" t="s">
        <v>864</v>
      </c>
      <c r="O80" s="619">
        <f t="shared" si="93"/>
        <v>18149.410786961267</v>
      </c>
      <c r="P80" s="619">
        <f t="shared" si="94"/>
        <v>69552.801490586935</v>
      </c>
      <c r="Q80" s="619">
        <f t="shared" si="95"/>
        <v>26584.677604451794</v>
      </c>
      <c r="R80" s="37">
        <f t="shared" si="96"/>
        <v>114286.88988199999</v>
      </c>
      <c r="T80" s="517">
        <f t="shared" si="97"/>
        <v>18675.743699783143</v>
      </c>
      <c r="U80" s="619">
        <f t="shared" si="98"/>
        <v>71569.83273381395</v>
      </c>
      <c r="V80" s="619">
        <f t="shared" si="99"/>
        <v>27355.633254980894</v>
      </c>
      <c r="W80" s="37">
        <f t="shared" si="100"/>
        <v>117601.20968857798</v>
      </c>
      <c r="X80" s="490">
        <f t="shared" si="101"/>
        <v>5600</v>
      </c>
      <c r="Y80"/>
      <c r="Z80" s="783">
        <v>5600</v>
      </c>
    </row>
    <row r="81" spans="1:28" ht="16" x14ac:dyDescent="0.8">
      <c r="A81" s="429">
        <f t="shared" si="92"/>
        <v>5601</v>
      </c>
      <c r="B81" s="48" t="str">
        <f>IF(ISERROR(VLOOKUP(A81,'CONSOLIDATED CY Cash Flows'!$B$9:$B$200,1,FALSE)),"NO","YES")</f>
        <v>YES</v>
      </c>
      <c r="C81" s="64" t="str">
        <f>'Expenses Input'!B39</f>
        <v>5601</v>
      </c>
      <c r="D81" s="64" t="str">
        <f>'Expenses Input'!C39</f>
        <v>Building Maintenance</v>
      </c>
      <c r="E81" s="526"/>
      <c r="F81" s="526"/>
      <c r="G81" s="527">
        <f>+$L81*'Revenue w MYP'!G$52</f>
        <v>0</v>
      </c>
      <c r="H81" s="527">
        <f>+$L81*'Revenue w MYP'!H$52</f>
        <v>0</v>
      </c>
      <c r="I81" s="527">
        <f>+$L81*'Revenue w MYP'!I$52</f>
        <v>0</v>
      </c>
      <c r="J81" s="62"/>
      <c r="K81" s="262">
        <f t="shared" si="103"/>
        <v>0</v>
      </c>
      <c r="L81" s="526">
        <v>0</v>
      </c>
      <c r="N81" s="203" t="s">
        <v>864</v>
      </c>
      <c r="O81" s="619">
        <f t="shared" si="93"/>
        <v>0</v>
      </c>
      <c r="P81" s="619">
        <f t="shared" si="94"/>
        <v>0</v>
      </c>
      <c r="Q81" s="619">
        <f t="shared" si="95"/>
        <v>0</v>
      </c>
      <c r="R81" s="37">
        <f t="shared" si="96"/>
        <v>0</v>
      </c>
      <c r="T81" s="517">
        <f t="shared" si="97"/>
        <v>0</v>
      </c>
      <c r="U81" s="619">
        <f t="shared" si="98"/>
        <v>0</v>
      </c>
      <c r="V81" s="619">
        <f t="shared" si="99"/>
        <v>0</v>
      </c>
      <c r="W81" s="37">
        <f t="shared" si="100"/>
        <v>0</v>
      </c>
      <c r="X81" s="490">
        <f t="shared" si="101"/>
        <v>5600</v>
      </c>
      <c r="Y81"/>
      <c r="Z81" s="541">
        <f>+(5067*6)+(5219.63*6)</f>
        <v>61719.78</v>
      </c>
      <c r="AA81" s="542" t="s">
        <v>1646</v>
      </c>
      <c r="AB81" s="215" t="s">
        <v>2171</v>
      </c>
    </row>
    <row r="82" spans="1:28" ht="16" x14ac:dyDescent="0.8">
      <c r="A82" s="429">
        <f t="shared" si="92"/>
        <v>5602</v>
      </c>
      <c r="B82" s="48" t="str">
        <f>IF(ISERROR(VLOOKUP(A82,'CONSOLIDATED CY Cash Flows'!$B$9:$B$200,1,FALSE)),"NO","YES")</f>
        <v>YES</v>
      </c>
      <c r="C82" s="64" t="str">
        <f>'Expenses Input'!B40</f>
        <v>5602</v>
      </c>
      <c r="D82" s="64" t="str">
        <f>'Expenses Input'!C40</f>
        <v>Other Space Rental</v>
      </c>
      <c r="E82" s="526"/>
      <c r="F82" s="526"/>
      <c r="G82" s="527">
        <f>+$L82*'Revenue w MYP'!G$52</f>
        <v>21770.634801427015</v>
      </c>
      <c r="H82" s="527">
        <f>+$L82*'Revenue w MYP'!H$52</f>
        <v>26340.434244627806</v>
      </c>
      <c r="I82" s="527">
        <f>+$L82*'Revenue w MYP'!I$52</f>
        <v>31888.930953945179</v>
      </c>
      <c r="J82" s="62"/>
      <c r="K82" s="262">
        <f t="shared" si="103"/>
        <v>80000</v>
      </c>
      <c r="L82" s="526">
        <v>80000</v>
      </c>
      <c r="N82" s="203" t="s">
        <v>1342</v>
      </c>
      <c r="O82" s="619">
        <f t="shared" si="93"/>
        <v>22573.971225599671</v>
      </c>
      <c r="P82" s="619">
        <f t="shared" si="94"/>
        <v>27312.396268254572</v>
      </c>
      <c r="Q82" s="619">
        <f t="shared" si="95"/>
        <v>33065.632506145754</v>
      </c>
      <c r="R82" s="37">
        <f t="shared" si="96"/>
        <v>82952</v>
      </c>
      <c r="T82" s="517">
        <f t="shared" si="97"/>
        <v>23228.616391142059</v>
      </c>
      <c r="U82" s="619">
        <f t="shared" si="98"/>
        <v>28104.45576003395</v>
      </c>
      <c r="V82" s="619">
        <f t="shared" si="99"/>
        <v>34024.53584882398</v>
      </c>
      <c r="W82" s="37">
        <f t="shared" si="100"/>
        <v>85357.607999999978</v>
      </c>
      <c r="X82" s="490">
        <f t="shared" si="101"/>
        <v>5600</v>
      </c>
      <c r="Y82"/>
      <c r="Z82" s="541">
        <v>2600</v>
      </c>
      <c r="AA82" s="542"/>
      <c r="AB82" s="215" t="s">
        <v>1647</v>
      </c>
    </row>
    <row r="83" spans="1:28" ht="16" x14ac:dyDescent="0.8">
      <c r="A83" s="429">
        <f t="shared" si="92"/>
        <v>5603</v>
      </c>
      <c r="B83" s="48" t="str">
        <f>IF(ISERROR(VLOOKUP(A83,'CONSOLIDATED CY Cash Flows'!$B$9:$B$200,1,FALSE)),"NO","YES")</f>
        <v>YES</v>
      </c>
      <c r="C83" s="64" t="str">
        <f>'Expenses Input'!B41</f>
        <v>5603</v>
      </c>
      <c r="D83" s="64" t="str">
        <f>'Expenses Input'!C41</f>
        <v>Engagement Space Rental</v>
      </c>
      <c r="E83" s="526"/>
      <c r="F83" s="526"/>
      <c r="G83" s="527">
        <f>+$L83*'Revenue w MYP'!G$52</f>
        <v>0</v>
      </c>
      <c r="H83" s="527">
        <f>+$L83*'Revenue w MYP'!H$52</f>
        <v>0</v>
      </c>
      <c r="I83" s="527">
        <f>+$L83*'Revenue w MYP'!I$52</f>
        <v>0</v>
      </c>
      <c r="J83" s="62"/>
      <c r="K83" s="262">
        <f t="shared" si="103"/>
        <v>0</v>
      </c>
      <c r="L83" s="526">
        <v>0</v>
      </c>
      <c r="O83" s="619">
        <f t="shared" si="93"/>
        <v>0</v>
      </c>
      <c r="P83" s="619">
        <f t="shared" si="94"/>
        <v>0</v>
      </c>
      <c r="Q83" s="619">
        <f t="shared" si="95"/>
        <v>0</v>
      </c>
      <c r="R83" s="37">
        <f t="shared" si="96"/>
        <v>0</v>
      </c>
      <c r="T83" s="517">
        <f t="shared" si="97"/>
        <v>0</v>
      </c>
      <c r="U83" s="619">
        <f t="shared" si="98"/>
        <v>0</v>
      </c>
      <c r="V83" s="619">
        <f t="shared" si="99"/>
        <v>0</v>
      </c>
      <c r="W83" s="37">
        <f t="shared" si="100"/>
        <v>0</v>
      </c>
      <c r="X83" s="490">
        <f t="shared" si="101"/>
        <v>5600</v>
      </c>
      <c r="Y83"/>
      <c r="Z83" s="666">
        <f>(4725*9)+(3*1125)</f>
        <v>45900</v>
      </c>
      <c r="AA83" s="542" t="s">
        <v>1646</v>
      </c>
      <c r="AB83" s="215" t="s">
        <v>2076</v>
      </c>
    </row>
    <row r="84" spans="1:28" x14ac:dyDescent="0.75">
      <c r="A84" s="429">
        <f t="shared" si="92"/>
        <v>5610</v>
      </c>
      <c r="B84" s="48" t="str">
        <f>IF(ISERROR(VLOOKUP(A84,'CONSOLIDATED CY Cash Flows'!$B$9:$B$200,1,FALSE)),"NO","YES")</f>
        <v>YES</v>
      </c>
      <c r="C84" s="64" t="str">
        <f>'Expenses Input'!B42</f>
        <v>5610</v>
      </c>
      <c r="D84" s="64" t="str">
        <f>'Expenses Input'!C42</f>
        <v>Equipment Repair</v>
      </c>
      <c r="E84" s="526"/>
      <c r="F84" s="526"/>
      <c r="G84" s="527">
        <f>+$L84*'Revenue w MYP'!G$52</f>
        <v>0</v>
      </c>
      <c r="H84" s="527">
        <f>+$L84*'Revenue w MYP'!H$52</f>
        <v>0</v>
      </c>
      <c r="I84" s="527">
        <f>+$L84*'Revenue w MYP'!I$52</f>
        <v>0</v>
      </c>
      <c r="J84" s="62"/>
      <c r="K84" s="262">
        <f t="shared" si="103"/>
        <v>0</v>
      </c>
      <c r="L84" s="526">
        <v>0</v>
      </c>
      <c r="O84" s="517">
        <f t="shared" si="93"/>
        <v>0</v>
      </c>
      <c r="P84" s="517">
        <f t="shared" si="94"/>
        <v>0</v>
      </c>
      <c r="Q84" s="517">
        <f t="shared" si="95"/>
        <v>0</v>
      </c>
      <c r="R84" s="37">
        <f t="shared" si="96"/>
        <v>0</v>
      </c>
      <c r="T84" s="517">
        <f t="shared" si="97"/>
        <v>0</v>
      </c>
      <c r="U84" s="517">
        <f t="shared" si="98"/>
        <v>0</v>
      </c>
      <c r="V84" s="517">
        <f t="shared" si="99"/>
        <v>0</v>
      </c>
      <c r="W84" s="37">
        <f t="shared" si="100"/>
        <v>0</v>
      </c>
      <c r="X84" s="490">
        <f t="shared" si="101"/>
        <v>5600</v>
      </c>
      <c r="Y84"/>
      <c r="Z84"/>
    </row>
    <row r="85" spans="1:28" x14ac:dyDescent="0.75">
      <c r="A85" s="429">
        <f t="shared" si="92"/>
        <v>5800</v>
      </c>
      <c r="B85" s="48" t="str">
        <f>IF(ISERROR(VLOOKUP(A85,'CONSOLIDATED CY Cash Flows'!$B$9:$B$200,1,FALSE)),"NO","YES")</f>
        <v>YES</v>
      </c>
      <c r="C85" s="64" t="str">
        <f>'Expenses Input'!B43</f>
        <v>5800</v>
      </c>
      <c r="D85" s="64" t="str">
        <f>'Expenses Input'!C43</f>
        <v>Professional/Consulting Services and Operating Expenditures</v>
      </c>
      <c r="E85" s="526"/>
      <c r="F85" s="526"/>
      <c r="G85" s="780">
        <f>+$L85*'Revenue w MYP'!G$52</f>
        <v>117017.16205767021</v>
      </c>
      <c r="H85" s="780">
        <f>+$L85*'Revenue w MYP'!H$52</f>
        <v>141579.83406487445</v>
      </c>
      <c r="I85" s="780">
        <f>+$L85*'Revenue w MYP'!I$52</f>
        <v>171403.00387745534</v>
      </c>
      <c r="J85" s="62"/>
      <c r="K85" s="562">
        <f t="shared" si="103"/>
        <v>430000</v>
      </c>
      <c r="L85" s="526">
        <v>430000</v>
      </c>
      <c r="N85" s="203" t="s">
        <v>1340</v>
      </c>
      <c r="O85" s="619">
        <f t="shared" si="93"/>
        <v>121335.09533759824</v>
      </c>
      <c r="P85" s="517">
        <f t="shared" si="94"/>
        <v>146804.1299418683</v>
      </c>
      <c r="Q85" s="619">
        <f t="shared" si="95"/>
        <v>177727.77472053343</v>
      </c>
      <c r="R85" s="37">
        <f t="shared" si="96"/>
        <v>445867</v>
      </c>
      <c r="T85" s="619">
        <f t="shared" si="97"/>
        <v>124853.81310238858</v>
      </c>
      <c r="U85" s="619">
        <f t="shared" si="98"/>
        <v>151061.44971018247</v>
      </c>
      <c r="V85" s="619">
        <f t="shared" si="99"/>
        <v>182881.88018742888</v>
      </c>
      <c r="W85" s="37">
        <f t="shared" si="100"/>
        <v>458797.14299999992</v>
      </c>
      <c r="X85" s="490">
        <f t="shared" si="101"/>
        <v>5800</v>
      </c>
      <c r="Y85"/>
      <c r="Z85"/>
    </row>
    <row r="86" spans="1:28" x14ac:dyDescent="0.75">
      <c r="A86" s="429">
        <f t="shared" si="92"/>
        <v>5803</v>
      </c>
      <c r="B86" s="48" t="str">
        <f>IF(ISERROR(VLOOKUP(A86,'CONSOLIDATED CY Cash Flows'!$B$9:$B$200,1,FALSE)),"NO","YES")</f>
        <v>YES</v>
      </c>
      <c r="C86" s="64" t="str">
        <f>'Expenses Input'!B44</f>
        <v>5803</v>
      </c>
      <c r="D86" s="64" t="str">
        <f>'Expenses Input'!C44</f>
        <v>Banking and Payroll Service Fees</v>
      </c>
      <c r="E86" s="526"/>
      <c r="F86" s="526"/>
      <c r="G86" s="527">
        <f>+$L86*'Revenue w MYP'!G$52</f>
        <v>8163.9880505351312</v>
      </c>
      <c r="H86" s="527">
        <f>+$L86*'Revenue w MYP'!H$52</f>
        <v>9877.6628417354277</v>
      </c>
      <c r="I86" s="527">
        <f>+$L86*'Revenue w MYP'!I$52</f>
        <v>11958.349107729442</v>
      </c>
      <c r="J86" s="62"/>
      <c r="K86" s="262">
        <f t="shared" si="103"/>
        <v>30000</v>
      </c>
      <c r="L86" s="526">
        <v>30000</v>
      </c>
      <c r="O86" s="619">
        <f t="shared" si="93"/>
        <v>8465.2392095998766</v>
      </c>
      <c r="P86" s="517">
        <f t="shared" si="94"/>
        <v>10242.148600595465</v>
      </c>
      <c r="Q86" s="619">
        <f t="shared" si="95"/>
        <v>12399.612189804659</v>
      </c>
      <c r="R86" s="37">
        <f t="shared" si="96"/>
        <v>31107</v>
      </c>
      <c r="T86" s="619">
        <f t="shared" si="97"/>
        <v>8710.7311466782721</v>
      </c>
      <c r="U86" s="619">
        <f t="shared" si="98"/>
        <v>10539.170910012732</v>
      </c>
      <c r="V86" s="619">
        <f t="shared" si="99"/>
        <v>12759.200943308993</v>
      </c>
      <c r="W86" s="37">
        <f t="shared" si="100"/>
        <v>32009.102999999996</v>
      </c>
      <c r="X86" s="490">
        <f t="shared" si="101"/>
        <v>5800</v>
      </c>
      <c r="Y86"/>
      <c r="Z86"/>
    </row>
    <row r="87" spans="1:28" x14ac:dyDescent="0.75">
      <c r="A87" s="429">
        <f t="shared" si="92"/>
        <v>5805</v>
      </c>
      <c r="B87" s="48" t="str">
        <f>IF(ISERROR(VLOOKUP(A87,'CONSOLIDATED CY Cash Flows'!$B$9:$B$200,1,FALSE)),"NO","YES")</f>
        <v>YES</v>
      </c>
      <c r="C87" s="64" t="str">
        <f>'Expenses Input'!B45</f>
        <v>5805</v>
      </c>
      <c r="D87" s="64" t="str">
        <f>'Expenses Input'!C45</f>
        <v>Legal Fees</v>
      </c>
      <c r="E87" s="526"/>
      <c r="F87" s="526"/>
      <c r="G87" s="527">
        <f>+$L87*'Revenue w MYP'!G$52</f>
        <v>40819.940252675653</v>
      </c>
      <c r="H87" s="527">
        <f>+$L87*'Revenue w MYP'!H$52</f>
        <v>49388.314208677133</v>
      </c>
      <c r="I87" s="527">
        <f>+$L87*'Revenue w MYP'!I$52</f>
        <v>59791.745538647207</v>
      </c>
      <c r="J87" s="62"/>
      <c r="K87" s="262">
        <f t="shared" si="103"/>
        <v>150000</v>
      </c>
      <c r="L87" s="526">
        <f>200000-50000</f>
        <v>150000</v>
      </c>
      <c r="N87" s="203" t="s">
        <v>1341</v>
      </c>
      <c r="O87" s="619">
        <f t="shared" si="93"/>
        <v>42326.19604799938</v>
      </c>
      <c r="P87" s="517">
        <f t="shared" si="94"/>
        <v>51210.743002977317</v>
      </c>
      <c r="Q87" s="619">
        <f t="shared" si="95"/>
        <v>61998.060949023282</v>
      </c>
      <c r="R87" s="37">
        <f t="shared" si="96"/>
        <v>155534.99999999997</v>
      </c>
      <c r="T87" s="619">
        <f t="shared" si="97"/>
        <v>43553.655733391359</v>
      </c>
      <c r="U87" s="619">
        <f t="shared" si="98"/>
        <v>52695.854550063654</v>
      </c>
      <c r="V87" s="619">
        <f t="shared" si="99"/>
        <v>63796.00471654495</v>
      </c>
      <c r="W87" s="37">
        <f t="shared" si="100"/>
        <v>160045.51499999996</v>
      </c>
      <c r="X87" s="490">
        <f t="shared" si="101"/>
        <v>5800</v>
      </c>
      <c r="Y87"/>
      <c r="Z87" s="517"/>
    </row>
    <row r="88" spans="1:28" x14ac:dyDescent="0.75">
      <c r="A88" s="429">
        <f t="shared" si="92"/>
        <v>5806</v>
      </c>
      <c r="B88" s="48" t="str">
        <f>IF(ISERROR(VLOOKUP(A88,'CONSOLIDATED CY Cash Flows'!$B$9:$B$200,1,FALSE)),"NO","YES")</f>
        <v>YES</v>
      </c>
      <c r="C88" s="64" t="s">
        <v>1282</v>
      </c>
      <c r="D88" s="64" t="str">
        <f>'Expenses Input'!C46</f>
        <v>Audit Services</v>
      </c>
      <c r="E88" s="526"/>
      <c r="F88" s="526"/>
      <c r="G88" s="527">
        <f>+$L88*'Revenue w MYP'!G$52</f>
        <v>6267.2214934608019</v>
      </c>
      <c r="H88" s="527">
        <f>+$L88*'Revenue w MYP'!H$52</f>
        <v>7582.7525081722297</v>
      </c>
      <c r="I88" s="527">
        <f>+$L88*'Revenue w MYP'!I$52</f>
        <v>9180.0259983669675</v>
      </c>
      <c r="J88" s="62"/>
      <c r="K88" s="262">
        <f t="shared" si="103"/>
        <v>23030</v>
      </c>
      <c r="L88" s="526">
        <v>23030</v>
      </c>
      <c r="N88" s="203" t="s">
        <v>1341</v>
      </c>
      <c r="O88" s="619">
        <f t="shared" si="93"/>
        <v>6498.4819665695049</v>
      </c>
      <c r="P88" s="517">
        <f t="shared" si="94"/>
        <v>7862.5560757237845</v>
      </c>
      <c r="Q88" s="619">
        <f t="shared" si="95"/>
        <v>9518.7689577067085</v>
      </c>
      <c r="R88" s="37">
        <f t="shared" si="96"/>
        <v>23879.807000000001</v>
      </c>
      <c r="T88" s="619">
        <f t="shared" si="97"/>
        <v>6686.9379436000199</v>
      </c>
      <c r="U88" s="619">
        <f t="shared" si="98"/>
        <v>8090.5702019197734</v>
      </c>
      <c r="V88" s="619">
        <f t="shared" si="99"/>
        <v>9794.8132574802021</v>
      </c>
      <c r="W88" s="37">
        <f t="shared" si="100"/>
        <v>24572.321402999994</v>
      </c>
      <c r="X88" s="490">
        <f t="shared" si="101"/>
        <v>5800</v>
      </c>
      <c r="Y88"/>
      <c r="Z88"/>
    </row>
    <row r="89" spans="1:28" x14ac:dyDescent="0.75">
      <c r="A89" s="429">
        <f t="shared" ref="A89:A90" si="105">LEFT(C89,4)+0</f>
        <v>5807</v>
      </c>
      <c r="B89" s="48" t="str">
        <f>IF(ISERROR(VLOOKUP(A89,'CONSOLIDATED CY Cash Flows'!$B$9:$B$200,1,FALSE)),"NO","YES")</f>
        <v>YES</v>
      </c>
      <c r="C89" s="64" t="s">
        <v>1650</v>
      </c>
      <c r="D89" s="64" t="str">
        <f>'Expenses Input'!C47</f>
        <v>Legal Settlements</v>
      </c>
      <c r="E89" s="544"/>
      <c r="F89" s="544"/>
      <c r="G89" s="527">
        <v>60000</v>
      </c>
      <c r="H89" s="527">
        <v>60000</v>
      </c>
      <c r="I89" s="527">
        <v>60000</v>
      </c>
      <c r="J89" s="62"/>
      <c r="K89" s="262">
        <f t="shared" ref="K89:K90" si="106">SUM(G89:J89)</f>
        <v>180000</v>
      </c>
      <c r="L89" s="526">
        <f>+K89</f>
        <v>180000</v>
      </c>
      <c r="O89" s="619">
        <v>25000</v>
      </c>
      <c r="P89" s="517">
        <v>25000</v>
      </c>
      <c r="Q89" s="619">
        <v>25000</v>
      </c>
      <c r="R89" s="37">
        <f t="shared" si="96"/>
        <v>75000</v>
      </c>
      <c r="T89" s="619">
        <f t="shared" si="97"/>
        <v>25724.999999999996</v>
      </c>
      <c r="U89" s="619">
        <f t="shared" si="98"/>
        <v>25724.999999999996</v>
      </c>
      <c r="V89" s="619">
        <f t="shared" si="99"/>
        <v>25724.999999999996</v>
      </c>
      <c r="W89" s="37">
        <f t="shared" si="100"/>
        <v>77174.999999999985</v>
      </c>
      <c r="X89" s="490"/>
      <c r="Y89"/>
      <c r="Z89"/>
    </row>
    <row r="90" spans="1:28" x14ac:dyDescent="0.75">
      <c r="A90" s="429">
        <f t="shared" si="105"/>
        <v>5809</v>
      </c>
      <c r="B90" s="48" t="str">
        <f>IF(ISERROR(VLOOKUP(A90,'CONSOLIDATED CY Cash Flows'!$B$9:$B$200,1,FALSE)),"NO","YES")</f>
        <v>YES</v>
      </c>
      <c r="C90" s="121" t="s">
        <v>1652</v>
      </c>
      <c r="D90" s="64" t="str">
        <f>'Expenses Input'!C48</f>
        <v>Employee Tuition</v>
      </c>
      <c r="E90" s="544"/>
      <c r="F90" s="544"/>
      <c r="G90" s="527">
        <f>+$L90*'Revenue w MYP'!G$52</f>
        <v>13606.646750891885</v>
      </c>
      <c r="H90" s="527">
        <f>+$L90*'Revenue w MYP'!H$52</f>
        <v>16462.77140289238</v>
      </c>
      <c r="I90" s="527">
        <f>+$L90*'Revenue w MYP'!I$52</f>
        <v>19930.581846215737</v>
      </c>
      <c r="J90" s="62"/>
      <c r="K90" s="262">
        <f t="shared" si="106"/>
        <v>50000</v>
      </c>
      <c r="L90" s="526">
        <v>50000</v>
      </c>
      <c r="M90" s="652"/>
      <c r="O90" s="619">
        <f t="shared" si="93"/>
        <v>14108.732015999794</v>
      </c>
      <c r="P90" s="517">
        <f t="shared" si="94"/>
        <v>17070.247667659107</v>
      </c>
      <c r="Q90" s="619">
        <f t="shared" si="95"/>
        <v>20666.020316341095</v>
      </c>
      <c r="R90" s="37">
        <f t="shared" si="96"/>
        <v>51845</v>
      </c>
      <c r="T90" s="619">
        <f t="shared" si="97"/>
        <v>14517.885244463787</v>
      </c>
      <c r="U90" s="619">
        <f t="shared" si="98"/>
        <v>17565.28485002122</v>
      </c>
      <c r="V90" s="619">
        <f t="shared" si="99"/>
        <v>21265.334905514985</v>
      </c>
      <c r="W90" s="37">
        <f t="shared" si="100"/>
        <v>53348.50499999999</v>
      </c>
      <c r="X90" s="490"/>
      <c r="Y90"/>
      <c r="Z90"/>
    </row>
    <row r="91" spans="1:28" x14ac:dyDescent="0.75">
      <c r="A91" s="429">
        <f t="shared" si="92"/>
        <v>5810</v>
      </c>
      <c r="B91" s="48" t="str">
        <f>IF(ISERROR(VLOOKUP(A91,'CONSOLIDATED CY Cash Flows'!$B$9:$B$200,1,FALSE)),"NO","YES")</f>
        <v>YES</v>
      </c>
      <c r="C91" s="64" t="str">
        <f>'Expenses Input'!B49</f>
        <v>5810</v>
      </c>
      <c r="D91" s="64" t="str">
        <f>'Expenses Input'!C49</f>
        <v>Educational Consultants</v>
      </c>
      <c r="E91" s="526"/>
      <c r="F91" s="526"/>
      <c r="G91" s="527">
        <f>+$L91*'Revenue w MYP'!G$52</f>
        <v>653119.04404281045</v>
      </c>
      <c r="H91" s="527">
        <f>+$L91*'Revenue w MYP'!H$52</f>
        <v>790213.02733883413</v>
      </c>
      <c r="I91" s="527">
        <f>+$L91*'Revenue w MYP'!I$52</f>
        <v>956667.9286183553</v>
      </c>
      <c r="J91" s="62"/>
      <c r="K91" s="262">
        <f>SUM(G91:J91)</f>
        <v>2400000</v>
      </c>
      <c r="L91" s="526">
        <v>2400000</v>
      </c>
      <c r="M91" s="652"/>
      <c r="N91" s="203" t="s">
        <v>1340</v>
      </c>
      <c r="O91" s="619">
        <f t="shared" si="93"/>
        <v>677219.13676799007</v>
      </c>
      <c r="P91" s="517">
        <f t="shared" si="94"/>
        <v>819371.88804763707</v>
      </c>
      <c r="Q91" s="619">
        <f t="shared" si="95"/>
        <v>991968.97518437251</v>
      </c>
      <c r="R91" s="37">
        <f t="shared" si="96"/>
        <v>2488559.9999999995</v>
      </c>
      <c r="T91" s="619">
        <f t="shared" si="97"/>
        <v>696858.49173426174</v>
      </c>
      <c r="U91" s="619">
        <f t="shared" si="98"/>
        <v>843133.67280101846</v>
      </c>
      <c r="V91" s="619">
        <f t="shared" si="99"/>
        <v>1020736.0754647192</v>
      </c>
      <c r="W91" s="37">
        <f t="shared" si="100"/>
        <v>2560728.2399999993</v>
      </c>
      <c r="X91" s="490">
        <f>+ROUNDDOWN(C91,-2)</f>
        <v>5800</v>
      </c>
      <c r="Y91"/>
      <c r="Z91"/>
    </row>
    <row r="92" spans="1:28" x14ac:dyDescent="0.75">
      <c r="A92" s="429">
        <f t="shared" si="92"/>
        <v>5811</v>
      </c>
      <c r="B92" s="48" t="str">
        <f>IF(ISERROR(VLOOKUP(A92,'CONSOLIDATED CY Cash Flows'!$B$9:$B$200,1,FALSE)),"NO","YES")</f>
        <v>YES</v>
      </c>
      <c r="C92" s="64" t="s">
        <v>1284</v>
      </c>
      <c r="D92" s="64" t="s">
        <v>1079</v>
      </c>
      <c r="E92" s="526"/>
      <c r="F92" s="526"/>
      <c r="G92" s="527">
        <f>+$L92*'Revenue w MYP'!G$52</f>
        <v>0</v>
      </c>
      <c r="H92" s="527">
        <f>+$L92*'Revenue w MYP'!H$52</f>
        <v>0</v>
      </c>
      <c r="I92" s="527">
        <f>+$L92*'Revenue w MYP'!I$52</f>
        <v>0</v>
      </c>
      <c r="J92" s="62"/>
      <c r="K92" s="262">
        <f t="shared" si="103"/>
        <v>0</v>
      </c>
      <c r="L92" s="526">
        <v>0</v>
      </c>
      <c r="M92" s="652"/>
      <c r="N92" s="203" t="s">
        <v>1340</v>
      </c>
      <c r="O92" s="619">
        <f t="shared" si="93"/>
        <v>0</v>
      </c>
      <c r="P92" s="517">
        <f t="shared" si="94"/>
        <v>0</v>
      </c>
      <c r="Q92" s="619">
        <f t="shared" si="95"/>
        <v>0</v>
      </c>
      <c r="R92" s="37">
        <f t="shared" si="96"/>
        <v>0</v>
      </c>
      <c r="T92" s="619">
        <f t="shared" si="97"/>
        <v>0</v>
      </c>
      <c r="U92" s="619">
        <f t="shared" si="98"/>
        <v>0</v>
      </c>
      <c r="V92" s="619">
        <f t="shared" si="99"/>
        <v>0</v>
      </c>
      <c r="W92" s="37">
        <f t="shared" si="100"/>
        <v>0</v>
      </c>
      <c r="X92" s="490">
        <f>+ROUNDDOWN(C92,-2)</f>
        <v>5800</v>
      </c>
      <c r="Y92"/>
      <c r="Z92"/>
    </row>
    <row r="93" spans="1:28" x14ac:dyDescent="0.75">
      <c r="A93" s="429">
        <f t="shared" si="92"/>
        <v>5812</v>
      </c>
      <c r="B93" s="48" t="str">
        <f>IF(ISERROR(VLOOKUP(A93,'CONSOLIDATED CY Cash Flows'!$B$9:$B$200,1,FALSE)),"NO","YES")</f>
        <v>YES</v>
      </c>
      <c r="C93" s="64" t="s">
        <v>1337</v>
      </c>
      <c r="D93" s="64" t="s">
        <v>1338</v>
      </c>
      <c r="E93" s="526"/>
      <c r="F93" s="526"/>
      <c r="G93" s="527">
        <f>+$L93*'Revenue w MYP'!G$52</f>
        <v>8163.9880505351312</v>
      </c>
      <c r="H93" s="527">
        <f>+$L93*'Revenue w MYP'!H$52</f>
        <v>9877.6628417354277</v>
      </c>
      <c r="I93" s="527">
        <f>+$L93*'Revenue w MYP'!I$52</f>
        <v>11958.349107729442</v>
      </c>
      <c r="J93" s="62"/>
      <c r="K93" s="262">
        <f t="shared" si="103"/>
        <v>30000</v>
      </c>
      <c r="L93" s="526">
        <v>30000</v>
      </c>
      <c r="M93" s="652"/>
      <c r="N93" s="203" t="s">
        <v>1340</v>
      </c>
      <c r="O93" s="619">
        <f t="shared" si="93"/>
        <v>8465.2392095998766</v>
      </c>
      <c r="P93" s="517">
        <f t="shared" si="94"/>
        <v>10242.148600595465</v>
      </c>
      <c r="Q93" s="619">
        <f t="shared" si="95"/>
        <v>12399.612189804659</v>
      </c>
      <c r="R93" s="37">
        <f t="shared" si="96"/>
        <v>31107</v>
      </c>
      <c r="T93" s="619">
        <f t="shared" si="97"/>
        <v>8710.7311466782721</v>
      </c>
      <c r="U93" s="619">
        <f t="shared" si="98"/>
        <v>10539.170910012732</v>
      </c>
      <c r="V93" s="619">
        <f t="shared" si="99"/>
        <v>12759.200943308993</v>
      </c>
      <c r="W93" s="37">
        <f t="shared" si="100"/>
        <v>32009.102999999996</v>
      </c>
      <c r="X93" s="490">
        <f>+ROUNDDOWN(C93,-2)</f>
        <v>5800</v>
      </c>
      <c r="Y93"/>
      <c r="Z93"/>
    </row>
    <row r="94" spans="1:28" x14ac:dyDescent="0.75">
      <c r="A94" s="429">
        <f t="shared" si="92"/>
        <v>5815</v>
      </c>
      <c r="B94" s="48" t="str">
        <f>IF(ISERROR(VLOOKUP(A94,'CONSOLIDATED CY Cash Flows'!$B$9:$B$200,1,FALSE)),"NO","YES")</f>
        <v>YES</v>
      </c>
      <c r="C94" s="64" t="str">
        <f>'Expenses Input'!B50</f>
        <v>5815</v>
      </c>
      <c r="D94" s="64" t="str">
        <f>'Expenses Input'!C50</f>
        <v>Advertising / Recruiting</v>
      </c>
      <c r="E94" s="526"/>
      <c r="F94" s="526"/>
      <c r="G94" s="649">
        <f>+$L94*'Revenue w MYP'!G$52+'Budget Summary w MYP'!F49</f>
        <v>68033.233754459419</v>
      </c>
      <c r="H94" s="527">
        <f>+$L94*'Revenue w MYP'!H$52</f>
        <v>82313.857014461901</v>
      </c>
      <c r="I94" s="649">
        <f>+$L94*'Revenue w MYP'!I$52+'Budget Summary w MYP'!J49</f>
        <v>99652.90923107868</v>
      </c>
      <c r="J94" s="62"/>
      <c r="K94" s="262">
        <f t="shared" si="103"/>
        <v>250000</v>
      </c>
      <c r="L94" s="526">
        <v>250000</v>
      </c>
      <c r="N94" s="203" t="s">
        <v>1340</v>
      </c>
      <c r="O94" s="619">
        <f t="shared" si="93"/>
        <v>70543.660079998968</v>
      </c>
      <c r="P94" s="517">
        <f t="shared" si="94"/>
        <v>85351.238338295545</v>
      </c>
      <c r="Q94" s="619">
        <f t="shared" si="95"/>
        <v>103330.10158170547</v>
      </c>
      <c r="R94" s="37">
        <f t="shared" si="96"/>
        <v>259224.99999999997</v>
      </c>
      <c r="T94" s="619">
        <f t="shared" si="97"/>
        <v>72589.426222318929</v>
      </c>
      <c r="U94" s="619">
        <f t="shared" si="98"/>
        <v>87826.424250106109</v>
      </c>
      <c r="V94" s="619">
        <f t="shared" si="99"/>
        <v>106326.67452757493</v>
      </c>
      <c r="W94" s="37">
        <f t="shared" si="100"/>
        <v>266742.52499999997</v>
      </c>
      <c r="X94" s="490">
        <f>+ROUNDDOWN(C94,-2)</f>
        <v>5800</v>
      </c>
      <c r="Y94"/>
      <c r="Z94"/>
    </row>
    <row r="95" spans="1:28" x14ac:dyDescent="0.75">
      <c r="A95" s="429">
        <f t="shared" si="92"/>
        <v>5820</v>
      </c>
      <c r="B95" s="48" t="str">
        <f>IF(ISERROR(VLOOKUP(A95,'CONSOLIDATED CY Cash Flows'!$B$9:$B$200,1,FALSE)),"NO","YES")</f>
        <v>YES</v>
      </c>
      <c r="C95" s="64" t="str">
        <f>'Expenses Input'!B51</f>
        <v>5820</v>
      </c>
      <c r="D95" s="64" t="str">
        <f>'Expenses Input'!C51</f>
        <v>Fundraising Expense</v>
      </c>
      <c r="E95" s="526"/>
      <c r="F95" s="526"/>
      <c r="G95" s="527">
        <f>+$L95*'Revenue w MYP'!G$52</f>
        <v>0</v>
      </c>
      <c r="H95" s="527">
        <f>+$L95*'Revenue w MYP'!H$52</f>
        <v>0</v>
      </c>
      <c r="I95" s="527">
        <f>+$L95*'Revenue w MYP'!I$52</f>
        <v>0</v>
      </c>
      <c r="J95" s="62"/>
      <c r="K95" s="262">
        <f t="shared" si="103"/>
        <v>0</v>
      </c>
      <c r="L95" s="526">
        <v>0</v>
      </c>
      <c r="N95" s="203" t="s">
        <v>1340</v>
      </c>
      <c r="O95" s="619">
        <f t="shared" si="93"/>
        <v>0</v>
      </c>
      <c r="P95" s="517">
        <f t="shared" si="94"/>
        <v>0</v>
      </c>
      <c r="Q95" s="619">
        <f t="shared" si="95"/>
        <v>0</v>
      </c>
      <c r="R95" s="37">
        <f t="shared" si="96"/>
        <v>0</v>
      </c>
      <c r="T95" s="619">
        <f t="shared" si="97"/>
        <v>0</v>
      </c>
      <c r="U95" s="619">
        <f t="shared" si="98"/>
        <v>0</v>
      </c>
      <c r="V95" s="619">
        <f t="shared" si="99"/>
        <v>0</v>
      </c>
      <c r="W95" s="37">
        <f t="shared" si="100"/>
        <v>0</v>
      </c>
      <c r="X95" s="490">
        <f>+ROUNDDOWN(C95,-2)</f>
        <v>5800</v>
      </c>
      <c r="Y95"/>
      <c r="Z95"/>
    </row>
    <row r="96" spans="1:28" x14ac:dyDescent="0.75">
      <c r="A96" s="429">
        <f t="shared" ref="A96" si="107">LEFT(C96,4)+0</f>
        <v>5830</v>
      </c>
      <c r="B96" s="48" t="str">
        <f>IF(ISERROR(VLOOKUP(A96,'CONSOLIDATED CY Cash Flows'!$B$9:$B$200,1,FALSE)),"NO","YES")</f>
        <v>YES</v>
      </c>
      <c r="C96" s="545" t="s">
        <v>1654</v>
      </c>
      <c r="D96" s="543" t="s">
        <v>1412</v>
      </c>
      <c r="E96" s="544"/>
      <c r="F96" s="544"/>
      <c r="G96" s="780">
        <f>+$L96*'Revenue w MYP'!G$52</f>
        <v>34016.61687722971</v>
      </c>
      <c r="H96" s="780">
        <f>+$L96*'Revenue w MYP'!H$52</f>
        <v>41156.92850723095</v>
      </c>
      <c r="I96" s="780">
        <f>+$L96*'Revenue w MYP'!I$52</f>
        <v>49826.45461553934</v>
      </c>
      <c r="J96" s="62"/>
      <c r="K96" s="262">
        <f t="shared" ref="K96" si="108">SUM(G96:J96)</f>
        <v>125000</v>
      </c>
      <c r="L96" s="526">
        <v>125000</v>
      </c>
      <c r="O96" s="619">
        <f t="shared" si="93"/>
        <v>35271.830039999484</v>
      </c>
      <c r="P96" s="517">
        <f t="shared" si="94"/>
        <v>42675.619169147772</v>
      </c>
      <c r="Q96" s="619">
        <f t="shared" si="95"/>
        <v>51665.050790852736</v>
      </c>
      <c r="R96" s="37">
        <f t="shared" si="96"/>
        <v>129612.49999999999</v>
      </c>
      <c r="T96" s="619">
        <f t="shared" si="97"/>
        <v>36294.713111159464</v>
      </c>
      <c r="U96" s="619">
        <f t="shared" si="98"/>
        <v>43913.212125053054</v>
      </c>
      <c r="V96" s="619">
        <f t="shared" si="99"/>
        <v>53163.337263787464</v>
      </c>
      <c r="W96" s="37">
        <f t="shared" si="100"/>
        <v>133371.26249999998</v>
      </c>
      <c r="X96" s="490"/>
      <c r="Y96"/>
      <c r="Z96"/>
    </row>
    <row r="97" spans="1:26" x14ac:dyDescent="0.75">
      <c r="A97" s="429">
        <f t="shared" si="92"/>
        <v>5873</v>
      </c>
      <c r="B97" s="48" t="str">
        <f>IF(ISERROR(VLOOKUP(A97,'CONSOLIDATED CY Cash Flows'!$B$9:$B$200,1,FALSE)),"NO","YES")</f>
        <v>YES</v>
      </c>
      <c r="C97" s="64" t="s">
        <v>1285</v>
      </c>
      <c r="D97" s="64" t="s">
        <v>1286</v>
      </c>
      <c r="E97" s="526"/>
      <c r="F97" s="526"/>
      <c r="G97" s="521">
        <f>+('Revenue w MYP'!G8+'Revenue w MYP'!G9+'Revenue w MYP'!G10)*0.0225</f>
        <v>171667.96839540001</v>
      </c>
      <c r="H97" s="521">
        <f>+('Revenue w MYP'!H8+'Revenue w MYP'!H9+'Revenue w MYP'!H10)*0.0225</f>
        <v>216685.42001162999</v>
      </c>
      <c r="I97" s="521">
        <f>+('Revenue w MYP'!I8+'Revenue w MYP'!I9+'Revenue w MYP'!I10)*0.0225</f>
        <v>238340.48331870002</v>
      </c>
      <c r="J97" s="62"/>
      <c r="K97" s="192">
        <f t="shared" si="103"/>
        <v>626693.87172573002</v>
      </c>
      <c r="L97" s="526">
        <f>+K97</f>
        <v>626693.87172573002</v>
      </c>
      <c r="M97" s="505"/>
      <c r="N97" s="203" t="s">
        <v>1341</v>
      </c>
      <c r="O97" s="619">
        <f t="shared" si="93"/>
        <v>178002.51642919026</v>
      </c>
      <c r="P97" s="517">
        <f t="shared" si="94"/>
        <v>224681.11201005912</v>
      </c>
      <c r="Q97" s="619">
        <f t="shared" si="95"/>
        <v>247135.24715316005</v>
      </c>
      <c r="R97" s="37">
        <f t="shared" si="96"/>
        <v>649818.8755924094</v>
      </c>
      <c r="T97" s="619">
        <f t="shared" si="97"/>
        <v>183164.58940563677</v>
      </c>
      <c r="U97" s="619">
        <f t="shared" si="98"/>
        <v>231196.8642583508</v>
      </c>
      <c r="V97" s="619">
        <f t="shared" si="99"/>
        <v>254302.16932060168</v>
      </c>
      <c r="W97" s="37">
        <f t="shared" si="100"/>
        <v>668663.62298458931</v>
      </c>
      <c r="X97" s="490">
        <f t="shared" ref="X97:X109" si="109">+ROUNDDOWN(C97,-2)</f>
        <v>5800</v>
      </c>
      <c r="Y97"/>
      <c r="Z97"/>
    </row>
    <row r="98" spans="1:26" x14ac:dyDescent="0.75">
      <c r="A98" s="429">
        <f t="shared" si="92"/>
        <v>5874</v>
      </c>
      <c r="B98" s="48" t="str">
        <f>IF(ISERROR(VLOOKUP(A98,'CONSOLIDATED CY Cash Flows'!$B$9:$B$200,1,FALSE)),"NO","YES")</f>
        <v>YES</v>
      </c>
      <c r="C98" s="64" t="s">
        <v>1287</v>
      </c>
      <c r="D98" s="64" t="s">
        <v>1288</v>
      </c>
      <c r="E98" s="526"/>
      <c r="F98" s="526"/>
      <c r="G98" s="527">
        <f>+$L98*'Revenue w MYP'!G$52</f>
        <v>1360.6646750891884</v>
      </c>
      <c r="H98" s="527">
        <f>+$L98*'Revenue w MYP'!H$52</f>
        <v>1646.2771402892379</v>
      </c>
      <c r="I98" s="527">
        <f>+$L98*'Revenue w MYP'!I$52</f>
        <v>1993.0581846215737</v>
      </c>
      <c r="J98" s="62"/>
      <c r="K98" s="262">
        <f t="shared" si="103"/>
        <v>5000</v>
      </c>
      <c r="L98" s="526">
        <v>5000</v>
      </c>
      <c r="N98" s="203" t="s">
        <v>1341</v>
      </c>
      <c r="O98" s="619">
        <f t="shared" si="93"/>
        <v>1410.8732015999794</v>
      </c>
      <c r="P98" s="517">
        <f t="shared" si="94"/>
        <v>1707.0247667659107</v>
      </c>
      <c r="Q98" s="619">
        <f t="shared" si="95"/>
        <v>2066.6020316341096</v>
      </c>
      <c r="R98" s="37">
        <f t="shared" si="96"/>
        <v>5184.5</v>
      </c>
      <c r="T98" s="619">
        <f t="shared" si="97"/>
        <v>1451.7885244463787</v>
      </c>
      <c r="U98" s="619">
        <f t="shared" si="98"/>
        <v>1756.5284850021219</v>
      </c>
      <c r="V98" s="619">
        <f t="shared" si="99"/>
        <v>2126.5334905514987</v>
      </c>
      <c r="W98" s="37">
        <f t="shared" si="100"/>
        <v>5334.8504999999986</v>
      </c>
      <c r="X98" s="490">
        <f t="shared" si="109"/>
        <v>5800</v>
      </c>
      <c r="Y98"/>
      <c r="Z98"/>
    </row>
    <row r="99" spans="1:26" x14ac:dyDescent="0.75">
      <c r="A99" s="429">
        <f t="shared" si="92"/>
        <v>5875</v>
      </c>
      <c r="B99" s="48" t="str">
        <f>IF(ISERROR(VLOOKUP(A99,'CONSOLIDATED CY Cash Flows'!$B$9:$B$200,1,FALSE)),"NO","YES")</f>
        <v>YES</v>
      </c>
      <c r="C99" s="64" t="str">
        <f>'Expenses Input'!B52</f>
        <v>5875</v>
      </c>
      <c r="D99" s="64" t="str">
        <f>'Expenses Input'!C52</f>
        <v>District Oversight Fee</v>
      </c>
      <c r="E99" s="526"/>
      <c r="F99" s="526"/>
      <c r="G99" s="521">
        <f>SUM('Revenue w MYP'!G8:G10)*0.01</f>
        <v>76296.874842400008</v>
      </c>
      <c r="H99" s="521">
        <f>SUM('Revenue w MYP'!H8:H10)*0.01</f>
        <v>96304.631116279998</v>
      </c>
      <c r="I99" s="521">
        <f>SUM('Revenue w MYP'!I8:I10)*0.01</f>
        <v>105929.10369720001</v>
      </c>
      <c r="J99" s="62"/>
      <c r="K99" s="262">
        <f>SUM(G99:J99)</f>
        <v>278530.60965588002</v>
      </c>
      <c r="L99" s="526">
        <f>SUM(G99:I99)</f>
        <v>278530.60965588002</v>
      </c>
      <c r="N99" s="203" t="s">
        <v>1341</v>
      </c>
      <c r="O99" s="619">
        <f t="shared" si="93"/>
        <v>79112.229524084556</v>
      </c>
      <c r="P99" s="517">
        <f t="shared" si="94"/>
        <v>99858.272004470724</v>
      </c>
      <c r="Q99" s="619">
        <f t="shared" si="95"/>
        <v>109837.8876236267</v>
      </c>
      <c r="R99" s="37">
        <f t="shared" si="96"/>
        <v>288808.38915218198</v>
      </c>
      <c r="T99" s="619">
        <f t="shared" si="97"/>
        <v>81406.484180283005</v>
      </c>
      <c r="U99" s="619">
        <f t="shared" si="98"/>
        <v>102754.16189260037</v>
      </c>
      <c r="V99" s="619">
        <f t="shared" si="99"/>
        <v>113023.18636471186</v>
      </c>
      <c r="W99" s="37">
        <f t="shared" si="100"/>
        <v>297183.83243759524</v>
      </c>
      <c r="X99" s="490">
        <f t="shared" si="109"/>
        <v>5800</v>
      </c>
      <c r="Y99"/>
      <c r="Z99"/>
    </row>
    <row r="100" spans="1:26" x14ac:dyDescent="0.75">
      <c r="A100" s="429">
        <f t="shared" si="92"/>
        <v>5877</v>
      </c>
      <c r="B100" s="48" t="str">
        <f>IF(ISERROR(VLOOKUP(A100,'CONSOLIDATED CY Cash Flows'!$B$9:$B$200,1,FALSE)),"NO","YES")</f>
        <v>YES</v>
      </c>
      <c r="C100" s="64" t="s">
        <v>1290</v>
      </c>
      <c r="D100" s="64" t="s">
        <v>1289</v>
      </c>
      <c r="E100" s="526"/>
      <c r="F100" s="526"/>
      <c r="G100" s="527">
        <f>+$L100*'Revenue w MYP'!G$52</f>
        <v>89803.868555886438</v>
      </c>
      <c r="H100" s="527">
        <f>+$L100*'Revenue w MYP'!H$52</f>
        <v>108654.2912590897</v>
      </c>
      <c r="I100" s="527">
        <f>+$L100*'Revenue w MYP'!I$52</f>
        <v>131541.84018502387</v>
      </c>
      <c r="J100" s="62"/>
      <c r="K100" s="262">
        <f t="shared" si="103"/>
        <v>330000</v>
      </c>
      <c r="L100" s="526">
        <v>330000</v>
      </c>
      <c r="N100" s="203" t="s">
        <v>1340</v>
      </c>
      <c r="O100" s="619">
        <f t="shared" si="93"/>
        <v>93117.631305598639</v>
      </c>
      <c r="P100" s="517">
        <f t="shared" si="94"/>
        <v>112663.63460655011</v>
      </c>
      <c r="Q100" s="619">
        <f t="shared" si="95"/>
        <v>136395.73408785125</v>
      </c>
      <c r="R100" s="37">
        <f t="shared" si="96"/>
        <v>342177</v>
      </c>
      <c r="T100" s="619">
        <f t="shared" si="97"/>
        <v>95818.042613460988</v>
      </c>
      <c r="U100" s="619">
        <f t="shared" si="98"/>
        <v>115930.88001014006</v>
      </c>
      <c r="V100" s="619">
        <f t="shared" si="99"/>
        <v>140351.21037639893</v>
      </c>
      <c r="W100" s="37">
        <f t="shared" si="100"/>
        <v>352100.13299999997</v>
      </c>
      <c r="X100" s="490">
        <f t="shared" si="109"/>
        <v>5800</v>
      </c>
      <c r="Y100"/>
      <c r="Z100"/>
    </row>
    <row r="101" spans="1:26" x14ac:dyDescent="0.75">
      <c r="A101" s="429">
        <f t="shared" si="92"/>
        <v>5890</v>
      </c>
      <c r="B101" s="48" t="str">
        <f>IF(ISERROR(VLOOKUP(A101,'CONSOLIDATED CY Cash Flows'!$B$9:$B$200,1,FALSE)),"NO","YES")</f>
        <v>YES</v>
      </c>
      <c r="C101" s="64" t="str">
        <f>'Expenses Input'!B53</f>
        <v>5890</v>
      </c>
      <c r="D101" s="64" t="str">
        <f>'Expenses Input'!C53</f>
        <v>Interest Expense / Misc. Fees</v>
      </c>
      <c r="E101" s="526"/>
      <c r="F101" s="526"/>
      <c r="G101" s="527">
        <f>+$L101*'Revenue w MYP'!G$52</f>
        <v>816.39880505351312</v>
      </c>
      <c r="H101" s="527">
        <f>+$L101*'Revenue w MYP'!H$52</f>
        <v>987.76628417354277</v>
      </c>
      <c r="I101" s="527">
        <f>+$L101*'Revenue w MYP'!I$52</f>
        <v>1195.8349107729441</v>
      </c>
      <c r="J101" s="62"/>
      <c r="K101" s="262">
        <f t="shared" si="103"/>
        <v>3000</v>
      </c>
      <c r="L101" s="526">
        <v>3000</v>
      </c>
      <c r="O101" s="619">
        <f t="shared" si="93"/>
        <v>846.52392095998766</v>
      </c>
      <c r="P101" s="517">
        <f t="shared" si="94"/>
        <v>1024.2148600595465</v>
      </c>
      <c r="Q101" s="619">
        <f t="shared" si="95"/>
        <v>1239.9612189804657</v>
      </c>
      <c r="R101" s="37">
        <f t="shared" si="96"/>
        <v>3110.7</v>
      </c>
      <c r="T101" s="619">
        <f t="shared" si="97"/>
        <v>871.07311466782721</v>
      </c>
      <c r="U101" s="619">
        <f t="shared" si="98"/>
        <v>1053.9170910012733</v>
      </c>
      <c r="V101" s="619">
        <f t="shared" si="99"/>
        <v>1275.920094330899</v>
      </c>
      <c r="W101" s="37">
        <f t="shared" si="100"/>
        <v>3200.9102999999996</v>
      </c>
      <c r="X101" s="490">
        <f t="shared" si="109"/>
        <v>5800</v>
      </c>
      <c r="Y101"/>
      <c r="Z101"/>
    </row>
    <row r="102" spans="1:26" x14ac:dyDescent="0.75">
      <c r="A102" s="429">
        <f t="shared" si="92"/>
        <v>5891</v>
      </c>
      <c r="B102" s="48" t="str">
        <f>IF(ISERROR(VLOOKUP(A102,'CONSOLIDATED CY Cash Flows'!$B$9:$B$200,1,FALSE)),"NO","YES")</f>
        <v>YES</v>
      </c>
      <c r="C102" s="64" t="s">
        <v>840</v>
      </c>
      <c r="D102" s="64" t="s">
        <v>1619</v>
      </c>
      <c r="E102" s="526"/>
      <c r="F102" s="526"/>
      <c r="G102" s="527">
        <f>+$L102*'Revenue w MYP'!G$52</f>
        <v>0</v>
      </c>
      <c r="H102" s="527">
        <f>+$L102*'Revenue w MYP'!H$52</f>
        <v>0</v>
      </c>
      <c r="I102" s="527">
        <f>+$L102*'Revenue w MYP'!I$52</f>
        <v>0</v>
      </c>
      <c r="J102" s="62"/>
      <c r="K102" s="262">
        <f t="shared" si="103"/>
        <v>0</v>
      </c>
      <c r="L102" s="526">
        <v>0</v>
      </c>
      <c r="O102" s="619">
        <f t="shared" si="93"/>
        <v>0</v>
      </c>
      <c r="P102" s="517">
        <f t="shared" si="94"/>
        <v>0</v>
      </c>
      <c r="Q102" s="619">
        <f t="shared" si="95"/>
        <v>0</v>
      </c>
      <c r="R102" s="37">
        <f t="shared" si="96"/>
        <v>0</v>
      </c>
      <c r="T102" s="619">
        <f t="shared" si="97"/>
        <v>0</v>
      </c>
      <c r="U102" s="619">
        <f t="shared" si="98"/>
        <v>0</v>
      </c>
      <c r="V102" s="517">
        <f t="shared" si="99"/>
        <v>0</v>
      </c>
      <c r="W102" s="37">
        <f t="shared" si="100"/>
        <v>0</v>
      </c>
      <c r="X102" s="490">
        <f t="shared" si="109"/>
        <v>5800</v>
      </c>
      <c r="Y102" t="s">
        <v>1620</v>
      </c>
      <c r="Z102"/>
    </row>
    <row r="103" spans="1:26" x14ac:dyDescent="0.75">
      <c r="A103" s="429">
        <f t="shared" si="92"/>
        <v>5900</v>
      </c>
      <c r="B103" s="48" t="str">
        <f>IF(ISERROR(VLOOKUP(A103,'CONSOLIDATED CY Cash Flows'!$B$9:$B$200,1,FALSE)),"NO","YES")</f>
        <v>YES</v>
      </c>
      <c r="C103" s="64" t="str">
        <f>'Expenses Input'!B55</f>
        <v>5900</v>
      </c>
      <c r="D103" s="64" t="str">
        <f>'Expenses Input'!C55</f>
        <v>Communications</v>
      </c>
      <c r="E103" s="526"/>
      <c r="F103" s="526"/>
      <c r="G103" s="527">
        <f>+$L103*'Revenue w MYP'!G$52</f>
        <v>35377.281552318898</v>
      </c>
      <c r="H103" s="527">
        <f>+$L103*'Revenue w MYP'!H$52</f>
        <v>42803.205647520183</v>
      </c>
      <c r="I103" s="527">
        <f>+$L103*'Revenue w MYP'!I$52</f>
        <v>51819.512800160912</v>
      </c>
      <c r="J103" s="62"/>
      <c r="K103" s="262">
        <f t="shared" si="103"/>
        <v>130000</v>
      </c>
      <c r="L103" s="526">
        <v>130000</v>
      </c>
      <c r="N103" s="203" t="s">
        <v>1340</v>
      </c>
      <c r="O103" s="517">
        <f t="shared" si="93"/>
        <v>36682.703241599462</v>
      </c>
      <c r="P103" s="517">
        <f t="shared" si="94"/>
        <v>44382.643935913671</v>
      </c>
      <c r="Q103" s="517">
        <f t="shared" si="95"/>
        <v>53731.652822486845</v>
      </c>
      <c r="R103" s="37">
        <f t="shared" si="96"/>
        <v>134796.99999999997</v>
      </c>
      <c r="T103" s="517">
        <f t="shared" si="97"/>
        <v>37746.50163560584</v>
      </c>
      <c r="U103" s="517">
        <f t="shared" si="98"/>
        <v>45669.740610055167</v>
      </c>
      <c r="V103" s="517">
        <f t="shared" si="99"/>
        <v>55289.870754338961</v>
      </c>
      <c r="W103" s="37">
        <f t="shared" si="100"/>
        <v>138706.11299999995</v>
      </c>
      <c r="X103" s="490">
        <f t="shared" si="109"/>
        <v>5900</v>
      </c>
      <c r="Y103"/>
      <c r="Z103"/>
    </row>
    <row r="104" spans="1:26" hidden="1" outlineLevel="1" x14ac:dyDescent="0.75">
      <c r="A104" s="429">
        <f t="shared" si="92"/>
        <v>0</v>
      </c>
      <c r="B104" s="48" t="str">
        <f>IF(ISERROR(VLOOKUP(A104,'CONSOLIDATED CY Cash Flows'!$B$9:$B$200,1,FALSE)),"NO","YES")</f>
        <v>NO</v>
      </c>
      <c r="C104" s="64">
        <f>'Expenses Input'!B61</f>
        <v>0</v>
      </c>
      <c r="D104" s="64">
        <f>'Expenses Input'!C61</f>
        <v>0</v>
      </c>
      <c r="E104" s="526"/>
      <c r="F104" s="526"/>
      <c r="G104" s="527">
        <f>+$L104*'Revenue w MYP'!G$52</f>
        <v>0</v>
      </c>
      <c r="H104" s="527">
        <f>+$L104*'Revenue w MYP'!H$52</f>
        <v>0</v>
      </c>
      <c r="I104" s="527">
        <f>+$L104*'Revenue w MYP'!I$52</f>
        <v>0</v>
      </c>
      <c r="J104" s="62"/>
      <c r="K104" s="262">
        <f t="shared" si="103"/>
        <v>0</v>
      </c>
      <c r="L104" s="526">
        <v>0</v>
      </c>
      <c r="N104" s="203" t="s">
        <v>1340</v>
      </c>
      <c r="O104" s="517">
        <f t="shared" si="93"/>
        <v>0</v>
      </c>
      <c r="P104" s="517">
        <f t="shared" si="94"/>
        <v>0</v>
      </c>
      <c r="Q104" s="517">
        <f t="shared" si="95"/>
        <v>0</v>
      </c>
      <c r="R104" s="37">
        <f t="shared" si="96"/>
        <v>0</v>
      </c>
      <c r="T104" s="517">
        <f t="shared" si="97"/>
        <v>0</v>
      </c>
      <c r="U104" s="517">
        <f t="shared" si="98"/>
        <v>0</v>
      </c>
      <c r="V104" s="517">
        <f t="shared" si="99"/>
        <v>0</v>
      </c>
      <c r="W104" s="37">
        <f t="shared" si="100"/>
        <v>0</v>
      </c>
      <c r="X104" s="490">
        <f t="shared" si="109"/>
        <v>0</v>
      </c>
      <c r="Y104"/>
      <c r="Z104"/>
    </row>
    <row r="105" spans="1:26" hidden="1" outlineLevel="1" x14ac:dyDescent="0.75">
      <c r="A105" s="429">
        <f t="shared" si="92"/>
        <v>0</v>
      </c>
      <c r="B105" s="48" t="str">
        <f>IF(ISERROR(VLOOKUP(A105,'CONSOLIDATED CY Cash Flows'!$B$9:$B$200,1,FALSE)),"NO","YES")</f>
        <v>NO</v>
      </c>
      <c r="C105" s="64">
        <f>'Expenses Input'!B62</f>
        <v>0</v>
      </c>
      <c r="D105" s="64">
        <f>'Expenses Input'!C62</f>
        <v>0</v>
      </c>
      <c r="E105" s="526"/>
      <c r="F105" s="526"/>
      <c r="G105" s="527">
        <f>+$L105*'Revenue w MYP'!G$52</f>
        <v>0</v>
      </c>
      <c r="H105" s="527">
        <f>+$L105*'Revenue w MYP'!H$52</f>
        <v>0</v>
      </c>
      <c r="I105" s="527">
        <f>+$L105*'Revenue w MYP'!I$52</f>
        <v>0</v>
      </c>
      <c r="J105" s="62"/>
      <c r="K105" s="262">
        <f t="shared" si="103"/>
        <v>0</v>
      </c>
      <c r="L105" s="526">
        <v>0</v>
      </c>
      <c r="N105" s="203" t="s">
        <v>1341</v>
      </c>
      <c r="O105" s="517">
        <f t="shared" si="93"/>
        <v>0</v>
      </c>
      <c r="P105" s="517">
        <f t="shared" si="94"/>
        <v>0</v>
      </c>
      <c r="Q105" s="517">
        <f t="shared" si="95"/>
        <v>0</v>
      </c>
      <c r="R105" s="37">
        <f t="shared" si="96"/>
        <v>0</v>
      </c>
      <c r="T105" s="517">
        <f t="shared" si="97"/>
        <v>0</v>
      </c>
      <c r="U105" s="517">
        <f t="shared" si="98"/>
        <v>0</v>
      </c>
      <c r="V105" s="517">
        <f t="shared" si="99"/>
        <v>0</v>
      </c>
      <c r="W105" s="37">
        <f t="shared" si="100"/>
        <v>0</v>
      </c>
      <c r="X105" s="490">
        <f t="shared" si="109"/>
        <v>0</v>
      </c>
      <c r="Y105"/>
      <c r="Z105"/>
    </row>
    <row r="106" spans="1:26" hidden="1" outlineLevel="1" x14ac:dyDescent="0.75">
      <c r="A106" s="429">
        <f t="shared" si="92"/>
        <v>0</v>
      </c>
      <c r="B106" s="48" t="str">
        <f>IF(ISERROR(VLOOKUP(A106,'CONSOLIDATED CY Cash Flows'!$B$9:$B$200,1,FALSE)),"NO","YES")</f>
        <v>NO</v>
      </c>
      <c r="C106" s="64">
        <f>'Expenses Input'!B63</f>
        <v>0</v>
      </c>
      <c r="D106" s="64">
        <f>'Expenses Input'!C63</f>
        <v>0</v>
      </c>
      <c r="E106" s="526"/>
      <c r="F106" s="526"/>
      <c r="G106" s="527">
        <f>+$L106*'Revenue w MYP'!G$52</f>
        <v>0</v>
      </c>
      <c r="H106" s="527">
        <f>+$L106*'Revenue w MYP'!H$52</f>
        <v>0</v>
      </c>
      <c r="I106" s="527">
        <f>+$L106*'Revenue w MYP'!I$52</f>
        <v>0</v>
      </c>
      <c r="J106" s="62"/>
      <c r="K106" s="262">
        <f t="shared" si="103"/>
        <v>0</v>
      </c>
      <c r="L106" s="526">
        <v>0</v>
      </c>
      <c r="N106" s="203" t="s">
        <v>1341</v>
      </c>
      <c r="O106" s="517">
        <f t="shared" si="93"/>
        <v>0</v>
      </c>
      <c r="P106" s="517">
        <f t="shared" si="94"/>
        <v>0</v>
      </c>
      <c r="Q106" s="517">
        <f t="shared" si="95"/>
        <v>0</v>
      </c>
      <c r="R106" s="37">
        <f t="shared" si="96"/>
        <v>0</v>
      </c>
      <c r="T106" s="517">
        <f t="shared" si="97"/>
        <v>0</v>
      </c>
      <c r="U106" s="517">
        <f t="shared" si="98"/>
        <v>0</v>
      </c>
      <c r="V106" s="517">
        <f t="shared" si="99"/>
        <v>0</v>
      </c>
      <c r="W106" s="37">
        <f t="shared" si="100"/>
        <v>0</v>
      </c>
      <c r="X106" s="490">
        <f t="shared" si="109"/>
        <v>0</v>
      </c>
      <c r="Y106"/>
      <c r="Z106"/>
    </row>
    <row r="107" spans="1:26" hidden="1" outlineLevel="1" x14ac:dyDescent="0.75">
      <c r="A107" s="429">
        <f t="shared" si="92"/>
        <v>0</v>
      </c>
      <c r="B107" s="48" t="str">
        <f>IF(ISERROR(VLOOKUP(A107,'CONSOLIDATED CY Cash Flows'!$B$9:$B$200,1,FALSE)),"NO","YES")</f>
        <v>NO</v>
      </c>
      <c r="C107" s="64">
        <f>'Expenses Input'!B64</f>
        <v>0</v>
      </c>
      <c r="D107" s="64">
        <f>'Expenses Input'!C64</f>
        <v>0</v>
      </c>
      <c r="E107" s="526"/>
      <c r="F107" s="526"/>
      <c r="G107" s="527">
        <f>+$L107*'Revenue w MYP'!G$52</f>
        <v>0</v>
      </c>
      <c r="H107" s="527">
        <f>+$L107*'Revenue w MYP'!H$52</f>
        <v>0</v>
      </c>
      <c r="I107" s="527">
        <f>+$L107*'Revenue w MYP'!I$52</f>
        <v>0</v>
      </c>
      <c r="J107" s="62"/>
      <c r="K107" s="262">
        <f t="shared" si="103"/>
        <v>0</v>
      </c>
      <c r="L107" s="526">
        <v>0</v>
      </c>
      <c r="O107" s="517">
        <f t="shared" si="93"/>
        <v>0</v>
      </c>
      <c r="P107" s="517">
        <f t="shared" si="94"/>
        <v>0</v>
      </c>
      <c r="Q107" s="517">
        <f t="shared" si="95"/>
        <v>0</v>
      </c>
      <c r="R107" s="37">
        <f t="shared" si="96"/>
        <v>0</v>
      </c>
      <c r="T107" s="517">
        <f t="shared" si="97"/>
        <v>0</v>
      </c>
      <c r="U107" s="517">
        <f t="shared" si="98"/>
        <v>0</v>
      </c>
      <c r="V107" s="517">
        <f t="shared" si="99"/>
        <v>0</v>
      </c>
      <c r="W107" s="37">
        <f t="shared" si="100"/>
        <v>0</v>
      </c>
      <c r="X107" s="490">
        <f t="shared" si="109"/>
        <v>0</v>
      </c>
      <c r="Y107"/>
      <c r="Z107"/>
    </row>
    <row r="108" spans="1:26" hidden="1" outlineLevel="1" x14ac:dyDescent="0.75">
      <c r="A108" s="429">
        <f t="shared" si="92"/>
        <v>0</v>
      </c>
      <c r="B108" s="48" t="str">
        <f>IF(ISERROR(VLOOKUP(A108,'CONSOLIDATED CY Cash Flows'!$B$9:$B$200,1,FALSE)),"NO","YES")</f>
        <v>NO</v>
      </c>
      <c r="C108" s="64">
        <f>'Expenses Input'!B65</f>
        <v>0</v>
      </c>
      <c r="D108" s="64">
        <f>'Expenses Input'!C65</f>
        <v>0</v>
      </c>
      <c r="E108" s="526"/>
      <c r="F108" s="526"/>
      <c r="G108" s="527">
        <f>+$L108*'Revenue w MYP'!G$52</f>
        <v>0</v>
      </c>
      <c r="H108" s="527">
        <f>+$L108*'Revenue w MYP'!H$52</f>
        <v>0</v>
      </c>
      <c r="I108" s="527">
        <f>+$L108*'Revenue w MYP'!I$52</f>
        <v>0</v>
      </c>
      <c r="J108" s="62"/>
      <c r="K108" s="262">
        <f t="shared" si="103"/>
        <v>0</v>
      </c>
      <c r="L108" s="526">
        <v>0</v>
      </c>
      <c r="N108" s="203" t="s">
        <v>1340</v>
      </c>
      <c r="O108" s="517">
        <f t="shared" si="93"/>
        <v>0</v>
      </c>
      <c r="P108" s="517">
        <f t="shared" si="94"/>
        <v>0</v>
      </c>
      <c r="Q108" s="517">
        <f t="shared" si="95"/>
        <v>0</v>
      </c>
      <c r="R108" s="37">
        <f t="shared" si="96"/>
        <v>0</v>
      </c>
      <c r="T108" s="517">
        <f t="shared" si="97"/>
        <v>0</v>
      </c>
      <c r="U108" s="517">
        <f t="shared" si="98"/>
        <v>0</v>
      </c>
      <c r="V108" s="517">
        <f t="shared" si="99"/>
        <v>0</v>
      </c>
      <c r="W108" s="37">
        <f t="shared" si="100"/>
        <v>0</v>
      </c>
      <c r="X108" s="490">
        <f t="shared" si="109"/>
        <v>0</v>
      </c>
      <c r="Y108"/>
      <c r="Z108"/>
    </row>
    <row r="109" spans="1:26" collapsed="1" x14ac:dyDescent="0.75">
      <c r="A109" s="429">
        <f t="shared" si="92"/>
        <v>5901</v>
      </c>
      <c r="B109" s="48" t="str">
        <f>IF(ISERROR(VLOOKUP(A109,'CONSOLIDATED CY Cash Flows'!$B$9:$B$200,1,FALSE)),"NO","YES")</f>
        <v>YES</v>
      </c>
      <c r="C109" s="121" t="s">
        <v>1655</v>
      </c>
      <c r="D109" s="64" t="s">
        <v>1656</v>
      </c>
      <c r="E109" s="526"/>
      <c r="F109" s="526"/>
      <c r="G109" s="527">
        <f>+$L109*'Revenue w MYP'!G$52</f>
        <v>408.19940252675656</v>
      </c>
      <c r="H109" s="527">
        <f>+$L109*'Revenue w MYP'!H$52</f>
        <v>493.88314208677139</v>
      </c>
      <c r="I109" s="527">
        <f>+$L109*'Revenue w MYP'!I$52</f>
        <v>597.91745538647206</v>
      </c>
      <c r="J109" s="62"/>
      <c r="K109" s="262">
        <f t="shared" si="103"/>
        <v>1500</v>
      </c>
      <c r="L109" s="526">
        <v>1500</v>
      </c>
      <c r="O109" s="517">
        <f t="shared" si="93"/>
        <v>423.26196047999383</v>
      </c>
      <c r="P109" s="517">
        <f t="shared" si="94"/>
        <v>512.10743002977324</v>
      </c>
      <c r="Q109" s="517">
        <f t="shared" si="95"/>
        <v>619.98060949023284</v>
      </c>
      <c r="R109" s="37">
        <f t="shared" si="96"/>
        <v>1555.35</v>
      </c>
      <c r="T109" s="517">
        <f t="shared" si="97"/>
        <v>435.53655733391361</v>
      </c>
      <c r="U109" s="517">
        <f t="shared" si="98"/>
        <v>526.95854550063666</v>
      </c>
      <c r="V109" s="517">
        <f t="shared" si="99"/>
        <v>637.96004716544951</v>
      </c>
      <c r="W109" s="37">
        <f t="shared" si="100"/>
        <v>1600.4551499999998</v>
      </c>
      <c r="X109" s="490">
        <f t="shared" si="109"/>
        <v>5900</v>
      </c>
      <c r="Y109"/>
      <c r="Z109"/>
    </row>
    <row r="110" spans="1:26" x14ac:dyDescent="0.75">
      <c r="A110" s="35"/>
      <c r="B110" s="35"/>
      <c r="C110" s="33" t="s">
        <v>559</v>
      </c>
      <c r="D110" s="34" t="s">
        <v>719</v>
      </c>
      <c r="E110" s="524" t="str">
        <f t="shared" ref="E110:K110" si="110">IF(SUM(E72:E109)&gt;0,SUM(E72:E109),"")</f>
        <v/>
      </c>
      <c r="F110" s="524" t="str">
        <f t="shared" si="110"/>
        <v/>
      </c>
      <c r="G110" s="522">
        <f t="shared" si="110"/>
        <v>1607494.7946059857</v>
      </c>
      <c r="H110" s="522">
        <f t="shared" si="110"/>
        <v>1991199.8870677585</v>
      </c>
      <c r="I110" s="522">
        <f t="shared" si="110"/>
        <v>2307779.5797078661</v>
      </c>
      <c r="J110" s="153" t="str">
        <f t="shared" si="110"/>
        <v/>
      </c>
      <c r="K110" s="153">
        <f t="shared" si="110"/>
        <v>5906474.2613816103</v>
      </c>
      <c r="L110" s="522">
        <f>IF(SUM(L72:L109)&gt;0,SUM(L72:L109),"")</f>
        <v>5906474.2613816103</v>
      </c>
      <c r="N110" s="203" t="s">
        <v>1341</v>
      </c>
      <c r="O110" s="588">
        <f>+SUM(O73:O109)</f>
        <v>1629597.3525269462</v>
      </c>
      <c r="P110" s="588">
        <f t="shared" ref="P110:R110" si="111">+SUM(P73:P109)</f>
        <v>2027461.1629005587</v>
      </c>
      <c r="Q110" s="588">
        <f t="shared" si="111"/>
        <v>2355722.6461990867</v>
      </c>
      <c r="R110" s="588">
        <f t="shared" si="111"/>
        <v>6012781.1616265913</v>
      </c>
      <c r="T110" s="588">
        <f t="shared" ref="T110:V110" si="112">+SUM(T73:T109)</f>
        <v>1676855.6757502276</v>
      </c>
      <c r="U110" s="588">
        <f t="shared" si="112"/>
        <v>2086257.5366246747</v>
      </c>
      <c r="V110" s="588">
        <f t="shared" si="112"/>
        <v>2424038.6029388593</v>
      </c>
      <c r="W110" s="37">
        <f t="shared" si="100"/>
        <v>6187151.8153137621</v>
      </c>
    </row>
    <row r="111" spans="1:26" x14ac:dyDescent="0.75">
      <c r="A111" s="35"/>
      <c r="B111" s="35"/>
      <c r="C111" s="3"/>
      <c r="D111" s="2"/>
      <c r="E111" s="164"/>
      <c r="F111" s="164"/>
      <c r="G111" s="281"/>
      <c r="H111" s="281"/>
      <c r="I111" s="281"/>
      <c r="J111" s="164"/>
      <c r="K111" s="195"/>
      <c r="L111" s="164"/>
    </row>
    <row r="112" spans="1:26" x14ac:dyDescent="0.75">
      <c r="C112" s="34" t="s">
        <v>721</v>
      </c>
      <c r="D112" s="2"/>
      <c r="E112" s="164"/>
      <c r="F112" s="164"/>
      <c r="G112" s="281"/>
      <c r="H112" s="281"/>
      <c r="I112" s="281"/>
      <c r="J112" s="164"/>
      <c r="K112" s="195"/>
      <c r="L112" s="164"/>
      <c r="O112" s="517"/>
      <c r="P112" s="517"/>
      <c r="Q112" s="517"/>
    </row>
    <row r="113" spans="1:23" x14ac:dyDescent="0.75">
      <c r="A113" s="429">
        <f t="shared" ref="A113" si="113">LEFT(C113,4)+0</f>
        <v>6900</v>
      </c>
      <c r="B113" s="48" t="str">
        <f>IF(ISERROR(VLOOKUP(A113,'CONSOLIDATED CY Cash Flows'!$B$9:$B$200,1,FALSE)),"NO","YES")</f>
        <v>YES</v>
      </c>
      <c r="C113" s="64" t="str">
        <f>'Expenses Input'!B70</f>
        <v>6900</v>
      </c>
      <c r="D113" s="64" t="str">
        <f>'Expenses Input'!C70</f>
        <v xml:space="preserve">Depreciation Expense                                                            </v>
      </c>
      <c r="E113" s="526">
        <f>+$L113*'Revenue w MYP'!E$52</f>
        <v>0</v>
      </c>
      <c r="F113" s="526">
        <f>+$L113*'Revenue w MYP'!F$52</f>
        <v>0</v>
      </c>
      <c r="G113" s="527">
        <f>+$L113*'Revenue w MYP'!G$52</f>
        <v>0</v>
      </c>
      <c r="H113" s="527">
        <f>+$L113*'Revenue w MYP'!H$52</f>
        <v>0</v>
      </c>
      <c r="I113" s="527">
        <f>+$L113*'Revenue w MYP'!I$52</f>
        <v>0</v>
      </c>
      <c r="J113" s="62"/>
      <c r="K113" s="262">
        <f t="shared" ref="K113" si="114">SUM(G113:J113)</f>
        <v>0</v>
      </c>
      <c r="L113" s="526">
        <v>0</v>
      </c>
      <c r="O113" s="517">
        <f t="shared" ref="O113" si="115">+G113*(1+$P$4)</f>
        <v>0</v>
      </c>
      <c r="P113" s="517">
        <f t="shared" ref="P113" si="116">+H113*(1+$P$4)</f>
        <v>0</v>
      </c>
      <c r="Q113" s="517">
        <f t="shared" ref="Q113" si="117">+I113*(1+$P$4)</f>
        <v>0</v>
      </c>
      <c r="R113" s="37">
        <f>+SUM(O113:Q113)</f>
        <v>0</v>
      </c>
      <c r="T113" s="517">
        <f t="shared" ref="T113" si="118">+O113*(1+$U$4)</f>
        <v>0</v>
      </c>
      <c r="U113" s="517">
        <f t="shared" ref="U113" si="119">+P113*(1+$U$4)</f>
        <v>0</v>
      </c>
      <c r="V113" s="517">
        <f t="shared" ref="V113" si="120">+Q113*(1+$U$4)</f>
        <v>0</v>
      </c>
      <c r="W113" s="37">
        <f t="shared" ref="W113" si="121">+SUM(T113:V113)</f>
        <v>0</v>
      </c>
    </row>
    <row r="114" spans="1:23" x14ac:dyDescent="0.75">
      <c r="A114" s="35"/>
      <c r="B114" s="35"/>
      <c r="C114" s="33" t="s">
        <v>560</v>
      </c>
      <c r="D114" s="34" t="s">
        <v>719</v>
      </c>
      <c r="E114" s="153" t="str">
        <f t="shared" ref="E114:J114" si="122">IF(SUM(E113)&gt;0,SUM(E113),"")</f>
        <v/>
      </c>
      <c r="F114" s="153" t="str">
        <f t="shared" si="122"/>
        <v/>
      </c>
      <c r="G114" s="45" t="str">
        <f t="shared" si="122"/>
        <v/>
      </c>
      <c r="H114" s="45" t="str">
        <f t="shared" si="122"/>
        <v/>
      </c>
      <c r="I114" s="45" t="str">
        <f t="shared" si="122"/>
        <v/>
      </c>
      <c r="J114" s="153" t="str">
        <f t="shared" si="122"/>
        <v/>
      </c>
      <c r="K114" s="288"/>
      <c r="L114" s="524" t="str">
        <f>IF(SUM(L113)&gt;0,SUM(L113),"")</f>
        <v/>
      </c>
      <c r="O114" s="588">
        <f>+O113</f>
        <v>0</v>
      </c>
      <c r="P114" s="588">
        <f t="shared" ref="P114:R114" si="123">+P113</f>
        <v>0</v>
      </c>
      <c r="Q114" s="588">
        <f t="shared" si="123"/>
        <v>0</v>
      </c>
      <c r="R114" s="588">
        <f t="shared" si="123"/>
        <v>0</v>
      </c>
      <c r="T114" s="588">
        <f>+T113</f>
        <v>0</v>
      </c>
      <c r="U114" s="588">
        <f t="shared" ref="U114" si="124">+U113</f>
        <v>0</v>
      </c>
      <c r="V114" s="588">
        <f t="shared" ref="V114" si="125">+V113</f>
        <v>0</v>
      </c>
      <c r="W114" s="588">
        <f t="shared" ref="W114" si="126">+W113</f>
        <v>0</v>
      </c>
    </row>
    <row r="115" spans="1:23" x14ac:dyDescent="0.75">
      <c r="A115" s="35"/>
      <c r="B115" s="35"/>
      <c r="C115" s="3"/>
      <c r="D115" s="2"/>
      <c r="E115" s="164"/>
      <c r="F115" s="170"/>
      <c r="G115" s="283"/>
      <c r="H115" s="281"/>
      <c r="I115" s="281"/>
      <c r="J115" s="164"/>
      <c r="K115" s="195"/>
      <c r="L115" s="164"/>
    </row>
    <row r="116" spans="1:23" x14ac:dyDescent="0.75">
      <c r="C116" s="34" t="s">
        <v>722</v>
      </c>
      <c r="D116" s="2"/>
      <c r="E116" s="164"/>
      <c r="F116" s="170"/>
      <c r="G116" s="283"/>
      <c r="H116" s="281"/>
      <c r="I116" s="281"/>
      <c r="J116" s="164"/>
      <c r="K116" s="195"/>
      <c r="L116" s="164"/>
    </row>
    <row r="117" spans="1:23" x14ac:dyDescent="0.75">
      <c r="A117" s="429">
        <f t="shared" ref="A117:A118" si="127">LEFT(C117,4)+0</f>
        <v>7010</v>
      </c>
      <c r="B117" s="48" t="str">
        <f>IF(ISERROR(VLOOKUP(A117,'CONSOLIDATED CY Cash Flows'!$B$9:$B$200,1,FALSE)),"NO","YES")</f>
        <v>YES</v>
      </c>
      <c r="C117" s="64" t="str">
        <f>'Expenses Input'!B74</f>
        <v>7010</v>
      </c>
      <c r="D117" s="64" t="str">
        <f>'Expenses Input'!C74</f>
        <v>Special Education Encroachment</v>
      </c>
      <c r="E117" s="62"/>
      <c r="F117" s="62"/>
      <c r="G117" s="275">
        <f>($L117*(1+$E$3))*('Student Info w MYP'!F$56/'Student Info w MYP'!$I$56)</f>
        <v>0</v>
      </c>
      <c r="H117" s="275">
        <f>($L117*(1+$E$3))*('Student Info w MYP'!G$56/'Student Info w MYP'!$I$56)</f>
        <v>0</v>
      </c>
      <c r="I117" s="275">
        <v>0</v>
      </c>
      <c r="J117" s="62">
        <f>SUM(E117:I117)</f>
        <v>0</v>
      </c>
      <c r="K117" s="262"/>
      <c r="L117" s="526">
        <v>0</v>
      </c>
      <c r="O117" s="517">
        <f t="shared" ref="O117:O118" si="128">+G117*(1+$P$4)</f>
        <v>0</v>
      </c>
      <c r="P117" s="517">
        <f t="shared" ref="P117:P118" si="129">+H117*(1+$P$4)</f>
        <v>0</v>
      </c>
      <c r="Q117" s="517">
        <f t="shared" ref="Q117:Q118" si="130">+I117*(1+$P$4)</f>
        <v>0</v>
      </c>
      <c r="R117" s="37">
        <f t="shared" ref="R117:R118" si="131">+SUM(O117:Q117)</f>
        <v>0</v>
      </c>
      <c r="T117" s="517">
        <f t="shared" ref="T117:T118" si="132">+O117*(1+$U$4)</f>
        <v>0</v>
      </c>
      <c r="U117" s="517">
        <f t="shared" ref="U117:U118" si="133">+P117*(1+$U$4)</f>
        <v>0</v>
      </c>
      <c r="V117" s="517">
        <f t="shared" ref="V117:V118" si="134">+Q117*(1+$U$4)</f>
        <v>0</v>
      </c>
      <c r="W117" s="37">
        <f t="shared" ref="W117:W118" si="135">+SUM(T117:V117)</f>
        <v>0</v>
      </c>
    </row>
    <row r="118" spans="1:23" x14ac:dyDescent="0.75">
      <c r="A118" s="429">
        <f t="shared" si="127"/>
        <v>7438</v>
      </c>
      <c r="B118" s="48" t="str">
        <f>IF(ISERROR(VLOOKUP(A118,'CONSOLIDATED CY Cash Flows'!$B$9:$B$200,1,FALSE)),"NO","YES")</f>
        <v>YES</v>
      </c>
      <c r="C118" s="64" t="str">
        <f>'Expenses Input'!B75</f>
        <v>7438</v>
      </c>
      <c r="D118" s="64" t="str">
        <f>'Expenses Input'!C75</f>
        <v>Debt Service - Interest</v>
      </c>
      <c r="E118" s="62"/>
      <c r="F118" s="62"/>
      <c r="G118" s="275"/>
      <c r="H118" s="275"/>
      <c r="I118" s="275"/>
      <c r="J118" s="62"/>
      <c r="K118" s="262"/>
      <c r="L118" s="526"/>
      <c r="O118" s="517">
        <f t="shared" si="128"/>
        <v>0</v>
      </c>
      <c r="P118" s="517">
        <f t="shared" si="129"/>
        <v>0</v>
      </c>
      <c r="Q118" s="517">
        <f t="shared" si="130"/>
        <v>0</v>
      </c>
      <c r="R118" s="37">
        <f t="shared" si="131"/>
        <v>0</v>
      </c>
      <c r="T118" s="517">
        <f t="shared" si="132"/>
        <v>0</v>
      </c>
      <c r="U118" s="517">
        <f t="shared" si="133"/>
        <v>0</v>
      </c>
      <c r="V118" s="517">
        <f t="shared" si="134"/>
        <v>0</v>
      </c>
      <c r="W118" s="37">
        <f t="shared" si="135"/>
        <v>0</v>
      </c>
    </row>
    <row r="119" spans="1:23" x14ac:dyDescent="0.75">
      <c r="A119" s="35"/>
      <c r="B119" s="35"/>
      <c r="C119" s="33" t="s">
        <v>683</v>
      </c>
      <c r="D119" s="34" t="s">
        <v>719</v>
      </c>
      <c r="E119" s="153" t="str">
        <f t="shared" ref="E119:J119" si="136">IF(SUM(E116:E118)&gt;0,SUM(E116:E118),"")</f>
        <v/>
      </c>
      <c r="F119" s="153" t="str">
        <f t="shared" si="136"/>
        <v/>
      </c>
      <c r="G119" s="45" t="str">
        <f t="shared" si="136"/>
        <v/>
      </c>
      <c r="H119" s="45" t="str">
        <f t="shared" si="136"/>
        <v/>
      </c>
      <c r="I119" s="45">
        <f>+I118</f>
        <v>0</v>
      </c>
      <c r="J119" s="153" t="str">
        <f t="shared" si="136"/>
        <v/>
      </c>
      <c r="K119" s="288"/>
      <c r="L119" s="524" t="str">
        <f>IF(SUM(L116:L118)&gt;0,SUM(L116:L118),"")</f>
        <v/>
      </c>
      <c r="O119" s="588">
        <f>+O118+O117</f>
        <v>0</v>
      </c>
      <c r="P119" s="588">
        <f t="shared" ref="P119:R119" si="137">+P118+P117</f>
        <v>0</v>
      </c>
      <c r="Q119" s="588">
        <f t="shared" si="137"/>
        <v>0</v>
      </c>
      <c r="R119" s="588">
        <f t="shared" si="137"/>
        <v>0</v>
      </c>
      <c r="T119" s="588">
        <f>+T118+T117</f>
        <v>0</v>
      </c>
      <c r="U119" s="588">
        <f t="shared" ref="U119" si="138">+U118+U117</f>
        <v>0</v>
      </c>
      <c r="V119" s="588">
        <f t="shared" ref="V119" si="139">+V118+V117</f>
        <v>0</v>
      </c>
      <c r="W119" s="588">
        <f t="shared" ref="W119" si="140">+W118+W117</f>
        <v>0</v>
      </c>
    </row>
    <row r="120" spans="1:23" ht="16.5" thickBot="1" x14ac:dyDescent="0.9">
      <c r="A120" s="35"/>
      <c r="B120" s="35"/>
      <c r="C120" s="3"/>
      <c r="D120" s="2"/>
      <c r="E120" s="171"/>
      <c r="F120" s="171"/>
      <c r="G120" s="284"/>
      <c r="H120" s="284"/>
      <c r="I120" s="284"/>
      <c r="J120" s="171"/>
      <c r="K120" s="314"/>
      <c r="L120" s="171"/>
    </row>
    <row r="121" spans="1:23" x14ac:dyDescent="0.75">
      <c r="C121" s="34" t="s">
        <v>735</v>
      </c>
      <c r="D121" s="2"/>
      <c r="E121" s="153" t="str">
        <f t="shared" ref="E121:L121" si="141">IF(SUM(E70,E110,E114,E119)&gt;0,SUM(E70,E110,E114,E119),"")</f>
        <v/>
      </c>
      <c r="F121" s="153" t="str">
        <f t="shared" si="141"/>
        <v/>
      </c>
      <c r="G121" s="45">
        <f t="shared" si="141"/>
        <v>3124812.7937381929</v>
      </c>
      <c r="H121" s="45">
        <f t="shared" si="141"/>
        <v>3866012.9145184965</v>
      </c>
      <c r="I121" s="45">
        <f t="shared" si="141"/>
        <v>4535298.5531249214</v>
      </c>
      <c r="J121" s="153" t="str">
        <f t="shared" si="141"/>
        <v/>
      </c>
      <c r="K121" s="153">
        <f t="shared" si="141"/>
        <v>11526124.261381611</v>
      </c>
      <c r="L121" s="524">
        <f t="shared" si="141"/>
        <v>11525124.261381611</v>
      </c>
      <c r="O121" s="589">
        <f>+O119+O114+O110+O70</f>
        <v>3202904.3858271316</v>
      </c>
      <c r="P121" s="589">
        <f t="shared" ref="P121:R121" si="142">+P119+P114+P110+P70</f>
        <v>3971454.7910642284</v>
      </c>
      <c r="Q121" s="589">
        <f t="shared" si="142"/>
        <v>4665437.0697352318</v>
      </c>
      <c r="R121" s="589">
        <f t="shared" si="142"/>
        <v>11839796.246626589</v>
      </c>
      <c r="T121" s="594">
        <f>+T119+T114+T110+T70</f>
        <v>3295788.6130161178</v>
      </c>
      <c r="U121" s="594">
        <f t="shared" ref="U121:W121" si="143">+U119+U114+U110+U70</f>
        <v>4086626.9800050911</v>
      </c>
      <c r="V121" s="594">
        <f t="shared" si="143"/>
        <v>4800734.7447575517</v>
      </c>
      <c r="W121" s="594">
        <f t="shared" si="143"/>
        <v>12183150.337778762</v>
      </c>
    </row>
    <row r="122" spans="1:23" x14ac:dyDescent="0.75">
      <c r="B122" s="35"/>
      <c r="C122" s="35"/>
      <c r="E122" s="172"/>
      <c r="F122" s="172"/>
      <c r="G122" s="285"/>
      <c r="H122" s="285"/>
      <c r="I122" s="285"/>
      <c r="J122" s="172"/>
      <c r="K122" s="315"/>
      <c r="L122" s="664"/>
      <c r="T122"/>
      <c r="U122"/>
      <c r="V122"/>
    </row>
    <row r="123" spans="1:23" ht="16.5" thickBot="1" x14ac:dyDescent="0.9">
      <c r="B123" s="35"/>
      <c r="C123" s="35"/>
      <c r="D123" s="2"/>
      <c r="E123" s="163"/>
      <c r="F123" s="163"/>
      <c r="G123" s="286"/>
      <c r="H123" s="286"/>
      <c r="I123" s="286"/>
      <c r="J123" s="163"/>
      <c r="K123" s="316"/>
      <c r="L123" s="665"/>
      <c r="T123"/>
      <c r="U123"/>
      <c r="V123"/>
    </row>
    <row r="124" spans="1:23" ht="16.5" thickBot="1" x14ac:dyDescent="0.9">
      <c r="C124" s="34" t="s">
        <v>730</v>
      </c>
      <c r="D124" s="2"/>
      <c r="E124" s="153" t="str">
        <f t="shared" ref="E124:L124" si="144">IF(SUM(E121,E55)&gt;0,SUM(E121,E55),"")</f>
        <v/>
      </c>
      <c r="F124" s="153" t="str">
        <f t="shared" si="144"/>
        <v/>
      </c>
      <c r="G124" s="45">
        <f t="shared" ca="1" si="144"/>
        <v>8942171.0717715845</v>
      </c>
      <c r="H124" s="45">
        <f t="shared" ca="1" si="144"/>
        <v>11821651.265628677</v>
      </c>
      <c r="I124" s="45">
        <f t="shared" ca="1" si="144"/>
        <v>13057161.874051459</v>
      </c>
      <c r="J124" s="153" t="str">
        <f t="shared" si="144"/>
        <v/>
      </c>
      <c r="K124" s="45">
        <f t="shared" ca="1" si="144"/>
        <v>33820984.211451724</v>
      </c>
      <c r="L124" s="522">
        <f t="shared" ca="1" si="144"/>
        <v>33819984.211451724</v>
      </c>
      <c r="O124" s="590">
        <f ca="1">+O121+O55</f>
        <v>9234923.1843199544</v>
      </c>
      <c r="P124" s="591">
        <f t="shared" ref="P124:R124" ca="1" si="145">+P121+P55</f>
        <v>12220656.197330374</v>
      </c>
      <c r="Q124" s="591">
        <f t="shared" ca="1" si="145"/>
        <v>13441757.14720396</v>
      </c>
      <c r="R124" s="592">
        <f t="shared" ca="1" si="145"/>
        <v>34897336.528854281</v>
      </c>
      <c r="T124" s="595">
        <f ca="1">+T121+T55</f>
        <v>9502735.9566652309</v>
      </c>
      <c r="U124" s="596">
        <f t="shared" ref="U124:W124" ca="1" si="146">+U121+U55</f>
        <v>12575055.227052955</v>
      </c>
      <c r="V124" s="596">
        <f t="shared" ca="1" si="146"/>
        <v>13831568.10447287</v>
      </c>
      <c r="W124" s="597">
        <f t="shared" ca="1" si="146"/>
        <v>35909359.288191058</v>
      </c>
    </row>
    <row r="125" spans="1:23" x14ac:dyDescent="0.75">
      <c r="A125" s="35"/>
      <c r="B125" s="35"/>
      <c r="E125" s="164"/>
      <c r="F125" s="164"/>
      <c r="G125" s="164"/>
      <c r="H125" s="164"/>
      <c r="I125" s="164"/>
      <c r="J125" s="164"/>
      <c r="K125" s="164"/>
      <c r="L125" s="164"/>
    </row>
    <row r="126" spans="1:23" s="300" customFormat="1" ht="11" x14ac:dyDescent="0.6">
      <c r="A126" s="298"/>
      <c r="B126" s="298"/>
      <c r="C126" s="299"/>
      <c r="E126" s="301"/>
      <c r="F126" s="301"/>
      <c r="G126" s="302">
        <f ca="1">+G124/L124</f>
        <v>0.26440494519047386</v>
      </c>
      <c r="H126" s="302">
        <f ca="1">+H124/L124</f>
        <v>0.34954632715723649</v>
      </c>
      <c r="I126" s="302">
        <f ca="1">+I124/L124</f>
        <v>0.38607829596887266</v>
      </c>
      <c r="J126" s="301"/>
      <c r="K126" s="301"/>
      <c r="L126" s="301"/>
      <c r="M126" s="303"/>
      <c r="N126" s="296"/>
      <c r="O126" s="303"/>
      <c r="P126" s="303"/>
      <c r="Q126" s="303"/>
    </row>
    <row r="127" spans="1:23" s="300" customFormat="1" ht="11" x14ac:dyDescent="0.6">
      <c r="A127" s="298"/>
      <c r="B127" s="298"/>
      <c r="C127" s="299"/>
      <c r="E127" s="301"/>
      <c r="F127" s="301"/>
      <c r="G127" s="302"/>
      <c r="H127" s="302"/>
      <c r="I127" s="302"/>
      <c r="J127" s="301"/>
      <c r="K127" s="301"/>
      <c r="L127" s="301"/>
      <c r="M127" s="303"/>
      <c r="N127" s="296"/>
      <c r="O127" s="303"/>
      <c r="P127" s="303"/>
      <c r="Q127" s="303"/>
    </row>
    <row r="128" spans="1:23" s="300" customFormat="1" ht="11" x14ac:dyDescent="0.6">
      <c r="A128" s="298"/>
      <c r="B128" s="298"/>
      <c r="C128" s="299"/>
      <c r="E128" s="301"/>
      <c r="F128" s="301"/>
      <c r="G128" s="302"/>
      <c r="H128" s="302"/>
      <c r="I128" s="302"/>
      <c r="J128" s="301"/>
      <c r="K128" s="301"/>
      <c r="L128" s="301"/>
      <c r="M128" s="303"/>
      <c r="N128" s="296"/>
      <c r="O128" s="303"/>
      <c r="P128" s="303"/>
      <c r="Q128" s="303"/>
    </row>
    <row r="129" spans="1:12" ht="16" x14ac:dyDescent="0.8">
      <c r="A129" s="35"/>
      <c r="B129" s="35"/>
      <c r="C129" s="247"/>
      <c r="D129" s="212" t="s">
        <v>1343</v>
      </c>
      <c r="E129" s="259"/>
      <c r="F129" s="213"/>
      <c r="G129" s="297">
        <f ca="1">(SUM(G47:G52)*G30)+G32+G16</f>
        <v>4208058.5158098936</v>
      </c>
      <c r="H129" s="297">
        <f ca="1">(SUM(H47:H52)*H30)+H32+H16</f>
        <v>5857700.7465388207</v>
      </c>
      <c r="I129" s="297">
        <f ca="1">(SUM(I47:I52)*I30)+I32+I16</f>
        <v>6164395.9000434587</v>
      </c>
      <c r="J129" s="297"/>
      <c r="K129" s="213"/>
      <c r="L129" s="164"/>
    </row>
    <row r="130" spans="1:12" ht="16" x14ac:dyDescent="0.8">
      <c r="A130" s="35"/>
      <c r="B130" s="35"/>
      <c r="C130" s="247"/>
      <c r="D130" s="212" t="s">
        <v>1344</v>
      </c>
      <c r="E130" s="259"/>
      <c r="F130" s="213"/>
      <c r="G130" s="297">
        <f ca="1">(SUM(G46:G52)*G30)+G19+G32+G16+G21+(G23*0.5)</f>
        <v>4826346.6743958285</v>
      </c>
      <c r="H130" s="297">
        <f ca="1">(SUM(H46:H52)*H30)+H19+H32+H16+H21+(H23*0.5)</f>
        <v>6605963.4831148889</v>
      </c>
      <c r="I130" s="297">
        <f ca="1">(SUM(I46:I52)*I30)+I19+I32+I16+I21+(I23*0.5)</f>
        <v>7070127.836876804</v>
      </c>
      <c r="J130" s="297"/>
      <c r="K130" s="213"/>
      <c r="L130" s="164"/>
    </row>
    <row r="131" spans="1:12" ht="16" x14ac:dyDescent="0.8">
      <c r="A131" s="35"/>
      <c r="B131" s="35"/>
      <c r="C131" s="247" t="s">
        <v>1340</v>
      </c>
      <c r="D131" s="212" t="s">
        <v>1295</v>
      </c>
      <c r="E131" s="259"/>
      <c r="F131" s="213"/>
      <c r="G131" s="297">
        <f>SUMIFS(G:G,$N:$N,$C131)</f>
        <v>2626531.8422649135</v>
      </c>
      <c r="H131" s="297">
        <f>SUMIFS(H:H,$N:$N,$C131)</f>
        <v>3216858.1522145243</v>
      </c>
      <c r="I131" s="297">
        <f>SUMIFS(I:I,$N:$N,$C131)</f>
        <v>3852260.0055205622</v>
      </c>
      <c r="J131" s="297"/>
      <c r="K131" s="213"/>
      <c r="L131" s="164"/>
    </row>
    <row r="132" spans="1:12" ht="16.75" thickBot="1" x14ac:dyDescent="0.95">
      <c r="A132" s="35"/>
      <c r="B132" s="35"/>
      <c r="C132" s="247" t="s">
        <v>864</v>
      </c>
      <c r="D132" s="212" t="s">
        <v>1296</v>
      </c>
      <c r="E132" s="214"/>
      <c r="F132" s="214"/>
      <c r="G132" s="214">
        <f>(SUMIFS(G:G,$N:$N,$C132))*0.9</f>
        <v>16365.476563781591</v>
      </c>
      <c r="H132" s="214">
        <f>(SUMIFS(H:H,$N:$N,$C132))*0.9</f>
        <v>61110.697739968084</v>
      </c>
      <c r="I132" s="214">
        <f>(SUMIFS(I:I,$N:$N,$C132))*0.9</f>
        <v>23971.627696250329</v>
      </c>
      <c r="J132" s="214"/>
      <c r="K132" s="213"/>
      <c r="L132" s="164"/>
    </row>
    <row r="133" spans="1:12" ht="16" x14ac:dyDescent="0.8">
      <c r="A133" s="35"/>
      <c r="B133" s="35"/>
      <c r="D133" s="215"/>
      <c r="E133" s="213">
        <f t="shared" ref="E133:J133" si="147">SUM(E131:E132)</f>
        <v>0</v>
      </c>
      <c r="F133" s="213">
        <f t="shared" si="147"/>
        <v>0</v>
      </c>
      <c r="G133" s="213">
        <f t="shared" si="147"/>
        <v>2642897.318828695</v>
      </c>
      <c r="H133" s="213">
        <f t="shared" si="147"/>
        <v>3277968.8499544924</v>
      </c>
      <c r="I133" s="213">
        <f t="shared" si="147"/>
        <v>3876231.6332168123</v>
      </c>
      <c r="J133" s="213">
        <f t="shared" si="147"/>
        <v>0</v>
      </c>
      <c r="K133" s="213"/>
      <c r="L133" s="164"/>
    </row>
    <row r="134" spans="1:12" x14ac:dyDescent="0.75">
      <c r="A134" s="35"/>
      <c r="B134" s="35"/>
    </row>
    <row r="135" spans="1:12" ht="16" x14ac:dyDescent="0.8">
      <c r="A135" s="35"/>
      <c r="B135" s="35"/>
      <c r="D135" s="212" t="s">
        <v>1320</v>
      </c>
      <c r="E135" s="213">
        <f>+E76+E85+E86+E87+E88+E97+E99+E101+(E103*0.25)+(SUM(E78:E82)*0.15)</f>
        <v>0</v>
      </c>
      <c r="F135" s="213">
        <f>+F76+F85+F86+F87+F88+F97+F99+F101+(F103*0.25)+(SUM(F78:F82)*0.15)</f>
        <v>0</v>
      </c>
      <c r="G135" s="213">
        <f>+G76+G85+G86+G87+G88+G97+G99+G101+G113+(G103*0.25)+(SUM(G78:G82)*0.15)</f>
        <v>461739.6777594806</v>
      </c>
      <c r="H135" s="213">
        <f>+H76+H85+H86+H87+H88+H97+H99+H101+H113+(H103*0.25)+(SUM(H78:H82)*0.15)</f>
        <v>578522.62953960721</v>
      </c>
      <c r="I135" s="213">
        <f>+I76+I85+I86+I87+I88+I97+I99+I101+I113+(I103*0.25)+(SUM(I78:I82)*0.15)</f>
        <v>657400.14108252223</v>
      </c>
      <c r="J135" s="213">
        <f>+J76+J85+J86+J87+J88+J97+J99+J101+(J103*0.25)+(SUM(J78:J82)*0.15)</f>
        <v>0</v>
      </c>
      <c r="K135" s="213"/>
      <c r="L135" s="164"/>
    </row>
    <row r="136" spans="1:12" x14ac:dyDescent="0.75">
      <c r="A136" s="35"/>
      <c r="B136" s="35"/>
    </row>
    <row r="137" spans="1:12" x14ac:dyDescent="0.75">
      <c r="A137" s="35"/>
      <c r="B137" s="35"/>
    </row>
    <row r="138" spans="1:12" x14ac:dyDescent="0.75">
      <c r="A138" s="35"/>
      <c r="B138" s="35"/>
    </row>
    <row r="139" spans="1:12" x14ac:dyDescent="0.75">
      <c r="A139" s="35"/>
      <c r="B139" s="35"/>
    </row>
    <row r="140" spans="1:12" x14ac:dyDescent="0.75">
      <c r="A140" s="35"/>
      <c r="B140" s="35"/>
    </row>
    <row r="141" spans="1:12" x14ac:dyDescent="0.75">
      <c r="A141" s="35"/>
      <c r="B141" s="35"/>
    </row>
    <row r="142" spans="1:12" x14ac:dyDescent="0.75">
      <c r="A142" s="35"/>
      <c r="B142" s="35"/>
    </row>
  </sheetData>
  <sortState xmlns:xlrd2="http://schemas.microsoft.com/office/spreadsheetml/2017/richdata2" ref="C58:D68">
    <sortCondition ref="C58:C68"/>
  </sortState>
  <mergeCells count="1">
    <mergeCell ref="O3:W3"/>
  </mergeCells>
  <phoneticPr fontId="75" type="noConversion"/>
  <pageMargins left="0.25" right="0.25" top="0.5" bottom="0.25" header="0.3" footer="0.3"/>
  <pageSetup scale="74" fitToHeight="0" orientation="portrait" r:id="rId1"/>
  <headerFooter alignWithMargins="0">
    <oddHeader>&amp;A</oddHeader>
    <oddFooter>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32</vt:i4>
      </vt:variant>
    </vt:vector>
  </HeadingPairs>
  <TitlesOfParts>
    <vt:vector size="73" baseType="lpstr">
      <vt:lpstr>Cover Sheet</vt:lpstr>
      <vt:lpstr>Budget Summary w MYP</vt:lpstr>
      <vt:lpstr>2nd Int Budget Summary FY22-23</vt:lpstr>
      <vt:lpstr>Budget Summary w OCLC</vt:lpstr>
      <vt:lpstr>Student Info w MYP</vt:lpstr>
      <vt:lpstr>Charter Info</vt:lpstr>
      <vt:lpstr>Revenue w MYP</vt:lpstr>
      <vt:lpstr>Assumptions</vt:lpstr>
      <vt:lpstr>Expenses w MYP</vt:lpstr>
      <vt:lpstr>SPED 5810 details</vt:lpstr>
      <vt:lpstr>Expenses Input</vt:lpstr>
      <vt:lpstr>Employee Input Yr1</vt:lpstr>
      <vt:lpstr>Employee Input Yr2</vt:lpstr>
      <vt:lpstr>Employee Input Yr3</vt:lpstr>
      <vt:lpstr>Employee Input Yr4</vt:lpstr>
      <vt:lpstr>Employee Input Yr5</vt:lpstr>
      <vt:lpstr>Cash Flow %s Yr1</vt:lpstr>
      <vt:lpstr>Cash Flow %s Yr2</vt:lpstr>
      <vt:lpstr>Cash Flow %s Yr3</vt:lpstr>
      <vt:lpstr>Cash Flow %s Yr4</vt:lpstr>
      <vt:lpstr>Cash Flow %s Yr5</vt:lpstr>
      <vt:lpstr>Cash Flow $s Yr1</vt:lpstr>
      <vt:lpstr>Cash Flow $s Yr2</vt:lpstr>
      <vt:lpstr>Cash Flow $s Yr3</vt:lpstr>
      <vt:lpstr>Cash Flow $s Yr4</vt:lpstr>
      <vt:lpstr>Cash Flow $s Yr5</vt:lpstr>
      <vt:lpstr>Fiscal_Sets</vt:lpstr>
      <vt:lpstr>Cash Flow graphs</vt:lpstr>
      <vt:lpstr>CSMC COA</vt:lpstr>
      <vt:lpstr>CSMC Personnel Codes</vt:lpstr>
      <vt:lpstr>SACS Object Codes</vt:lpstr>
      <vt:lpstr>Payroll</vt:lpstr>
      <vt:lpstr>Distribution %</vt:lpstr>
      <vt:lpstr>ACTUAL %</vt:lpstr>
      <vt:lpstr>CONSOLIDATED CY Cash Flows</vt:lpstr>
      <vt:lpstr>FY ACTUALS</vt:lpstr>
      <vt:lpstr>PIVOT</vt:lpstr>
      <vt:lpstr>SAGE BREAKDOWN</vt:lpstr>
      <vt:lpstr>SAGE UPLOAD</vt:lpstr>
      <vt:lpstr>1.31 actuals</vt:lpstr>
      <vt:lpstr>Payroll Summary</vt:lpstr>
      <vt:lpstr>'Budget Summary w MYP'!Accounts</vt:lpstr>
      <vt:lpstr>'Budget Summary w OCLC'!Accounts</vt:lpstr>
      <vt:lpstr>'Cash Flow $s Yr1'!Accounts</vt:lpstr>
      <vt:lpstr>'Cash Flow $s Yr2'!Accounts</vt:lpstr>
      <vt:lpstr>'Cash Flow $s Yr3'!Accounts</vt:lpstr>
      <vt:lpstr>'Cash Flow $s Yr4'!Accounts</vt:lpstr>
      <vt:lpstr>'Cash Flow $s Yr5'!Accounts</vt:lpstr>
      <vt:lpstr>'Cash Flow %s Yr1'!Accounts</vt:lpstr>
      <vt:lpstr>'Cash Flow %s Yr2'!Accounts</vt:lpstr>
      <vt:lpstr>'Cash Flow %s Yr3'!Accounts</vt:lpstr>
      <vt:lpstr>'Cash Flow %s Yr4'!Accounts</vt:lpstr>
      <vt:lpstr>'Cash Flow %s Yr5'!Accounts</vt:lpstr>
      <vt:lpstr>'Cash Flow graphs'!Accounts</vt:lpstr>
      <vt:lpstr>'Expenses Input'!Accounts</vt:lpstr>
      <vt:lpstr>'Expenses w MYP'!Accounts</vt:lpstr>
      <vt:lpstr>'Revenue w MYP'!Accounts</vt:lpstr>
      <vt:lpstr>'Student Info w MYP'!Accounts</vt:lpstr>
      <vt:lpstr>Fiscal_Sets</vt:lpstr>
      <vt:lpstr>'Budget Summary w MYP'!Print_Area</vt:lpstr>
      <vt:lpstr>'Budget Summary w OCLC'!Print_Area</vt:lpstr>
      <vt:lpstr>'CONSOLIDATED CY Cash Flows'!Print_Area</vt:lpstr>
      <vt:lpstr>'Cover Sheet'!Print_Area</vt:lpstr>
      <vt:lpstr>'Expenses w MYP'!Print_Area</vt:lpstr>
      <vt:lpstr>'Revenue w MYP'!Print_Area</vt:lpstr>
      <vt:lpstr>'Student Info w MYP'!Print_Area</vt:lpstr>
      <vt:lpstr>'Cash Flow graphs'!Print_Titles</vt:lpstr>
      <vt:lpstr>'Employee Input Yr1'!Print_Titles</vt:lpstr>
      <vt:lpstr>'Employee Input Yr2'!Print_Titles</vt:lpstr>
      <vt:lpstr>'Employee Input Yr3'!Print_Titles</vt:lpstr>
      <vt:lpstr>'Employee Input Yr4'!Print_Titles</vt:lpstr>
      <vt:lpstr>'Employee Input Yr5'!Print_Titles</vt:lpstr>
      <vt:lpstr>'Revenue w MYP'!Print_Titles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Miles</dc:creator>
  <cp:lastModifiedBy>Kristin Nowak</cp:lastModifiedBy>
  <cp:lastPrinted>2021-11-17T18:01:31Z</cp:lastPrinted>
  <dcterms:created xsi:type="dcterms:W3CDTF">2010-08-31T18:00:39Z</dcterms:created>
  <dcterms:modified xsi:type="dcterms:W3CDTF">2023-06-15T20:11:48Z</dcterms:modified>
</cp:coreProperties>
</file>