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samschweda/Documents/Board Meeting Docs/Cash Flow/"/>
    </mc:Choice>
  </mc:AlternateContent>
  <xr:revisionPtr revIDLastSave="0" documentId="13_ncr:1_{E86C6AB9-D343-4D48-8471-93948EE70E1A}" xr6:coauthVersionLast="47" xr6:coauthVersionMax="47" xr10:uidLastSave="{00000000-0000-0000-0000-000000000000}"/>
  <bookViews>
    <workbookView xWindow="3460" yWindow="2200" windowWidth="34940" windowHeight="19400" xr2:uid="{00000000-000D-0000-FFFF-FFFF00000000}"/>
  </bookViews>
  <sheets>
    <sheet name="Cash Flow" sheetId="4" r:id="rId1"/>
    <sheet name="ENTRY" sheetId="2" r:id="rId2"/>
    <sheet name="22-23 Exp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4" l="1"/>
  <c r="D37" i="4"/>
  <c r="D27" i="4"/>
  <c r="D19" i="4"/>
  <c r="D14" i="4"/>
  <c r="C37" i="4"/>
  <c r="C36" i="4"/>
  <c r="C32" i="4"/>
  <c r="C41" i="4"/>
  <c r="C47" i="4" s="1"/>
  <c r="C30" i="4"/>
  <c r="C23" i="4"/>
  <c r="N41" i="4" l="1"/>
  <c r="H41" i="4" l="1"/>
  <c r="G23" i="4"/>
  <c r="G32" i="4" s="1"/>
  <c r="O14" i="4"/>
  <c r="M41" i="4"/>
  <c r="L41" i="4"/>
  <c r="K41" i="4"/>
  <c r="J41" i="4"/>
  <c r="I41" i="4"/>
  <c r="E41" i="4"/>
  <c r="O38" i="4"/>
  <c r="O37" i="4"/>
  <c r="F41" i="4"/>
  <c r="O30" i="4"/>
  <c r="AE30" i="4" s="1"/>
  <c r="O27" i="4"/>
  <c r="AE27" i="4" s="1"/>
  <c r="O26" i="4"/>
  <c r="AE26" i="4" s="1"/>
  <c r="O25" i="4"/>
  <c r="Q23" i="4"/>
  <c r="N23" i="4"/>
  <c r="N32" i="4" s="1"/>
  <c r="M23" i="4"/>
  <c r="M32" i="4" s="1"/>
  <c r="L23" i="4"/>
  <c r="L32" i="4" s="1"/>
  <c r="K23" i="4"/>
  <c r="K32" i="4" s="1"/>
  <c r="J23" i="4"/>
  <c r="J32" i="4" s="1"/>
  <c r="I23" i="4"/>
  <c r="H23" i="4"/>
  <c r="H32" i="4" s="1"/>
  <c r="O21" i="4"/>
  <c r="AE21" i="4" s="1"/>
  <c r="O20" i="4"/>
  <c r="AE20" i="4" s="1"/>
  <c r="O19" i="4"/>
  <c r="O18" i="4"/>
  <c r="R18" i="4" s="1"/>
  <c r="O17" i="4"/>
  <c r="AE17" i="4" s="1"/>
  <c r="O16" i="4"/>
  <c r="AE16" i="4" s="1"/>
  <c r="O15" i="4"/>
  <c r="O13" i="4"/>
  <c r="AE13" i="4" s="1"/>
  <c r="O12" i="4"/>
  <c r="O11" i="4"/>
  <c r="R11" i="4" s="1"/>
  <c r="O10" i="4"/>
  <c r="O9" i="4"/>
  <c r="O8" i="4"/>
  <c r="AB7" i="4"/>
  <c r="Z7" i="4"/>
  <c r="F23" i="4"/>
  <c r="E23" i="4"/>
  <c r="E32" i="4" s="1"/>
  <c r="O7" i="4"/>
  <c r="G41" i="4" l="1"/>
  <c r="O39" i="4"/>
  <c r="E45" i="4"/>
  <c r="F32" i="4"/>
  <c r="F45" i="4" s="1"/>
  <c r="D41" i="4"/>
  <c r="N45" i="4"/>
  <c r="M45" i="4"/>
  <c r="L45" i="4"/>
  <c r="K45" i="4"/>
  <c r="J45" i="4"/>
  <c r="I32" i="4"/>
  <c r="I45" i="4" s="1"/>
  <c r="H45" i="4"/>
  <c r="G45" i="4"/>
  <c r="R20" i="4"/>
  <c r="R17" i="4"/>
  <c r="R16" i="4"/>
  <c r="R8" i="4"/>
  <c r="AE8" i="4"/>
  <c r="AE12" i="4"/>
  <c r="R12" i="4"/>
  <c r="AE15" i="4"/>
  <c r="R15" i="4"/>
  <c r="AE19" i="4"/>
  <c r="R19" i="4"/>
  <c r="AE14" i="4"/>
  <c r="R14" i="4"/>
  <c r="AE25" i="4"/>
  <c r="Q25" i="4"/>
  <c r="AE7" i="4"/>
  <c r="R7" i="4"/>
  <c r="AE9" i="4"/>
  <c r="R9" i="4"/>
  <c r="AE10" i="4"/>
  <c r="R10" i="4"/>
  <c r="AE11" i="4"/>
  <c r="AE18" i="4"/>
  <c r="O36" i="4"/>
  <c r="R13" i="4"/>
  <c r="R31" i="4"/>
  <c r="D23" i="4"/>
  <c r="D32" i="4" s="1"/>
  <c r="E42" i="4" l="1"/>
  <c r="I42" i="4"/>
  <c r="O41" i="4"/>
  <c r="O43" i="4" s="1"/>
  <c r="L42" i="4"/>
  <c r="F42" i="4"/>
  <c r="N42" i="4"/>
  <c r="K42" i="4"/>
  <c r="D45" i="4"/>
  <c r="M42" i="4"/>
  <c r="J42" i="4"/>
  <c r="C42" i="4"/>
  <c r="G42" i="4"/>
  <c r="H42" i="4"/>
  <c r="D42" i="4"/>
  <c r="O23" i="4"/>
  <c r="AE32" i="4"/>
  <c r="C45" i="4"/>
  <c r="O32" i="4"/>
  <c r="E18" i="2"/>
  <c r="Q41" i="4" l="1"/>
  <c r="D47" i="4"/>
  <c r="E5" i="4" s="1"/>
  <c r="D5" i="4"/>
  <c r="C49" i="4"/>
  <c r="O45" i="4"/>
  <c r="O47" i="4" s="1"/>
  <c r="O34" i="4"/>
  <c r="X32" i="4"/>
  <c r="D49" i="4" l="1"/>
  <c r="E47" i="4"/>
  <c r="O49" i="4"/>
  <c r="C13" i="2"/>
  <c r="C12" i="2"/>
  <c r="C11" i="2"/>
  <c r="C10" i="2"/>
  <c r="C9" i="2"/>
  <c r="C8" i="2"/>
  <c r="C7" i="2"/>
  <c r="C6" i="2"/>
  <c r="C5" i="2"/>
  <c r="C4" i="2"/>
  <c r="C3" i="2"/>
  <c r="F47" i="4" l="1"/>
  <c r="G5" i="4" s="1"/>
  <c r="E49" i="4"/>
  <c r="F5" i="4"/>
  <c r="G47" i="4" l="1"/>
  <c r="G49" i="4" s="1"/>
  <c r="F49" i="4"/>
  <c r="H5" i="4" l="1"/>
  <c r="H47" i="4"/>
  <c r="H49" i="4" s="1"/>
  <c r="I47" i="4" l="1"/>
  <c r="I49" i="4" s="1"/>
  <c r="I5" i="4"/>
  <c r="J47" i="4" l="1"/>
  <c r="J49" i="4" s="1"/>
  <c r="J5" i="4"/>
  <c r="K47" i="4"/>
  <c r="K49" i="4" s="1"/>
  <c r="K5" i="4" l="1"/>
  <c r="L47" i="4"/>
  <c r="L49" i="4" s="1"/>
  <c r="L5" i="4"/>
  <c r="M47" i="4" l="1"/>
  <c r="M49" i="4" s="1"/>
  <c r="M5" i="4"/>
  <c r="N47" i="4" l="1"/>
  <c r="N49" i="4" s="1"/>
  <c r="N5" i="4"/>
  <c r="R41" i="4" l="1"/>
  <c r="I27" i="2" l="1"/>
  <c r="E35" i="2" l="1"/>
  <c r="D35" i="2"/>
  <c r="C35" i="2"/>
  <c r="B35" i="2"/>
  <c r="I32" i="2"/>
  <c r="I31" i="2"/>
  <c r="I30" i="2"/>
  <c r="I29" i="2"/>
  <c r="I28" i="2"/>
  <c r="I26" i="2"/>
  <c r="I25" i="2"/>
  <c r="I24" i="2"/>
  <c r="I23" i="2"/>
  <c r="F14" i="2"/>
  <c r="B14" i="2"/>
  <c r="G13" i="2"/>
  <c r="G12" i="2"/>
  <c r="G11" i="2"/>
  <c r="G10" i="2"/>
  <c r="G9" i="2"/>
  <c r="G8" i="2"/>
  <c r="G7" i="2"/>
  <c r="G6" i="2"/>
  <c r="G5" i="2"/>
  <c r="G4" i="2"/>
  <c r="G3" i="2"/>
  <c r="G2" i="2"/>
  <c r="C2" i="2"/>
  <c r="G14" i="2" l="1"/>
  <c r="D2" i="2"/>
  <c r="H2" i="2"/>
  <c r="H3" i="2"/>
  <c r="H4" i="2"/>
  <c r="H5" i="2"/>
  <c r="H14" i="2" s="1"/>
  <c r="H6" i="2"/>
  <c r="H7" i="2"/>
  <c r="H8" i="2"/>
  <c r="H9" i="2"/>
  <c r="H10" i="2"/>
  <c r="H11" i="2"/>
  <c r="H12" i="2"/>
  <c r="H13" i="2"/>
  <c r="D12" i="2" l="1"/>
  <c r="D11" i="2"/>
  <c r="D3" i="2"/>
  <c r="D10" i="2"/>
  <c r="D6" i="2"/>
  <c r="D9" i="2"/>
  <c r="D13" i="2"/>
  <c r="D4" i="2"/>
  <c r="C14" i="2"/>
  <c r="D8" i="2"/>
  <c r="D5" i="2"/>
  <c r="D14" i="2" s="1"/>
  <c r="D7" i="2"/>
  <c r="E16" i="2" l="1"/>
</calcChain>
</file>

<file path=xl/sharedStrings.xml><?xml version="1.0" encoding="utf-8"?>
<sst xmlns="http://schemas.openxmlformats.org/spreadsheetml/2006/main" count="137" uniqueCount="104">
  <si>
    <t>AP last</t>
  </si>
  <si>
    <t>A/P THIS</t>
  </si>
  <si>
    <t>%CHANGE</t>
  </si>
  <si>
    <t xml:space="preserve">   P/R LAST</t>
  </si>
  <si>
    <t>P/R THIS</t>
  </si>
  <si>
    <t xml:space="preserve"> % CHANGE</t>
  </si>
  <si>
    <t>SIA</t>
  </si>
  <si>
    <t>September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</si>
  <si>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</si>
  <si>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</si>
  <si>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</si>
  <si>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</si>
  <si>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</si>
  <si>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</si>
  <si>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</si>
  <si>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</si>
  <si>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</si>
  <si>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</si>
  <si>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</si>
  <si>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</si>
  <si>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TOTALS</t>
  </si>
  <si>
    <t>BEGINNING CASH</t>
  </si>
  <si>
    <t>October</t>
  </si>
  <si>
    <t>APPORTIONMENT</t>
  </si>
  <si>
    <t>November</t>
  </si>
  <si>
    <t>December</t>
  </si>
  <si>
    <t>January</t>
  </si>
  <si>
    <t>February</t>
  </si>
  <si>
    <t>March</t>
  </si>
  <si>
    <t>SPEC ED GENERAL</t>
  </si>
  <si>
    <t xml:space="preserve"> </t>
  </si>
  <si>
    <t>April</t>
  </si>
  <si>
    <t>May</t>
  </si>
  <si>
    <t>June</t>
  </si>
  <si>
    <t>July</t>
  </si>
  <si>
    <t>August</t>
  </si>
  <si>
    <t>Total</t>
  </si>
  <si>
    <t>SPECIAL EDUCATION</t>
  </si>
  <si>
    <t>BUD REV</t>
  </si>
  <si>
    <t>BUD A/P</t>
  </si>
  <si>
    <t>Levy Amount</t>
  </si>
  <si>
    <t>BUD EXP</t>
  </si>
  <si>
    <t>BUD P/R</t>
  </si>
  <si>
    <t>Interest Rate</t>
  </si>
  <si>
    <t>Last Year Revenues</t>
  </si>
  <si>
    <t>(Fill out In January)</t>
  </si>
  <si>
    <t>LEARNING  ASSISTANCE</t>
  </si>
  <si>
    <t>Local Taxes</t>
  </si>
  <si>
    <t>*Local Receipts</t>
  </si>
  <si>
    <t>Invesment Earn.</t>
  </si>
  <si>
    <t xml:space="preserve">  APPORTIONMENT</t>
  </si>
  <si>
    <t>NEW APPT W/ ADJ</t>
  </si>
  <si>
    <t>Total Adjustments</t>
  </si>
  <si>
    <t>HIGHLY CAPABLE</t>
  </si>
  <si>
    <t>*Enter local Receipt Projections manualy on Flow</t>
  </si>
  <si>
    <t xml:space="preserve">FOOD SERVICE    </t>
  </si>
  <si>
    <t>TRANSPORTATION</t>
  </si>
  <si>
    <t xml:space="preserve">IDEA-B  </t>
  </si>
  <si>
    <t xml:space="preserve">TITLE 1  </t>
  </si>
  <si>
    <t>SCHOOL IMPROVEMENT</t>
  </si>
  <si>
    <t>FEDERAL FOOD SERVICE</t>
  </si>
  <si>
    <t xml:space="preserve">SUB TOTAL         </t>
  </si>
  <si>
    <t xml:space="preserve">LOCAL RECEIPTS </t>
  </si>
  <si>
    <t>TOTAL RECEIPTS</t>
  </si>
  <si>
    <t>Budgeted Revenues</t>
  </si>
  <si>
    <t xml:space="preserve">  OVER  (UNDER) BUDGET</t>
  </si>
  <si>
    <t>ACCOUNTS PAYABLE</t>
  </si>
  <si>
    <t xml:space="preserve">PAYROLL           </t>
  </si>
  <si>
    <t>TOTAL DISBURSEMENTS</t>
  </si>
  <si>
    <t>Budget Capacity</t>
  </si>
  <si>
    <t>Budgeted Expenditures</t>
  </si>
  <si>
    <t xml:space="preserve">  (OVER)  UNDER BUDGET</t>
  </si>
  <si>
    <t xml:space="preserve">FLOW + -                     </t>
  </si>
  <si>
    <t xml:space="preserve">                    </t>
  </si>
  <si>
    <t>TRANS BILINGUAL</t>
  </si>
  <si>
    <t xml:space="preserve">Oversight Fee       </t>
  </si>
  <si>
    <t>Budgeted</t>
  </si>
  <si>
    <t>Days cash on hand</t>
  </si>
  <si>
    <t>WA Charters</t>
  </si>
  <si>
    <t>Misc</t>
  </si>
  <si>
    <t>Growth Fund</t>
  </si>
  <si>
    <t>Cash Balance</t>
  </si>
  <si>
    <t>Difference is a grant</t>
  </si>
  <si>
    <t>2 Teachers</t>
  </si>
  <si>
    <t>Rates were issued after budget so will see how FS looks now</t>
  </si>
  <si>
    <t>Learn to Return DOH</t>
  </si>
  <si>
    <t>Recovery (OSPI)</t>
  </si>
  <si>
    <t xml:space="preserve">K-8 </t>
  </si>
  <si>
    <t>9-12</t>
  </si>
  <si>
    <t>Count</t>
  </si>
  <si>
    <t>Recovery from 21-22</t>
  </si>
  <si>
    <t>Riders budgeted at 602 vs Fall count 532 and Winter count of 510.  Harolw's rates went up need to take this into account expense wise</t>
  </si>
  <si>
    <t>Carryover</t>
  </si>
  <si>
    <t>Rec'd more than original award will run out 22-23</t>
  </si>
  <si>
    <t>60 Required</t>
  </si>
  <si>
    <t>E-rate</t>
  </si>
  <si>
    <t>*Decrease in enrollment bud 753.69 vs 731.36 avg as of 3/31/23</t>
  </si>
  <si>
    <t>*Decrease in enrollment bud 85 vs 82 avg as of 3/31/23</t>
  </si>
  <si>
    <t>New teacher starting 3/27/ + recovery 21-22</t>
  </si>
  <si>
    <t>NATIONAL BOARD/Para Ed</t>
  </si>
  <si>
    <t>Fiscal Year 2023-24</t>
  </si>
  <si>
    <t>LEA Stabilaztion (Proviso)</t>
  </si>
  <si>
    <t>Magnesium Payment</t>
  </si>
  <si>
    <t>Excellence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</si>
</sst>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4">
    <font>
      <sz val="10"/>
      <color rgb="FF000000"/>
      <name val="Open Sans"/>
    </font>
    <font>
      <sz val="12"/>
      <name val="Calibri"/>
      <family val="2"/>
    </font>
    <font>
      <b/>
      <sz val="12"/>
      <name val="Arimo"/>
    </font>
    <font>
      <b/>
      <sz val="12"/>
      <name val="Calibri"/>
      <family val="2"/>
    </font>
    <font>
      <sz val="12"/>
      <name val="Open Sans"/>
    </font>
    <font>
      <sz val="11"/>
      <name val="Calibri"/>
      <family val="2"/>
    </font>
    <font>
      <b/>
      <sz val="12"/>
      <name val="Open Sans"/>
    </font>
    <font>
      <sz val="12"/>
      <name val="Arimo"/>
    </font>
    <font>
      <sz val="11"/>
      <name val="Arimo"/>
    </font>
    <font>
      <sz val="12"/>
      <color rgb="FF0066CC"/>
      <name val="Open Sans"/>
    </font>
    <font>
      <sz val="10"/>
      <color rgb="FF000000"/>
      <name val="Open Sans"/>
    </font>
    <font>
      <b/>
      <sz val="12"/>
      <color rgb="FF000000"/>
      <name val="Open Sans"/>
    </font>
    <font>
      <sz val="12"/>
      <color rgb="FF000000"/>
      <name val="Open Sans"/>
    </font>
    <font>
      <b/>
      <i/>
      <sz val="12"/>
      <name val="Open Sans"/>
    </font>
  </fonts>
  <fills count="1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92CDDC"/>
        <bgColor rgb="FF92CDDC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99CC00"/>
        <bgColor rgb="FF99CC00"/>
      </patternFill>
    </fill>
    <fill>
      <patternFill patternType="solid">
        <fgColor rgb="FFDAEEF3"/>
        <bgColor rgb="FFDAEEF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09ED0"/>
        <bgColor rgb="FF92CDDC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rgb="FF92CDDC"/>
      </patternFill>
    </fill>
    <fill>
      <patternFill patternType="solid">
        <fgColor theme="7" tint="0.79998168889431442"/>
        <bgColor rgb="FFB6DDE8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2" fillId="0" borderId="0" xfId="0" applyFont="1"/>
    <xf numFmtId="3" fontId="1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"/>
    </xf>
    <xf numFmtId="3" fontId="1" fillId="0" borderId="0" xfId="0" applyNumberFormat="1" applyFont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4" fillId="0" borderId="0" xfId="0" applyNumberFormat="1" applyFont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3" fontId="4" fillId="5" borderId="1" xfId="0" applyNumberFormat="1" applyFont="1" applyFill="1" applyBorder="1"/>
    <xf numFmtId="3" fontId="1" fillId="2" borderId="5" xfId="0" applyNumberFormat="1" applyFont="1" applyFill="1" applyBorder="1" applyAlignment="1">
      <alignment horizontal="center"/>
    </xf>
    <xf numFmtId="3" fontId="1" fillId="0" borderId="6" xfId="0" applyNumberFormat="1" applyFont="1" applyBorder="1"/>
    <xf numFmtId="0" fontId="3" fillId="0" borderId="0" xfId="0" applyFont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1" fillId="0" borderId="0" xfId="0" applyNumberFormat="1" applyFont="1" applyAlignment="1">
      <alignment horizontal="center"/>
    </xf>
    <xf numFmtId="3" fontId="1" fillId="3" borderId="1" xfId="0" applyNumberFormat="1" applyFont="1" applyFill="1" applyBorder="1"/>
    <xf numFmtId="0" fontId="1" fillId="3" borderId="1" xfId="0" applyFont="1" applyFill="1" applyBorder="1"/>
    <xf numFmtId="49" fontId="3" fillId="0" borderId="0" xfId="0" applyNumberFormat="1" applyFont="1" applyAlignment="1">
      <alignment horizontal="center"/>
    </xf>
    <xf numFmtId="3" fontId="1" fillId="6" borderId="1" xfId="0" applyNumberFormat="1" applyFont="1" applyFill="1" applyBorder="1"/>
    <xf numFmtId="3" fontId="1" fillId="7" borderId="1" xfId="0" applyNumberFormat="1" applyFont="1" applyFill="1" applyBorder="1"/>
    <xf numFmtId="3" fontId="1" fillId="7" borderId="5" xfId="0" applyNumberFormat="1" applyFont="1" applyFill="1" applyBorder="1"/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/>
    <xf numFmtId="3" fontId="4" fillId="4" borderId="3" xfId="0" applyNumberFormat="1" applyFont="1" applyFill="1" applyBorder="1"/>
    <xf numFmtId="3" fontId="6" fillId="4" borderId="4" xfId="0" applyNumberFormat="1" applyFont="1" applyFill="1" applyBorder="1"/>
    <xf numFmtId="0" fontId="7" fillId="0" borderId="0" xfId="0" applyFont="1"/>
    <xf numFmtId="38" fontId="4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3" fontId="2" fillId="0" borderId="0" xfId="0" applyNumberFormat="1" applyFont="1"/>
    <xf numFmtId="3" fontId="6" fillId="0" borderId="0" xfId="0" applyNumberFormat="1" applyFont="1"/>
    <xf numFmtId="0" fontId="8" fillId="0" borderId="0" xfId="0" applyFont="1"/>
    <xf numFmtId="3" fontId="9" fillId="0" borderId="0" xfId="0" applyNumberFormat="1" applyFont="1" applyAlignment="1">
      <alignment horizontal="center"/>
    </xf>
    <xf numFmtId="3" fontId="4" fillId="0" borderId="1" xfId="0" applyNumberFormat="1" applyFont="1" applyBorder="1"/>
    <xf numFmtId="0" fontId="4" fillId="8" borderId="0" xfId="0" applyFont="1" applyFill="1" applyAlignment="1">
      <alignment horizontal="center"/>
    </xf>
    <xf numFmtId="0" fontId="4" fillId="8" borderId="0" xfId="0" applyFont="1" applyFill="1"/>
    <xf numFmtId="3" fontId="4" fillId="8" borderId="0" xfId="0" applyNumberFormat="1" applyFont="1" applyFill="1"/>
    <xf numFmtId="3" fontId="4" fillId="8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0" fontId="4" fillId="0" borderId="0" xfId="0" applyNumberFormat="1" applyFont="1" applyAlignment="1">
      <alignment horizontal="center"/>
    </xf>
    <xf numFmtId="3" fontId="4" fillId="9" borderId="1" xfId="0" applyNumberFormat="1" applyFont="1" applyFill="1" applyBorder="1"/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/>
    <xf numFmtId="0" fontId="4" fillId="10" borderId="1" xfId="0" applyFont="1" applyFill="1" applyBorder="1" applyAlignment="1">
      <alignment horizontal="center"/>
    </xf>
    <xf numFmtId="0" fontId="4" fillId="10" borderId="1" xfId="0" applyFont="1" applyFill="1" applyBorder="1"/>
    <xf numFmtId="3" fontId="4" fillId="10" borderId="1" xfId="0" applyNumberFormat="1" applyFont="1" applyFill="1" applyBorder="1"/>
    <xf numFmtId="44" fontId="4" fillId="0" borderId="0" xfId="1" applyFont="1" applyFill="1" applyAlignment="1"/>
    <xf numFmtId="44" fontId="4" fillId="0" borderId="0" xfId="1" applyFont="1" applyAlignment="1"/>
    <xf numFmtId="44" fontId="4" fillId="0" borderId="0" xfId="0" applyNumberFormat="1" applyFont="1"/>
    <xf numFmtId="3" fontId="4" fillId="11" borderId="1" xfId="0" applyNumberFormat="1" applyFont="1" applyFill="1" applyBorder="1"/>
    <xf numFmtId="3" fontId="4" fillId="12" borderId="0" xfId="0" applyNumberFormat="1" applyFont="1" applyFill="1"/>
    <xf numFmtId="1" fontId="4" fillId="0" borderId="0" xfId="0" applyNumberFormat="1" applyFont="1"/>
    <xf numFmtId="0" fontId="3" fillId="13" borderId="1" xfId="0" applyFont="1" applyFill="1" applyBorder="1" applyAlignment="1">
      <alignment horizontal="left"/>
    </xf>
    <xf numFmtId="3" fontId="4" fillId="14" borderId="1" xfId="0" applyNumberFormat="1" applyFont="1" applyFill="1" applyBorder="1"/>
    <xf numFmtId="44" fontId="4" fillId="0" borderId="0" xfId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4" fillId="15" borderId="0" xfId="0" applyFont="1" applyFill="1"/>
    <xf numFmtId="3" fontId="0" fillId="0" borderId="0" xfId="0" applyNumberFormat="1"/>
    <xf numFmtId="164" fontId="4" fillId="0" borderId="0" xfId="0" applyNumberFormat="1" applyFont="1"/>
    <xf numFmtId="4" fontId="4" fillId="0" borderId="0" xfId="0" applyNumberFormat="1" applyFont="1"/>
    <xf numFmtId="43" fontId="4" fillId="0" borderId="0" xfId="2" applyFont="1"/>
    <xf numFmtId="10" fontId="4" fillId="0" borderId="0" xfId="3" applyNumberFormat="1" applyFont="1" applyAlignment="1">
      <alignment horizontal="center"/>
    </xf>
    <xf numFmtId="43" fontId="4" fillId="0" borderId="0" xfId="0" applyNumberFormat="1" applyFont="1"/>
    <xf numFmtId="3" fontId="13" fillId="12" borderId="0" xfId="0" applyNumberFormat="1" applyFont="1" applyFill="1"/>
    <xf numFmtId="0" fontId="3" fillId="0" borderId="0" xfId="0" applyFont="1" applyAlignment="1">
      <alignment horizontal="left"/>
    </xf>
    <xf numFmtId="0" fontId="0" fillId="0" borderId="0" xfId="0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D09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9C5A-3D82-6C44-B3EF-C5AFB2A32E4B}">
  <dimension ref="A1:AE979"/>
  <sheetViews>
    <sheetView tabSelected="1" workbookViewId="0">
      <pane xSplit="2" ySplit="3" topLeftCell="C19" activePane="bottomRight" state="frozen"/>
      <selection pane="topRight" activeCell="C1" sqref="C1"/>
      <selection pane="bottomLeft" activeCell="A4" sqref="A4"/>
      <selection pane="bottomRight" activeCell="D51" sqref="D51:D55"/>
    </sheetView>
  </sheetViews>
  <sheetFormatPr baseColWidth="10" defaultColWidth="14.33203125" defaultRowHeight="15" customHeight="1"/>
  <cols>
    <col min="1" max="1" width="8.33203125" customWidth="1"/>
    <col min="2" max="2" width="29.6640625" customWidth="1"/>
    <col min="3" max="3" width="17" bestFit="1" customWidth="1"/>
    <col min="4" max="5" width="14.6640625" bestFit="1" customWidth="1"/>
    <col min="6" max="7" width="13.83203125" customWidth="1"/>
    <col min="8" max="10" width="15.6640625" bestFit="1" customWidth="1"/>
    <col min="11" max="12" width="13.83203125" customWidth="1"/>
    <col min="13" max="13" width="15.6640625" bestFit="1" customWidth="1"/>
    <col min="14" max="14" width="16.33203125" customWidth="1"/>
    <col min="15" max="15" width="19" bestFit="1" customWidth="1"/>
    <col min="16" max="16" width="4" customWidth="1"/>
    <col min="17" max="18" width="24" customWidth="1"/>
    <col min="19" max="19" width="9.33203125" customWidth="1"/>
    <col min="20" max="20" width="24.83203125" bestFit="1" customWidth="1"/>
    <col min="21" max="21" width="9.1640625" customWidth="1"/>
    <col min="22" max="23" width="8" customWidth="1"/>
    <col min="24" max="24" width="17.33203125" bestFit="1" customWidth="1"/>
    <col min="25" max="28" width="7.33203125" customWidth="1"/>
  </cols>
  <sheetData>
    <row r="1" spans="1:31" ht="15.75" customHeight="1" thickBot="1">
      <c r="A1" s="2"/>
      <c r="B1" s="6" t="s">
        <v>6</v>
      </c>
      <c r="C1" s="4">
        <v>0.09</v>
      </c>
      <c r="D1" s="4">
        <v>0.08</v>
      </c>
      <c r="E1" s="4">
        <v>0.05</v>
      </c>
      <c r="F1" s="4">
        <v>0.09</v>
      </c>
      <c r="G1" s="4">
        <v>8.5000000000000006E-2</v>
      </c>
      <c r="H1" s="4">
        <v>0.09</v>
      </c>
      <c r="I1" s="4">
        <v>0.09</v>
      </c>
      <c r="J1" s="4">
        <v>0.09</v>
      </c>
      <c r="K1" s="4">
        <v>0.05</v>
      </c>
      <c r="L1" s="4">
        <v>0.06</v>
      </c>
      <c r="M1" s="4">
        <v>0.125</v>
      </c>
      <c r="N1" s="4">
        <v>0.1</v>
      </c>
      <c r="O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31" ht="15.75" customHeight="1" thickBot="1">
      <c r="A2" s="8"/>
      <c r="B2" s="62" t="s">
        <v>100</v>
      </c>
      <c r="C2" s="9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2" t="s">
        <v>19</v>
      </c>
      <c r="O2" s="3" t="s">
        <v>20</v>
      </c>
      <c r="Q2" s="5"/>
      <c r="R2" s="5"/>
      <c r="S2" s="5"/>
      <c r="T2" s="5"/>
      <c r="U2" s="5"/>
      <c r="V2" s="5"/>
      <c r="W2" s="5"/>
      <c r="X2" s="5"/>
      <c r="Y2" s="5"/>
      <c r="Z2" s="5"/>
    </row>
    <row r="3" spans="1:31" ht="16">
      <c r="A3" s="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31" ht="16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31" ht="16">
      <c r="A5" s="78" t="s">
        <v>21</v>
      </c>
      <c r="B5" s="79"/>
      <c r="C5" s="63">
        <v>5755123.6233999999</v>
      </c>
      <c r="D5" s="14">
        <f t="shared" ref="D5:N5" si="0">C47</f>
        <v>5625780.1934000002</v>
      </c>
      <c r="E5" s="14">
        <f t="shared" si="0"/>
        <v>5643280.5734000001</v>
      </c>
      <c r="F5" s="14">
        <f t="shared" si="0"/>
        <v>5643280.5734000001</v>
      </c>
      <c r="G5" s="14">
        <f t="shared" si="0"/>
        <v>5643280.5734000001</v>
      </c>
      <c r="H5" s="14">
        <f t="shared" si="0"/>
        <v>5643280.5734000001</v>
      </c>
      <c r="I5" s="14">
        <f t="shared" si="0"/>
        <v>5643280.5734000001</v>
      </c>
      <c r="J5" s="14">
        <f t="shared" si="0"/>
        <v>5643280.5734000001</v>
      </c>
      <c r="K5" s="14">
        <f t="shared" si="0"/>
        <v>5643280.5734000001</v>
      </c>
      <c r="L5" s="14">
        <f t="shared" si="0"/>
        <v>5643280.5734000001</v>
      </c>
      <c r="M5" s="14">
        <f t="shared" si="0"/>
        <v>5643280.5734000001</v>
      </c>
      <c r="N5" s="14">
        <f t="shared" si="0"/>
        <v>5643280.5734000001</v>
      </c>
      <c r="O5" s="14"/>
      <c r="Q5" s="5" t="s">
        <v>76</v>
      </c>
      <c r="R5" s="5"/>
      <c r="S5" s="5"/>
      <c r="T5" s="5"/>
      <c r="U5" s="5"/>
      <c r="V5" s="5"/>
      <c r="W5" s="5"/>
      <c r="X5" s="5"/>
      <c r="Y5" s="5"/>
      <c r="Z5" s="5"/>
    </row>
    <row r="6" spans="1:31" ht="16">
      <c r="A6" s="8"/>
      <c r="B6" s="5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Q6" s="5"/>
      <c r="R6" s="5"/>
      <c r="S6" s="5"/>
      <c r="T6" s="5"/>
      <c r="U6" s="5"/>
      <c r="V6" s="5"/>
      <c r="W6" s="5"/>
      <c r="X6" s="5"/>
      <c r="Y6" s="8"/>
      <c r="Z6" s="8" t="s">
        <v>89</v>
      </c>
      <c r="AA6" s="65"/>
      <c r="AB6" s="69" t="s">
        <v>89</v>
      </c>
    </row>
    <row r="7" spans="1:31" ht="16">
      <c r="A7" s="15">
        <v>3100</v>
      </c>
      <c r="B7" s="16" t="s">
        <v>23</v>
      </c>
      <c r="C7" s="17">
        <v>949487.11</v>
      </c>
      <c r="D7" s="17">
        <v>724781.6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42">
        <f>SUM(C7:N7)</f>
        <v>1674268.71</v>
      </c>
      <c r="Q7" s="56">
        <v>9413370.5399999991</v>
      </c>
      <c r="R7" s="58">
        <f>O7-Q7</f>
        <v>-7739101.8299999991</v>
      </c>
      <c r="S7" s="5" t="s">
        <v>96</v>
      </c>
      <c r="T7" s="5"/>
      <c r="U7" s="5"/>
      <c r="V7" s="5"/>
      <c r="W7" s="5"/>
      <c r="X7" s="5"/>
      <c r="Y7" s="66" t="s">
        <v>87</v>
      </c>
      <c r="Z7" s="66">
        <f>-698.4+695.35</f>
        <v>-3.0499999999999545</v>
      </c>
      <c r="AA7" s="67" t="s">
        <v>88</v>
      </c>
      <c r="AB7" s="68">
        <f>-55.29+36</f>
        <v>-19.29</v>
      </c>
      <c r="AE7" s="71">
        <f>O7</f>
        <v>1674268.71</v>
      </c>
    </row>
    <row r="8" spans="1:31" ht="16">
      <c r="A8" s="8">
        <v>3121</v>
      </c>
      <c r="B8" s="5" t="s">
        <v>29</v>
      </c>
      <c r="C8" s="59">
        <v>6388.59</v>
      </c>
      <c r="D8" s="59">
        <v>5678.74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14">
        <f t="shared" ref="O8:O20" si="1">SUM(C8:N8)</f>
        <v>12067.33</v>
      </c>
      <c r="Q8" s="56">
        <v>70984.3</v>
      </c>
      <c r="R8" s="58">
        <f t="shared" ref="R8:R20" si="2">O8-Q8</f>
        <v>-58916.97</v>
      </c>
      <c r="S8" s="5"/>
      <c r="T8" s="5"/>
      <c r="U8" s="5"/>
      <c r="V8" s="5"/>
      <c r="W8" s="5"/>
      <c r="X8" s="5"/>
      <c r="Y8" s="5"/>
      <c r="Z8" s="5"/>
      <c r="AE8" s="71">
        <f t="shared" ref="AE8:AE21" si="3">O8</f>
        <v>12067.33</v>
      </c>
    </row>
    <row r="9" spans="1:31" ht="16">
      <c r="A9" s="43">
        <v>4121</v>
      </c>
      <c r="B9" s="44" t="s">
        <v>37</v>
      </c>
      <c r="C9" s="17">
        <v>100354.27</v>
      </c>
      <c r="D9" s="17">
        <v>89203.79</v>
      </c>
      <c r="E9" s="17"/>
      <c r="F9" s="17"/>
      <c r="G9" s="55"/>
      <c r="H9" s="55"/>
      <c r="I9" s="55"/>
      <c r="J9" s="55"/>
      <c r="K9" s="55"/>
      <c r="L9" s="55"/>
      <c r="M9" s="55"/>
      <c r="N9" s="55"/>
      <c r="O9" s="14">
        <f>SUM(C9:N9)</f>
        <v>189558.06</v>
      </c>
      <c r="Q9" s="56">
        <v>1115047.42</v>
      </c>
      <c r="R9" s="58">
        <f t="shared" si="2"/>
        <v>-925489.35999999987</v>
      </c>
      <c r="S9" s="5" t="s">
        <v>97</v>
      </c>
      <c r="T9" s="5"/>
      <c r="U9" s="5"/>
      <c r="V9" s="5"/>
      <c r="W9" s="5"/>
      <c r="X9" s="5"/>
      <c r="Y9" s="5"/>
      <c r="Z9" s="5"/>
      <c r="AE9" s="71">
        <f t="shared" si="3"/>
        <v>189558.06</v>
      </c>
    </row>
    <row r="10" spans="1:31" ht="16">
      <c r="A10" s="47">
        <v>4155</v>
      </c>
      <c r="B10" s="48" t="s">
        <v>46</v>
      </c>
      <c r="C10" s="59"/>
      <c r="D10" s="42">
        <v>45409.62</v>
      </c>
      <c r="E10" s="59"/>
      <c r="F10" s="59"/>
      <c r="G10" s="42"/>
      <c r="H10" s="42"/>
      <c r="I10" s="42"/>
      <c r="J10" s="42"/>
      <c r="K10" s="42"/>
      <c r="L10" s="42"/>
      <c r="M10" s="42"/>
      <c r="N10" s="42"/>
      <c r="O10" s="42">
        <f t="shared" si="1"/>
        <v>45409.62</v>
      </c>
      <c r="Q10" s="56"/>
      <c r="R10" s="58">
        <f t="shared" si="2"/>
        <v>45409.62</v>
      </c>
      <c r="S10" s="5" t="s">
        <v>90</v>
      </c>
      <c r="T10" s="5"/>
      <c r="U10" s="5"/>
      <c r="V10" s="5"/>
      <c r="W10" s="5"/>
      <c r="X10" s="5"/>
      <c r="Y10" s="5"/>
      <c r="Z10" s="5"/>
      <c r="AE10" s="71">
        <f t="shared" si="3"/>
        <v>45409.62</v>
      </c>
    </row>
    <row r="11" spans="1:31" ht="16">
      <c r="A11" s="43">
        <v>4158</v>
      </c>
      <c r="B11" s="44" t="s">
        <v>99</v>
      </c>
      <c r="C11" s="17"/>
      <c r="D11" s="45">
        <v>1082</v>
      </c>
      <c r="E11" s="45"/>
      <c r="F11" s="45"/>
      <c r="G11" s="45"/>
      <c r="H11" s="45"/>
      <c r="I11" s="45"/>
      <c r="J11" s="45"/>
      <c r="K11" s="45"/>
      <c r="L11" s="45"/>
      <c r="M11" s="45"/>
      <c r="N11" s="46"/>
      <c r="O11" s="14">
        <f t="shared" si="1"/>
        <v>1082</v>
      </c>
      <c r="Q11" s="56"/>
      <c r="R11" s="58">
        <f t="shared" si="2"/>
        <v>1082</v>
      </c>
      <c r="S11" s="5" t="s">
        <v>83</v>
      </c>
      <c r="T11" s="5"/>
      <c r="U11" s="5"/>
      <c r="V11" s="5"/>
      <c r="W11" s="5"/>
      <c r="X11" s="5"/>
      <c r="Y11" s="5"/>
      <c r="Z11" s="5"/>
      <c r="AE11" s="71">
        <f t="shared" si="3"/>
        <v>1082</v>
      </c>
    </row>
    <row r="12" spans="1:31" ht="16">
      <c r="A12" s="8">
        <v>4165</v>
      </c>
      <c r="B12" s="5" t="s">
        <v>74</v>
      </c>
      <c r="C12" s="59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14">
        <f>SUM(C12:N12)</f>
        <v>0</v>
      </c>
      <c r="Q12" s="56"/>
      <c r="R12" s="58">
        <f t="shared" si="2"/>
        <v>0</v>
      </c>
      <c r="S12" s="5" t="s">
        <v>98</v>
      </c>
      <c r="T12" s="5"/>
      <c r="U12" s="5"/>
      <c r="V12" s="5"/>
      <c r="W12" s="5"/>
      <c r="X12" s="5"/>
      <c r="Y12" s="5"/>
      <c r="Z12" s="5"/>
      <c r="AE12" s="71">
        <f t="shared" si="3"/>
        <v>0</v>
      </c>
    </row>
    <row r="13" spans="1:31" ht="16">
      <c r="A13" s="51">
        <v>4174</v>
      </c>
      <c r="B13" s="52" t="s">
        <v>53</v>
      </c>
      <c r="C13" s="17"/>
      <c r="D13" s="17">
        <v>4401.01</v>
      </c>
      <c r="E13" s="17"/>
      <c r="F13" s="17"/>
      <c r="G13" s="17"/>
      <c r="H13" s="46"/>
      <c r="I13" s="46"/>
      <c r="J13" s="46"/>
      <c r="K13" s="46"/>
      <c r="L13" s="46"/>
      <c r="M13" s="46"/>
      <c r="N13" s="46"/>
      <c r="O13" s="42">
        <f t="shared" si="1"/>
        <v>4401.01</v>
      </c>
      <c r="Q13" s="56"/>
      <c r="R13" s="58">
        <f t="shared" si="2"/>
        <v>4401.01</v>
      </c>
      <c r="S13" s="5" t="s">
        <v>90</v>
      </c>
      <c r="T13" s="5"/>
      <c r="U13" s="5"/>
      <c r="V13" s="5"/>
      <c r="W13" s="5"/>
      <c r="X13" s="5"/>
      <c r="Y13" s="5"/>
      <c r="Z13" s="5"/>
      <c r="AE13" s="71">
        <f t="shared" si="3"/>
        <v>4401.01</v>
      </c>
    </row>
    <row r="14" spans="1:31" ht="16">
      <c r="A14" s="47">
        <v>4198</v>
      </c>
      <c r="B14" s="48" t="s">
        <v>55</v>
      </c>
      <c r="C14" s="59"/>
      <c r="D14" s="42">
        <f>98.28+262.8+480+11186.7+23975.79</f>
        <v>36003.57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>
        <f t="shared" si="1"/>
        <v>36003.57</v>
      </c>
      <c r="Q14" s="56"/>
      <c r="R14" s="58">
        <f t="shared" si="2"/>
        <v>36003.57</v>
      </c>
      <c r="S14" s="5"/>
      <c r="T14" s="5"/>
      <c r="U14" s="5"/>
      <c r="V14" s="5"/>
      <c r="W14" s="5"/>
      <c r="X14" s="5"/>
      <c r="Y14" s="5"/>
      <c r="Z14" s="5"/>
      <c r="AE14" s="71">
        <f t="shared" si="3"/>
        <v>36003.57</v>
      </c>
    </row>
    <row r="15" spans="1:31" ht="16">
      <c r="A15" s="43">
        <v>4199</v>
      </c>
      <c r="B15" s="44" t="s">
        <v>56</v>
      </c>
      <c r="C15" s="17">
        <v>47157.45</v>
      </c>
      <c r="D15" s="17">
        <v>41917.74</v>
      </c>
      <c r="E15" s="17"/>
      <c r="F15" s="46"/>
      <c r="G15" s="46"/>
      <c r="H15" s="46"/>
      <c r="I15" s="46"/>
      <c r="J15" s="46"/>
      <c r="K15" s="46"/>
      <c r="L15" s="46"/>
      <c r="M15" s="46"/>
      <c r="N15" s="46"/>
      <c r="O15" s="14">
        <f t="shared" si="1"/>
        <v>89075.19</v>
      </c>
      <c r="Q15" s="56">
        <v>523971.72</v>
      </c>
      <c r="R15" s="58">
        <f t="shared" si="2"/>
        <v>-434896.52999999997</v>
      </c>
      <c r="S15" s="5" t="s">
        <v>91</v>
      </c>
      <c r="T15" s="5"/>
      <c r="U15" s="5"/>
      <c r="V15" s="5"/>
      <c r="W15" s="5"/>
      <c r="X15" s="5"/>
      <c r="Y15" s="5"/>
      <c r="Z15" s="5"/>
      <c r="AE15" s="71">
        <f t="shared" si="3"/>
        <v>89075.19</v>
      </c>
    </row>
    <row r="16" spans="1:31" ht="16">
      <c r="A16" s="47">
        <v>6124</v>
      </c>
      <c r="B16" s="48" t="s">
        <v>57</v>
      </c>
      <c r="C16" s="59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>
        <f t="shared" si="1"/>
        <v>0</v>
      </c>
      <c r="Q16" s="56"/>
      <c r="R16" s="58">
        <f t="shared" si="2"/>
        <v>0</v>
      </c>
      <c r="S16" s="5" t="s">
        <v>92</v>
      </c>
      <c r="T16" s="5"/>
      <c r="U16" s="5"/>
      <c r="V16" s="5"/>
      <c r="W16" s="5"/>
      <c r="X16" s="5"/>
      <c r="Y16" s="5"/>
      <c r="Z16" s="5"/>
      <c r="AE16" s="71">
        <f t="shared" si="3"/>
        <v>0</v>
      </c>
    </row>
    <row r="17" spans="1:31" ht="16">
      <c r="A17" s="43">
        <v>6151</v>
      </c>
      <c r="B17" s="44" t="s">
        <v>58</v>
      </c>
      <c r="C17" s="17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  <c r="O17" s="14">
        <f t="shared" si="1"/>
        <v>0</v>
      </c>
      <c r="Q17" s="56"/>
      <c r="R17" s="58">
        <f t="shared" si="2"/>
        <v>0</v>
      </c>
      <c r="S17" s="5" t="s">
        <v>92</v>
      </c>
      <c r="T17" s="5"/>
      <c r="U17" s="5"/>
      <c r="V17" s="5"/>
      <c r="W17" s="5"/>
      <c r="X17" s="5"/>
      <c r="Y17" s="5"/>
      <c r="Z17" s="5"/>
      <c r="AE17" s="71">
        <f t="shared" si="3"/>
        <v>0</v>
      </c>
    </row>
    <row r="18" spans="1:31" ht="16">
      <c r="A18" s="47">
        <v>6152</v>
      </c>
      <c r="B18" s="48" t="s">
        <v>59</v>
      </c>
      <c r="C18" s="59">
        <v>21757.98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>
        <f t="shared" si="1"/>
        <v>21757.98</v>
      </c>
      <c r="Q18" s="57"/>
      <c r="R18" s="58">
        <f t="shared" si="2"/>
        <v>21757.98</v>
      </c>
      <c r="S18" s="5" t="s">
        <v>92</v>
      </c>
      <c r="T18" s="5"/>
      <c r="U18" s="5"/>
      <c r="V18" s="5"/>
      <c r="W18" s="5"/>
      <c r="X18" s="5"/>
      <c r="Y18" s="5"/>
      <c r="Z18" s="5"/>
      <c r="AE18" s="71">
        <f t="shared" si="3"/>
        <v>21757.98</v>
      </c>
    </row>
    <row r="19" spans="1:31" ht="16">
      <c r="A19" s="53">
        <v>6198</v>
      </c>
      <c r="B19" s="54" t="s">
        <v>60</v>
      </c>
      <c r="C19" s="17"/>
      <c r="D19" s="55">
        <f>23863.43+10821.78</f>
        <v>34685.21</v>
      </c>
      <c r="E19" s="17"/>
      <c r="F19" s="17"/>
      <c r="G19" s="17"/>
      <c r="H19" s="17"/>
      <c r="I19" s="17"/>
      <c r="J19" s="17"/>
      <c r="K19" s="17"/>
      <c r="L19" s="17"/>
      <c r="M19" s="17"/>
      <c r="N19" s="46"/>
      <c r="O19" s="42">
        <f t="shared" si="1"/>
        <v>34685.21</v>
      </c>
      <c r="Q19" s="57"/>
      <c r="R19" s="58">
        <f t="shared" si="2"/>
        <v>34685.21</v>
      </c>
      <c r="S19" s="5" t="s">
        <v>84</v>
      </c>
      <c r="T19" s="5"/>
      <c r="U19" s="5"/>
      <c r="V19" s="5"/>
      <c r="W19" s="5"/>
      <c r="X19" s="5"/>
      <c r="Y19" s="5"/>
      <c r="Z19" s="5"/>
      <c r="AE19" s="71">
        <f t="shared" si="3"/>
        <v>34685.21</v>
      </c>
    </row>
    <row r="20" spans="1:31" ht="16">
      <c r="A20" s="47">
        <v>33001</v>
      </c>
      <c r="B20" s="48" t="s">
        <v>101</v>
      </c>
      <c r="C20" s="59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>
        <f t="shared" si="1"/>
        <v>0</v>
      </c>
      <c r="Q20" s="57"/>
      <c r="R20" s="58">
        <f t="shared" si="2"/>
        <v>0</v>
      </c>
      <c r="S20" s="5" t="s">
        <v>93</v>
      </c>
      <c r="T20" s="5"/>
      <c r="U20" s="5"/>
      <c r="V20" s="5"/>
      <c r="W20" s="5"/>
      <c r="X20" s="5"/>
      <c r="Y20" s="5"/>
      <c r="Z20" s="5"/>
      <c r="AE20" s="71">
        <f t="shared" si="3"/>
        <v>0</v>
      </c>
    </row>
    <row r="21" spans="1:31" ht="16">
      <c r="A21" s="53">
        <v>6119</v>
      </c>
      <c r="B21" s="54" t="s">
        <v>85</v>
      </c>
      <c r="C21" s="17">
        <v>5643.65</v>
      </c>
      <c r="D21" s="55"/>
      <c r="E21" s="55"/>
      <c r="F21" s="17"/>
      <c r="G21" s="17"/>
      <c r="H21" s="17"/>
      <c r="I21" s="17"/>
      <c r="J21" s="17"/>
      <c r="K21" s="17"/>
      <c r="L21" s="17"/>
      <c r="M21" s="17"/>
      <c r="N21" s="17"/>
      <c r="O21" s="42">
        <f t="shared" ref="O21" si="4">SUM(C21:N21)</f>
        <v>5643.65</v>
      </c>
      <c r="Q21" s="57"/>
      <c r="R21" s="58"/>
      <c r="S21" s="5"/>
      <c r="T21" s="5"/>
      <c r="U21" s="5"/>
      <c r="V21" s="5"/>
      <c r="W21" s="5"/>
      <c r="X21" s="5"/>
      <c r="Y21" s="5"/>
      <c r="Z21" s="5"/>
      <c r="AE21" s="71">
        <f t="shared" si="3"/>
        <v>5643.65</v>
      </c>
    </row>
    <row r="22" spans="1:31" ht="16">
      <c r="A22" s="8"/>
      <c r="B22" s="5"/>
      <c r="C22" s="59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Q22" s="57"/>
      <c r="R22" s="5"/>
      <c r="S22" s="5"/>
      <c r="T22" s="5"/>
      <c r="U22" s="5"/>
      <c r="V22" s="5"/>
      <c r="W22" s="5"/>
      <c r="X22" s="5"/>
      <c r="Y22" s="5"/>
      <c r="Z22" s="5"/>
    </row>
    <row r="23" spans="1:31" ht="16">
      <c r="A23" s="8"/>
      <c r="B23" s="5" t="s">
        <v>61</v>
      </c>
      <c r="C23" s="39">
        <f t="shared" ref="C23:N23" si="5">SUM(C7:C21)</f>
        <v>1130789.0499999998</v>
      </c>
      <c r="D23" s="39">
        <f t="shared" si="5"/>
        <v>983163.27999999991</v>
      </c>
      <c r="E23" s="39">
        <f t="shared" si="5"/>
        <v>0</v>
      </c>
      <c r="F23" s="39">
        <f t="shared" si="5"/>
        <v>0</v>
      </c>
      <c r="G23" s="39">
        <f t="shared" si="5"/>
        <v>0</v>
      </c>
      <c r="H23" s="39">
        <f t="shared" si="5"/>
        <v>0</v>
      </c>
      <c r="I23" s="39">
        <f t="shared" si="5"/>
        <v>0</v>
      </c>
      <c r="J23" s="39">
        <f t="shared" si="5"/>
        <v>0</v>
      </c>
      <c r="K23" s="39">
        <f t="shared" si="5"/>
        <v>0</v>
      </c>
      <c r="L23" s="39">
        <f t="shared" si="5"/>
        <v>0</v>
      </c>
      <c r="M23" s="39">
        <f t="shared" si="5"/>
        <v>0</v>
      </c>
      <c r="N23" s="39">
        <f t="shared" si="5"/>
        <v>0</v>
      </c>
      <c r="O23" s="14">
        <f>SUM(C23:N23)</f>
        <v>2113952.3299999996</v>
      </c>
      <c r="Q23" s="57">
        <f>SUM(Q7:Q22)</f>
        <v>11123373.98</v>
      </c>
      <c r="R23" s="5"/>
      <c r="S23" s="14"/>
      <c r="T23" s="5"/>
      <c r="U23" s="5"/>
      <c r="V23" s="5"/>
      <c r="W23" s="5"/>
      <c r="X23" s="5"/>
      <c r="Y23" s="5"/>
      <c r="Z23" s="5"/>
    </row>
    <row r="24" spans="1:31" ht="16">
      <c r="A24" s="8"/>
      <c r="B24" s="5" t="s">
        <v>103</v>
      </c>
      <c r="C24" s="14"/>
      <c r="D24" s="14">
        <v>125000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Q24" s="57"/>
      <c r="R24" s="5"/>
      <c r="S24" s="5"/>
      <c r="T24" s="5"/>
      <c r="U24" s="5"/>
      <c r="V24" s="5"/>
      <c r="W24" s="5"/>
      <c r="X24" s="5"/>
      <c r="Y24" s="5"/>
      <c r="Z24" s="5"/>
    </row>
    <row r="25" spans="1:31" ht="16">
      <c r="A25" s="8"/>
      <c r="B25" s="5" t="s">
        <v>78</v>
      </c>
      <c r="C25" s="14"/>
      <c r="D25" s="14"/>
      <c r="E25" s="14"/>
      <c r="F25" s="14"/>
      <c r="G25" s="14"/>
      <c r="H25" s="14"/>
      <c r="I25" s="42"/>
      <c r="J25" s="42"/>
      <c r="K25" s="42"/>
      <c r="L25" s="42"/>
      <c r="M25" s="42"/>
      <c r="N25" s="14"/>
      <c r="O25" s="14">
        <f t="shared" ref="O25:O27" si="6">SUM(C25:N25)</f>
        <v>0</v>
      </c>
      <c r="Q25" s="57">
        <f>O25</f>
        <v>0</v>
      </c>
      <c r="R25" s="5"/>
      <c r="S25" s="5"/>
      <c r="T25" s="5"/>
      <c r="U25" s="5"/>
      <c r="V25" s="5"/>
      <c r="W25" s="5"/>
      <c r="X25" s="5"/>
      <c r="Y25" s="5"/>
      <c r="Z25" s="5"/>
      <c r="AE25" s="71">
        <f>O25</f>
        <v>0</v>
      </c>
    </row>
    <row r="26" spans="1:31" ht="16">
      <c r="A26" s="8"/>
      <c r="B26" s="5" t="s">
        <v>80</v>
      </c>
      <c r="C26" s="14"/>
      <c r="D26" s="14"/>
      <c r="E26" s="14"/>
      <c r="F26" s="14"/>
      <c r="G26" s="14"/>
      <c r="H26" s="14"/>
      <c r="I26" s="42"/>
      <c r="J26" s="42"/>
      <c r="K26" s="42"/>
      <c r="L26" s="42"/>
      <c r="M26" s="42"/>
      <c r="N26" s="14"/>
      <c r="O26" s="14">
        <f t="shared" si="6"/>
        <v>0</v>
      </c>
      <c r="Q26" s="57"/>
      <c r="R26" s="5"/>
      <c r="S26" s="5"/>
      <c r="T26" s="5"/>
      <c r="U26" s="5"/>
      <c r="V26" s="5"/>
      <c r="W26" s="5"/>
      <c r="X26" s="5"/>
      <c r="Y26" s="5"/>
      <c r="Z26" s="5"/>
      <c r="AE26" s="71">
        <f>O26</f>
        <v>0</v>
      </c>
    </row>
    <row r="27" spans="1:31" ht="16">
      <c r="A27" s="8"/>
      <c r="B27" s="5" t="s">
        <v>79</v>
      </c>
      <c r="C27" s="14"/>
      <c r="D27" s="39">
        <f>172+672</f>
        <v>844</v>
      </c>
      <c r="E27" s="14"/>
      <c r="F27" s="14"/>
      <c r="G27" s="14"/>
      <c r="H27" s="14"/>
      <c r="I27" s="42"/>
      <c r="J27" s="42"/>
      <c r="K27" s="42"/>
      <c r="L27" s="42"/>
      <c r="M27" s="42"/>
      <c r="N27" s="14"/>
      <c r="O27" s="14">
        <f t="shared" si="6"/>
        <v>844</v>
      </c>
      <c r="Q27" s="57">
        <v>3535</v>
      </c>
      <c r="R27" s="5"/>
      <c r="S27" s="5" t="s">
        <v>95</v>
      </c>
      <c r="T27" s="5"/>
      <c r="U27" s="5"/>
      <c r="V27" s="5"/>
      <c r="W27" s="5"/>
      <c r="X27" s="5"/>
      <c r="Y27" s="5"/>
      <c r="Z27" s="5"/>
      <c r="AE27" s="71">
        <f>O27</f>
        <v>844</v>
      </c>
    </row>
    <row r="28" spans="1:31" ht="16">
      <c r="A28" s="8"/>
      <c r="B28" s="5" t="s">
        <v>86</v>
      </c>
      <c r="C28" s="14"/>
      <c r="D28" s="39"/>
      <c r="E28" s="14"/>
      <c r="F28" s="14"/>
      <c r="G28" s="14"/>
      <c r="H28" s="14"/>
      <c r="I28" s="42"/>
      <c r="J28" s="42"/>
      <c r="K28" s="42"/>
      <c r="L28" s="42"/>
      <c r="M28" s="42"/>
      <c r="N28" s="14"/>
      <c r="O28" s="14"/>
      <c r="Q28" s="57"/>
      <c r="R28" s="5"/>
      <c r="S28" s="5"/>
      <c r="T28" s="5"/>
      <c r="U28" s="5"/>
      <c r="V28" s="5"/>
      <c r="W28" s="5"/>
      <c r="X28" s="5"/>
      <c r="Y28" s="5"/>
      <c r="Z28" s="5"/>
    </row>
    <row r="29" spans="1:31" ht="16">
      <c r="A29" s="8"/>
      <c r="B29" s="5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Q29" s="57"/>
      <c r="R29" s="5"/>
      <c r="S29" s="5"/>
      <c r="T29" s="5"/>
      <c r="U29" s="5"/>
      <c r="V29" s="5"/>
      <c r="W29" s="5"/>
      <c r="X29" s="5"/>
      <c r="Y29" s="5"/>
      <c r="Z29" s="5"/>
    </row>
    <row r="30" spans="1:31" ht="16">
      <c r="A30" s="8"/>
      <c r="B30" s="5" t="s">
        <v>62</v>
      </c>
      <c r="C30" s="50">
        <f>920.73+248+25+200+1977.84</f>
        <v>3371.5699999999997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14">
        <f>SUM(C30:N30)</f>
        <v>3371.5699999999997</v>
      </c>
      <c r="Q30" s="57">
        <v>115389</v>
      </c>
      <c r="R30" s="5"/>
      <c r="S30" s="5"/>
      <c r="T30" s="5"/>
      <c r="U30" s="5"/>
      <c r="V30" s="5"/>
      <c r="W30" s="5"/>
      <c r="X30" s="5"/>
      <c r="Y30" s="5"/>
      <c r="Z30" s="5"/>
      <c r="AE30" s="71">
        <f>O30</f>
        <v>3371.5699999999997</v>
      </c>
    </row>
    <row r="31" spans="1:31" ht="15.75" customHeight="1" thickBot="1">
      <c r="A31" s="8"/>
      <c r="B31" s="5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Q31" s="5"/>
      <c r="R31" s="14">
        <f>F7-F39</f>
        <v>0</v>
      </c>
      <c r="S31" s="5"/>
      <c r="T31" s="74"/>
      <c r="U31" s="5"/>
      <c r="V31" s="5"/>
      <c r="W31" s="5"/>
      <c r="X31" s="5"/>
      <c r="Y31" s="5"/>
      <c r="Z31" s="5"/>
      <c r="AE31" s="71"/>
    </row>
    <row r="32" spans="1:31" ht="15.75" customHeight="1" thickBot="1">
      <c r="A32" s="30" t="s">
        <v>63</v>
      </c>
      <c r="B32" s="31"/>
      <c r="C32" s="32">
        <f t="shared" ref="C32:M32" si="7">SUM(C23:C30)</f>
        <v>1134160.6199999999</v>
      </c>
      <c r="D32" s="32">
        <f t="shared" si="7"/>
        <v>1109007.2799999998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SUM(N23:N29)</f>
        <v>0</v>
      </c>
      <c r="O32" s="33">
        <f>SUM(C32:N32)</f>
        <v>2243167.8999999994</v>
      </c>
      <c r="Q32" s="5"/>
      <c r="R32" s="5"/>
      <c r="S32" s="5"/>
      <c r="T32" s="14"/>
      <c r="U32" s="5"/>
      <c r="V32" s="5"/>
      <c r="W32" s="5"/>
      <c r="X32" s="14">
        <f>C34-O32</f>
        <v>11432625.100000001</v>
      </c>
      <c r="Y32" s="5" t="s">
        <v>82</v>
      </c>
      <c r="Z32" s="5"/>
      <c r="AE32" s="71">
        <f>SUM(AE7:AE31)</f>
        <v>2118167.9</v>
      </c>
    </row>
    <row r="33" spans="1:26" ht="16">
      <c r="A33" s="2"/>
      <c r="B33" s="3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5"/>
      <c r="Q33" s="5"/>
      <c r="R33" s="5"/>
      <c r="S33" s="5"/>
      <c r="T33" s="73"/>
      <c r="U33" s="5"/>
      <c r="V33" s="5"/>
      <c r="W33" s="5"/>
      <c r="X33" s="5"/>
      <c r="Y33" s="5"/>
      <c r="Z33" s="5"/>
    </row>
    <row r="34" spans="1:26" ht="16">
      <c r="A34" s="8"/>
      <c r="B34" s="36" t="s">
        <v>64</v>
      </c>
      <c r="C34" s="14">
        <v>13675793</v>
      </c>
      <c r="D34" s="14"/>
      <c r="E34" s="14"/>
      <c r="F34" s="14"/>
      <c r="G34" s="14"/>
      <c r="H34" s="14"/>
      <c r="I34" s="14"/>
      <c r="J34" s="14"/>
      <c r="K34" s="14"/>
      <c r="L34" s="14"/>
      <c r="M34" s="5"/>
      <c r="N34" s="37" t="s">
        <v>65</v>
      </c>
      <c r="O34" s="38">
        <f>O32-C34</f>
        <v>-11432625.100000001</v>
      </c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6">
      <c r="A35" s="8"/>
      <c r="B35" s="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36"/>
      <c r="N35" s="36"/>
      <c r="O35" s="38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6">
      <c r="A36" s="8"/>
      <c r="B36" s="5" t="s">
        <v>66</v>
      </c>
      <c r="C36" s="14">
        <f>1171.89+9031.6+8263.61+582834.07</f>
        <v>601301.16999999993</v>
      </c>
      <c r="D36" s="14">
        <f>532647.16+24011.86+627.76+15+213.5</f>
        <v>557515.28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>
        <f>SUM(C36:N36)</f>
        <v>1158816.45</v>
      </c>
      <c r="Q36" s="14"/>
      <c r="R36" s="5"/>
      <c r="S36" s="5"/>
      <c r="T36" s="5"/>
      <c r="U36" s="5"/>
      <c r="V36" s="5"/>
      <c r="W36" s="5"/>
      <c r="X36" s="57"/>
      <c r="Y36" s="5"/>
      <c r="Z36" s="5"/>
    </row>
    <row r="37" spans="1:26" ht="16">
      <c r="A37" s="8"/>
      <c r="B37" s="5" t="s">
        <v>67</v>
      </c>
      <c r="C37" s="14">
        <f>315186.76+119518.87</f>
        <v>434705.63</v>
      </c>
      <c r="D37" s="14">
        <f>389926.64+441.89+122493.81</f>
        <v>512862.34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>
        <f>SUM(C37:N37)</f>
        <v>947567.97</v>
      </c>
      <c r="Q37" s="14"/>
      <c r="R37" s="5"/>
      <c r="S37" s="5"/>
      <c r="T37" s="5"/>
      <c r="U37" s="72"/>
      <c r="V37" s="5"/>
      <c r="W37" s="5"/>
      <c r="X37" s="57"/>
      <c r="Y37" s="5"/>
      <c r="Z37" s="5"/>
    </row>
    <row r="38" spans="1:26" ht="16">
      <c r="A38" s="75"/>
      <c r="B38" s="5" t="s">
        <v>102</v>
      </c>
      <c r="C38" s="14">
        <v>95125</v>
      </c>
      <c r="D38" s="14">
        <v>95125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>
        <f>SUM(C38:N38)</f>
        <v>190250</v>
      </c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6">
      <c r="A39" s="49">
        <v>3.1689203237314091E-2</v>
      </c>
      <c r="B39" s="5" t="s">
        <v>75</v>
      </c>
      <c r="C39" s="77">
        <v>132372.25</v>
      </c>
      <c r="D39" s="60">
        <v>-73995.72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14">
        <f>SUM(C39:N39)</f>
        <v>58376.53</v>
      </c>
      <c r="Q39" s="14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thickBot="1">
      <c r="A40" s="8"/>
      <c r="B40" s="5"/>
      <c r="C40" s="14"/>
      <c r="D40" s="14"/>
      <c r="E40" s="14"/>
      <c r="F40" s="14"/>
      <c r="G40" s="14"/>
      <c r="H40" s="14"/>
      <c r="I40" s="14"/>
      <c r="J40" s="14"/>
      <c r="K40" s="14"/>
      <c r="L40" s="14" t="s">
        <v>30</v>
      </c>
      <c r="M40" s="14"/>
      <c r="N40" s="14"/>
      <c r="O40" s="14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thickBot="1">
      <c r="A41" s="30" t="s">
        <v>68</v>
      </c>
      <c r="B41" s="31"/>
      <c r="C41" s="32">
        <f>SUM(C36:C39)</f>
        <v>1263504.0499999998</v>
      </c>
      <c r="D41" s="32">
        <f t="shared" ref="D41:L41" si="8">SUM(D36:D39)</f>
        <v>1091506.9000000001</v>
      </c>
      <c r="E41" s="32">
        <f>SUM(E36:E39)</f>
        <v>0</v>
      </c>
      <c r="F41" s="32">
        <f>SUM(F36:F37)</f>
        <v>0</v>
      </c>
      <c r="G41" s="32">
        <f t="shared" si="8"/>
        <v>0</v>
      </c>
      <c r="H41" s="32">
        <f>SUM(H36:H39)</f>
        <v>0</v>
      </c>
      <c r="I41" s="32">
        <f t="shared" si="8"/>
        <v>0</v>
      </c>
      <c r="J41" s="32">
        <f>SUM(J36:J39)</f>
        <v>0</v>
      </c>
      <c r="K41" s="32">
        <f t="shared" si="8"/>
        <v>0</v>
      </c>
      <c r="L41" s="32">
        <f t="shared" si="8"/>
        <v>0</v>
      </c>
      <c r="M41" s="32">
        <f>SUM(M36:M39)</f>
        <v>0</v>
      </c>
      <c r="N41" s="32">
        <f>SUM(N36:N39)</f>
        <v>0</v>
      </c>
      <c r="O41" s="33">
        <f>SUM(C41:N41)</f>
        <v>2355010.9500000002</v>
      </c>
      <c r="Q41" s="64">
        <f>O41/365</f>
        <v>6452.0847945205487</v>
      </c>
      <c r="R41" s="58">
        <f>((N49-60)*Q41)</f>
        <v>5256155.4857287677</v>
      </c>
      <c r="S41" s="5"/>
      <c r="T41" s="64"/>
      <c r="U41" s="5"/>
      <c r="V41" s="5"/>
      <c r="W41" s="5"/>
      <c r="X41" s="57"/>
      <c r="Y41" s="5"/>
      <c r="Z41" s="5"/>
    </row>
    <row r="42" spans="1:26" ht="16">
      <c r="A42" s="2"/>
      <c r="B42" s="34" t="s">
        <v>69</v>
      </c>
      <c r="C42" s="35">
        <f>($C$43-(SUM($C$41:C41)))</f>
        <v>11936499.949999999</v>
      </c>
      <c r="D42" s="35">
        <f>($C$43-(SUM($C$41:D41)))</f>
        <v>10844993.050000001</v>
      </c>
      <c r="E42" s="35">
        <f>($C$43-(SUM($C$41:E41)))</f>
        <v>10844993.050000001</v>
      </c>
      <c r="F42" s="35">
        <f>($C$43-(SUM($C$41:F41)))</f>
        <v>10844993.050000001</v>
      </c>
      <c r="G42" s="35">
        <f>($C$43-(SUM($C$41:G41)))</f>
        <v>10844993.050000001</v>
      </c>
      <c r="H42" s="35">
        <f>($C$43-(SUM($C$41:H41)))</f>
        <v>10844993.050000001</v>
      </c>
      <c r="I42" s="35">
        <f>($C$43-(SUM($C$41:I41)))</f>
        <v>10844993.050000001</v>
      </c>
      <c r="J42" s="35">
        <f>($C$43-(SUM($C$41:J41)))</f>
        <v>10844993.050000001</v>
      </c>
      <c r="K42" s="35">
        <f>($C$43-(SUM($C$41:K41)))</f>
        <v>10844993.050000001</v>
      </c>
      <c r="L42" s="35">
        <f>($C$43-(SUM($C$41:L41)))</f>
        <v>10844993.050000001</v>
      </c>
      <c r="M42" s="35">
        <f>($C$43-(SUM($C$41:M41)))-C44</f>
        <v>10844993.050000001</v>
      </c>
      <c r="N42" s="35">
        <f>($C$43-(SUM($C$41:N41)))</f>
        <v>10844993.050000001</v>
      </c>
      <c r="O42" s="5"/>
      <c r="Q42" s="5"/>
      <c r="R42" s="5"/>
      <c r="S42" s="5"/>
      <c r="T42" s="58"/>
      <c r="U42" s="5"/>
      <c r="V42" s="5"/>
      <c r="W42" s="5"/>
      <c r="X42" s="5"/>
      <c r="Y42" s="5"/>
      <c r="Z42" s="5"/>
    </row>
    <row r="43" spans="1:26" ht="16">
      <c r="A43" s="8"/>
      <c r="B43" s="34" t="s">
        <v>70</v>
      </c>
      <c r="C43" s="14">
        <v>13200004</v>
      </c>
      <c r="D43" s="14"/>
      <c r="E43" s="14"/>
      <c r="F43" s="14"/>
      <c r="G43" s="73"/>
      <c r="H43" s="14"/>
      <c r="I43" s="14"/>
      <c r="J43" s="14"/>
      <c r="K43" s="14"/>
      <c r="L43" s="14"/>
      <c r="M43" s="5"/>
      <c r="N43" s="37" t="s">
        <v>71</v>
      </c>
      <c r="O43" s="38">
        <f>C43-O41</f>
        <v>10844993.050000001</v>
      </c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6">
      <c r="A44" s="8"/>
      <c r="B44" s="40"/>
      <c r="C44" s="41"/>
      <c r="D44" s="14"/>
      <c r="E44" s="14"/>
      <c r="F44" s="14"/>
      <c r="G44" s="14"/>
      <c r="H44" s="14"/>
      <c r="I44" s="14"/>
      <c r="J44" s="14"/>
      <c r="K44" s="14"/>
      <c r="L44" s="14"/>
      <c r="M44" s="36"/>
      <c r="N44" s="36"/>
      <c r="O44" s="38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6">
      <c r="A45" s="8"/>
      <c r="B45" s="5" t="s">
        <v>72</v>
      </c>
      <c r="C45" s="14">
        <f>C32-C41</f>
        <v>-129343.42999999993</v>
      </c>
      <c r="D45" s="14">
        <f t="shared" ref="D45:N45" si="9">D32-D41</f>
        <v>17500.379999999655</v>
      </c>
      <c r="E45" s="14">
        <f t="shared" si="9"/>
        <v>0</v>
      </c>
      <c r="F45" s="14">
        <f>F32-F41</f>
        <v>0</v>
      </c>
      <c r="G45" s="14">
        <f t="shared" si="9"/>
        <v>0</v>
      </c>
      <c r="H45" s="14">
        <f>H32-H41</f>
        <v>0</v>
      </c>
      <c r="I45" s="14">
        <f t="shared" si="9"/>
        <v>0</v>
      </c>
      <c r="J45" s="14">
        <f t="shared" si="9"/>
        <v>0</v>
      </c>
      <c r="K45" s="14">
        <f t="shared" si="9"/>
        <v>0</v>
      </c>
      <c r="L45" s="14">
        <f>L32-L41</f>
        <v>0</v>
      </c>
      <c r="M45" s="14">
        <f t="shared" si="9"/>
        <v>0</v>
      </c>
      <c r="N45" s="14">
        <f t="shared" si="9"/>
        <v>0</v>
      </c>
      <c r="O45" s="14">
        <f>O32-O41</f>
        <v>-111843.05000000075</v>
      </c>
      <c r="Q45" s="14"/>
      <c r="R45" s="5"/>
      <c r="S45" s="5"/>
      <c r="T45" s="5"/>
      <c r="U45" s="5"/>
      <c r="V45" s="5"/>
      <c r="W45" s="5"/>
      <c r="X45" s="5"/>
      <c r="Y45" s="5"/>
      <c r="Z45" s="5"/>
    </row>
    <row r="46" spans="1:26" ht="16">
      <c r="A46" s="8"/>
      <c r="B46" s="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6">
      <c r="A47" s="8"/>
      <c r="B47" s="5" t="s">
        <v>81</v>
      </c>
      <c r="C47" s="14">
        <f>C5+C32-C41</f>
        <v>5625780.1934000002</v>
      </c>
      <c r="D47" s="14">
        <f>C47+D45</f>
        <v>5643280.5734000001</v>
      </c>
      <c r="E47" s="14">
        <f t="shared" ref="E47:G47" si="10">D47+E45</f>
        <v>5643280.5734000001</v>
      </c>
      <c r="F47" s="14">
        <f t="shared" si="10"/>
        <v>5643280.5734000001</v>
      </c>
      <c r="G47" s="14">
        <f t="shared" si="10"/>
        <v>5643280.5734000001</v>
      </c>
      <c r="H47" s="14">
        <f>G47+H45</f>
        <v>5643280.5734000001</v>
      </c>
      <c r="I47" s="14">
        <f t="shared" ref="I47:N47" si="11">H47+I45</f>
        <v>5643280.5734000001</v>
      </c>
      <c r="J47" s="14">
        <f t="shared" si="11"/>
        <v>5643280.5734000001</v>
      </c>
      <c r="K47" s="14">
        <f t="shared" si="11"/>
        <v>5643280.5734000001</v>
      </c>
      <c r="L47" s="14">
        <f t="shared" si="11"/>
        <v>5643280.5734000001</v>
      </c>
      <c r="M47" s="14">
        <f t="shared" si="11"/>
        <v>5643280.5734000001</v>
      </c>
      <c r="N47" s="14">
        <f t="shared" si="11"/>
        <v>5643280.5734000001</v>
      </c>
      <c r="O47" s="14">
        <f>C5+O45</f>
        <v>5643280.5733999992</v>
      </c>
      <c r="Q47" s="14"/>
      <c r="R47" s="14"/>
      <c r="S47" s="5"/>
      <c r="T47" s="5"/>
      <c r="U47" s="5"/>
      <c r="V47" s="5"/>
      <c r="W47" s="5"/>
      <c r="X47" s="5"/>
      <c r="Y47" s="5"/>
      <c r="Z47" s="5"/>
    </row>
    <row r="48" spans="1:26" ht="16">
      <c r="A48" s="8"/>
      <c r="B48" s="5" t="s">
        <v>73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6">
      <c r="A49" s="5"/>
      <c r="B49" s="70" t="s">
        <v>77</v>
      </c>
      <c r="C49" s="61">
        <f>C47/(((C41+(SUM('22-23 Exp'!C8:M8)))/365))</f>
        <v>150.3746837270169</v>
      </c>
      <c r="D49" s="61">
        <f>D47/(((C41+D41+SUM('22-23 Exp'!D8:M8))/365))</f>
        <v>150.8067372032547</v>
      </c>
      <c r="E49" s="14">
        <f>E47/((C41+D41+E41+'22-23 Exp'!E8+'22-23 Exp'!F8+'22-23 Exp'!G8+'22-23 Exp'!H8+'22-23 Exp'!I8+'22-23 Exp'!J8+'22-23 Exp'!K8+'22-23 Exp'!L8+'22-23 Exp'!M8)/365)</f>
        <v>163.87772421200145</v>
      </c>
      <c r="F49" s="61">
        <f>F47/((C41+D41+E41+F41+'22-23 Exp'!F8+'22-23 Exp'!G8+'22-23 Exp'!H8+'22-23 Exp'!I8+'22-23 Exp'!J8+'22-23 Exp'!K8+'22-23 Exp'!L8+'22-23 Exp'!M8)/365)</f>
        <v>178.29592456786278</v>
      </c>
      <c r="G49" s="61">
        <f>G47/((C41+D41+E41+F41+G41+'22-23 Exp'!G8+'22-23 Exp'!H8+'22-23 Exp'!I8+'22-23 Exp'!J8+'22-23 Exp'!K8+'22-23 Exp'!L8+'22-23 Exp'!M8)/365)</f>
        <v>194.90759275774292</v>
      </c>
      <c r="H49" s="61">
        <f>H47/((C41+D41+E41+F41+G41+H41+'22-23 Exp'!H8+'22-23 Exp'!I8+'22-23 Exp'!J8+'22-23 Exp'!K8+'22-23 Exp'!L8+'22-23 Exp'!M8)/365)</f>
        <v>216.47920308763756</v>
      </c>
      <c r="I49" s="61">
        <f>I47/((C41+D41+E41+F41+G41+H41+I41+'22-23 Exp'!I8+'22-23 Exp'!J8+'22-23 Exp'!K8+'22-23 Exp'!L8+'22-23 Exp'!M8)/365)</f>
        <v>242.98762631214132</v>
      </c>
      <c r="J49" s="61">
        <f>J47/((C41+D41+E41+F41+G41+H41+I41+J41+'22-23 Exp'!J8+'22-23 Exp'!K8+'22-23 Exp'!L8+'22-23 Exp'!M8)/365)</f>
        <v>280.57855612020205</v>
      </c>
      <c r="K49" s="61">
        <f>K47/((C41+D41+E41+F41+G41+H41+I41+J41+K41+'22-23 Exp'!K8+'22-23 Exp'!L8+'22-23 Exp'!M8)/365)</f>
        <v>338.10130516492768</v>
      </c>
      <c r="L49" s="61">
        <f>L47/((C41+D41+E41+F41+G41+H41+I41+J41+K41+L41+'22-23 Exp'!L8+'22-23 Exp'!M8)/365)</f>
        <v>448.1672618222828</v>
      </c>
      <c r="M49" s="61">
        <f>M47/((C41+D41+E41+F41+G41+H41+I41+J41+K41+L41+M41+'22-23 Exp'!M8)/365)</f>
        <v>566.76992890167992</v>
      </c>
      <c r="N49" s="61">
        <f>N47/((C41+D41+E41+F41+G41+H41+I41+J41+K41+L41+M41+N41)/365)</f>
        <v>874.64451462147122</v>
      </c>
      <c r="O49" s="61">
        <f>(O47/$O$41)*365</f>
        <v>874.6445146214711</v>
      </c>
      <c r="Q49" s="5"/>
      <c r="R49" s="5" t="s">
        <v>94</v>
      </c>
      <c r="S49" s="5"/>
      <c r="T49" s="5"/>
      <c r="U49" s="5"/>
      <c r="V49" s="5"/>
      <c r="W49" s="5"/>
      <c r="X49" s="5"/>
      <c r="Y49" s="5"/>
      <c r="Z49" s="5"/>
    </row>
    <row r="50" spans="1:26" ht="16">
      <c r="A50" s="5"/>
      <c r="B50" s="5"/>
      <c r="C50" s="5"/>
      <c r="D50" s="5"/>
      <c r="E50" s="5"/>
      <c r="F50" s="5"/>
      <c r="G50" s="5"/>
      <c r="H50" s="5"/>
      <c r="I50" s="5"/>
      <c r="J50" s="14"/>
      <c r="K50" s="5"/>
      <c r="L50" s="5"/>
      <c r="M50" s="5"/>
      <c r="N50" s="5"/>
      <c r="O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6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6">
      <c r="A52" s="5"/>
      <c r="B52" s="5"/>
      <c r="C52" s="74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6">
      <c r="A53" s="5"/>
      <c r="B53" s="5"/>
      <c r="C53" s="76"/>
      <c r="D53" s="14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6">
      <c r="A54" s="5"/>
      <c r="B54" s="5"/>
      <c r="C54" s="5"/>
      <c r="D54" s="14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6">
      <c r="A57" s="5"/>
      <c r="B57" s="5"/>
      <c r="C57" s="14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6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6">
      <c r="A59" s="5"/>
      <c r="B59" s="5"/>
      <c r="C59" s="5"/>
      <c r="D59" s="5"/>
      <c r="E59" s="5"/>
      <c r="F59" s="73"/>
      <c r="G59" s="5"/>
      <c r="H59" s="5"/>
      <c r="I59" s="5"/>
      <c r="J59" s="5"/>
      <c r="K59" s="5"/>
      <c r="L59" s="5"/>
      <c r="M59" s="5"/>
      <c r="N59" s="5"/>
      <c r="O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6">
      <c r="A60" s="5"/>
      <c r="B60" s="5"/>
      <c r="C60" s="5"/>
      <c r="D60" s="5"/>
      <c r="E60" s="5"/>
      <c r="F60" s="76"/>
      <c r="G60" s="5"/>
      <c r="H60" s="5"/>
      <c r="I60" s="5"/>
      <c r="J60" s="5"/>
      <c r="K60" s="5"/>
      <c r="L60" s="5"/>
      <c r="M60" s="5"/>
      <c r="N60" s="5"/>
      <c r="O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6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6">
      <c r="A62" s="5"/>
      <c r="B62" s="5"/>
      <c r="C62" s="14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6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6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6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6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6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6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6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6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6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6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6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6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6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6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6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6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6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6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6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6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6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6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6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6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6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6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6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6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6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6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6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6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6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6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6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6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6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6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6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6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6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6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6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6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6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6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6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6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6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6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6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6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6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6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6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6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6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6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6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6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6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6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6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6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6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6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6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6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6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6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6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6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6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6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6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6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6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6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6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6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6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6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6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6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6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6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6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6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6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6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6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6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6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6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6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6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6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6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6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6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6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6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6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6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6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6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6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6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6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6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6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6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6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6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6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6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6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6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6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6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6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6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6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6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6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6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6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6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6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6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6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6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6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6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6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6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6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6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6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6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6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6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6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6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6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6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6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6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6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6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6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6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6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6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6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6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6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6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6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6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6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6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6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6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6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6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6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6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6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6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6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6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6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6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6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6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6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6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6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6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6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6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6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6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6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6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6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6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6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6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6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6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6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6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6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6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6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6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6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6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6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6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6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6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6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6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6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6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6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6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6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6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6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6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6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6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6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6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6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6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6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6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6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6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6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6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6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6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6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6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6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6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6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6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6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6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6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6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6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6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6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6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6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6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6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6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6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6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6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6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6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6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6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6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6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6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6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6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6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6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6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6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6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6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6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6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6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6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6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6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6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6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6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6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6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6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6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6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6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6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6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6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6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6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6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6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6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6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6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6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6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6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6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6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6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</sheetData>
  <mergeCells count="1">
    <mergeCell ref="A5:B5"/>
  </mergeCells>
  <pageMargins left="0.7" right="0.7" top="0.75" bottom="0.75" header="0" footer="0"/>
  <pageSetup orientation="landscape" r:id="rId1"/>
  <headerFooter>
    <oddFooter>&amp;L&amp;D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17" sqref="B17"/>
    </sheetView>
  </sheetViews>
  <sheetFormatPr baseColWidth="10" defaultColWidth="14.33203125" defaultRowHeight="15" customHeight="1"/>
  <cols>
    <col min="1" max="1" width="12.33203125" customWidth="1"/>
    <col min="2" max="2" width="12.83203125" customWidth="1"/>
    <col min="3" max="3" width="13.33203125" customWidth="1"/>
    <col min="4" max="4" width="16.1640625" customWidth="1"/>
    <col min="5" max="5" width="16.83203125" customWidth="1"/>
    <col min="6" max="6" width="15.33203125" customWidth="1"/>
    <col min="7" max="7" width="20" customWidth="1"/>
    <col min="8" max="8" width="24.33203125" customWidth="1"/>
    <col min="9" max="9" width="18.33203125" customWidth="1"/>
    <col min="10" max="10" width="15.1640625" customWidth="1"/>
    <col min="11" max="11" width="20.1640625" customWidth="1"/>
    <col min="12" max="12" width="14.1640625" customWidth="1"/>
    <col min="13" max="16" width="9.1640625" customWidth="1"/>
    <col min="17" max="26" width="8" customWidth="1"/>
  </cols>
  <sheetData>
    <row r="1" spans="1:26" ht="16">
      <c r="A1" s="1"/>
      <c r="B1" s="3" t="s">
        <v>0</v>
      </c>
      <c r="C1" s="3" t="s">
        <v>1</v>
      </c>
      <c r="D1" s="3" t="s">
        <v>2</v>
      </c>
      <c r="E1" s="3"/>
      <c r="F1" s="3" t="s">
        <v>3</v>
      </c>
      <c r="G1" s="3" t="s">
        <v>4</v>
      </c>
      <c r="H1" s="3" t="s">
        <v>5</v>
      </c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">
      <c r="A2" s="4" t="s">
        <v>7</v>
      </c>
      <c r="B2" s="7">
        <v>240500</v>
      </c>
      <c r="C2" s="10" t="e">
        <f>#REF!</f>
        <v>#REF!</v>
      </c>
      <c r="D2" s="4" t="e">
        <f>((C2)-(B2))/(B2)</f>
        <v>#REF!</v>
      </c>
      <c r="E2" s="4"/>
      <c r="F2" s="13">
        <v>284161</v>
      </c>
      <c r="G2" s="10" t="e">
        <f>#REF!</f>
        <v>#REF!</v>
      </c>
      <c r="H2" s="4" t="e">
        <f>(SUM(G1:G2)-SUM(F1:F2))/SUM(F1:F2)</f>
        <v>#REF!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">
      <c r="A3" s="4" t="s">
        <v>22</v>
      </c>
      <c r="B3" s="7">
        <v>161800</v>
      </c>
      <c r="C3" s="10" t="e">
        <f>#REF!</f>
        <v>#REF!</v>
      </c>
      <c r="D3" s="4" t="e">
        <f>((C2+C3)-(B2+B3))/(B2+B3)</f>
        <v>#REF!</v>
      </c>
      <c r="E3" s="4"/>
      <c r="F3" s="13">
        <v>304268</v>
      </c>
      <c r="G3" s="10" t="e">
        <f>#REF!</f>
        <v>#REF!</v>
      </c>
      <c r="H3" s="4" t="e">
        <f>(SUM(G2:G3)-SUM(F2:F3))/SUM(F2:F3)</f>
        <v>#REF!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">
      <c r="A4" s="4" t="s">
        <v>24</v>
      </c>
      <c r="B4" s="7">
        <v>312944</v>
      </c>
      <c r="C4" s="10" t="e">
        <f>#REF!</f>
        <v>#REF!</v>
      </c>
      <c r="D4" s="4" t="e">
        <f>(SUM(C2:C4)-SUM(B2:B4))/SUM(B2:B4)</f>
        <v>#REF!</v>
      </c>
      <c r="E4" s="4"/>
      <c r="F4" s="13">
        <v>297377</v>
      </c>
      <c r="G4" s="10" t="e">
        <f>#REF!</f>
        <v>#REF!</v>
      </c>
      <c r="H4" s="4" t="e">
        <f>(SUM(G2:G4)-SUM(F2:F4))/SUM(F2:F4)</f>
        <v>#REF!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6">
      <c r="A5" s="4" t="s">
        <v>25</v>
      </c>
      <c r="B5" s="7">
        <v>182512</v>
      </c>
      <c r="C5" s="10" t="e">
        <f>#REF!</f>
        <v>#REF!</v>
      </c>
      <c r="D5" s="4" t="e">
        <f>(SUM(C2:C5)-SUM(B2:B5))/SUM(B2:B5)</f>
        <v>#REF!</v>
      </c>
      <c r="E5" s="4"/>
      <c r="F5" s="13">
        <v>299725</v>
      </c>
      <c r="G5" s="10" t="e">
        <f>#REF!</f>
        <v>#REF!</v>
      </c>
      <c r="H5" s="4" t="e">
        <f>(SUM(G2:G5)-SUM(F2:F5))/SUM(F2:F5)</f>
        <v>#REF!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">
      <c r="A6" s="4" t="s">
        <v>26</v>
      </c>
      <c r="B6" s="7">
        <v>135311</v>
      </c>
      <c r="C6" s="10" t="e">
        <f>#REF!</f>
        <v>#REF!</v>
      </c>
      <c r="D6" s="4" t="e">
        <f>(SUM(C2:C6)-SUM(B2:B6))/SUM(B2:B6)</f>
        <v>#REF!</v>
      </c>
      <c r="E6" s="4"/>
      <c r="F6" s="13">
        <v>276711</v>
      </c>
      <c r="G6" s="10" t="e">
        <f>#REF!</f>
        <v>#REF!</v>
      </c>
      <c r="H6" s="4" t="e">
        <f>(SUM(G2:G6)-SUM(F2:F6))/SUM(F2:F6)</f>
        <v>#REF!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6">
      <c r="A7" s="4" t="s">
        <v>27</v>
      </c>
      <c r="B7" s="7">
        <v>161957</v>
      </c>
      <c r="C7" s="10" t="e">
        <f>#REF!</f>
        <v>#REF!</v>
      </c>
      <c r="D7" s="4" t="e">
        <f>(SUM(C2:C7)-SUM(B2:B7))/SUM(B2:B7)</f>
        <v>#REF!</v>
      </c>
      <c r="E7" s="4"/>
      <c r="F7" s="13">
        <v>305513</v>
      </c>
      <c r="G7" s="10" t="e">
        <f>#REF!</f>
        <v>#REF!</v>
      </c>
      <c r="H7" s="4" t="e">
        <f>(SUM(G2:G7)-SUM(F2:F7))/SUM(F2:F7)</f>
        <v>#REF!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6">
      <c r="A8" s="4" t="s">
        <v>28</v>
      </c>
      <c r="B8" s="7">
        <v>260746</v>
      </c>
      <c r="C8" s="10" t="e">
        <f>#REF!</f>
        <v>#REF!</v>
      </c>
      <c r="D8" s="4" t="e">
        <f>(SUM(C2:C8)-SUM(B2:B8))/SUM(B2:B8)</f>
        <v>#REF!</v>
      </c>
      <c r="E8" s="4"/>
      <c r="F8" s="13">
        <v>284570</v>
      </c>
      <c r="G8" s="10" t="e">
        <f>#REF!</f>
        <v>#REF!</v>
      </c>
      <c r="H8" s="4" t="e">
        <f>(SUM(G2:G8)-SUM(F2:F8))/SUM(F2:F8)</f>
        <v>#REF!</v>
      </c>
      <c r="I8" s="5"/>
      <c r="J8" s="5"/>
      <c r="K8" s="5"/>
      <c r="L8" s="5"/>
      <c r="M8" s="5"/>
      <c r="N8" s="5"/>
      <c r="O8" s="5"/>
      <c r="P8" s="5" t="s">
        <v>30</v>
      </c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6">
      <c r="A9" s="4" t="s">
        <v>31</v>
      </c>
      <c r="B9" s="7">
        <v>261083</v>
      </c>
      <c r="C9" s="10" t="e">
        <f>#REF!</f>
        <v>#REF!</v>
      </c>
      <c r="D9" s="4" t="e">
        <f>(SUM(C2:C9)-SUM(B2:B9))/SUM(B2:B9)</f>
        <v>#REF!</v>
      </c>
      <c r="E9" s="4"/>
      <c r="F9" s="13">
        <v>279968</v>
      </c>
      <c r="G9" s="10" t="e">
        <f>#REF!</f>
        <v>#REF!</v>
      </c>
      <c r="H9" s="4" t="e">
        <f>(SUM(G2:G9)-SUM(F2:F9))/SUM(F2:F9)</f>
        <v>#REF!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6">
      <c r="A10" s="4" t="s">
        <v>32</v>
      </c>
      <c r="B10" s="7">
        <v>218257</v>
      </c>
      <c r="C10" s="10" t="e">
        <f>#REF!</f>
        <v>#REF!</v>
      </c>
      <c r="D10" s="4" t="e">
        <f>(SUM(C2:C10)-SUM(B2:B10))/SUM(B2:B10)</f>
        <v>#REF!</v>
      </c>
      <c r="E10" s="4"/>
      <c r="F10" s="13">
        <v>299258</v>
      </c>
      <c r="G10" s="10" t="e">
        <f>#REF!</f>
        <v>#REF!</v>
      </c>
      <c r="H10" s="4" t="e">
        <f>(SUM(G2:G10)-SUM(F2:F10))/SUM(F2:F10)</f>
        <v>#REF!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6">
      <c r="A11" s="4" t="s">
        <v>33</v>
      </c>
      <c r="B11" s="7">
        <v>223349</v>
      </c>
      <c r="C11" s="10" t="e">
        <f>#REF!</f>
        <v>#REF!</v>
      </c>
      <c r="D11" s="4" t="e">
        <f>(SUM(C2:C11)-SUM(B2:B11))/SUM(B2:B11)</f>
        <v>#REF!</v>
      </c>
      <c r="E11" s="4"/>
      <c r="F11" s="13">
        <v>302478</v>
      </c>
      <c r="G11" s="10" t="e">
        <f>#REF!</f>
        <v>#REF!</v>
      </c>
      <c r="H11" s="4" t="e">
        <f>(SUM(G2:G11)-SUM(F2:F11))/SUM(F2:F11)</f>
        <v>#REF!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6">
      <c r="A12" s="4" t="s">
        <v>34</v>
      </c>
      <c r="B12" s="7">
        <v>225926</v>
      </c>
      <c r="C12" s="10" t="e">
        <f>#REF!</f>
        <v>#REF!</v>
      </c>
      <c r="D12" s="4" t="e">
        <f>(SUM(C2:C12)-SUM(B2:B12))/SUM(B2:B12)</f>
        <v>#REF!</v>
      </c>
      <c r="E12" s="4"/>
      <c r="F12" s="13">
        <v>243318</v>
      </c>
      <c r="G12" s="10" t="e">
        <f>#REF!</f>
        <v>#REF!</v>
      </c>
      <c r="H12" s="4" t="e">
        <f>(SUM(G2:G12)-SUM(F2:F12))/SUM(F2:F12)</f>
        <v>#REF!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6">
      <c r="A13" s="4" t="s">
        <v>35</v>
      </c>
      <c r="B13" s="18">
        <v>261326</v>
      </c>
      <c r="C13" s="10" t="e">
        <f>#REF!</f>
        <v>#REF!</v>
      </c>
      <c r="D13" s="4" t="e">
        <f>(SUM(C2:C13)-SUM(B2:B13))/SUM(B2:B13)</f>
        <v>#REF!</v>
      </c>
      <c r="E13" s="4"/>
      <c r="F13" s="13">
        <v>189075</v>
      </c>
      <c r="G13" s="19" t="e">
        <f>#REF!</f>
        <v>#REF!</v>
      </c>
      <c r="H13" s="4" t="e">
        <f>(SUM(G2:G13)-SUM(F2:F13))/SUM(F2:F13)</f>
        <v>#REF!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6">
      <c r="A14" s="20" t="s">
        <v>36</v>
      </c>
      <c r="B14" s="21">
        <f>SUM(B2:B13)</f>
        <v>2645711</v>
      </c>
      <c r="C14" s="22" t="e">
        <f>SUM(C2:C13)</f>
        <v>#REF!</v>
      </c>
      <c r="D14" s="4" t="e">
        <f>D5</f>
        <v>#REF!</v>
      </c>
      <c r="E14" s="20"/>
      <c r="F14" s="22">
        <f>SUM(F2:F13)</f>
        <v>3366422</v>
      </c>
      <c r="G14" s="22" t="e">
        <f>SUM(G2:G13)</f>
        <v>#REF!</v>
      </c>
      <c r="H14" s="4" t="e">
        <f>H5</f>
        <v>#REF!</v>
      </c>
      <c r="I14" s="4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6">
      <c r="A15" s="4"/>
      <c r="B15" s="23"/>
      <c r="C15" s="5"/>
      <c r="D15" s="4"/>
      <c r="E15" s="4"/>
      <c r="F15" s="10"/>
      <c r="G15" s="10"/>
      <c r="H15" s="4"/>
      <c r="I15" s="4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6">
      <c r="A16" s="22" t="s">
        <v>38</v>
      </c>
      <c r="B16" s="24">
        <v>14425793</v>
      </c>
      <c r="C16" s="5"/>
      <c r="D16" s="20" t="s">
        <v>39</v>
      </c>
      <c r="E16" s="13" t="e">
        <f>(B18-E18)-#REF!</f>
        <v>#REF!</v>
      </c>
      <c r="F16" s="5">
        <v>273514</v>
      </c>
      <c r="G16" s="20" t="s">
        <v>40</v>
      </c>
      <c r="H16" s="24">
        <v>0</v>
      </c>
      <c r="I16" s="4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6">
      <c r="A17" s="4"/>
      <c r="B17" s="23"/>
      <c r="C17" s="5"/>
      <c r="D17" s="5"/>
      <c r="E17" s="4"/>
      <c r="F17" s="5"/>
      <c r="G17" s="4"/>
      <c r="H17" s="10" t="s">
        <v>30</v>
      </c>
      <c r="I17" s="4"/>
      <c r="J17" s="14"/>
      <c r="K17" s="14"/>
      <c r="L17" s="14"/>
      <c r="M17" s="14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6">
      <c r="A18" s="22" t="s">
        <v>41</v>
      </c>
      <c r="B18" s="24">
        <v>13950004</v>
      </c>
      <c r="C18" s="5"/>
      <c r="D18" s="20" t="s">
        <v>42</v>
      </c>
      <c r="E18" s="13">
        <f>4466582+1510862+2476611</f>
        <v>8454055</v>
      </c>
      <c r="F18" s="4"/>
      <c r="G18" s="20" t="s">
        <v>43</v>
      </c>
      <c r="H18" s="25">
        <v>1.25E-3</v>
      </c>
      <c r="I18" s="10"/>
      <c r="J18" s="14"/>
      <c r="K18" s="14"/>
      <c r="L18" s="14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6">
      <c r="A19" s="4"/>
      <c r="B19" s="5"/>
      <c r="C19" s="5"/>
      <c r="D19" s="4"/>
      <c r="E19" s="4"/>
      <c r="F19" s="4" t="s">
        <v>30</v>
      </c>
      <c r="G19" s="10" t="s">
        <v>30</v>
      </c>
      <c r="H19" s="4"/>
      <c r="I19" s="10"/>
      <c r="J19" s="14"/>
      <c r="K19" s="14"/>
      <c r="L19" s="14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6">
      <c r="A20" s="4"/>
      <c r="B20" s="23"/>
      <c r="C20" s="4"/>
      <c r="D20" s="4"/>
      <c r="E20" s="4"/>
      <c r="F20" s="4"/>
      <c r="G20" s="10"/>
      <c r="H20" s="4"/>
      <c r="I20" s="10"/>
      <c r="J20" s="14"/>
      <c r="K20" s="14"/>
      <c r="L20" s="14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6">
      <c r="A21" s="4"/>
      <c r="B21" s="5"/>
      <c r="C21" s="3" t="s">
        <v>44</v>
      </c>
      <c r="D21" s="4"/>
      <c r="E21" s="5"/>
      <c r="F21" s="10"/>
      <c r="G21" s="4"/>
      <c r="H21" s="23" t="s">
        <v>45</v>
      </c>
      <c r="I21" s="14"/>
      <c r="J21" s="14"/>
      <c r="K21" s="5"/>
      <c r="L21" s="14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6">
      <c r="A22" s="5"/>
      <c r="B22" s="26">
        <v>6198</v>
      </c>
      <c r="C22" s="26" t="s">
        <v>47</v>
      </c>
      <c r="D22" s="3" t="s">
        <v>48</v>
      </c>
      <c r="E22" s="3" t="s">
        <v>49</v>
      </c>
      <c r="F22" s="4"/>
      <c r="G22" s="3" t="s">
        <v>50</v>
      </c>
      <c r="H22" s="3" t="s">
        <v>51</v>
      </c>
      <c r="I22" s="3" t="s">
        <v>52</v>
      </c>
      <c r="J22" s="6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6">
      <c r="A23" s="4" t="s">
        <v>7</v>
      </c>
      <c r="B23" s="24"/>
      <c r="C23" s="24"/>
      <c r="D23" s="24"/>
      <c r="E23" s="24"/>
      <c r="F23" s="4">
        <v>3100</v>
      </c>
      <c r="G23" s="24">
        <v>8785295.3499999996</v>
      </c>
      <c r="H23" s="27"/>
      <c r="I23" s="10">
        <f>IF(H23=0,0,G23-H23)</f>
        <v>0</v>
      </c>
      <c r="J23" s="10"/>
      <c r="K23" s="5"/>
      <c r="L23" s="4"/>
      <c r="M23" s="4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6">
      <c r="A24" s="4" t="s">
        <v>22</v>
      </c>
      <c r="B24" s="24"/>
      <c r="C24" s="24"/>
      <c r="D24" s="24"/>
      <c r="E24" s="24"/>
      <c r="F24" s="4">
        <v>3121</v>
      </c>
      <c r="G24" s="24">
        <v>62317.07</v>
      </c>
      <c r="H24" s="27">
        <v>0</v>
      </c>
      <c r="I24" s="10">
        <f>IF(H24=0,0,G24-H24)</f>
        <v>0</v>
      </c>
      <c r="J24" s="10"/>
      <c r="K24" s="5"/>
      <c r="L24" s="4"/>
      <c r="M24" s="4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6">
      <c r="A25" s="4" t="s">
        <v>24</v>
      </c>
      <c r="B25" s="24"/>
      <c r="C25" s="24"/>
      <c r="D25" s="24"/>
      <c r="E25" s="24"/>
      <c r="F25" s="4">
        <v>4121</v>
      </c>
      <c r="G25" s="24">
        <v>968553.68</v>
      </c>
      <c r="H25" s="27">
        <v>0</v>
      </c>
      <c r="I25" s="10">
        <f t="shared" ref="I25:I32" si="0">IF(H25=0,0,G25-H25)</f>
        <v>0</v>
      </c>
      <c r="J25" s="10"/>
      <c r="K25" s="5"/>
      <c r="L25" s="4"/>
      <c r="M25" s="4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6">
      <c r="A26" s="4" t="s">
        <v>25</v>
      </c>
      <c r="B26" s="24"/>
      <c r="C26" s="24"/>
      <c r="D26" s="24"/>
      <c r="E26" s="24"/>
      <c r="F26" s="4">
        <v>4155</v>
      </c>
      <c r="G26" s="24">
        <v>235549.13</v>
      </c>
      <c r="H26" s="27">
        <v>0</v>
      </c>
      <c r="I26" s="10">
        <f t="shared" si="0"/>
        <v>0</v>
      </c>
      <c r="J26" s="10"/>
      <c r="K26" s="5"/>
      <c r="L26" s="4"/>
      <c r="M26" s="4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6">
      <c r="A27" s="4" t="s">
        <v>26</v>
      </c>
      <c r="B27" s="24"/>
      <c r="C27" s="24"/>
      <c r="D27" s="24"/>
      <c r="E27" s="24"/>
      <c r="F27" s="4">
        <v>4165</v>
      </c>
      <c r="G27" s="24"/>
      <c r="H27" s="27">
        <v>0</v>
      </c>
      <c r="I27" s="10">
        <f t="shared" si="0"/>
        <v>0</v>
      </c>
      <c r="J27" s="10"/>
      <c r="K27" s="5"/>
      <c r="L27" s="4"/>
      <c r="M27" s="4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6">
      <c r="A28" s="4" t="s">
        <v>27</v>
      </c>
      <c r="B28" s="24"/>
      <c r="C28" s="24"/>
      <c r="D28" s="24"/>
      <c r="E28" s="24"/>
      <c r="F28" s="4">
        <v>4174</v>
      </c>
      <c r="G28" s="24">
        <v>24102.22</v>
      </c>
      <c r="H28" s="27"/>
      <c r="I28" s="10">
        <f t="shared" si="0"/>
        <v>0</v>
      </c>
      <c r="J28" s="10"/>
      <c r="K28" s="5"/>
      <c r="L28" s="4"/>
      <c r="M28" s="4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6">
      <c r="A29" s="4" t="s">
        <v>28</v>
      </c>
      <c r="B29" s="24"/>
      <c r="C29" s="24"/>
      <c r="D29" s="24"/>
      <c r="E29" s="24"/>
      <c r="F29" s="4">
        <v>4198</v>
      </c>
      <c r="G29" s="24">
        <v>0</v>
      </c>
      <c r="H29" s="27"/>
      <c r="I29" s="10">
        <f t="shared" si="0"/>
        <v>0</v>
      </c>
      <c r="J29" s="10"/>
      <c r="K29" s="5"/>
      <c r="L29" s="4"/>
      <c r="M29" s="4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6">
      <c r="A30" s="4" t="s">
        <v>31</v>
      </c>
      <c r="B30" s="24"/>
      <c r="C30" s="24"/>
      <c r="D30" s="24"/>
      <c r="E30" s="24"/>
      <c r="F30" s="4">
        <v>4199</v>
      </c>
      <c r="G30" s="24">
        <v>506646.96</v>
      </c>
      <c r="H30" s="27">
        <v>0</v>
      </c>
      <c r="I30" s="10">
        <f t="shared" si="0"/>
        <v>0</v>
      </c>
      <c r="J30" s="10"/>
      <c r="K30" s="5"/>
      <c r="L30" s="4"/>
      <c r="M30" s="4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6">
      <c r="A31" s="4" t="s">
        <v>32</v>
      </c>
      <c r="B31" s="24"/>
      <c r="C31" s="24"/>
      <c r="D31" s="24"/>
      <c r="E31" s="24"/>
      <c r="F31" s="4"/>
      <c r="G31" s="24"/>
      <c r="H31" s="27"/>
      <c r="I31" s="10">
        <f t="shared" si="0"/>
        <v>0</v>
      </c>
      <c r="J31" s="10"/>
      <c r="K31" s="5"/>
      <c r="L31" s="4"/>
      <c r="M31" s="4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6">
      <c r="A32" s="4" t="s">
        <v>33</v>
      </c>
      <c r="B32" s="24"/>
      <c r="C32" s="24"/>
      <c r="D32" s="24"/>
      <c r="E32" s="24"/>
      <c r="F32" s="4"/>
      <c r="G32" s="24"/>
      <c r="H32" s="27"/>
      <c r="I32" s="10">
        <f t="shared" si="0"/>
        <v>0</v>
      </c>
      <c r="J32" s="10"/>
      <c r="K32" s="5"/>
      <c r="L32" s="4"/>
      <c r="M32" s="4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6">
      <c r="A33" s="4" t="s">
        <v>34</v>
      </c>
      <c r="B33" s="28"/>
      <c r="C33" s="28"/>
      <c r="D33" s="28"/>
      <c r="E33" s="28"/>
      <c r="F33" s="5"/>
      <c r="G33" s="5"/>
      <c r="H33" s="5"/>
      <c r="I33" s="5"/>
      <c r="J33" s="10"/>
      <c r="K33" s="5"/>
      <c r="L33" s="4"/>
      <c r="M33" s="4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6">
      <c r="A34" s="4" t="s">
        <v>35</v>
      </c>
      <c r="B34" s="29"/>
      <c r="C34" s="29"/>
      <c r="D34" s="29"/>
      <c r="E34" s="29"/>
      <c r="F34" s="4"/>
      <c r="G34" s="5"/>
      <c r="H34" s="5"/>
      <c r="I34" s="5"/>
      <c r="J34" s="5"/>
      <c r="K34" s="5"/>
      <c r="L34" s="4"/>
      <c r="M34" s="4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6">
      <c r="A35" s="20" t="s">
        <v>36</v>
      </c>
      <c r="B35" s="22">
        <f>SUM(B23:B34)</f>
        <v>0</v>
      </c>
      <c r="C35" s="22">
        <f>SUM(C23:C34)</f>
        <v>0</v>
      </c>
      <c r="D35" s="22">
        <f>SUM(D23:D34)</f>
        <v>0</v>
      </c>
      <c r="E35" s="22">
        <f>SUM(E23:E34)</f>
        <v>0</v>
      </c>
      <c r="F35" s="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6">
      <c r="A36" s="4"/>
      <c r="B36" s="4"/>
      <c r="C36" s="4"/>
      <c r="D36" s="4"/>
      <c r="E36" s="4"/>
      <c r="F36" s="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6">
      <c r="A37" s="4"/>
      <c r="B37" s="4" t="s">
        <v>54</v>
      </c>
      <c r="C37" s="4"/>
      <c r="D37" s="5"/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6">
      <c r="A38" s="4"/>
      <c r="B38" s="20"/>
      <c r="C38" s="20"/>
      <c r="D38" s="5"/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" customHeight="1">
      <c r="A999" s="5"/>
      <c r="B999" s="5"/>
      <c r="C999" s="5"/>
      <c r="D999" s="5"/>
      <c r="E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" customHeight="1">
      <c r="A1000" s="5"/>
      <c r="B1000" s="5"/>
      <c r="C1000" s="5"/>
      <c r="D1000" s="5"/>
      <c r="E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" footer="0"/>
  <pageSetup orientation="landscape"/>
  <headerFooter>
    <oddFooter>&amp;L&amp;D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650BC-8644-4B48-948D-201D2AE29FD8}">
  <dimension ref="B6:N8"/>
  <sheetViews>
    <sheetView workbookViewId="0">
      <selection activeCell="B8" sqref="B8:M8"/>
    </sheetView>
  </sheetViews>
  <sheetFormatPr baseColWidth="10" defaultRowHeight="14"/>
  <sheetData>
    <row r="6" spans="2:14" ht="15" thickBot="1"/>
    <row r="7" spans="2:14" ht="16" thickBot="1">
      <c r="B7" s="9" t="s">
        <v>8</v>
      </c>
      <c r="C7" s="11" t="s">
        <v>9</v>
      </c>
      <c r="D7" s="11" t="s">
        <v>10</v>
      </c>
      <c r="E7" s="11" t="s">
        <v>11</v>
      </c>
      <c r="F7" s="11" t="s">
        <v>12</v>
      </c>
      <c r="G7" s="11" t="s">
        <v>13</v>
      </c>
      <c r="H7" s="11" t="s">
        <v>14</v>
      </c>
      <c r="I7" s="11" t="s">
        <v>15</v>
      </c>
      <c r="J7" s="11" t="s">
        <v>16</v>
      </c>
      <c r="K7" s="11" t="s">
        <v>17</v>
      </c>
      <c r="L7" s="11" t="s">
        <v>18</v>
      </c>
      <c r="M7" s="12" t="s">
        <v>19</v>
      </c>
    </row>
    <row r="8" spans="2:14" ht="17" thickBot="1">
      <c r="B8" s="32">
        <v>955675.54999999993</v>
      </c>
      <c r="C8" s="32">
        <v>1088272.1399999999</v>
      </c>
      <c r="D8" s="32">
        <v>1089412.1700000002</v>
      </c>
      <c r="E8" s="32">
        <v>1016422.3900000001</v>
      </c>
      <c r="F8" s="32">
        <v>984617.57000000007</v>
      </c>
      <c r="G8" s="32">
        <v>1053081.8700000001</v>
      </c>
      <c r="H8" s="32">
        <v>1038025.5999999999</v>
      </c>
      <c r="I8" s="32">
        <v>1135713.9000000001</v>
      </c>
      <c r="J8" s="32">
        <v>1249001.0900000001</v>
      </c>
      <c r="K8" s="32">
        <v>1496203.08</v>
      </c>
      <c r="L8" s="32">
        <v>961771.78999999992</v>
      </c>
      <c r="M8" s="32">
        <v>1279263.3900000001</v>
      </c>
      <c r="N8" s="33">
        <v>12468127.07238744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 Flow</vt:lpstr>
      <vt:lpstr>ENTRY</vt:lpstr>
      <vt:lpstr>22-23 Exp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Dauphin</dc:creator>
  <cp:lastModifiedBy>Sam Schweda</cp:lastModifiedBy>
  <dcterms:created xsi:type="dcterms:W3CDTF">2018-07-03T21:19:35Z</dcterms:created>
  <dcterms:modified xsi:type="dcterms:W3CDTF">2024-11-14T15:41:21Z</dcterms:modified>
</cp:coreProperties>
</file>